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xml" ContentType="application/vnd.openxmlformats-officedocument.drawing+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xml" ContentType="application/vnd.openxmlformats-officedocument.drawing+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yavo\OneDrive\Desktop\Yavorski Data\CR Energy LLC\CREC-Djibouti SAS\Funding\Financial models\"/>
    </mc:Choice>
  </mc:AlternateContent>
  <xr:revisionPtr revIDLastSave="0" documentId="13_ncr:1_{3AF502CD-FA61-4721-B2F0-1516AEDF5778}" xr6:coauthVersionLast="47" xr6:coauthVersionMax="47" xr10:uidLastSave="{00000000-0000-0000-0000-000000000000}"/>
  <bookViews>
    <workbookView xWindow="-120" yWindow="-120" windowWidth="29040" windowHeight="15720" tabRatio="820" firstSheet="1" activeTab="1" xr2:uid="{0ED9FBC5-E8E9-40BE-867F-F04C48DFD9EC}"/>
  </bookViews>
  <sheets>
    <sheet name="README" sheetId="31" r:id="rId1"/>
    <sheet name="graphs" sheetId="12" r:id="rId2"/>
    <sheet name="Summary" sheetId="1" r:id="rId3"/>
    <sheet name="Data Sources" sheetId="14" r:id="rId4"/>
    <sheet name="Inputs" sheetId="2" r:id="rId5"/>
    <sheet name="Project Equity %" sheetId="10" r:id="rId6"/>
    <sheet name="CapEx" sheetId="7" r:id="rId7"/>
    <sheet name="Financials Yearly" sheetId="11" r:id="rId8"/>
    <sheet name="Quarterly" sheetId="15" r:id="rId9"/>
    <sheet name="Financials" sheetId="6" r:id="rId10"/>
    <sheet name="Capital Contributions" sheetId="8" r:id="rId11"/>
    <sheet name="Insurance" sheetId="33" r:id="rId12"/>
    <sheet name="Cash Drawdown schedule" sheetId="32" r:id="rId13"/>
    <sheet name="NPV IRR" sheetId="9" r:id="rId14"/>
    <sheet name="Power Production" sheetId="16" r:id="rId15"/>
    <sheet name="Calc Summary" sheetId="23" r:id="rId16"/>
    <sheet name="Stage 1 Mass Balance" sheetId="25" r:id="rId17"/>
    <sheet name="Stage 2 Mass Balance" sheetId="24" r:id="rId18"/>
    <sheet name="Stage 3 Power Opt" sheetId="29" r:id="rId19"/>
    <sheet name="Stage 3 Gas Opt" sheetId="30" r:id="rId20"/>
    <sheet name="RDF Makeup" sheetId="27" r:id="rId21"/>
    <sheet name="TDF Makeup" sheetId="28" r:id="rId22"/>
    <sheet name="Plant Salaries" sheetId="18" r:id="rId23"/>
    <sheet name="Emp Labor Cost" sheetId="19" r:id="rId24"/>
    <sheet name="Benefits Cost" sheetId="20" r:id="rId25"/>
    <sheet name="Job Descriptions" sheetId="17" r:id="rId26"/>
  </sheets>
  <definedNames>
    <definedName name="_xlchart.v1.0" hidden="1">graphs!$A$10</definedName>
    <definedName name="_xlchart.v1.1" hidden="1">graphs!$A$11</definedName>
    <definedName name="_xlchart.v1.2" hidden="1">graphs!$A$12</definedName>
    <definedName name="_xlchart.v1.3" hidden="1">graphs!$A$9</definedName>
    <definedName name="_xlchart.v1.4" hidden="1">graphs!$B$10:$X$10</definedName>
    <definedName name="_xlchart.v1.5" hidden="1">graphs!$B$11:$X$11</definedName>
    <definedName name="_xlchart.v1.6" hidden="1">graphs!$B$12:$X$12</definedName>
    <definedName name="_xlchart.v1.7" hidden="1">graphs!$B$8:$X$8</definedName>
    <definedName name="_xlchart.v1.8" hidden="1">graphs!$B$9:$X$9</definedName>
    <definedName name="CIQWBGuid" hidden="1">"ac00f32c-1b32-4ad3-85d7-3f53cfc3b35d"</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43381.5927546296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2">Summary!$B$2:$J$32,Summary!$L$2:$AI$44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82" i="12" l="1"/>
  <c r="A281" i="12"/>
  <c r="A280" i="12"/>
  <c r="D51" i="7" l="1"/>
  <c r="D52" i="7"/>
  <c r="D53" i="7"/>
  <c r="D54" i="7"/>
  <c r="D55" i="7"/>
  <c r="D56" i="7"/>
  <c r="D57" i="7"/>
  <c r="D58" i="7"/>
  <c r="D59" i="7"/>
  <c r="D60" i="7"/>
  <c r="D50" i="7"/>
  <c r="D46" i="7" l="1"/>
  <c r="K173" i="12"/>
  <c r="K174" i="12"/>
  <c r="K175" i="12"/>
  <c r="K176" i="12"/>
  <c r="K177" i="12"/>
  <c r="K178" i="12"/>
  <c r="K179" i="12"/>
  <c r="K172" i="12"/>
  <c r="D12" i="6"/>
  <c r="E12" i="6"/>
  <c r="F12" i="6"/>
  <c r="G12" i="6"/>
  <c r="H12" i="6"/>
  <c r="I12" i="6"/>
  <c r="J12" i="6"/>
  <c r="K12" i="6"/>
  <c r="L12" i="6"/>
  <c r="M12" i="6"/>
  <c r="N12" i="6"/>
  <c r="O12" i="6"/>
  <c r="P12" i="6"/>
  <c r="Q12" i="6"/>
  <c r="R12" i="6"/>
  <c r="S12" i="6"/>
  <c r="T12" i="6"/>
  <c r="U12" i="6"/>
  <c r="V12" i="6"/>
  <c r="W12" i="6"/>
  <c r="X12" i="6"/>
  <c r="Y12" i="6"/>
  <c r="Z12" i="6"/>
  <c r="AA12" i="6"/>
  <c r="AB12" i="6"/>
  <c r="AC12" i="6"/>
  <c r="C12" i="6"/>
  <c r="D2" i="6"/>
  <c r="E2" i="6"/>
  <c r="F2" i="6"/>
  <c r="G2" i="6"/>
  <c r="H2" i="6"/>
  <c r="I2" i="6"/>
  <c r="J2" i="6" s="1"/>
  <c r="K2" i="6" s="1"/>
  <c r="L2" i="6" s="1"/>
  <c r="M2" i="6" s="1"/>
  <c r="N2" i="6" s="1"/>
  <c r="O2" i="6" s="1"/>
  <c r="P2" i="6" s="1"/>
  <c r="Q2" i="6" s="1"/>
  <c r="R2" i="6" s="1"/>
  <c r="S2" i="6" s="1"/>
  <c r="T2" i="6" s="1"/>
  <c r="U2" i="6" s="1"/>
  <c r="V2" i="6" s="1"/>
  <c r="W2" i="6" s="1"/>
  <c r="X2" i="6" s="1"/>
  <c r="Y2" i="6" s="1"/>
  <c r="Z2" i="6" s="1"/>
  <c r="AA2" i="6" s="1"/>
  <c r="AB2" i="6" s="1"/>
  <c r="AC2" i="6" s="1"/>
  <c r="AD2" i="6" s="1"/>
  <c r="AE2" i="6" s="1"/>
  <c r="AF2" i="6" s="1"/>
  <c r="AG2" i="6" s="1"/>
  <c r="AH2" i="6" s="1"/>
  <c r="AI2" i="6" s="1"/>
  <c r="AJ2" i="6" s="1"/>
  <c r="AK2" i="6" s="1"/>
  <c r="AL2" i="6" s="1"/>
  <c r="AM2" i="6" s="1"/>
  <c r="AN2" i="6" s="1"/>
  <c r="AO2" i="6" s="1"/>
  <c r="AP2" i="6" s="1"/>
  <c r="AQ2" i="6"/>
  <c r="AR2" i="6" s="1"/>
  <c r="AS2" i="6" s="1"/>
  <c r="AT2" i="6" s="1"/>
  <c r="AU2" i="6" s="1"/>
  <c r="AV2" i="6" s="1"/>
  <c r="AW2" i="6" s="1"/>
  <c r="AX2" i="6" s="1"/>
  <c r="AY2" i="6" s="1"/>
  <c r="AZ2" i="6" s="1"/>
  <c r="BA2" i="6" s="1"/>
  <c r="BB2" i="6" s="1"/>
  <c r="BC2" i="6" s="1"/>
  <c r="BD2" i="6" s="1"/>
  <c r="BE2" i="6" s="1"/>
  <c r="BF2" i="6" s="1"/>
  <c r="BG2" i="6" s="1"/>
  <c r="BH2" i="6" s="1"/>
  <c r="BI2" i="6" s="1"/>
  <c r="BJ2" i="6" s="1"/>
  <c r="BK2" i="6" s="1"/>
  <c r="BL2" i="6" s="1"/>
  <c r="BM2" i="6" s="1"/>
  <c r="BN2" i="6" s="1"/>
  <c r="BO2" i="6" s="1"/>
  <c r="BP2" i="6" s="1"/>
  <c r="BQ2" i="6" s="1"/>
  <c r="BR2" i="6" s="1"/>
  <c r="BS2" i="6" s="1"/>
  <c r="BT2" i="6" s="1"/>
  <c r="BU2" i="6" s="1"/>
  <c r="BV2" i="6" s="1"/>
  <c r="BW2" i="6" s="1"/>
  <c r="BX2" i="6" s="1"/>
  <c r="BY2" i="6" s="1"/>
  <c r="BZ2" i="6" s="1"/>
  <c r="CA2" i="6" s="1"/>
  <c r="CB2" i="6" s="1"/>
  <c r="CC2" i="6" s="1"/>
  <c r="CD2" i="6" s="1"/>
  <c r="CE2" i="6" s="1"/>
  <c r="CF2" i="6" s="1"/>
  <c r="CG2" i="6" s="1"/>
  <c r="CH2" i="6" s="1"/>
  <c r="CI2" i="6" s="1"/>
  <c r="CJ2" i="6" s="1"/>
  <c r="CK2" i="6" s="1"/>
  <c r="CL2" i="6" s="1"/>
  <c r="CM2" i="6" s="1"/>
  <c r="CN2" i="6" s="1"/>
  <c r="CO2" i="6" s="1"/>
  <c r="CP2" i="6" s="1"/>
  <c r="CQ2" i="6" s="1"/>
  <c r="CR2" i="6" s="1"/>
  <c r="CS2" i="6" s="1"/>
  <c r="CT2" i="6" s="1"/>
  <c r="CU2" i="6" s="1"/>
  <c r="CV2" i="6" s="1"/>
  <c r="CW2" i="6" s="1"/>
  <c r="CX2" i="6" s="1"/>
  <c r="CY2" i="6" s="1"/>
  <c r="CZ2" i="6" s="1"/>
  <c r="DA2" i="6" s="1"/>
  <c r="DB2" i="6" s="1"/>
  <c r="DC2" i="6" s="1"/>
  <c r="DD2" i="6" s="1"/>
  <c r="DE2" i="6" s="1"/>
  <c r="DF2" i="6" s="1"/>
  <c r="DG2" i="6" s="1"/>
  <c r="DH2" i="6" s="1"/>
  <c r="DI2" i="6" s="1"/>
  <c r="DJ2" i="6" s="1"/>
  <c r="DK2" i="6" s="1"/>
  <c r="DL2" i="6" s="1"/>
  <c r="DM2" i="6" s="1"/>
  <c r="DN2" i="6" s="1"/>
  <c r="DO2" i="6" s="1"/>
  <c r="DP2" i="6" s="1"/>
  <c r="DQ2" i="6" s="1"/>
  <c r="DR2" i="6" s="1"/>
  <c r="DS2" i="6" s="1"/>
  <c r="DT2" i="6" s="1"/>
  <c r="DU2" i="6" s="1"/>
  <c r="DV2" i="6" s="1"/>
  <c r="DW2" i="6" s="1"/>
  <c r="DX2" i="6" s="1"/>
  <c r="DY2" i="6" s="1"/>
  <c r="DZ2" i="6" s="1"/>
  <c r="EA2" i="6" s="1"/>
  <c r="EB2" i="6" s="1"/>
  <c r="EC2" i="6" s="1"/>
  <c r="ED2" i="6" s="1"/>
  <c r="EE2" i="6" s="1"/>
  <c r="EF2" i="6" s="1"/>
  <c r="EG2" i="6" s="1"/>
  <c r="EH2" i="6" s="1"/>
  <c r="EI2" i="6" s="1"/>
  <c r="EJ2" i="6" s="1"/>
  <c r="EK2" i="6" s="1"/>
  <c r="EL2" i="6" s="1"/>
  <c r="EM2" i="6" s="1"/>
  <c r="EN2" i="6" s="1"/>
  <c r="EO2" i="6" s="1"/>
  <c r="EP2" i="6" s="1"/>
  <c r="EQ2" i="6" s="1"/>
  <c r="ER2" i="6" s="1"/>
  <c r="ES2" i="6" s="1"/>
  <c r="ET2" i="6" s="1"/>
  <c r="EU2" i="6" s="1"/>
  <c r="EV2" i="6" s="1"/>
  <c r="EW2" i="6" s="1"/>
  <c r="EX2" i="6" s="1"/>
  <c r="EY2" i="6" s="1"/>
  <c r="EZ2" i="6" s="1"/>
  <c r="FA2" i="6" s="1"/>
  <c r="FB2" i="6" s="1"/>
  <c r="FC2" i="6" s="1"/>
  <c r="FD2" i="6" s="1"/>
  <c r="FE2" i="6" s="1"/>
  <c r="FF2" i="6" s="1"/>
  <c r="FG2" i="6" s="1"/>
  <c r="FH2" i="6" s="1"/>
  <c r="FI2" i="6" s="1"/>
  <c r="FJ2" i="6" s="1"/>
  <c r="FK2" i="6" s="1"/>
  <c r="FL2" i="6" s="1"/>
  <c r="FM2" i="6" s="1"/>
  <c r="FN2" i="6" s="1"/>
  <c r="FO2" i="6" s="1"/>
  <c r="FP2" i="6" s="1"/>
  <c r="FQ2" i="6" s="1"/>
  <c r="FR2" i="6" s="1"/>
  <c r="FS2" i="6" s="1"/>
  <c r="FT2" i="6" s="1"/>
  <c r="FU2" i="6" s="1"/>
  <c r="FV2" i="6" s="1"/>
  <c r="FW2" i="6" s="1"/>
  <c r="FX2" i="6" s="1"/>
  <c r="FY2" i="6" s="1"/>
  <c r="FZ2" i="6" s="1"/>
  <c r="GA2" i="6" s="1"/>
  <c r="GB2" i="6" s="1"/>
  <c r="GC2" i="6" s="1"/>
  <c r="GD2" i="6" s="1"/>
  <c r="GE2" i="6" s="1"/>
  <c r="GF2" i="6" s="1"/>
  <c r="GG2" i="6" s="1"/>
  <c r="GH2" i="6" s="1"/>
  <c r="GI2" i="6" s="1"/>
  <c r="GJ2" i="6" s="1"/>
  <c r="GK2" i="6" s="1"/>
  <c r="GL2" i="6" s="1"/>
  <c r="GM2" i="6" s="1"/>
  <c r="GN2" i="6" s="1"/>
  <c r="GO2" i="6" s="1"/>
  <c r="GP2" i="6" s="1"/>
  <c r="GQ2" i="6" s="1"/>
  <c r="GR2" i="6" s="1"/>
  <c r="GS2" i="6" s="1"/>
  <c r="GT2" i="6" s="1"/>
  <c r="GU2" i="6" s="1"/>
  <c r="GV2" i="6" s="1"/>
  <c r="GW2" i="6" s="1"/>
  <c r="GX2" i="6" s="1"/>
  <c r="GY2" i="6" s="1"/>
  <c r="GZ2" i="6" s="1"/>
  <c r="HA2" i="6" s="1"/>
  <c r="HB2" i="6" s="1"/>
  <c r="HC2" i="6" s="1"/>
  <c r="HD2" i="6" s="1"/>
  <c r="HE2" i="6" s="1"/>
  <c r="HF2" i="6" s="1"/>
  <c r="HG2" i="6" s="1"/>
  <c r="HH2" i="6" s="1"/>
  <c r="HI2" i="6" s="1"/>
  <c r="HJ2" i="6" s="1"/>
  <c r="HK2" i="6" s="1"/>
  <c r="HL2" i="6" s="1"/>
  <c r="HM2" i="6" s="1"/>
  <c r="HN2" i="6" s="1"/>
  <c r="HO2" i="6" s="1"/>
  <c r="HP2" i="6" s="1"/>
  <c r="HQ2" i="6" s="1"/>
  <c r="HR2" i="6" s="1"/>
  <c r="HS2" i="6" s="1"/>
  <c r="HT2" i="6" s="1"/>
  <c r="HU2" i="6" s="1"/>
  <c r="HV2" i="6" s="1"/>
  <c r="HW2" i="6" s="1"/>
  <c r="HX2" i="6" s="1"/>
  <c r="HY2" i="6" s="1"/>
  <c r="HZ2" i="6" s="1"/>
  <c r="IA2" i="6" s="1"/>
  <c r="IB2" i="6" s="1"/>
  <c r="IC2" i="6" s="1"/>
  <c r="ID2" i="6" s="1"/>
  <c r="IE2" i="6" s="1"/>
  <c r="IF2" i="6" s="1"/>
  <c r="IG2" i="6" s="1"/>
  <c r="IH2" i="6" s="1"/>
  <c r="II2" i="6" s="1"/>
  <c r="IJ2" i="6" s="1"/>
  <c r="IK2" i="6" s="1"/>
  <c r="IL2" i="6" s="1"/>
  <c r="IM2" i="6" s="1"/>
  <c r="IN2" i="6" s="1"/>
  <c r="IO2" i="6" s="1"/>
  <c r="IP2" i="6" s="1"/>
  <c r="IQ2" i="6" s="1"/>
  <c r="IR2" i="6" s="1"/>
  <c r="IS2" i="6" s="1"/>
  <c r="IT2" i="6" s="1"/>
  <c r="IU2" i="6" s="1"/>
  <c r="IV2" i="6" s="1"/>
  <c r="IW2" i="6" s="1"/>
  <c r="IX2" i="6" s="1"/>
  <c r="IY2" i="6" s="1"/>
  <c r="IZ2" i="6" s="1"/>
  <c r="JA2" i="6" s="1"/>
  <c r="JB2" i="6" s="1"/>
  <c r="JC2" i="6" s="1"/>
  <c r="JD2" i="6" s="1"/>
  <c r="JE2" i="6" s="1"/>
  <c r="JF2" i="6" s="1"/>
  <c r="JG2" i="6" s="1"/>
  <c r="JH2" i="6" s="1"/>
  <c r="JI2" i="6" s="1"/>
  <c r="JJ2" i="6" s="1"/>
  <c r="JK2" i="6" s="1"/>
  <c r="JL2" i="6" s="1"/>
  <c r="JM2" i="6" s="1"/>
  <c r="JN2" i="6" s="1"/>
  <c r="JO2" i="6" s="1"/>
  <c r="JP2" i="6" s="1"/>
  <c r="JQ2" i="6" s="1"/>
  <c r="JR2" i="6" s="1"/>
  <c r="D6" i="19"/>
  <c r="S6" i="19"/>
  <c r="D49" i="7" l="1"/>
  <c r="G113" i="19" l="1"/>
  <c r="K113" i="19"/>
  <c r="L113" i="19"/>
  <c r="M113" i="19"/>
  <c r="R113" i="19"/>
  <c r="S114" i="19"/>
  <c r="T114" i="19"/>
  <c r="U114" i="19"/>
  <c r="V114" i="19"/>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69" i="19"/>
  <c r="D70" i="19"/>
  <c r="D71" i="19"/>
  <c r="D72" i="19"/>
  <c r="D73" i="19"/>
  <c r="D74" i="19"/>
  <c r="D75" i="19"/>
  <c r="D76" i="19"/>
  <c r="D77" i="19"/>
  <c r="D78" i="19"/>
  <c r="D79" i="19"/>
  <c r="D80" i="19"/>
  <c r="D81" i="19"/>
  <c r="D82" i="19"/>
  <c r="G82" i="19" s="1"/>
  <c r="D83" i="19"/>
  <c r="G83" i="19" s="1"/>
  <c r="K83" i="19" s="1"/>
  <c r="R83" i="19" s="1"/>
  <c r="D84" i="19"/>
  <c r="S84" i="19" s="1"/>
  <c r="D85" i="19"/>
  <c r="D86" i="19"/>
  <c r="D87" i="19"/>
  <c r="G87" i="19" s="1"/>
  <c r="D88" i="19"/>
  <c r="G88" i="19" s="1"/>
  <c r="D89" i="19"/>
  <c r="G89" i="19" s="1"/>
  <c r="D90" i="19"/>
  <c r="G90" i="19" s="1"/>
  <c r="D91" i="19"/>
  <c r="D92" i="19"/>
  <c r="S92" i="19" s="1"/>
  <c r="D93" i="19"/>
  <c r="T93" i="19" s="1"/>
  <c r="D94" i="19"/>
  <c r="D95" i="19"/>
  <c r="G95" i="19" s="1"/>
  <c r="K95" i="19" s="1"/>
  <c r="R95" i="19" s="1"/>
  <c r="D96" i="19"/>
  <c r="S96" i="19" s="1"/>
  <c r="D97" i="19"/>
  <c r="D98" i="19"/>
  <c r="D99" i="19"/>
  <c r="D100" i="19"/>
  <c r="S100" i="19" s="1"/>
  <c r="D101" i="19"/>
  <c r="D102" i="19"/>
  <c r="G102" i="19" s="1"/>
  <c r="D103" i="19"/>
  <c r="T103" i="19" s="1"/>
  <c r="D104" i="19"/>
  <c r="G104" i="19" s="1"/>
  <c r="D105" i="19"/>
  <c r="D106" i="19"/>
  <c r="D107" i="19"/>
  <c r="S107" i="19" s="1"/>
  <c r="D108" i="19"/>
  <c r="G108" i="19" s="1"/>
  <c r="D109" i="19"/>
  <c r="S109" i="19" s="1"/>
  <c r="D110" i="19"/>
  <c r="D111" i="19"/>
  <c r="D112" i="19"/>
  <c r="S112" i="19" s="1"/>
  <c r="D113" i="19"/>
  <c r="S113" i="19" s="1"/>
  <c r="D114" i="19"/>
  <c r="G114" i="19" s="1"/>
  <c r="D115" i="19"/>
  <c r="D116" i="19"/>
  <c r="B112" i="19"/>
  <c r="C112" i="19"/>
  <c r="B113" i="19"/>
  <c r="C113" i="19"/>
  <c r="B114" i="19"/>
  <c r="C114" i="19"/>
  <c r="B115" i="19"/>
  <c r="C115" i="19"/>
  <c r="B116" i="19"/>
  <c r="C11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 i="18"/>
  <c r="B12" i="18"/>
  <c r="B13" i="18"/>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G86" i="19"/>
  <c r="G98" i="19"/>
  <c r="M98" i="19" s="1"/>
  <c r="G99" i="19"/>
  <c r="S99" i="19"/>
  <c r="T99" i="19"/>
  <c r="S103" i="19"/>
  <c r="G106" i="19"/>
  <c r="L106" i="19" s="1"/>
  <c r="G110" i="19"/>
  <c r="S110" i="19"/>
  <c r="T110" i="19"/>
  <c r="U110" i="19"/>
  <c r="G115" i="19"/>
  <c r="K115" i="19" s="1"/>
  <c r="R115" i="19" s="1"/>
  <c r="S116" i="19"/>
  <c r="G116" i="19"/>
  <c r="L116" i="19" s="1"/>
  <c r="G109" i="18"/>
  <c r="H109" i="18"/>
  <c r="I109" i="18"/>
  <c r="J109" i="18"/>
  <c r="K109" i="18"/>
  <c r="L109" i="18" s="1"/>
  <c r="M109" i="18" s="1"/>
  <c r="N109" i="18" s="1"/>
  <c r="O109" i="18" s="1"/>
  <c r="P109" i="18" s="1"/>
  <c r="Q109" i="18" s="1"/>
  <c r="R109" i="18" s="1"/>
  <c r="S109" i="18"/>
  <c r="T109" i="18"/>
  <c r="U109" i="18"/>
  <c r="V109" i="18"/>
  <c r="W109" i="18"/>
  <c r="G110" i="18"/>
  <c r="H110" i="18"/>
  <c r="I110" i="18"/>
  <c r="J110" i="18" s="1"/>
  <c r="K110" i="18" s="1"/>
  <c r="L110" i="18" s="1"/>
  <c r="M110" i="18" s="1"/>
  <c r="N110" i="18" s="1"/>
  <c r="O110" i="18" s="1"/>
  <c r="P110" i="18" s="1"/>
  <c r="Q110" i="18" s="1"/>
  <c r="R110" i="18" s="1"/>
  <c r="S110" i="18"/>
  <c r="T110" i="18"/>
  <c r="U110" i="18"/>
  <c r="V110" i="18"/>
  <c r="W110" i="18"/>
  <c r="G111" i="18"/>
  <c r="H111" i="18"/>
  <c r="I111" i="18" s="1"/>
  <c r="J111" i="18" s="1"/>
  <c r="K111" i="18" s="1"/>
  <c r="L111" i="18" s="1"/>
  <c r="M111" i="18" s="1"/>
  <c r="N111" i="18" s="1"/>
  <c r="O111" i="18" s="1"/>
  <c r="P111" i="18" s="1"/>
  <c r="Q111" i="18" s="1"/>
  <c r="R111" i="18" s="1"/>
  <c r="S111" i="18"/>
  <c r="T111" i="18"/>
  <c r="U111" i="18"/>
  <c r="V111" i="18"/>
  <c r="W111" i="18"/>
  <c r="G112" i="18"/>
  <c r="H112" i="18"/>
  <c r="I112" i="18"/>
  <c r="J112" i="18" s="1"/>
  <c r="K112" i="18" s="1"/>
  <c r="L112" i="18" s="1"/>
  <c r="M112" i="18" s="1"/>
  <c r="N112" i="18" s="1"/>
  <c r="O112" i="18" s="1"/>
  <c r="P112" i="18" s="1"/>
  <c r="Q112" i="18" s="1"/>
  <c r="R112" i="18" s="1"/>
  <c r="S112" i="18"/>
  <c r="T112" i="18"/>
  <c r="U112" i="18"/>
  <c r="V112" i="18"/>
  <c r="W112" i="18"/>
  <c r="A109" i="18"/>
  <c r="A110" i="18"/>
  <c r="A111" i="18"/>
  <c r="A112" i="18"/>
  <c r="A113" i="18"/>
  <c r="G94" i="18"/>
  <c r="H94" i="18" s="1"/>
  <c r="G93" i="18"/>
  <c r="H93" i="18" s="1"/>
  <c r="G92" i="18"/>
  <c r="H92" i="18" s="1"/>
  <c r="G91" i="18"/>
  <c r="H91" i="18" s="1"/>
  <c r="G90" i="18"/>
  <c r="H90" i="18" s="1"/>
  <c r="G89" i="18"/>
  <c r="H89" i="18" s="1"/>
  <c r="G88" i="18"/>
  <c r="H88" i="18" s="1"/>
  <c r="G87" i="18"/>
  <c r="H87" i="18" s="1"/>
  <c r="G86" i="18"/>
  <c r="H86" i="18" s="1"/>
  <c r="G85" i="18"/>
  <c r="H85" i="18" s="1"/>
  <c r="B48" i="6"/>
  <c r="A41" i="15" s="1"/>
  <c r="A143" i="12"/>
  <c r="B32" i="25"/>
  <c r="B31" i="25"/>
  <c r="B30" i="25"/>
  <c r="B29" i="25"/>
  <c r="B28" i="25"/>
  <c r="B27" i="25"/>
  <c r="B26" i="25"/>
  <c r="B25" i="25"/>
  <c r="B24" i="25"/>
  <c r="B41" i="11" l="1"/>
  <c r="A135" i="12" s="1"/>
  <c r="M153" i="12" s="1"/>
  <c r="U99" i="19"/>
  <c r="N113" i="19"/>
  <c r="K114" i="19"/>
  <c r="R114" i="19" s="1"/>
  <c r="L114" i="19"/>
  <c r="M114" i="19"/>
  <c r="G103" i="19"/>
  <c r="S101" i="19"/>
  <c r="V113" i="19"/>
  <c r="G100" i="19"/>
  <c r="G107" i="19"/>
  <c r="K107" i="19" s="1"/>
  <c r="R107" i="19" s="1"/>
  <c r="T113" i="19"/>
  <c r="U113" i="19" s="1"/>
  <c r="G96" i="19"/>
  <c r="G84" i="19"/>
  <c r="K84" i="19" s="1"/>
  <c r="R84" i="19" s="1"/>
  <c r="M102" i="19"/>
  <c r="K102" i="19"/>
  <c r="R102" i="19" s="1"/>
  <c r="L102" i="19"/>
  <c r="M108" i="19"/>
  <c r="K108" i="19"/>
  <c r="R108" i="19" s="1"/>
  <c r="U103" i="19"/>
  <c r="G94" i="19"/>
  <c r="K94" i="19" s="1"/>
  <c r="R94" i="19" s="1"/>
  <c r="G109" i="19"/>
  <c r="M109" i="19" s="1"/>
  <c r="G105" i="19"/>
  <c r="S104" i="19"/>
  <c r="S115" i="19"/>
  <c r="S102" i="19"/>
  <c r="U102" i="19" s="1"/>
  <c r="G92" i="19"/>
  <c r="T101" i="19"/>
  <c r="U101" i="19" s="1"/>
  <c r="S108" i="19"/>
  <c r="T115" i="19"/>
  <c r="M115" i="19"/>
  <c r="T116" i="19"/>
  <c r="T111" i="19"/>
  <c r="S111" i="19"/>
  <c r="U111" i="19" s="1"/>
  <c r="M116" i="19"/>
  <c r="N116" i="19" s="1"/>
  <c r="L98" i="19"/>
  <c r="N98" i="19" s="1"/>
  <c r="K116" i="19"/>
  <c r="R116" i="19" s="1"/>
  <c r="K98" i="19"/>
  <c r="R98" i="19" s="1"/>
  <c r="K82" i="19"/>
  <c r="R82" i="19" s="1"/>
  <c r="L82" i="19"/>
  <c r="M82" i="19"/>
  <c r="L104" i="19"/>
  <c r="M104" i="19"/>
  <c r="K104" i="19"/>
  <c r="R104" i="19" s="1"/>
  <c r="K90" i="19"/>
  <c r="R90" i="19" s="1"/>
  <c r="L90" i="19"/>
  <c r="M90" i="19"/>
  <c r="K110" i="19"/>
  <c r="R110" i="19" s="1"/>
  <c r="L110" i="19"/>
  <c r="M110" i="19"/>
  <c r="T82" i="19"/>
  <c r="T83" i="19"/>
  <c r="S82" i="19"/>
  <c r="L115" i="19"/>
  <c r="S83" i="19"/>
  <c r="G112" i="19"/>
  <c r="T97" i="19"/>
  <c r="S97" i="19"/>
  <c r="U97" i="19" s="1"/>
  <c r="T84" i="19"/>
  <c r="U84" i="19" s="1"/>
  <c r="T106" i="19"/>
  <c r="T107" i="19"/>
  <c r="U107" i="19" s="1"/>
  <c r="S106" i="19"/>
  <c r="T102" i="19"/>
  <c r="M95" i="19"/>
  <c r="G93" i="19"/>
  <c r="K93" i="19" s="1"/>
  <c r="R93" i="19" s="1"/>
  <c r="M83" i="19"/>
  <c r="L95" i="19"/>
  <c r="N95" i="19" s="1"/>
  <c r="L83" i="19"/>
  <c r="N83" i="19" s="1"/>
  <c r="T108" i="19"/>
  <c r="T112" i="19"/>
  <c r="U112" i="19" s="1"/>
  <c r="T109" i="19"/>
  <c r="U109" i="19" s="1"/>
  <c r="S98" i="19"/>
  <c r="K106" i="19"/>
  <c r="R106" i="19" s="1"/>
  <c r="T92" i="19"/>
  <c r="U92" i="19" s="1"/>
  <c r="L84" i="19"/>
  <c r="U116" i="19"/>
  <c r="T100" i="19"/>
  <c r="U100" i="19" s="1"/>
  <c r="M106" i="19"/>
  <c r="N106" i="19" s="1"/>
  <c r="T98" i="19"/>
  <c r="L108" i="19"/>
  <c r="T104" i="19"/>
  <c r="G97" i="19"/>
  <c r="M88" i="19"/>
  <c r="L88" i="19"/>
  <c r="K88" i="19"/>
  <c r="R88" i="19" s="1"/>
  <c r="G91" i="19"/>
  <c r="T91" i="19"/>
  <c r="S91" i="19"/>
  <c r="U91" i="19" s="1"/>
  <c r="K87" i="19"/>
  <c r="R87" i="19" s="1"/>
  <c r="M87" i="19"/>
  <c r="L87" i="19"/>
  <c r="T87" i="19"/>
  <c r="S87" i="19"/>
  <c r="U87" i="19" s="1"/>
  <c r="K89" i="19"/>
  <c r="R89" i="19" s="1"/>
  <c r="L89" i="19"/>
  <c r="M89" i="19"/>
  <c r="S85" i="19"/>
  <c r="T85" i="19"/>
  <c r="G85" i="19"/>
  <c r="S88" i="19"/>
  <c r="T88" i="19"/>
  <c r="S90" i="19"/>
  <c r="T90" i="19"/>
  <c r="L86" i="19"/>
  <c r="K86" i="19"/>
  <c r="R86" i="19" s="1"/>
  <c r="M86" i="19"/>
  <c r="S86" i="19"/>
  <c r="T86" i="19"/>
  <c r="T89" i="19"/>
  <c r="S89" i="19"/>
  <c r="G101" i="19"/>
  <c r="S93" i="19"/>
  <c r="U93" i="19" s="1"/>
  <c r="S105" i="19"/>
  <c r="T105" i="19"/>
  <c r="G111" i="19"/>
  <c r="S95" i="19"/>
  <c r="T95" i="19"/>
  <c r="K99" i="19"/>
  <c r="R99" i="19" s="1"/>
  <c r="L99" i="19"/>
  <c r="M99" i="19"/>
  <c r="T94" i="19"/>
  <c r="S94" i="19"/>
  <c r="U94" i="19" s="1"/>
  <c r="T96" i="19"/>
  <c r="U96" i="19" s="1"/>
  <c r="B23" i="25"/>
  <c r="B22" i="25"/>
  <c r="B21" i="25"/>
  <c r="B20" i="25"/>
  <c r="B19" i="25"/>
  <c r="B18" i="25"/>
  <c r="B17" i="25"/>
  <c r="B16" i="25"/>
  <c r="B15" i="25"/>
  <c r="B14" i="25"/>
  <c r="D88" i="7"/>
  <c r="D91" i="7"/>
  <c r="S121" i="12"/>
  <c r="T95" i="12"/>
  <c r="T120" i="12" s="1"/>
  <c r="T188" i="12" s="1"/>
  <c r="U65" i="12"/>
  <c r="V65" i="12" s="1"/>
  <c r="N115" i="19" l="1"/>
  <c r="X113" i="19"/>
  <c r="N102" i="19"/>
  <c r="K100" i="19"/>
  <c r="R100" i="19" s="1"/>
  <c r="L100" i="19"/>
  <c r="M100" i="19"/>
  <c r="L107" i="19"/>
  <c r="L109" i="19"/>
  <c r="N109" i="19" s="1"/>
  <c r="K103" i="19"/>
  <c r="R103" i="19" s="1"/>
  <c r="L103" i="19"/>
  <c r="M103" i="19"/>
  <c r="K109" i="19"/>
  <c r="R109" i="19" s="1"/>
  <c r="U98" i="19"/>
  <c r="U115" i="19"/>
  <c r="M107" i="19"/>
  <c r="N114" i="19"/>
  <c r="X114" i="19" s="1"/>
  <c r="U104" i="19"/>
  <c r="M96" i="19"/>
  <c r="L96" i="19"/>
  <c r="K96" i="19"/>
  <c r="R96" i="19" s="1"/>
  <c r="M93" i="19"/>
  <c r="N87" i="19"/>
  <c r="M84" i="19"/>
  <c r="N108" i="19"/>
  <c r="M92" i="19"/>
  <c r="K92" i="19"/>
  <c r="R92" i="19" s="1"/>
  <c r="L92" i="19"/>
  <c r="N92" i="19" s="1"/>
  <c r="U108" i="19"/>
  <c r="N84" i="19"/>
  <c r="L105" i="19"/>
  <c r="M105" i="19"/>
  <c r="K105" i="19"/>
  <c r="R105" i="19" s="1"/>
  <c r="M94" i="19"/>
  <c r="L94" i="19"/>
  <c r="U89" i="19"/>
  <c r="U82" i="19"/>
  <c r="N88" i="19"/>
  <c r="N90" i="19"/>
  <c r="K97" i="19"/>
  <c r="R97" i="19" s="1"/>
  <c r="M97" i="19"/>
  <c r="L97" i="19"/>
  <c r="N104" i="19"/>
  <c r="U90" i="19"/>
  <c r="L93" i="19"/>
  <c r="N110" i="19"/>
  <c r="U106" i="19"/>
  <c r="M112" i="19"/>
  <c r="K112" i="19"/>
  <c r="R112" i="19" s="1"/>
  <c r="L112" i="19"/>
  <c r="U83" i="19"/>
  <c r="N82" i="19"/>
  <c r="K85" i="19"/>
  <c r="R85" i="19" s="1"/>
  <c r="M85" i="19"/>
  <c r="L85" i="19"/>
  <c r="L111" i="19"/>
  <c r="M111" i="19"/>
  <c r="K111" i="19"/>
  <c r="R111" i="19" s="1"/>
  <c r="M91" i="19"/>
  <c r="K91" i="19"/>
  <c r="R91" i="19" s="1"/>
  <c r="L91" i="19"/>
  <c r="N99" i="19"/>
  <c r="N86" i="19"/>
  <c r="U88" i="19"/>
  <c r="U85" i="19"/>
  <c r="U105" i="19"/>
  <c r="U86" i="19"/>
  <c r="K101" i="19"/>
  <c r="R101" i="19" s="1"/>
  <c r="L101" i="19"/>
  <c r="M101" i="19"/>
  <c r="N89" i="19"/>
  <c r="U95" i="19"/>
  <c r="U95" i="12"/>
  <c r="U120" i="12" s="1"/>
  <c r="U188" i="12" s="1"/>
  <c r="W65" i="12"/>
  <c r="V95" i="12"/>
  <c r="V120" i="12" s="1"/>
  <c r="V188" i="12" s="1"/>
  <c r="A40" i="12"/>
  <c r="B5" i="33"/>
  <c r="A5" i="33"/>
  <c r="D8" i="33"/>
  <c r="D9" i="33"/>
  <c r="D10" i="33"/>
  <c r="D7" i="33"/>
  <c r="E7" i="33" s="1"/>
  <c r="F7" i="33" s="1"/>
  <c r="G7" i="33" s="1"/>
  <c r="H7" i="33" s="1"/>
  <c r="I7" i="33" s="1"/>
  <c r="J7" i="33" s="1"/>
  <c r="K7" i="33" s="1"/>
  <c r="L7" i="33" s="1"/>
  <c r="M7" i="33" s="1"/>
  <c r="N7" i="33" s="1"/>
  <c r="O7" i="33" s="1"/>
  <c r="P7" i="33" s="1"/>
  <c r="Q7" i="33" s="1"/>
  <c r="R7" i="33" s="1"/>
  <c r="S7" i="33" s="1"/>
  <c r="T7" i="33" s="1"/>
  <c r="U7" i="33" s="1"/>
  <c r="V7" i="33" s="1"/>
  <c r="W7" i="33" s="1"/>
  <c r="X7" i="33" s="1"/>
  <c r="Y7" i="33" s="1"/>
  <c r="E8" i="33"/>
  <c r="F8" i="33" s="1"/>
  <c r="G8" i="33" s="1"/>
  <c r="H8" i="33" s="1"/>
  <c r="I8" i="33" s="1"/>
  <c r="J8" i="33" s="1"/>
  <c r="K8" i="33" s="1"/>
  <c r="L8" i="33" s="1"/>
  <c r="M8" i="33" s="1"/>
  <c r="N8" i="33" s="1"/>
  <c r="O8" i="33" s="1"/>
  <c r="P8" i="33" s="1"/>
  <c r="Q8" i="33" s="1"/>
  <c r="R8" i="33" s="1"/>
  <c r="S8" i="33" s="1"/>
  <c r="T8" i="33" s="1"/>
  <c r="U8" i="33" s="1"/>
  <c r="V8" i="33" s="1"/>
  <c r="W8" i="33" s="1"/>
  <c r="X8" i="33" s="1"/>
  <c r="Y8" i="33" s="1"/>
  <c r="Z8" i="33" s="1"/>
  <c r="E9" i="33"/>
  <c r="F9" i="33" s="1"/>
  <c r="G9" i="33" s="1"/>
  <c r="H9" i="33" s="1"/>
  <c r="I9" i="33" s="1"/>
  <c r="J9" i="33" s="1"/>
  <c r="K9" i="33" s="1"/>
  <c r="L9" i="33" s="1"/>
  <c r="M9" i="33" s="1"/>
  <c r="N9" i="33" s="1"/>
  <c r="O9" i="33" s="1"/>
  <c r="P9" i="33" s="1"/>
  <c r="Q9" i="33" s="1"/>
  <c r="R9" i="33" s="1"/>
  <c r="S9" i="33" s="1"/>
  <c r="T9" i="33" s="1"/>
  <c r="U9" i="33" s="1"/>
  <c r="V9" i="33" s="1"/>
  <c r="W9" i="33" s="1"/>
  <c r="X9" i="33" s="1"/>
  <c r="Y9" i="33" s="1"/>
  <c r="Z9" i="33" s="1"/>
  <c r="E10" i="33"/>
  <c r="F10" i="33" s="1"/>
  <c r="G10" i="33" s="1"/>
  <c r="H10" i="33" s="1"/>
  <c r="I10" i="33" s="1"/>
  <c r="J10" i="33" s="1"/>
  <c r="K10" i="33" s="1"/>
  <c r="L10" i="33" s="1"/>
  <c r="M10" i="33" s="1"/>
  <c r="N10" i="33" s="1"/>
  <c r="O10" i="33" s="1"/>
  <c r="P10" i="33" s="1"/>
  <c r="Q10" i="33" s="1"/>
  <c r="R10" i="33" s="1"/>
  <c r="S10" i="33" s="1"/>
  <c r="T10" i="33" s="1"/>
  <c r="U10" i="33" s="1"/>
  <c r="V10" i="33" s="1"/>
  <c r="W10" i="33" s="1"/>
  <c r="X10" i="33" s="1"/>
  <c r="Y10" i="33" s="1"/>
  <c r="Z10" i="33" s="1"/>
  <c r="A26" i="31"/>
  <c r="A17" i="31"/>
  <c r="A18" i="31"/>
  <c r="A19" i="31"/>
  <c r="C17" i="9"/>
  <c r="O7" i="7"/>
  <c r="A6" i="33"/>
  <c r="A4" i="33"/>
  <c r="B6" i="33"/>
  <c r="B4" i="33"/>
  <c r="C20" i="29"/>
  <c r="B2" i="29"/>
  <c r="B6" i="19"/>
  <c r="G5" i="20"/>
  <c r="H3" i="18"/>
  <c r="A10" i="32"/>
  <c r="A11" i="32" s="1"/>
  <c r="A12" i="32" s="1"/>
  <c r="A13" i="32" s="1"/>
  <c r="A14" i="32" s="1"/>
  <c r="A15" i="32" s="1"/>
  <c r="A16" i="32" s="1"/>
  <c r="A17" i="32" s="1"/>
  <c r="A18" i="32" s="1"/>
  <c r="A19" i="32" s="1"/>
  <c r="A20" i="32" s="1"/>
  <c r="A21" i="32" s="1"/>
  <c r="E6" i="32"/>
  <c r="F8" i="32"/>
  <c r="G8" i="32"/>
  <c r="H8" i="32"/>
  <c r="I8" i="32"/>
  <c r="J8" i="32"/>
  <c r="K8" i="32"/>
  <c r="L8" i="32"/>
  <c r="M8" i="32"/>
  <c r="N8" i="32"/>
  <c r="O8" i="32"/>
  <c r="P8" i="32"/>
  <c r="Q8" i="32"/>
  <c r="R8" i="32"/>
  <c r="S8" i="32"/>
  <c r="T8" i="32"/>
  <c r="U8" i="32"/>
  <c r="V8" i="32"/>
  <c r="W8" i="32"/>
  <c r="E8" i="32"/>
  <c r="D5" i="7"/>
  <c r="L176" i="12" s="1"/>
  <c r="D12" i="7"/>
  <c r="D12" i="32"/>
  <c r="D11" i="7"/>
  <c r="D100" i="7"/>
  <c r="D101" i="7"/>
  <c r="D102" i="7"/>
  <c r="D17" i="32" s="1"/>
  <c r="D103" i="7"/>
  <c r="D104" i="7"/>
  <c r="D99" i="7"/>
  <c r="D98" i="7"/>
  <c r="D97" i="7"/>
  <c r="D65" i="7"/>
  <c r="D66" i="7"/>
  <c r="D67" i="7"/>
  <c r="D68" i="7"/>
  <c r="D77" i="7"/>
  <c r="D78" i="7"/>
  <c r="D79" i="7"/>
  <c r="D80" i="7"/>
  <c r="D81" i="7"/>
  <c r="D82" i="7"/>
  <c r="D83" i="7"/>
  <c r="D19" i="32"/>
  <c r="D85" i="7"/>
  <c r="D86" i="7"/>
  <c r="D89" i="7"/>
  <c r="D90" i="7"/>
  <c r="D92" i="7"/>
  <c r="D93" i="7"/>
  <c r="D94" i="7"/>
  <c r="D95" i="7"/>
  <c r="D96" i="7"/>
  <c r="D62" i="7"/>
  <c r="D63" i="7"/>
  <c r="D64" i="7"/>
  <c r="D61" i="7"/>
  <c r="D47" i="7"/>
  <c r="D48" i="7"/>
  <c r="I60" i="7"/>
  <c r="I17" i="7"/>
  <c r="D17" i="7" s="1"/>
  <c r="I18" i="7"/>
  <c r="D18" i="7" s="1"/>
  <c r="I19" i="7"/>
  <c r="D19" i="7" s="1"/>
  <c r="I20" i="7"/>
  <c r="D20" i="7" s="1"/>
  <c r="I21" i="7"/>
  <c r="D21" i="7" s="1"/>
  <c r="I22" i="7"/>
  <c r="D22" i="7" s="1"/>
  <c r="I23" i="7"/>
  <c r="D23" i="7" s="1"/>
  <c r="I24" i="7"/>
  <c r="D24" i="7" s="1"/>
  <c r="I25" i="7"/>
  <c r="D25" i="7" s="1"/>
  <c r="I26" i="7"/>
  <c r="D26" i="7" s="1"/>
  <c r="I27" i="7"/>
  <c r="D27" i="7" s="1"/>
  <c r="I28" i="7"/>
  <c r="D28" i="7" s="1"/>
  <c r="I29" i="7"/>
  <c r="D29" i="7" s="1"/>
  <c r="I30" i="7"/>
  <c r="D30" i="7" s="1"/>
  <c r="I31" i="7"/>
  <c r="D31" i="7" s="1"/>
  <c r="I32" i="7"/>
  <c r="D32" i="7" s="1"/>
  <c r="I33" i="7"/>
  <c r="D33" i="7" s="1"/>
  <c r="I34" i="7"/>
  <c r="D34" i="7" s="1"/>
  <c r="I35" i="7"/>
  <c r="D35" i="7" s="1"/>
  <c r="I36" i="7"/>
  <c r="D36" i="7" s="1"/>
  <c r="I37" i="7"/>
  <c r="D37" i="7" s="1"/>
  <c r="I38" i="7"/>
  <c r="D38" i="7" s="1"/>
  <c r="I39" i="7"/>
  <c r="D39" i="7" s="1"/>
  <c r="I40" i="7"/>
  <c r="D40" i="7" s="1"/>
  <c r="I41" i="7"/>
  <c r="D41" i="7" s="1"/>
  <c r="I42" i="7"/>
  <c r="D42" i="7" s="1"/>
  <c r="I43" i="7"/>
  <c r="D43" i="7" s="1"/>
  <c r="I44" i="7"/>
  <c r="D44" i="7" s="1"/>
  <c r="I45" i="7"/>
  <c r="D45" i="7" s="1"/>
  <c r="D7" i="7" s="1"/>
  <c r="L178" i="12" s="1"/>
  <c r="I16" i="7"/>
  <c r="D16" i="7" s="1"/>
  <c r="D1" i="7" s="1"/>
  <c r="I10" i="7"/>
  <c r="D10" i="7" s="1"/>
  <c r="E136" i="7"/>
  <c r="D6" i="10"/>
  <c r="G6" i="1" a="1"/>
  <c r="G6" i="1" s="1"/>
  <c r="E4" i="8"/>
  <c r="Q4" i="8" s="1"/>
  <c r="AC4" i="8" s="1"/>
  <c r="O77" i="7"/>
  <c r="O83" i="7"/>
  <c r="D87" i="7" s="1"/>
  <c r="D18" i="32" s="1"/>
  <c r="B10" i="2"/>
  <c r="B21" i="6" s="1"/>
  <c r="C30" i="14"/>
  <c r="C51" i="14"/>
  <c r="A64" i="14"/>
  <c r="C35" i="14"/>
  <c r="D10" i="2" s="1"/>
  <c r="C34" i="14"/>
  <c r="C36" i="14"/>
  <c r="C37" i="14"/>
  <c r="C38" i="14"/>
  <c r="C39" i="14"/>
  <c r="C40" i="14"/>
  <c r="C33" i="14"/>
  <c r="A6" i="31"/>
  <c r="A7" i="31" s="1"/>
  <c r="A8" i="31" s="1"/>
  <c r="A9" i="31" s="1"/>
  <c r="A10" i="31" s="1"/>
  <c r="A11" i="31" s="1"/>
  <c r="A12" i="31" s="1"/>
  <c r="A13" i="31" s="1"/>
  <c r="A14" i="31" s="1"/>
  <c r="A15" i="31" s="1"/>
  <c r="A16" i="31" s="1"/>
  <c r="A20" i="31" s="1"/>
  <c r="A21" i="31" s="1"/>
  <c r="A22" i="31" s="1"/>
  <c r="A23" i="31" s="1"/>
  <c r="A24" i="31" s="1"/>
  <c r="A25" i="31" s="1"/>
  <c r="V6" i="18"/>
  <c r="W6" i="18"/>
  <c r="V7" i="18"/>
  <c r="W7" i="18"/>
  <c r="V8" i="18"/>
  <c r="W8" i="18"/>
  <c r="V9" i="18"/>
  <c r="W9" i="18"/>
  <c r="V10" i="18"/>
  <c r="W10" i="18"/>
  <c r="V11" i="18"/>
  <c r="W11" i="18"/>
  <c r="V12" i="18"/>
  <c r="W12" i="18"/>
  <c r="V13" i="18"/>
  <c r="W13" i="18"/>
  <c r="V14" i="18"/>
  <c r="W14" i="18"/>
  <c r="V15" i="18"/>
  <c r="W15" i="18"/>
  <c r="V16" i="18"/>
  <c r="W16" i="18"/>
  <c r="V17" i="18"/>
  <c r="W17" i="18"/>
  <c r="V18" i="18"/>
  <c r="W18" i="18"/>
  <c r="V19" i="18"/>
  <c r="W19" i="18"/>
  <c r="V20" i="18"/>
  <c r="W20" i="18"/>
  <c r="V21" i="18"/>
  <c r="W21" i="18"/>
  <c r="V22" i="18"/>
  <c r="W22" i="18"/>
  <c r="V23" i="18"/>
  <c r="W23" i="18"/>
  <c r="V24" i="18"/>
  <c r="W24" i="18"/>
  <c r="V25" i="18"/>
  <c r="W25" i="18"/>
  <c r="V26" i="18"/>
  <c r="W26" i="18"/>
  <c r="V27" i="18"/>
  <c r="W27" i="18"/>
  <c r="V28" i="18"/>
  <c r="W28" i="18"/>
  <c r="V29" i="18"/>
  <c r="W29" i="18"/>
  <c r="V30" i="18"/>
  <c r="W30" i="18"/>
  <c r="V31" i="18"/>
  <c r="W31" i="18"/>
  <c r="V32" i="18"/>
  <c r="W32" i="18"/>
  <c r="V33" i="18"/>
  <c r="W33" i="18"/>
  <c r="V34" i="18"/>
  <c r="W34" i="18"/>
  <c r="V35" i="18"/>
  <c r="W35" i="18"/>
  <c r="V36" i="18"/>
  <c r="W36" i="18"/>
  <c r="V37" i="18"/>
  <c r="W37" i="18"/>
  <c r="V38" i="18"/>
  <c r="W38" i="18"/>
  <c r="V39" i="18"/>
  <c r="W39" i="18"/>
  <c r="V40" i="18"/>
  <c r="W40" i="18"/>
  <c r="V41" i="18"/>
  <c r="W41" i="18"/>
  <c r="V42" i="18"/>
  <c r="W42" i="18"/>
  <c r="V43" i="18"/>
  <c r="W43" i="18"/>
  <c r="V44" i="18"/>
  <c r="W44" i="18"/>
  <c r="V45" i="18"/>
  <c r="W45" i="18"/>
  <c r="V46" i="18"/>
  <c r="W46" i="18"/>
  <c r="V47" i="18"/>
  <c r="W47" i="18"/>
  <c r="V48" i="18"/>
  <c r="W48" i="18"/>
  <c r="V49" i="18"/>
  <c r="W49" i="18"/>
  <c r="V50" i="18"/>
  <c r="W50" i="18"/>
  <c r="V51" i="18"/>
  <c r="W51" i="18"/>
  <c r="V52" i="18"/>
  <c r="W52" i="18"/>
  <c r="V53" i="18"/>
  <c r="W53" i="18"/>
  <c r="V54" i="18"/>
  <c r="W54" i="18"/>
  <c r="V55" i="18"/>
  <c r="W55" i="18"/>
  <c r="V56" i="18"/>
  <c r="W56" i="18"/>
  <c r="V57" i="18"/>
  <c r="W57" i="18"/>
  <c r="V58" i="18"/>
  <c r="W58" i="18"/>
  <c r="V59" i="18"/>
  <c r="W59" i="18"/>
  <c r="V60" i="18"/>
  <c r="W60" i="18"/>
  <c r="V61" i="18"/>
  <c r="W61" i="18"/>
  <c r="V62" i="18"/>
  <c r="W62" i="18"/>
  <c r="V63" i="18"/>
  <c r="W63" i="18"/>
  <c r="V64" i="18"/>
  <c r="W64" i="18"/>
  <c r="V65" i="18"/>
  <c r="W65" i="18"/>
  <c r="V66" i="18"/>
  <c r="W66" i="18"/>
  <c r="V67" i="18"/>
  <c r="W67" i="18"/>
  <c r="V68" i="18"/>
  <c r="W68" i="18"/>
  <c r="V69" i="18"/>
  <c r="W69" i="18"/>
  <c r="V70" i="18"/>
  <c r="W70" i="18"/>
  <c r="V71" i="18"/>
  <c r="W71" i="18"/>
  <c r="V72" i="18"/>
  <c r="W72" i="18"/>
  <c r="V73" i="18"/>
  <c r="W73" i="18"/>
  <c r="V74" i="18"/>
  <c r="W74" i="18"/>
  <c r="V75" i="18"/>
  <c r="W75" i="18"/>
  <c r="V76" i="18"/>
  <c r="W76" i="18"/>
  <c r="V77" i="18"/>
  <c r="W77" i="18"/>
  <c r="V78" i="18"/>
  <c r="W78" i="18"/>
  <c r="V79" i="18"/>
  <c r="W79" i="18"/>
  <c r="V80" i="18"/>
  <c r="W80" i="18"/>
  <c r="V81" i="18"/>
  <c r="W81" i="18"/>
  <c r="V82" i="18"/>
  <c r="W82" i="18"/>
  <c r="V83" i="18"/>
  <c r="W83" i="18"/>
  <c r="V84" i="18"/>
  <c r="W84" i="18"/>
  <c r="V85" i="18"/>
  <c r="W85" i="18"/>
  <c r="V86" i="18"/>
  <c r="W86" i="18"/>
  <c r="V87" i="18"/>
  <c r="W87" i="18"/>
  <c r="V88" i="18"/>
  <c r="W88" i="18"/>
  <c r="V89" i="18"/>
  <c r="W89" i="18"/>
  <c r="V90" i="18"/>
  <c r="W90" i="18"/>
  <c r="V91" i="18"/>
  <c r="W91" i="18"/>
  <c r="V92" i="18"/>
  <c r="W92" i="18"/>
  <c r="V93" i="18"/>
  <c r="W93" i="18"/>
  <c r="V94" i="18"/>
  <c r="W94" i="18"/>
  <c r="V95" i="18"/>
  <c r="W95" i="18"/>
  <c r="V96" i="18"/>
  <c r="W96" i="18"/>
  <c r="V97" i="18"/>
  <c r="W97" i="18"/>
  <c r="V98" i="18"/>
  <c r="W98" i="18"/>
  <c r="V99" i="18"/>
  <c r="W99" i="18"/>
  <c r="V100" i="18"/>
  <c r="W100" i="18"/>
  <c r="V101" i="18"/>
  <c r="W101" i="18"/>
  <c r="V102" i="18"/>
  <c r="W102" i="18"/>
  <c r="V103" i="18"/>
  <c r="W103" i="18"/>
  <c r="V104" i="18"/>
  <c r="W104" i="18"/>
  <c r="V105" i="18"/>
  <c r="W105" i="18"/>
  <c r="V106" i="18"/>
  <c r="W106" i="18"/>
  <c r="V107" i="18"/>
  <c r="W107" i="18"/>
  <c r="V108" i="18"/>
  <c r="W108" i="18"/>
  <c r="V113" i="18"/>
  <c r="W113" i="18"/>
  <c r="V114" i="18"/>
  <c r="W114" i="18"/>
  <c r="V5" i="18"/>
  <c r="W5" i="18"/>
  <c r="W4" i="18"/>
  <c r="V4" i="18"/>
  <c r="A10" i="18"/>
  <c r="G10" i="18"/>
  <c r="H10" i="18" s="1"/>
  <c r="S10" i="18"/>
  <c r="T10" i="18"/>
  <c r="U10" i="18"/>
  <c r="A11" i="18"/>
  <c r="G11" i="18"/>
  <c r="H11" i="18" s="1"/>
  <c r="S11" i="18"/>
  <c r="T11" i="18"/>
  <c r="U11" i="18"/>
  <c r="A34" i="18"/>
  <c r="G34" i="18"/>
  <c r="H34" i="18" s="1"/>
  <c r="S34" i="18"/>
  <c r="T34" i="18"/>
  <c r="U34" i="18"/>
  <c r="A51" i="18"/>
  <c r="G51" i="18"/>
  <c r="H51" i="18" s="1"/>
  <c r="S51" i="18"/>
  <c r="T51" i="18"/>
  <c r="U51" i="18"/>
  <c r="R144" i="18"/>
  <c r="A145" i="18"/>
  <c r="A146" i="18"/>
  <c r="A147" i="18"/>
  <c r="A144" i="18"/>
  <c r="A29" i="18"/>
  <c r="G29" i="18"/>
  <c r="H29" i="18" s="1"/>
  <c r="S29" i="18"/>
  <c r="T29" i="18"/>
  <c r="U29" i="18"/>
  <c r="A157" i="18"/>
  <c r="R157" i="18"/>
  <c r="T5" i="18"/>
  <c r="T6" i="18"/>
  <c r="T7" i="18"/>
  <c r="T8" i="18"/>
  <c r="T9" i="18"/>
  <c r="T12" i="18"/>
  <c r="T13" i="18"/>
  <c r="T14" i="18"/>
  <c r="T15" i="18"/>
  <c r="T16" i="18"/>
  <c r="T17" i="18"/>
  <c r="T18" i="18"/>
  <c r="T19" i="18"/>
  <c r="T20" i="18"/>
  <c r="T21" i="18"/>
  <c r="T22" i="18"/>
  <c r="T23" i="18"/>
  <c r="T24" i="18"/>
  <c r="T25" i="18"/>
  <c r="T26" i="18"/>
  <c r="T27" i="18"/>
  <c r="T28" i="18"/>
  <c r="T30" i="18"/>
  <c r="T31" i="18"/>
  <c r="T32" i="18"/>
  <c r="T33" i="18"/>
  <c r="T35" i="18"/>
  <c r="T36" i="18"/>
  <c r="T37" i="18"/>
  <c r="T38" i="18"/>
  <c r="T39" i="18"/>
  <c r="T40" i="18"/>
  <c r="T41" i="18"/>
  <c r="T42" i="18"/>
  <c r="T43" i="18"/>
  <c r="T44" i="18"/>
  <c r="T45" i="18"/>
  <c r="T46" i="18"/>
  <c r="T47" i="18"/>
  <c r="T48" i="18"/>
  <c r="T49" i="18"/>
  <c r="T50" i="18"/>
  <c r="T52" i="18"/>
  <c r="T53" i="18"/>
  <c r="T54" i="18"/>
  <c r="T55" i="18"/>
  <c r="T56" i="18"/>
  <c r="T57" i="18"/>
  <c r="T58" i="18"/>
  <c r="T59" i="18"/>
  <c r="T60" i="18"/>
  <c r="T61" i="18"/>
  <c r="T62" i="18"/>
  <c r="T63" i="18"/>
  <c r="T64" i="18"/>
  <c r="T65" i="18"/>
  <c r="T66" i="18"/>
  <c r="T67" i="18"/>
  <c r="T68" i="18"/>
  <c r="T69" i="18"/>
  <c r="T70" i="18"/>
  <c r="T71" i="18"/>
  <c r="T72" i="18"/>
  <c r="T73" i="18"/>
  <c r="T74" i="18"/>
  <c r="T75" i="18"/>
  <c r="T76" i="18"/>
  <c r="T77" i="18"/>
  <c r="T78" i="18"/>
  <c r="T79" i="18"/>
  <c r="T80" i="18"/>
  <c r="T81" i="18"/>
  <c r="T82" i="18"/>
  <c r="T83" i="18"/>
  <c r="T84" i="18"/>
  <c r="T85" i="18"/>
  <c r="T86" i="18"/>
  <c r="T87" i="18"/>
  <c r="T88" i="18"/>
  <c r="T89" i="18"/>
  <c r="T90" i="18"/>
  <c r="T91" i="18"/>
  <c r="T92" i="18"/>
  <c r="T93" i="18"/>
  <c r="T94" i="18"/>
  <c r="T95" i="18"/>
  <c r="T96" i="18"/>
  <c r="T97" i="18"/>
  <c r="T98" i="18"/>
  <c r="T99" i="18"/>
  <c r="T100" i="18"/>
  <c r="T101" i="18"/>
  <c r="T102" i="18"/>
  <c r="T103" i="18"/>
  <c r="T104" i="18"/>
  <c r="T105" i="18"/>
  <c r="T106" i="18"/>
  <c r="T107" i="18"/>
  <c r="T108" i="18"/>
  <c r="T113" i="18"/>
  <c r="T114" i="18"/>
  <c r="T4" i="18"/>
  <c r="U5" i="18"/>
  <c r="U6" i="18"/>
  <c r="U7" i="18"/>
  <c r="U8" i="18"/>
  <c r="U9" i="18"/>
  <c r="U12" i="18"/>
  <c r="U13" i="18"/>
  <c r="U14" i="18"/>
  <c r="U15" i="18"/>
  <c r="U16" i="18"/>
  <c r="U17" i="18"/>
  <c r="U18" i="18"/>
  <c r="U19" i="18"/>
  <c r="U20" i="18"/>
  <c r="U21" i="18"/>
  <c r="U22" i="18"/>
  <c r="U23" i="18"/>
  <c r="U24" i="18"/>
  <c r="U25" i="18"/>
  <c r="U26" i="18"/>
  <c r="U27" i="18"/>
  <c r="U28" i="18"/>
  <c r="U30" i="18"/>
  <c r="U31" i="18"/>
  <c r="U32" i="18"/>
  <c r="U33" i="18"/>
  <c r="U35" i="18"/>
  <c r="U36" i="18"/>
  <c r="U37" i="18"/>
  <c r="U38" i="18"/>
  <c r="U39" i="18"/>
  <c r="U40" i="18"/>
  <c r="U41" i="18"/>
  <c r="U42" i="18"/>
  <c r="U43" i="18"/>
  <c r="U44" i="18"/>
  <c r="U45" i="18"/>
  <c r="U46" i="18"/>
  <c r="U47" i="18"/>
  <c r="U48" i="18"/>
  <c r="U49" i="18"/>
  <c r="U50" i="18"/>
  <c r="U52" i="18"/>
  <c r="U53" i="18"/>
  <c r="U54" i="18"/>
  <c r="U55" i="18"/>
  <c r="U56" i="18"/>
  <c r="U57" i="18"/>
  <c r="U58" i="18"/>
  <c r="U59" i="18"/>
  <c r="U60" i="18"/>
  <c r="U61" i="18"/>
  <c r="U62" i="18"/>
  <c r="U63" i="18"/>
  <c r="U64" i="18"/>
  <c r="U65" i="18"/>
  <c r="U66" i="18"/>
  <c r="U67" i="18"/>
  <c r="U68" i="18"/>
  <c r="U69" i="18"/>
  <c r="U70" i="18"/>
  <c r="U71" i="18"/>
  <c r="U72" i="18"/>
  <c r="U73" i="18"/>
  <c r="U74" i="18"/>
  <c r="U75" i="18"/>
  <c r="U76" i="18"/>
  <c r="U77" i="18"/>
  <c r="U78" i="18"/>
  <c r="U79" i="18"/>
  <c r="U80" i="18"/>
  <c r="U81" i="18"/>
  <c r="U82" i="18"/>
  <c r="U83" i="18"/>
  <c r="U84" i="18"/>
  <c r="U85" i="18"/>
  <c r="U86" i="18"/>
  <c r="U87" i="18"/>
  <c r="U88" i="18"/>
  <c r="U89" i="18"/>
  <c r="U90" i="18"/>
  <c r="U91" i="18"/>
  <c r="U92" i="18"/>
  <c r="U93" i="18"/>
  <c r="U94" i="18"/>
  <c r="U95" i="18"/>
  <c r="U96" i="18"/>
  <c r="U97" i="18"/>
  <c r="U98" i="18"/>
  <c r="U99" i="18"/>
  <c r="U100" i="18"/>
  <c r="U101" i="18"/>
  <c r="U102" i="18"/>
  <c r="U103" i="18"/>
  <c r="U104" i="18"/>
  <c r="U105" i="18"/>
  <c r="U106" i="18"/>
  <c r="U107" i="18"/>
  <c r="U108" i="18"/>
  <c r="U113" i="18"/>
  <c r="U114" i="18"/>
  <c r="U4" i="18"/>
  <c r="G28" i="2"/>
  <c r="G27" i="2"/>
  <c r="O96" i="7"/>
  <c r="F105" i="7" s="1"/>
  <c r="D105" i="7" s="1"/>
  <c r="D3" i="7" l="1"/>
  <c r="L174" i="12" s="1"/>
  <c r="D11" i="32"/>
  <c r="D6" i="7"/>
  <c r="L177" i="12" s="1"/>
  <c r="N94" i="19"/>
  <c r="N97" i="19"/>
  <c r="N96" i="19"/>
  <c r="N112" i="19"/>
  <c r="N93" i="19"/>
  <c r="N103" i="19"/>
  <c r="N107" i="19"/>
  <c r="N100" i="19"/>
  <c r="N105" i="19"/>
  <c r="N85" i="19"/>
  <c r="N91" i="19"/>
  <c r="N101" i="19"/>
  <c r="N111" i="19"/>
  <c r="D21" i="32"/>
  <c r="R21" i="32" s="1"/>
  <c r="D13" i="32"/>
  <c r="R13" i="32" s="1"/>
  <c r="C22" i="6"/>
  <c r="C23" i="6"/>
  <c r="C24" i="6"/>
  <c r="C26" i="6"/>
  <c r="D15" i="32"/>
  <c r="C25" i="6"/>
  <c r="D16" i="32"/>
  <c r="D20" i="32"/>
  <c r="W95" i="12"/>
  <c r="W120" i="12" s="1"/>
  <c r="W188" i="12" s="1"/>
  <c r="X65" i="12"/>
  <c r="C27" i="6"/>
  <c r="C14" i="6"/>
  <c r="C15" i="6"/>
  <c r="C16" i="6"/>
  <c r="C17" i="6"/>
  <c r="C45" i="6"/>
  <c r="C18" i="6"/>
  <c r="C19" i="6"/>
  <c r="C20" i="6"/>
  <c r="C21" i="6"/>
  <c r="Z7" i="33"/>
  <c r="D14" i="32"/>
  <c r="D9" i="32"/>
  <c r="U9" i="32" s="1"/>
  <c r="D10" i="32"/>
  <c r="Q10" i="32" s="1"/>
  <c r="W115" i="18"/>
  <c r="V115" i="18"/>
  <c r="B237" i="12" s="1"/>
  <c r="J19" i="32"/>
  <c r="G19" i="32"/>
  <c r="L19" i="32"/>
  <c r="J12" i="32"/>
  <c r="R12" i="32"/>
  <c r="T12" i="32"/>
  <c r="S17" i="32"/>
  <c r="P17" i="32"/>
  <c r="I17" i="32"/>
  <c r="S11" i="32"/>
  <c r="I11" i="32"/>
  <c r="Q11" i="32"/>
  <c r="T18" i="32"/>
  <c r="R18" i="32"/>
  <c r="I18" i="32"/>
  <c r="A22" i="32"/>
  <c r="A23" i="32" s="1"/>
  <c r="A24" i="32" s="1"/>
  <c r="A25" i="32" s="1"/>
  <c r="A26" i="32" s="1"/>
  <c r="A27" i="31"/>
  <c r="A28" i="31" s="1"/>
  <c r="A29" i="31" s="1"/>
  <c r="B14" i="11"/>
  <c r="A53" i="12" s="1"/>
  <c r="J47" i="12" s="1"/>
  <c r="A14" i="15"/>
  <c r="B34" i="2"/>
  <c r="H116" i="12" s="1"/>
  <c r="U115" i="18"/>
  <c r="T115" i="18"/>
  <c r="B215" i="12" s="1"/>
  <c r="D23" i="2"/>
  <c r="D5" i="2"/>
  <c r="D4" i="2"/>
  <c r="D7" i="2"/>
  <c r="D9" i="2"/>
  <c r="B35" i="29"/>
  <c r="B12" i="29"/>
  <c r="C5" i="16"/>
  <c r="C6" i="16"/>
  <c r="C7" i="16"/>
  <c r="C8" i="16"/>
  <c r="C9" i="16"/>
  <c r="C10" i="16"/>
  <c r="C11" i="16"/>
  <c r="C12" i="16"/>
  <c r="C13" i="16"/>
  <c r="C14" i="16"/>
  <c r="C15" i="16"/>
  <c r="C16" i="16"/>
  <c r="C17" i="16"/>
  <c r="C18" i="16"/>
  <c r="C19" i="16"/>
  <c r="C20" i="16"/>
  <c r="C21" i="16"/>
  <c r="C22" i="16"/>
  <c r="C23" i="16"/>
  <c r="C24" i="16"/>
  <c r="C25" i="16"/>
  <c r="C26" i="16"/>
  <c r="C27" i="16"/>
  <c r="C4" i="16"/>
  <c r="F2" i="30"/>
  <c r="N15" i="32" l="1"/>
  <c r="P15" i="32"/>
  <c r="I15" i="32"/>
  <c r="R15" i="32"/>
  <c r="K15" i="32"/>
  <c r="J15" i="32"/>
  <c r="L15" i="32"/>
  <c r="J21" i="32"/>
  <c r="V21" i="32"/>
  <c r="J20" i="32"/>
  <c r="L20" i="32"/>
  <c r="N20" i="32"/>
  <c r="I20" i="32"/>
  <c r="X20" i="32" s="1"/>
  <c r="Q16" i="32"/>
  <c r="I16" i="32"/>
  <c r="T13" i="32"/>
  <c r="S14" i="32"/>
  <c r="I14" i="32"/>
  <c r="C48" i="6"/>
  <c r="J13" i="32"/>
  <c r="X13" i="32" s="1"/>
  <c r="S16" i="32"/>
  <c r="X17" i="32"/>
  <c r="X12" i="32"/>
  <c r="X19" i="32"/>
  <c r="Y65" i="12"/>
  <c r="X95" i="12"/>
  <c r="X120" i="12" s="1"/>
  <c r="X188" i="12" s="1"/>
  <c r="X18" i="32"/>
  <c r="R9" i="32"/>
  <c r="A186" i="12"/>
  <c r="Q14" i="32"/>
  <c r="X11" i="32"/>
  <c r="S10" i="32"/>
  <c r="I10" i="32"/>
  <c r="L9" i="32"/>
  <c r="B242" i="12"/>
  <c r="B236" i="12"/>
  <c r="B214" i="12"/>
  <c r="B221" i="12"/>
  <c r="B20" i="29"/>
  <c r="B25" i="29"/>
  <c r="C21" i="29"/>
  <c r="B21" i="29"/>
  <c r="X21" i="32" l="1"/>
  <c r="X15" i="32"/>
  <c r="X16" i="32"/>
  <c r="Z65" i="12"/>
  <c r="Y95" i="12"/>
  <c r="Y120" i="12" s="1"/>
  <c r="Y188" i="12" s="1"/>
  <c r="X10" i="32"/>
  <c r="X14" i="32"/>
  <c r="B241" i="12"/>
  <c r="B23" i="29"/>
  <c r="B24" i="29" s="1"/>
  <c r="B26" i="29" s="1"/>
  <c r="B29" i="29"/>
  <c r="E22" i="29" s="1"/>
  <c r="E3" i="28"/>
  <c r="C66" i="14"/>
  <c r="H2" i="30"/>
  <c r="H1" i="30"/>
  <c r="AA65" i="12" l="1"/>
  <c r="Z95" i="12"/>
  <c r="Z120" i="12" s="1"/>
  <c r="Z188" i="12" s="1"/>
  <c r="B30" i="29"/>
  <c r="E23" i="29"/>
  <c r="E24" i="29" s="1"/>
  <c r="F23" i="29"/>
  <c r="F24" i="29" s="1"/>
  <c r="F25" i="29" s="1"/>
  <c r="F26" i="29" s="1"/>
  <c r="F27" i="29" s="1"/>
  <c r="K4" i="23"/>
  <c r="K3" i="23"/>
  <c r="B1" i="23" s="1"/>
  <c r="B4" i="23"/>
  <c r="B3" i="23"/>
  <c r="G61" i="24"/>
  <c r="G35" i="24"/>
  <c r="K19" i="25"/>
  <c r="K20" i="25"/>
  <c r="K21" i="25"/>
  <c r="K22" i="25" s="1"/>
  <c r="F1" i="30" s="1"/>
  <c r="K18" i="25"/>
  <c r="K16" i="25"/>
  <c r="K15" i="25"/>
  <c r="C40" i="27"/>
  <c r="C38" i="27"/>
  <c r="C3" i="27"/>
  <c r="E25" i="27" s="1"/>
  <c r="L2" i="27"/>
  <c r="F3" i="27"/>
  <c r="E15" i="28"/>
  <c r="K2" i="28"/>
  <c r="G7" i="28" s="1"/>
  <c r="I7" i="28" s="1"/>
  <c r="K2" i="23"/>
  <c r="H3" i="28"/>
  <c r="F3" i="28"/>
  <c r="C3" i="28"/>
  <c r="C27" i="27"/>
  <c r="D26" i="27"/>
  <c r="D25" i="27"/>
  <c r="G23" i="27"/>
  <c r="D23" i="27"/>
  <c r="G22" i="27"/>
  <c r="D22" i="27"/>
  <c r="I21" i="27"/>
  <c r="G21" i="27"/>
  <c r="D21" i="27"/>
  <c r="I20" i="27"/>
  <c r="G20" i="27"/>
  <c r="D20" i="27"/>
  <c r="G19" i="27"/>
  <c r="D19" i="27"/>
  <c r="G18" i="27"/>
  <c r="D18" i="27"/>
  <c r="I17" i="27"/>
  <c r="G17" i="27"/>
  <c r="D17" i="27"/>
  <c r="I16" i="27"/>
  <c r="G16" i="27"/>
  <c r="D16" i="27"/>
  <c r="G15" i="27"/>
  <c r="D15" i="27"/>
  <c r="G14" i="27"/>
  <c r="D14" i="27"/>
  <c r="I13" i="27"/>
  <c r="G13" i="27"/>
  <c r="D13" i="27"/>
  <c r="I12" i="27"/>
  <c r="G12" i="27"/>
  <c r="D12" i="27"/>
  <c r="G11" i="27"/>
  <c r="D11" i="27"/>
  <c r="I11" i="27" s="1"/>
  <c r="G10" i="27"/>
  <c r="D10" i="27"/>
  <c r="I9" i="27"/>
  <c r="G9" i="27"/>
  <c r="D9" i="27"/>
  <c r="P8" i="27"/>
  <c r="P21" i="27" s="1"/>
  <c r="I8" i="27"/>
  <c r="G8" i="27"/>
  <c r="D8" i="27"/>
  <c r="M49" i="24"/>
  <c r="G49" i="24" s="1"/>
  <c r="I43" i="24"/>
  <c r="G41" i="24"/>
  <c r="K41" i="24" s="1"/>
  <c r="M23" i="24"/>
  <c r="G23" i="24" s="1"/>
  <c r="I17" i="24"/>
  <c r="G15" i="24"/>
  <c r="J15" i="24" s="1"/>
  <c r="M10" i="24"/>
  <c r="M9" i="24"/>
  <c r="C32" i="25"/>
  <c r="C31" i="25"/>
  <c r="F29" i="25"/>
  <c r="C29" i="25"/>
  <c r="F28" i="25"/>
  <c r="C28" i="25"/>
  <c r="H28" i="25" s="1"/>
  <c r="F27" i="25"/>
  <c r="F26" i="25"/>
  <c r="C26" i="25"/>
  <c r="F25" i="25"/>
  <c r="C25" i="25"/>
  <c r="F24" i="25"/>
  <c r="F23" i="25"/>
  <c r="F22" i="25"/>
  <c r="C22" i="25"/>
  <c r="F21" i="25"/>
  <c r="F20" i="25"/>
  <c r="C20" i="25"/>
  <c r="F19" i="25"/>
  <c r="F18" i="25"/>
  <c r="C18" i="25"/>
  <c r="F17" i="25"/>
  <c r="C17" i="25"/>
  <c r="F16" i="25"/>
  <c r="F15" i="25"/>
  <c r="F14" i="25"/>
  <c r="AA95" i="12" l="1"/>
  <c r="AA120" i="12" s="1"/>
  <c r="AA188" i="12" s="1"/>
  <c r="AB65" i="12"/>
  <c r="J15" i="27"/>
  <c r="K15" i="27" s="1"/>
  <c r="L15" i="27" s="1"/>
  <c r="J19" i="27"/>
  <c r="K19" i="27" s="1"/>
  <c r="L19" i="27" s="1"/>
  <c r="J23" i="27"/>
  <c r="K23" i="27" s="1"/>
  <c r="L23" i="27" s="1"/>
  <c r="D27" i="27"/>
  <c r="J17" i="27"/>
  <c r="K17" i="27" s="1"/>
  <c r="I19" i="27"/>
  <c r="J21" i="27"/>
  <c r="K21" i="27" s="1"/>
  <c r="I23" i="27"/>
  <c r="J11" i="27"/>
  <c r="K11" i="27" s="1"/>
  <c r="J10" i="27"/>
  <c r="K10" i="27" s="1"/>
  <c r="L10" i="27" s="1"/>
  <c r="J9" i="27"/>
  <c r="K9" i="27" s="1"/>
  <c r="L9" i="27" s="1"/>
  <c r="J13" i="27"/>
  <c r="K13" i="27" s="1"/>
  <c r="L13" i="27" s="1"/>
  <c r="I15" i="27"/>
  <c r="I10" i="27"/>
  <c r="J12" i="27"/>
  <c r="K12" i="27" s="1"/>
  <c r="L12" i="27" s="1"/>
  <c r="I14" i="27"/>
  <c r="J14" i="27" s="1"/>
  <c r="K14" i="27" s="1"/>
  <c r="L14" i="27" s="1"/>
  <c r="J16" i="27"/>
  <c r="K16" i="27" s="1"/>
  <c r="I18" i="27"/>
  <c r="I35" i="27" s="1"/>
  <c r="J20" i="27"/>
  <c r="K20" i="27" s="1"/>
  <c r="I22" i="27"/>
  <c r="J22" i="27" s="1"/>
  <c r="K22" i="27" s="1"/>
  <c r="L22" i="27" s="1"/>
  <c r="H17" i="25"/>
  <c r="H18" i="25"/>
  <c r="H22" i="25"/>
  <c r="R25" i="25"/>
  <c r="R26" i="25" s="1"/>
  <c r="R27" i="25" s="1"/>
  <c r="R28" i="25" s="1"/>
  <c r="R29" i="25" s="1"/>
  <c r="H20" i="25"/>
  <c r="H25" i="25"/>
  <c r="H29" i="25"/>
  <c r="H32" i="25"/>
  <c r="C13" i="28"/>
  <c r="B12" i="23"/>
  <c r="E12" i="23" s="1"/>
  <c r="C12" i="23" s="1"/>
  <c r="D12" i="23" s="1"/>
  <c r="B2" i="23"/>
  <c r="B8" i="23"/>
  <c r="E8" i="23"/>
  <c r="C8" i="23" s="1"/>
  <c r="D8" i="23" s="1"/>
  <c r="Y25" i="25"/>
  <c r="Y26" i="25" s="1"/>
  <c r="Y27" i="25" s="1"/>
  <c r="Y28" i="25" s="1"/>
  <c r="Y29" i="25" s="1"/>
  <c r="N22" i="25"/>
  <c r="P25" i="25"/>
  <c r="P26" i="25" s="1"/>
  <c r="P27" i="25" s="1"/>
  <c r="P28" i="25" s="1"/>
  <c r="P29" i="25" s="1"/>
  <c r="U25" i="25"/>
  <c r="U26" i="25" s="1"/>
  <c r="U27" i="25" s="1"/>
  <c r="U28" i="25" s="1"/>
  <c r="AB25" i="25"/>
  <c r="AB26" i="25" s="1"/>
  <c r="AB27" i="25" s="1"/>
  <c r="AB28" i="25" s="1"/>
  <c r="AB29" i="25" s="1"/>
  <c r="N25" i="25"/>
  <c r="N26" i="25" s="1"/>
  <c r="N27" i="25" s="1"/>
  <c r="N28" i="25" s="1"/>
  <c r="N29" i="25" s="1"/>
  <c r="S25" i="25"/>
  <c r="S26" i="25" s="1"/>
  <c r="S27" i="25" s="1"/>
  <c r="S28" i="25" s="1"/>
  <c r="S29" i="25" s="1"/>
  <c r="T25" i="25"/>
  <c r="T26" i="25" s="1"/>
  <c r="T27" i="25" s="1"/>
  <c r="T28" i="25" s="1"/>
  <c r="T29" i="25" s="1"/>
  <c r="W25" i="25"/>
  <c r="W26" i="25" s="1"/>
  <c r="W27" i="25" s="1"/>
  <c r="W28" i="25" s="1"/>
  <c r="W29" i="25" s="1"/>
  <c r="N14" i="25"/>
  <c r="M41" i="24"/>
  <c r="H41" i="24"/>
  <c r="I41" i="24"/>
  <c r="L41" i="24"/>
  <c r="C21" i="25"/>
  <c r="H21" i="25" s="1"/>
  <c r="AC25" i="25"/>
  <c r="AC26" i="25" s="1"/>
  <c r="AC27" i="25" s="1"/>
  <c r="AC28" i="25" s="1"/>
  <c r="AC29" i="25" s="1"/>
  <c r="H26" i="25"/>
  <c r="C14" i="25"/>
  <c r="H14" i="25" s="1"/>
  <c r="Z25" i="25"/>
  <c r="Z26" i="25" s="1"/>
  <c r="Z27" i="25" s="1"/>
  <c r="Z28" i="25" s="1"/>
  <c r="Z29" i="25" s="1"/>
  <c r="L17" i="27"/>
  <c r="L21" i="27"/>
  <c r="L16" i="27"/>
  <c r="L20" i="27"/>
  <c r="L11" i="27"/>
  <c r="I3" i="28"/>
  <c r="D7" i="28" s="1"/>
  <c r="E7" i="28" s="1"/>
  <c r="P11" i="27"/>
  <c r="P12" i="27"/>
  <c r="P19" i="27"/>
  <c r="P20" i="27"/>
  <c r="J8" i="27"/>
  <c r="E24" i="27"/>
  <c r="E26" i="27"/>
  <c r="P9" i="27"/>
  <c r="P10" i="27"/>
  <c r="P13" i="27"/>
  <c r="P15" i="27"/>
  <c r="P16" i="27"/>
  <c r="P17" i="27"/>
  <c r="P22" i="27"/>
  <c r="P23" i="27"/>
  <c r="E8" i="27"/>
  <c r="E9" i="27"/>
  <c r="E10" i="27"/>
  <c r="E11" i="27"/>
  <c r="E12" i="27"/>
  <c r="E13" i="27"/>
  <c r="E14" i="27"/>
  <c r="E15" i="27"/>
  <c r="E16" i="27"/>
  <c r="E17" i="27"/>
  <c r="E18" i="27"/>
  <c r="E19" i="27"/>
  <c r="E20" i="27"/>
  <c r="E21" i="27"/>
  <c r="E22" i="27"/>
  <c r="E23" i="27"/>
  <c r="I26" i="27"/>
  <c r="I27" i="27" s="1"/>
  <c r="P14" i="27"/>
  <c r="P18" i="27"/>
  <c r="K15" i="24"/>
  <c r="H15" i="24"/>
  <c r="L15" i="24"/>
  <c r="I15" i="24"/>
  <c r="M15" i="24"/>
  <c r="J41" i="24"/>
  <c r="Q25" i="25"/>
  <c r="Q26" i="25" s="1"/>
  <c r="Q27" i="25" s="1"/>
  <c r="Q28" i="25" s="1"/>
  <c r="C15" i="25"/>
  <c r="O25" i="25"/>
  <c r="B33" i="25"/>
  <c r="X25" i="25"/>
  <c r="C24" i="25"/>
  <c r="H24" i="25" s="1"/>
  <c r="AA25" i="25"/>
  <c r="C27" i="25"/>
  <c r="H27" i="25" s="1"/>
  <c r="V25" i="25"/>
  <c r="C16" i="25"/>
  <c r="H16" i="25" s="1"/>
  <c r="C19" i="25"/>
  <c r="H19" i="25" s="1"/>
  <c r="C23" i="25"/>
  <c r="H23" i="25" s="1"/>
  <c r="O14" i="25" l="1"/>
  <c r="K25" i="25" s="1"/>
  <c r="T14" i="25"/>
  <c r="K27" i="25" s="1"/>
  <c r="AB95" i="12"/>
  <c r="AB120" i="12" s="1"/>
  <c r="AB188" i="12" s="1"/>
  <c r="AC65" i="12"/>
  <c r="AC95" i="12" s="1"/>
  <c r="AC120" i="12" s="1"/>
  <c r="AC188" i="12" s="1"/>
  <c r="AD188" i="12" s="1"/>
  <c r="AE188" i="12" s="1"/>
  <c r="AF188" i="12" s="1"/>
  <c r="AG188" i="12" s="1"/>
  <c r="AH188" i="12" s="1"/>
  <c r="AI188" i="12" s="1"/>
  <c r="AJ188" i="12" s="1"/>
  <c r="J18" i="27"/>
  <c r="K18" i="27" s="1"/>
  <c r="L18" i="27" s="1"/>
  <c r="G12" i="23"/>
  <c r="AC14" i="25"/>
  <c r="U29" i="25"/>
  <c r="B18" i="23"/>
  <c r="V14" i="25"/>
  <c r="X14" i="25"/>
  <c r="K28" i="25" s="1"/>
  <c r="C14" i="28"/>
  <c r="J7" i="28"/>
  <c r="K7" i="28" s="1"/>
  <c r="H7" i="28"/>
  <c r="K8" i="27"/>
  <c r="O27" i="27"/>
  <c r="D29" i="27" s="1"/>
  <c r="E27" i="27"/>
  <c r="J26" i="27"/>
  <c r="K26" i="27" s="1"/>
  <c r="L26" i="27" s="1"/>
  <c r="AA26" i="25"/>
  <c r="AA27" i="25" s="1"/>
  <c r="AA28" i="25" s="1"/>
  <c r="AA29" i="25" s="1"/>
  <c r="V26" i="25"/>
  <c r="V27" i="25" s="1"/>
  <c r="V28" i="25" s="1"/>
  <c r="V29" i="25" s="1"/>
  <c r="O26" i="25"/>
  <c r="O27" i="25" s="1"/>
  <c r="O28" i="25" s="1"/>
  <c r="O29" i="25" s="1"/>
  <c r="D30" i="25"/>
  <c r="D26" i="25"/>
  <c r="D23" i="25"/>
  <c r="D22" i="25"/>
  <c r="D19" i="25"/>
  <c r="D16" i="25"/>
  <c r="D20" i="25"/>
  <c r="D32" i="25"/>
  <c r="D31" i="25"/>
  <c r="D27" i="25"/>
  <c r="D24" i="25"/>
  <c r="D17" i="25"/>
  <c r="D15" i="25"/>
  <c r="D28" i="25"/>
  <c r="D18" i="25"/>
  <c r="H15" i="25"/>
  <c r="H33" i="25" s="1"/>
  <c r="C33" i="25"/>
  <c r="D21" i="25"/>
  <c r="D29" i="25"/>
  <c r="D25" i="25"/>
  <c r="D14" i="25"/>
  <c r="Q29" i="25"/>
  <c r="X26" i="25"/>
  <c r="X27" i="25" s="1"/>
  <c r="X28" i="25" s="1"/>
  <c r="X29" i="25" s="1"/>
  <c r="P14" i="25" l="1"/>
  <c r="Q14" i="25"/>
  <c r="N27" i="27"/>
  <c r="D28" i="27" s="1"/>
  <c r="I34" i="27"/>
  <c r="I36" i="27" s="1"/>
  <c r="C39" i="27" s="1"/>
  <c r="C62" i="14"/>
  <c r="C60" i="14"/>
  <c r="D28" i="2" s="1"/>
  <c r="I111" i="12" s="1"/>
  <c r="C15" i="28"/>
  <c r="B19" i="23"/>
  <c r="K30" i="25"/>
  <c r="K17" i="25"/>
  <c r="N15" i="25" s="1"/>
  <c r="N16" i="25" s="1"/>
  <c r="L8" i="27"/>
  <c r="L27" i="27" s="1"/>
  <c r="L31" i="27" s="1"/>
  <c r="K27" i="27"/>
  <c r="D35" i="27" s="1"/>
  <c r="B10" i="29" s="1"/>
  <c r="B31" i="29" s="1"/>
  <c r="B32" i="29" s="1"/>
  <c r="J27" i="27"/>
  <c r="M27" i="27" s="1"/>
  <c r="M28" i="27" s="1"/>
  <c r="K23" i="25"/>
  <c r="AD29" i="25"/>
  <c r="S14" i="25"/>
  <c r="R14" i="25" s="1"/>
  <c r="K26" i="25" s="1"/>
  <c r="B17" i="23" s="1"/>
  <c r="C61" i="14" s="1"/>
  <c r="D29" i="2" s="1"/>
  <c r="I112" i="12" s="1"/>
  <c r="D33" i="25"/>
  <c r="B3" i="30" l="1"/>
  <c r="B4" i="30" s="1"/>
  <c r="B9" i="29"/>
  <c r="B36" i="24"/>
  <c r="G55" i="24" s="1"/>
  <c r="S15" i="25"/>
  <c r="S16" i="25" s="1"/>
  <c r="O15" i="25"/>
  <c r="Q15" i="25" s="1"/>
  <c r="U15" i="25"/>
  <c r="W15" i="25" s="1"/>
  <c r="Y15" i="25" s="1"/>
  <c r="Z15" i="25" s="1"/>
  <c r="G27" i="27"/>
  <c r="F27" i="27" s="1"/>
  <c r="J28" i="27"/>
  <c r="I28" i="27" s="1"/>
  <c r="N30" i="25"/>
  <c r="AC30" i="25"/>
  <c r="Z30" i="25"/>
  <c r="T30" i="25"/>
  <c r="U30" i="25"/>
  <c r="R30" i="25"/>
  <c r="P30" i="25"/>
  <c r="Y30" i="25"/>
  <c r="AB30" i="25"/>
  <c r="S30" i="25"/>
  <c r="W30" i="25"/>
  <c r="U14" i="25"/>
  <c r="O30" i="25"/>
  <c r="AA30" i="25"/>
  <c r="Q30" i="25"/>
  <c r="V30" i="25"/>
  <c r="X30" i="25"/>
  <c r="G67" i="24" l="1"/>
  <c r="K55" i="24"/>
  <c r="B16" i="23" s="1"/>
  <c r="L55" i="24"/>
  <c r="L67" i="24" s="1"/>
  <c r="L71" i="24" s="1"/>
  <c r="G56" i="24"/>
  <c r="G68" i="24" s="1"/>
  <c r="G83" i="24" s="1"/>
  <c r="B39" i="29"/>
  <c r="B27" i="29"/>
  <c r="F3" i="30" s="1"/>
  <c r="M55" i="24"/>
  <c r="M67" i="24" s="1"/>
  <c r="O16" i="25"/>
  <c r="Q16" i="25" s="1"/>
  <c r="H55" i="24"/>
  <c r="J55" i="24"/>
  <c r="J67" i="24" s="1"/>
  <c r="B35" i="24"/>
  <c r="P15" i="25"/>
  <c r="AD30" i="25"/>
  <c r="U16" i="25"/>
  <c r="W14" i="25"/>
  <c r="K67" i="24" l="1"/>
  <c r="K71" i="24" s="1"/>
  <c r="L56" i="24"/>
  <c r="L68" i="24" s="1"/>
  <c r="L72" i="24" s="1"/>
  <c r="D63" i="14"/>
  <c r="P16" i="25"/>
  <c r="K56" i="24"/>
  <c r="K68" i="24" s="1"/>
  <c r="K72" i="24" s="1"/>
  <c r="K79" i="24" s="1"/>
  <c r="M56" i="24"/>
  <c r="M68" i="24" s="1"/>
  <c r="J56" i="24"/>
  <c r="J68" i="24" s="1"/>
  <c r="B5" i="24"/>
  <c r="G51" i="24"/>
  <c r="L57" i="24"/>
  <c r="B14" i="23" s="1"/>
  <c r="Y14" i="25"/>
  <c r="W16" i="25"/>
  <c r="C63" i="14" l="1"/>
  <c r="C64" i="14" s="1"/>
  <c r="M57" i="24"/>
  <c r="M69" i="24" s="1"/>
  <c r="K51" i="24"/>
  <c r="K52" i="24" s="1"/>
  <c r="J51" i="24"/>
  <c r="J52" i="24" s="1"/>
  <c r="H51" i="24"/>
  <c r="G52" i="24"/>
  <c r="L51" i="24"/>
  <c r="L52" i="24" s="1"/>
  <c r="L53" i="24" s="1"/>
  <c r="M51" i="24"/>
  <c r="M52" i="24" s="1"/>
  <c r="M53" i="24" s="1"/>
  <c r="L69" i="24"/>
  <c r="L73" i="24" s="1"/>
  <c r="L77" i="24" s="1"/>
  <c r="Y16" i="25"/>
  <c r="Z16" i="25" s="1"/>
  <c r="Z14" i="25"/>
  <c r="D33" i="2" l="1"/>
  <c r="I115" i="12" s="1"/>
  <c r="D34" i="2"/>
  <c r="I116" i="12" s="1"/>
  <c r="AA14" i="25"/>
  <c r="AA16" i="25" l="1"/>
  <c r="K29" i="25"/>
  <c r="K31" i="25" s="1"/>
  <c r="AB16" i="25"/>
  <c r="AB14" i="25"/>
  <c r="AD14" i="25" s="1"/>
  <c r="AE14" i="25" s="1"/>
  <c r="AG14" i="25" l="1"/>
  <c r="AF14" i="25" s="1"/>
  <c r="N20" i="25"/>
  <c r="B8" i="29" s="1"/>
  <c r="AB15" i="25"/>
  <c r="AC15" i="25" s="1"/>
  <c r="AC16" i="25" s="1"/>
  <c r="AD16" i="25" s="1"/>
  <c r="B40" i="29" l="1"/>
  <c r="B33" i="29"/>
  <c r="B34" i="29" s="1"/>
  <c r="B36" i="29" s="1"/>
  <c r="E29" i="29" s="1"/>
  <c r="B28" i="29"/>
  <c r="G9" i="23"/>
  <c r="B1" i="30"/>
  <c r="K32" i="25"/>
  <c r="L32" i="25" s="1"/>
  <c r="B10" i="24"/>
  <c r="AE16" i="25"/>
  <c r="AD15" i="25"/>
  <c r="AE15" i="25" s="1"/>
  <c r="AF15" i="25" s="1"/>
  <c r="AG15" i="25" s="1"/>
  <c r="AG16" i="25" s="1"/>
  <c r="N21" i="25"/>
  <c r="AE30" i="25"/>
  <c r="AF30" i="25" s="1"/>
  <c r="B8" i="30" l="1"/>
  <c r="B2" i="30"/>
  <c r="B5" i="30" s="1"/>
  <c r="B5" i="16"/>
  <c r="B14" i="16"/>
  <c r="B18" i="16"/>
  <c r="B22" i="16"/>
  <c r="B26" i="16"/>
  <c r="B4" i="16"/>
  <c r="B9" i="16"/>
  <c r="B15" i="16"/>
  <c r="B19" i="16"/>
  <c r="B23" i="16"/>
  <c r="B27" i="16"/>
  <c r="B6" i="16"/>
  <c r="B8" i="16"/>
  <c r="B10" i="16"/>
  <c r="B12" i="16"/>
  <c r="B16" i="16"/>
  <c r="B20" i="16"/>
  <c r="B24" i="16"/>
  <c r="B7" i="16"/>
  <c r="B11" i="16"/>
  <c r="B13" i="16"/>
  <c r="B17" i="16"/>
  <c r="B21" i="16"/>
  <c r="B25" i="16"/>
  <c r="E34" i="29"/>
  <c r="E35" i="29" s="1"/>
  <c r="B41" i="29"/>
  <c r="E42" i="29"/>
  <c r="K33" i="25"/>
  <c r="B6" i="30"/>
  <c r="B9" i="24"/>
  <c r="B4" i="24" s="1"/>
  <c r="B6" i="24" s="1"/>
  <c r="G29" i="24"/>
  <c r="AF16" i="25"/>
  <c r="F42" i="29" l="1"/>
  <c r="F43" i="29" s="1"/>
  <c r="E44" i="29" s="1"/>
  <c r="E45" i="29" s="1"/>
  <c r="B42" i="29"/>
  <c r="B43" i="29" s="1"/>
  <c r="C39" i="29"/>
  <c r="C40" i="29"/>
  <c r="E30" i="29"/>
  <c r="E31" i="29" s="1"/>
  <c r="E32" i="29" s="1"/>
  <c r="E33" i="29"/>
  <c r="G25" i="24"/>
  <c r="J25" i="24" s="1"/>
  <c r="J26" i="24" s="1"/>
  <c r="B7" i="30"/>
  <c r="C75" i="14" s="1"/>
  <c r="G30" i="24"/>
  <c r="G64" i="24" s="1"/>
  <c r="G63" i="24"/>
  <c r="G71" i="24" s="1"/>
  <c r="J29" i="24"/>
  <c r="B15" i="23" s="1"/>
  <c r="C59" i="14" s="1"/>
  <c r="H29" i="24"/>
  <c r="M29" i="24"/>
  <c r="Y23" i="7"/>
  <c r="R25" i="7" s="1"/>
  <c r="M2" i="1"/>
  <c r="C4" i="9"/>
  <c r="C24" i="9" s="1"/>
  <c r="M26" i="1" l="1"/>
  <c r="M12" i="1"/>
  <c r="M25" i="24"/>
  <c r="M26" i="24" s="1"/>
  <c r="M27" i="24" s="1"/>
  <c r="H25" i="24"/>
  <c r="G26" i="24"/>
  <c r="J30" i="24"/>
  <c r="J64" i="24" s="1"/>
  <c r="J72" i="24" s="1"/>
  <c r="J80" i="24" s="1"/>
  <c r="J63" i="24"/>
  <c r="J71" i="24" s="1"/>
  <c r="M63" i="24"/>
  <c r="M71" i="24" s="1"/>
  <c r="M30" i="24"/>
  <c r="G82" i="24"/>
  <c r="G72" i="24"/>
  <c r="Z23" i="7"/>
  <c r="AA23" i="7" s="1"/>
  <c r="AB23" i="7" s="1"/>
  <c r="AC23" i="7" s="1"/>
  <c r="AD23" i="7" s="1"/>
  <c r="AE23" i="7" s="1"/>
  <c r="AF23" i="7" s="1"/>
  <c r="AG23" i="7" s="1"/>
  <c r="AH23" i="7" s="1"/>
  <c r="AI23" i="7" s="1"/>
  <c r="AJ23" i="7" s="1"/>
  <c r="AK23" i="7" s="1"/>
  <c r="AL23" i="7" s="1"/>
  <c r="AM23" i="7" s="1"/>
  <c r="AN23" i="7" s="1"/>
  <c r="AO23" i="7" s="1"/>
  <c r="AP23" i="7" s="1"/>
  <c r="AQ23" i="7" s="1"/>
  <c r="AR23" i="7" s="1"/>
  <c r="AS23" i="7" s="1"/>
  <c r="AT23" i="7" s="1"/>
  <c r="AU23" i="7" s="1"/>
  <c r="C2" i="9"/>
  <c r="O2" i="9" s="1"/>
  <c r="C5" i="6"/>
  <c r="O5" i="6" l="1"/>
  <c r="E7" i="32"/>
  <c r="M64" i="24"/>
  <c r="M72" i="24" s="1"/>
  <c r="M31" i="24"/>
  <c r="M65" i="24" s="1"/>
  <c r="M73" i="24" s="1"/>
  <c r="M75" i="24" s="1"/>
  <c r="AA2" i="9"/>
  <c r="AA22" i="9" s="1"/>
  <c r="O22" i="9"/>
  <c r="C22" i="9"/>
  <c r="A70" i="14"/>
  <c r="A71" i="14"/>
  <c r="A68" i="14"/>
  <c r="A69" i="14"/>
  <c r="A67" i="14"/>
  <c r="A63" i="14"/>
  <c r="A62" i="14"/>
  <c r="A61" i="14"/>
  <c r="A60" i="14"/>
  <c r="A59" i="14"/>
  <c r="A136" i="18"/>
  <c r="A132" i="18"/>
  <c r="A128" i="18"/>
  <c r="A124" i="18"/>
  <c r="A121" i="18"/>
  <c r="A122" i="18"/>
  <c r="A123" i="18"/>
  <c r="A120" i="18"/>
  <c r="AA5" i="6" l="1"/>
  <c r="Q7" i="32"/>
  <c r="B12" i="2"/>
  <c r="B32" i="6" s="1"/>
  <c r="B13" i="2"/>
  <c r="B33" i="6" s="1"/>
  <c r="B14" i="2"/>
  <c r="B34" i="6" s="1"/>
  <c r="B15" i="2"/>
  <c r="B22" i="6" s="1"/>
  <c r="B16" i="2"/>
  <c r="B23" i="6" s="1"/>
  <c r="B17" i="2"/>
  <c r="B24" i="6" s="1"/>
  <c r="B18" i="2"/>
  <c r="B25" i="6" s="1"/>
  <c r="B19" i="2"/>
  <c r="B26" i="6" s="1"/>
  <c r="B20" i="2"/>
  <c r="B27" i="6" s="1"/>
  <c r="B21" i="2"/>
  <c r="B13" i="6" s="1"/>
  <c r="B11" i="2"/>
  <c r="B31" i="6" s="1"/>
  <c r="B9" i="2"/>
  <c r="B20" i="6" s="1"/>
  <c r="B6" i="2"/>
  <c r="B30" i="2" s="1"/>
  <c r="H113" i="12" s="1"/>
  <c r="B7" i="2"/>
  <c r="B18" i="6" s="1"/>
  <c r="B8" i="2"/>
  <c r="B19" i="6" s="1"/>
  <c r="B5" i="2"/>
  <c r="B16" i="6" s="1"/>
  <c r="B4" i="2"/>
  <c r="B28" i="2" s="1"/>
  <c r="H111" i="12" s="1"/>
  <c r="B3" i="2"/>
  <c r="B14" i="6" s="1"/>
  <c r="B50" i="6"/>
  <c r="F12" i="2" s="1"/>
  <c r="B51" i="6"/>
  <c r="F13" i="2" s="1"/>
  <c r="B52" i="6"/>
  <c r="F14" i="2" s="1"/>
  <c r="B53" i="6"/>
  <c r="F15" i="2" s="1"/>
  <c r="B54" i="6"/>
  <c r="F16" i="2" s="1"/>
  <c r="B55" i="6"/>
  <c r="F17" i="2" s="1"/>
  <c r="B47" i="6"/>
  <c r="F10" i="2" s="1"/>
  <c r="B49" i="6"/>
  <c r="F11" i="2" s="1"/>
  <c r="B46" i="6"/>
  <c r="F9" i="2" s="1"/>
  <c r="B45" i="6"/>
  <c r="F18" i="2" s="1"/>
  <c r="B44" i="6"/>
  <c r="F8" i="2" s="1"/>
  <c r="B42" i="6"/>
  <c r="F6" i="2" s="1"/>
  <c r="B43" i="6"/>
  <c r="F7" i="2" s="1"/>
  <c r="B41" i="6"/>
  <c r="F5" i="2" s="1"/>
  <c r="F4" i="2"/>
  <c r="C49" i="6"/>
  <c r="B42" i="11" l="1"/>
  <c r="A136" i="12" s="1"/>
  <c r="M154" i="12" s="1"/>
  <c r="A42" i="15"/>
  <c r="B15" i="6"/>
  <c r="B33" i="2"/>
  <c r="H115" i="12" s="1"/>
  <c r="B29" i="2"/>
  <c r="H112" i="12" s="1"/>
  <c r="B17" i="6"/>
  <c r="B32" i="2"/>
  <c r="B31" i="2"/>
  <c r="B27" i="2"/>
  <c r="H110" i="12" s="1"/>
  <c r="B50" i="1"/>
  <c r="C15" i="2"/>
  <c r="D15" i="2"/>
  <c r="B38" i="2"/>
  <c r="B15" i="11" l="1"/>
  <c r="A54" i="12" s="1"/>
  <c r="A187" i="12" s="1"/>
  <c r="A15" i="15"/>
  <c r="G2" i="18"/>
  <c r="D2" i="16"/>
  <c r="B2" i="16"/>
  <c r="I86" i="18" l="1"/>
  <c r="I87" i="18"/>
  <c r="I88" i="18"/>
  <c r="I89" i="18"/>
  <c r="I90" i="18"/>
  <c r="I91" i="18"/>
  <c r="I85" i="18"/>
  <c r="I92" i="18"/>
  <c r="I94" i="18"/>
  <c r="I93" i="18"/>
  <c r="I11" i="18"/>
  <c r="I10" i="18"/>
  <c r="I51" i="18"/>
  <c r="I34" i="18"/>
  <c r="H2" i="18"/>
  <c r="I2" i="18" s="1"/>
  <c r="J2" i="18" s="1"/>
  <c r="K2" i="18" s="1"/>
  <c r="L2" i="18" s="1"/>
  <c r="M2" i="18" s="1"/>
  <c r="N2" i="18" s="1"/>
  <c r="O2" i="18" s="1"/>
  <c r="P2" i="18" s="1"/>
  <c r="I29" i="18"/>
  <c r="B42" i="1"/>
  <c r="L4" i="2"/>
  <c r="D121" i="7"/>
  <c r="Q152" i="18"/>
  <c r="R148" i="18"/>
  <c r="J88" i="18" l="1"/>
  <c r="K88" i="18" s="1"/>
  <c r="L88" i="18" s="1"/>
  <c r="M88" i="18" s="1"/>
  <c r="N88" i="18" s="1"/>
  <c r="O88" i="18" s="1"/>
  <c r="P88" i="18" s="1"/>
  <c r="Q88" i="18" s="1"/>
  <c r="R88" i="18" s="1"/>
  <c r="J87" i="18"/>
  <c r="K87" i="18" s="1"/>
  <c r="L87" i="18" s="1"/>
  <c r="M87" i="18" s="1"/>
  <c r="N87" i="18" s="1"/>
  <c r="O87" i="18" s="1"/>
  <c r="P87" i="18" s="1"/>
  <c r="Q87" i="18" s="1"/>
  <c r="R87" i="18" s="1"/>
  <c r="J93" i="18"/>
  <c r="K93" i="18" s="1"/>
  <c r="L93" i="18" s="1"/>
  <c r="M93" i="18" s="1"/>
  <c r="N93" i="18" s="1"/>
  <c r="O93" i="18" s="1"/>
  <c r="P93" i="18" s="1"/>
  <c r="Q93" i="18" s="1"/>
  <c r="R93" i="18" s="1"/>
  <c r="J94" i="18"/>
  <c r="K94" i="18" s="1"/>
  <c r="L94" i="18" s="1"/>
  <c r="M94" i="18" s="1"/>
  <c r="N94" i="18" s="1"/>
  <c r="O94" i="18" s="1"/>
  <c r="P94" i="18" s="1"/>
  <c r="Q94" i="18" s="1"/>
  <c r="R94" i="18" s="1"/>
  <c r="J92" i="18"/>
  <c r="K92" i="18" s="1"/>
  <c r="L92" i="18" s="1"/>
  <c r="M92" i="18" s="1"/>
  <c r="N92" i="18" s="1"/>
  <c r="O92" i="18" s="1"/>
  <c r="P92" i="18" s="1"/>
  <c r="Q92" i="18" s="1"/>
  <c r="R92" i="18" s="1"/>
  <c r="J85" i="18"/>
  <c r="K85" i="18" s="1"/>
  <c r="L85" i="18" s="1"/>
  <c r="M85" i="18" s="1"/>
  <c r="N85" i="18" s="1"/>
  <c r="O85" i="18" s="1"/>
  <c r="P85" i="18" s="1"/>
  <c r="Q85" i="18" s="1"/>
  <c r="R85" i="18" s="1"/>
  <c r="J91" i="18"/>
  <c r="K91" i="18" s="1"/>
  <c r="L91" i="18" s="1"/>
  <c r="M91" i="18" s="1"/>
  <c r="N91" i="18" s="1"/>
  <c r="O91" i="18" s="1"/>
  <c r="P91" i="18" s="1"/>
  <c r="Q91" i="18" s="1"/>
  <c r="R91" i="18" s="1"/>
  <c r="J90" i="18"/>
  <c r="K90" i="18" s="1"/>
  <c r="L90" i="18" s="1"/>
  <c r="M90" i="18" s="1"/>
  <c r="N90" i="18" s="1"/>
  <c r="O90" i="18" s="1"/>
  <c r="P90" i="18" s="1"/>
  <c r="Q90" i="18" s="1"/>
  <c r="R90" i="18" s="1"/>
  <c r="J89" i="18"/>
  <c r="K89" i="18" s="1"/>
  <c r="L89" i="18" s="1"/>
  <c r="M89" i="18" s="1"/>
  <c r="N89" i="18" s="1"/>
  <c r="O89" i="18" s="1"/>
  <c r="P89" i="18" s="1"/>
  <c r="Q89" i="18" s="1"/>
  <c r="R89" i="18" s="1"/>
  <c r="J86" i="18"/>
  <c r="K86" i="18" s="1"/>
  <c r="L86" i="18" s="1"/>
  <c r="M86" i="18" s="1"/>
  <c r="N86" i="18" s="1"/>
  <c r="O86" i="18" s="1"/>
  <c r="P86" i="18" s="1"/>
  <c r="Q86" i="18" s="1"/>
  <c r="R86" i="18" s="1"/>
  <c r="J10" i="18"/>
  <c r="K10" i="18" s="1"/>
  <c r="L10" i="18" s="1"/>
  <c r="M10" i="18" s="1"/>
  <c r="N10" i="18" s="1"/>
  <c r="O10" i="18" s="1"/>
  <c r="P10" i="18" s="1"/>
  <c r="Q10" i="18" s="1"/>
  <c r="R10" i="18" s="1"/>
  <c r="J11" i="18"/>
  <c r="K11" i="18" s="1"/>
  <c r="L11" i="18" s="1"/>
  <c r="M11" i="18" s="1"/>
  <c r="N11" i="18" s="1"/>
  <c r="O11" i="18" s="1"/>
  <c r="P11" i="18" s="1"/>
  <c r="Q11" i="18" s="1"/>
  <c r="R11" i="18" s="1"/>
  <c r="J51" i="18"/>
  <c r="K51" i="18" s="1"/>
  <c r="L51" i="18" s="1"/>
  <c r="M51" i="18" s="1"/>
  <c r="N51" i="18" s="1"/>
  <c r="O51" i="18" s="1"/>
  <c r="P51" i="18" s="1"/>
  <c r="Q51" i="18" s="1"/>
  <c r="R51" i="18" s="1"/>
  <c r="J34" i="18"/>
  <c r="K34" i="18" s="1"/>
  <c r="L34" i="18" s="1"/>
  <c r="M34" i="18" s="1"/>
  <c r="N34" i="18" s="1"/>
  <c r="O34" i="18" s="1"/>
  <c r="P34" i="18" s="1"/>
  <c r="Q34" i="18" s="1"/>
  <c r="R34" i="18" s="1"/>
  <c r="J29" i="18"/>
  <c r="K29" i="18" s="1"/>
  <c r="L29" i="18" s="1"/>
  <c r="M29" i="18" s="1"/>
  <c r="N29" i="18" s="1"/>
  <c r="O29" i="18" s="1"/>
  <c r="P29" i="18" s="1"/>
  <c r="Q29" i="18" s="1"/>
  <c r="R29" i="18" s="1"/>
  <c r="H28" i="20"/>
  <c r="I28" i="20" s="1"/>
  <c r="J28" i="20" s="1"/>
  <c r="K28" i="20" s="1"/>
  <c r="L28" i="20" s="1"/>
  <c r="M28" i="20" s="1"/>
  <c r="N28" i="20" s="1"/>
  <c r="O28" i="20" s="1"/>
  <c r="P28" i="20" s="1"/>
  <c r="Q28" i="20" s="1"/>
  <c r="G28" i="20"/>
  <c r="G27" i="20"/>
  <c r="H27" i="20" s="1"/>
  <c r="I27" i="20" s="1"/>
  <c r="J27" i="20" s="1"/>
  <c r="K27" i="20" s="1"/>
  <c r="L27" i="20" s="1"/>
  <c r="M27" i="20" s="1"/>
  <c r="N27" i="20" s="1"/>
  <c r="O27" i="20" s="1"/>
  <c r="P27" i="20" s="1"/>
  <c r="Q27" i="20" s="1"/>
  <c r="H26" i="20"/>
  <c r="I26" i="20" s="1"/>
  <c r="J26" i="20" s="1"/>
  <c r="K26" i="20" s="1"/>
  <c r="L26" i="20" s="1"/>
  <c r="M26" i="20" s="1"/>
  <c r="N26" i="20" s="1"/>
  <c r="O26" i="20" s="1"/>
  <c r="P26" i="20" s="1"/>
  <c r="Q26" i="20" s="1"/>
  <c r="G26" i="20"/>
  <c r="G25" i="20"/>
  <c r="H25" i="20" s="1"/>
  <c r="I25" i="20" s="1"/>
  <c r="J25" i="20" s="1"/>
  <c r="K25" i="20" s="1"/>
  <c r="L25" i="20" s="1"/>
  <c r="M25" i="20" s="1"/>
  <c r="N25" i="20" s="1"/>
  <c r="O25" i="20" s="1"/>
  <c r="P25" i="20" s="1"/>
  <c r="Q25" i="20" s="1"/>
  <c r="C19" i="20"/>
  <c r="G19" i="20" s="1"/>
  <c r="H19" i="20" s="1"/>
  <c r="I19" i="20" s="1"/>
  <c r="J19" i="20" s="1"/>
  <c r="K19" i="20" s="1"/>
  <c r="L19" i="20" s="1"/>
  <c r="M19" i="20" s="1"/>
  <c r="N19" i="20" s="1"/>
  <c r="O19" i="20" s="1"/>
  <c r="P19" i="20" s="1"/>
  <c r="Q19" i="20" s="1"/>
  <c r="C13" i="20"/>
  <c r="G13" i="20" s="1"/>
  <c r="H13" i="20" s="1"/>
  <c r="I13" i="20" s="1"/>
  <c r="J13" i="20" s="1"/>
  <c r="K13" i="20" s="1"/>
  <c r="L13" i="20" s="1"/>
  <c r="M13" i="20" s="1"/>
  <c r="N13" i="20" s="1"/>
  <c r="O13" i="20" s="1"/>
  <c r="P13" i="20" s="1"/>
  <c r="Q13" i="20" s="1"/>
  <c r="C7" i="20"/>
  <c r="G7" i="20" s="1"/>
  <c r="H7" i="20" s="1"/>
  <c r="I7" i="20" s="1"/>
  <c r="J7" i="20" s="1"/>
  <c r="K7" i="20" s="1"/>
  <c r="L7" i="20" s="1"/>
  <c r="M7" i="20" s="1"/>
  <c r="N7" i="20" s="1"/>
  <c r="O7" i="20" s="1"/>
  <c r="P7" i="20" s="1"/>
  <c r="Q7" i="20" s="1"/>
  <c r="H5" i="20"/>
  <c r="I5" i="20" s="1"/>
  <c r="J5" i="20" s="1"/>
  <c r="K5" i="20" s="1"/>
  <c r="L5" i="20" s="1"/>
  <c r="M5" i="20" s="1"/>
  <c r="N5" i="20" s="1"/>
  <c r="O5" i="20" s="1"/>
  <c r="P5" i="20" s="1"/>
  <c r="Q5" i="20" s="1"/>
  <c r="I2" i="20"/>
  <c r="C22" i="20" s="1"/>
  <c r="T8" i="19"/>
  <c r="S12" i="19"/>
  <c r="T19" i="19"/>
  <c r="T20" i="19"/>
  <c r="T21" i="19"/>
  <c r="T22" i="19"/>
  <c r="T23" i="19"/>
  <c r="S24" i="19"/>
  <c r="T25" i="19"/>
  <c r="T27" i="19"/>
  <c r="T28" i="19"/>
  <c r="T29" i="19"/>
  <c r="T30" i="19"/>
  <c r="S32" i="19"/>
  <c r="T33" i="19"/>
  <c r="T35" i="19"/>
  <c r="T36" i="19"/>
  <c r="T37" i="19"/>
  <c r="T38" i="19"/>
  <c r="T40" i="19"/>
  <c r="S41" i="19"/>
  <c r="T43" i="19"/>
  <c r="S44" i="19"/>
  <c r="S45" i="19"/>
  <c r="T46" i="19"/>
  <c r="S48" i="19"/>
  <c r="T49" i="19"/>
  <c r="S50" i="19"/>
  <c r="T51" i="19"/>
  <c r="T52" i="19"/>
  <c r="G53" i="19"/>
  <c r="S56" i="19"/>
  <c r="T57" i="19"/>
  <c r="S59" i="19"/>
  <c r="S60" i="19"/>
  <c r="G61" i="19"/>
  <c r="S64" i="19"/>
  <c r="T65" i="19"/>
  <c r="S67" i="19"/>
  <c r="S68" i="19"/>
  <c r="G69" i="19"/>
  <c r="T71" i="19"/>
  <c r="G72" i="19"/>
  <c r="T74" i="19"/>
  <c r="S75" i="19"/>
  <c r="G76" i="19"/>
  <c r="C6" i="19"/>
  <c r="G4" i="19"/>
  <c r="R140" i="18"/>
  <c r="R136" i="18"/>
  <c r="R132" i="18"/>
  <c r="R128" i="18"/>
  <c r="R124" i="18"/>
  <c r="R120" i="18"/>
  <c r="S114" i="18"/>
  <c r="G114" i="18"/>
  <c r="H114" i="18" s="1"/>
  <c r="I114" i="18" s="1"/>
  <c r="J114" i="18" s="1"/>
  <c r="K114" i="18" s="1"/>
  <c r="L114" i="18" s="1"/>
  <c r="M114" i="18" s="1"/>
  <c r="N114" i="18" s="1"/>
  <c r="O114" i="18" s="1"/>
  <c r="P114" i="18" s="1"/>
  <c r="Q114" i="18" s="1"/>
  <c r="R114" i="18" s="1"/>
  <c r="A114" i="18"/>
  <c r="S113" i="18"/>
  <c r="G113" i="18"/>
  <c r="H113" i="18" s="1"/>
  <c r="I113" i="18" s="1"/>
  <c r="J113" i="18" s="1"/>
  <c r="K113" i="18" s="1"/>
  <c r="L113" i="18" s="1"/>
  <c r="M113" i="18" s="1"/>
  <c r="N113" i="18" s="1"/>
  <c r="O113" i="18" s="1"/>
  <c r="P113" i="18" s="1"/>
  <c r="Q113" i="18" s="1"/>
  <c r="R113" i="18" s="1"/>
  <c r="S108" i="18"/>
  <c r="G108" i="18"/>
  <c r="H108" i="18" s="1"/>
  <c r="I108" i="18" s="1"/>
  <c r="J108" i="18" s="1"/>
  <c r="K108" i="18" s="1"/>
  <c r="L108" i="18" s="1"/>
  <c r="M108" i="18" s="1"/>
  <c r="N108" i="18" s="1"/>
  <c r="O108" i="18" s="1"/>
  <c r="P108" i="18" s="1"/>
  <c r="Q108" i="18" s="1"/>
  <c r="R108" i="18" s="1"/>
  <c r="A108" i="18"/>
  <c r="S107" i="18"/>
  <c r="G107" i="18"/>
  <c r="H107" i="18" s="1"/>
  <c r="I107" i="18" s="1"/>
  <c r="J107" i="18" s="1"/>
  <c r="K107" i="18" s="1"/>
  <c r="L107" i="18" s="1"/>
  <c r="M107" i="18" s="1"/>
  <c r="N107" i="18" s="1"/>
  <c r="O107" i="18" s="1"/>
  <c r="P107" i="18" s="1"/>
  <c r="Q107" i="18" s="1"/>
  <c r="R107" i="18" s="1"/>
  <c r="A107" i="18"/>
  <c r="S106" i="18"/>
  <c r="G106" i="18"/>
  <c r="H106" i="18" s="1"/>
  <c r="I106" i="18" s="1"/>
  <c r="J106" i="18" s="1"/>
  <c r="K106" i="18" s="1"/>
  <c r="L106" i="18" s="1"/>
  <c r="M106" i="18" s="1"/>
  <c r="N106" i="18" s="1"/>
  <c r="O106" i="18" s="1"/>
  <c r="P106" i="18" s="1"/>
  <c r="Q106" i="18" s="1"/>
  <c r="R106" i="18" s="1"/>
  <c r="A106" i="18"/>
  <c r="S105" i="18"/>
  <c r="G105" i="18"/>
  <c r="H105" i="18" s="1"/>
  <c r="I105" i="18" s="1"/>
  <c r="J105" i="18" s="1"/>
  <c r="K105" i="18" s="1"/>
  <c r="L105" i="18" s="1"/>
  <c r="M105" i="18" s="1"/>
  <c r="N105" i="18" s="1"/>
  <c r="O105" i="18" s="1"/>
  <c r="P105" i="18" s="1"/>
  <c r="Q105" i="18" s="1"/>
  <c r="R105" i="18" s="1"/>
  <c r="A105" i="18"/>
  <c r="S104" i="18"/>
  <c r="G104" i="18"/>
  <c r="H104" i="18" s="1"/>
  <c r="I104" i="18" s="1"/>
  <c r="J104" i="18" s="1"/>
  <c r="K104" i="18" s="1"/>
  <c r="L104" i="18" s="1"/>
  <c r="M104" i="18" s="1"/>
  <c r="N104" i="18" s="1"/>
  <c r="O104" i="18" s="1"/>
  <c r="P104" i="18" s="1"/>
  <c r="Q104" i="18" s="1"/>
  <c r="R104" i="18" s="1"/>
  <c r="A104" i="18"/>
  <c r="S103" i="18"/>
  <c r="G103" i="18"/>
  <c r="H103" i="18" s="1"/>
  <c r="I103" i="18" s="1"/>
  <c r="J103" i="18" s="1"/>
  <c r="K103" i="18" s="1"/>
  <c r="L103" i="18" s="1"/>
  <c r="M103" i="18" s="1"/>
  <c r="N103" i="18" s="1"/>
  <c r="O103" i="18" s="1"/>
  <c r="P103" i="18" s="1"/>
  <c r="Q103" i="18" s="1"/>
  <c r="R103" i="18" s="1"/>
  <c r="A103" i="18"/>
  <c r="S102" i="18"/>
  <c r="G102" i="18"/>
  <c r="H102" i="18" s="1"/>
  <c r="I102" i="18" s="1"/>
  <c r="J102" i="18" s="1"/>
  <c r="K102" i="18" s="1"/>
  <c r="L102" i="18" s="1"/>
  <c r="M102" i="18" s="1"/>
  <c r="N102" i="18" s="1"/>
  <c r="O102" i="18" s="1"/>
  <c r="P102" i="18" s="1"/>
  <c r="Q102" i="18" s="1"/>
  <c r="R102" i="18" s="1"/>
  <c r="A102" i="18"/>
  <c r="S101" i="18"/>
  <c r="G101" i="18"/>
  <c r="H101" i="18" s="1"/>
  <c r="I101" i="18" s="1"/>
  <c r="J101" i="18" s="1"/>
  <c r="K101" i="18" s="1"/>
  <c r="L101" i="18" s="1"/>
  <c r="M101" i="18" s="1"/>
  <c r="N101" i="18" s="1"/>
  <c r="O101" i="18" s="1"/>
  <c r="P101" i="18" s="1"/>
  <c r="Q101" i="18" s="1"/>
  <c r="R101" i="18" s="1"/>
  <c r="A101" i="18"/>
  <c r="S100" i="18"/>
  <c r="G100" i="18"/>
  <c r="H100" i="18" s="1"/>
  <c r="I100" i="18" s="1"/>
  <c r="J100" i="18" s="1"/>
  <c r="K100" i="18" s="1"/>
  <c r="L100" i="18" s="1"/>
  <c r="M100" i="18" s="1"/>
  <c r="N100" i="18" s="1"/>
  <c r="O100" i="18" s="1"/>
  <c r="P100" i="18" s="1"/>
  <c r="Q100" i="18" s="1"/>
  <c r="R100" i="18" s="1"/>
  <c r="A100" i="18"/>
  <c r="S99" i="18"/>
  <c r="H99" i="18"/>
  <c r="I99" i="18" s="1"/>
  <c r="J99" i="18" s="1"/>
  <c r="K99" i="18" s="1"/>
  <c r="L99" i="18" s="1"/>
  <c r="M99" i="18" s="1"/>
  <c r="N99" i="18" s="1"/>
  <c r="O99" i="18" s="1"/>
  <c r="P99" i="18" s="1"/>
  <c r="Q99" i="18" s="1"/>
  <c r="R99" i="18" s="1"/>
  <c r="A99" i="18"/>
  <c r="S98" i="18"/>
  <c r="H98" i="18"/>
  <c r="I98" i="18" s="1"/>
  <c r="J98" i="18" s="1"/>
  <c r="K98" i="18" s="1"/>
  <c r="L98" i="18" s="1"/>
  <c r="M98" i="18" s="1"/>
  <c r="N98" i="18" s="1"/>
  <c r="O98" i="18" s="1"/>
  <c r="P98" i="18" s="1"/>
  <c r="Q98" i="18" s="1"/>
  <c r="R98" i="18" s="1"/>
  <c r="A98" i="18"/>
  <c r="S97" i="18"/>
  <c r="H97" i="18"/>
  <c r="I97" i="18" s="1"/>
  <c r="J97" i="18" s="1"/>
  <c r="K97" i="18" s="1"/>
  <c r="L97" i="18" s="1"/>
  <c r="M97" i="18" s="1"/>
  <c r="N97" i="18" s="1"/>
  <c r="O97" i="18" s="1"/>
  <c r="P97" i="18" s="1"/>
  <c r="Q97" i="18" s="1"/>
  <c r="R97" i="18" s="1"/>
  <c r="A97" i="18"/>
  <c r="S96" i="18"/>
  <c r="H96" i="18"/>
  <c r="I96" i="18" s="1"/>
  <c r="J96" i="18" s="1"/>
  <c r="K96" i="18" s="1"/>
  <c r="L96" i="18" s="1"/>
  <c r="M96" i="18" s="1"/>
  <c r="N96" i="18" s="1"/>
  <c r="O96" i="18" s="1"/>
  <c r="P96" i="18" s="1"/>
  <c r="Q96" i="18" s="1"/>
  <c r="R96" i="18" s="1"/>
  <c r="A96" i="18"/>
  <c r="S95" i="18"/>
  <c r="H95" i="18"/>
  <c r="I95" i="18" s="1"/>
  <c r="J95" i="18" s="1"/>
  <c r="K95" i="18" s="1"/>
  <c r="L95" i="18" s="1"/>
  <c r="M95" i="18" s="1"/>
  <c r="N95" i="18" s="1"/>
  <c r="O95" i="18" s="1"/>
  <c r="P95" i="18" s="1"/>
  <c r="Q95" i="18" s="1"/>
  <c r="R95" i="18" s="1"/>
  <c r="A95" i="18"/>
  <c r="S94" i="18"/>
  <c r="A94" i="18"/>
  <c r="S93" i="18"/>
  <c r="A93" i="18"/>
  <c r="S92" i="18"/>
  <c r="A92" i="18"/>
  <c r="S91" i="18"/>
  <c r="A91" i="18"/>
  <c r="S90" i="18"/>
  <c r="A90" i="18"/>
  <c r="S89" i="18"/>
  <c r="A89" i="18"/>
  <c r="S88" i="18"/>
  <c r="A88" i="18"/>
  <c r="S87" i="18"/>
  <c r="A87" i="18"/>
  <c r="S86" i="18"/>
  <c r="A86" i="18"/>
  <c r="S85" i="18"/>
  <c r="A85" i="18"/>
  <c r="S84" i="18"/>
  <c r="G84" i="18"/>
  <c r="H84" i="18" s="1"/>
  <c r="I84" i="18" s="1"/>
  <c r="J84" i="18" s="1"/>
  <c r="K84" i="18" s="1"/>
  <c r="L84" i="18" s="1"/>
  <c r="M84" i="18" s="1"/>
  <c r="N84" i="18" s="1"/>
  <c r="O84" i="18" s="1"/>
  <c r="P84" i="18" s="1"/>
  <c r="Q84" i="18" s="1"/>
  <c r="R84" i="18" s="1"/>
  <c r="A84" i="18"/>
  <c r="S83" i="18"/>
  <c r="G83" i="18"/>
  <c r="H83" i="18" s="1"/>
  <c r="I83" i="18" s="1"/>
  <c r="J83" i="18" s="1"/>
  <c r="K83" i="18" s="1"/>
  <c r="L83" i="18" s="1"/>
  <c r="M83" i="18" s="1"/>
  <c r="N83" i="18" s="1"/>
  <c r="O83" i="18" s="1"/>
  <c r="P83" i="18" s="1"/>
  <c r="Q83" i="18" s="1"/>
  <c r="R83" i="18" s="1"/>
  <c r="A83" i="18"/>
  <c r="S82" i="18"/>
  <c r="G82" i="18"/>
  <c r="H82" i="18" s="1"/>
  <c r="I82" i="18" s="1"/>
  <c r="J82" i="18" s="1"/>
  <c r="K82" i="18" s="1"/>
  <c r="L82" i="18" s="1"/>
  <c r="M82" i="18" s="1"/>
  <c r="N82" i="18" s="1"/>
  <c r="O82" i="18" s="1"/>
  <c r="P82" i="18" s="1"/>
  <c r="Q82" i="18" s="1"/>
  <c r="R82" i="18" s="1"/>
  <c r="A82" i="18"/>
  <c r="S81" i="18"/>
  <c r="G81" i="18"/>
  <c r="H81" i="18" s="1"/>
  <c r="I81" i="18" s="1"/>
  <c r="J81" i="18" s="1"/>
  <c r="K81" i="18" s="1"/>
  <c r="L81" i="18" s="1"/>
  <c r="M81" i="18" s="1"/>
  <c r="N81" i="18" s="1"/>
  <c r="O81" i="18" s="1"/>
  <c r="P81" i="18" s="1"/>
  <c r="Q81" i="18" s="1"/>
  <c r="R81" i="18" s="1"/>
  <c r="A81" i="18"/>
  <c r="S80" i="18"/>
  <c r="G80" i="18"/>
  <c r="H80" i="18" s="1"/>
  <c r="I80" i="18" s="1"/>
  <c r="J80" i="18" s="1"/>
  <c r="K80" i="18" s="1"/>
  <c r="L80" i="18" s="1"/>
  <c r="M80" i="18" s="1"/>
  <c r="N80" i="18" s="1"/>
  <c r="O80" i="18" s="1"/>
  <c r="P80" i="18" s="1"/>
  <c r="Q80" i="18" s="1"/>
  <c r="R80" i="18" s="1"/>
  <c r="A80" i="18"/>
  <c r="S79" i="18"/>
  <c r="G79" i="18"/>
  <c r="H79" i="18" s="1"/>
  <c r="I79" i="18" s="1"/>
  <c r="J79" i="18" s="1"/>
  <c r="K79" i="18" s="1"/>
  <c r="L79" i="18" s="1"/>
  <c r="M79" i="18" s="1"/>
  <c r="N79" i="18" s="1"/>
  <c r="O79" i="18" s="1"/>
  <c r="P79" i="18" s="1"/>
  <c r="Q79" i="18" s="1"/>
  <c r="R79" i="18" s="1"/>
  <c r="A79" i="18"/>
  <c r="S78" i="18"/>
  <c r="G78" i="18"/>
  <c r="H78" i="18" s="1"/>
  <c r="I78" i="18" s="1"/>
  <c r="J78" i="18" s="1"/>
  <c r="K78" i="18" s="1"/>
  <c r="L78" i="18" s="1"/>
  <c r="M78" i="18" s="1"/>
  <c r="N78" i="18" s="1"/>
  <c r="O78" i="18" s="1"/>
  <c r="P78" i="18" s="1"/>
  <c r="Q78" i="18" s="1"/>
  <c r="R78" i="18" s="1"/>
  <c r="A78" i="18"/>
  <c r="S77" i="18"/>
  <c r="G77" i="18"/>
  <c r="H77" i="18" s="1"/>
  <c r="I77" i="18" s="1"/>
  <c r="J77" i="18" s="1"/>
  <c r="K77" i="18" s="1"/>
  <c r="L77" i="18" s="1"/>
  <c r="M77" i="18" s="1"/>
  <c r="N77" i="18" s="1"/>
  <c r="O77" i="18" s="1"/>
  <c r="P77" i="18" s="1"/>
  <c r="Q77" i="18" s="1"/>
  <c r="R77" i="18" s="1"/>
  <c r="A77" i="18"/>
  <c r="S76" i="18"/>
  <c r="G76" i="18"/>
  <c r="H76" i="18" s="1"/>
  <c r="I76" i="18" s="1"/>
  <c r="J76" i="18" s="1"/>
  <c r="K76" i="18" s="1"/>
  <c r="L76" i="18" s="1"/>
  <c r="M76" i="18" s="1"/>
  <c r="N76" i="18" s="1"/>
  <c r="O76" i="18" s="1"/>
  <c r="P76" i="18" s="1"/>
  <c r="Q76" i="18" s="1"/>
  <c r="R76" i="18" s="1"/>
  <c r="A76" i="18"/>
  <c r="S75" i="18"/>
  <c r="G75" i="18"/>
  <c r="H75" i="18" s="1"/>
  <c r="I75" i="18" s="1"/>
  <c r="J75" i="18" s="1"/>
  <c r="K75" i="18" s="1"/>
  <c r="L75" i="18" s="1"/>
  <c r="M75" i="18" s="1"/>
  <c r="N75" i="18" s="1"/>
  <c r="O75" i="18" s="1"/>
  <c r="P75" i="18" s="1"/>
  <c r="Q75" i="18" s="1"/>
  <c r="R75" i="18" s="1"/>
  <c r="A75" i="18"/>
  <c r="S74" i="18"/>
  <c r="G74" i="18"/>
  <c r="H74" i="18" s="1"/>
  <c r="I74" i="18" s="1"/>
  <c r="J74" i="18" s="1"/>
  <c r="K74" i="18" s="1"/>
  <c r="L74" i="18" s="1"/>
  <c r="M74" i="18" s="1"/>
  <c r="N74" i="18" s="1"/>
  <c r="O74" i="18" s="1"/>
  <c r="P74" i="18" s="1"/>
  <c r="Q74" i="18" s="1"/>
  <c r="R74" i="18" s="1"/>
  <c r="A74" i="18"/>
  <c r="S73" i="18"/>
  <c r="G73" i="18"/>
  <c r="H73" i="18" s="1"/>
  <c r="I73" i="18" s="1"/>
  <c r="J73" i="18" s="1"/>
  <c r="K73" i="18" s="1"/>
  <c r="L73" i="18" s="1"/>
  <c r="M73" i="18" s="1"/>
  <c r="N73" i="18" s="1"/>
  <c r="O73" i="18" s="1"/>
  <c r="P73" i="18" s="1"/>
  <c r="Q73" i="18" s="1"/>
  <c r="R73" i="18" s="1"/>
  <c r="A73" i="18"/>
  <c r="S72" i="18"/>
  <c r="G72" i="18"/>
  <c r="H72" i="18" s="1"/>
  <c r="I72" i="18" s="1"/>
  <c r="J72" i="18" s="1"/>
  <c r="K72" i="18" s="1"/>
  <c r="L72" i="18" s="1"/>
  <c r="M72" i="18" s="1"/>
  <c r="N72" i="18" s="1"/>
  <c r="O72" i="18" s="1"/>
  <c r="P72" i="18" s="1"/>
  <c r="Q72" i="18" s="1"/>
  <c r="R72" i="18" s="1"/>
  <c r="A72" i="18"/>
  <c r="S71" i="18"/>
  <c r="G71" i="18"/>
  <c r="H71" i="18" s="1"/>
  <c r="I71" i="18" s="1"/>
  <c r="J71" i="18" s="1"/>
  <c r="K71" i="18" s="1"/>
  <c r="L71" i="18" s="1"/>
  <c r="M71" i="18" s="1"/>
  <c r="N71" i="18" s="1"/>
  <c r="O71" i="18" s="1"/>
  <c r="P71" i="18" s="1"/>
  <c r="Q71" i="18" s="1"/>
  <c r="R71" i="18" s="1"/>
  <c r="A71" i="18"/>
  <c r="S70" i="18"/>
  <c r="G70" i="18"/>
  <c r="H70" i="18" s="1"/>
  <c r="I70" i="18" s="1"/>
  <c r="J70" i="18" s="1"/>
  <c r="K70" i="18" s="1"/>
  <c r="L70" i="18" s="1"/>
  <c r="M70" i="18" s="1"/>
  <c r="N70" i="18" s="1"/>
  <c r="O70" i="18" s="1"/>
  <c r="P70" i="18" s="1"/>
  <c r="Q70" i="18" s="1"/>
  <c r="R70" i="18" s="1"/>
  <c r="A70" i="18"/>
  <c r="S69" i="18"/>
  <c r="G69" i="18"/>
  <c r="H69" i="18" s="1"/>
  <c r="I69" i="18" s="1"/>
  <c r="J69" i="18" s="1"/>
  <c r="K69" i="18" s="1"/>
  <c r="L69" i="18" s="1"/>
  <c r="M69" i="18" s="1"/>
  <c r="N69" i="18" s="1"/>
  <c r="O69" i="18" s="1"/>
  <c r="P69" i="18" s="1"/>
  <c r="Q69" i="18" s="1"/>
  <c r="R69" i="18" s="1"/>
  <c r="A69" i="18"/>
  <c r="S68" i="18"/>
  <c r="G68" i="18"/>
  <c r="H68" i="18" s="1"/>
  <c r="I68" i="18" s="1"/>
  <c r="J68" i="18" s="1"/>
  <c r="K68" i="18" s="1"/>
  <c r="L68" i="18" s="1"/>
  <c r="M68" i="18" s="1"/>
  <c r="N68" i="18" s="1"/>
  <c r="O68" i="18" s="1"/>
  <c r="P68" i="18" s="1"/>
  <c r="Q68" i="18" s="1"/>
  <c r="R68" i="18" s="1"/>
  <c r="A68" i="18"/>
  <c r="S67" i="18"/>
  <c r="G67" i="18"/>
  <c r="H67" i="18" s="1"/>
  <c r="I67" i="18" s="1"/>
  <c r="J67" i="18" s="1"/>
  <c r="K67" i="18" s="1"/>
  <c r="L67" i="18" s="1"/>
  <c r="M67" i="18" s="1"/>
  <c r="N67" i="18" s="1"/>
  <c r="O67" i="18" s="1"/>
  <c r="P67" i="18" s="1"/>
  <c r="Q67" i="18" s="1"/>
  <c r="R67" i="18" s="1"/>
  <c r="A67" i="18"/>
  <c r="S66" i="18"/>
  <c r="G66" i="18"/>
  <c r="H66" i="18" s="1"/>
  <c r="I66" i="18" s="1"/>
  <c r="J66" i="18" s="1"/>
  <c r="K66" i="18" s="1"/>
  <c r="L66" i="18" s="1"/>
  <c r="M66" i="18" s="1"/>
  <c r="N66" i="18" s="1"/>
  <c r="O66" i="18" s="1"/>
  <c r="P66" i="18" s="1"/>
  <c r="Q66" i="18" s="1"/>
  <c r="R66" i="18" s="1"/>
  <c r="A66" i="18"/>
  <c r="S65" i="18"/>
  <c r="G65" i="18"/>
  <c r="H65" i="18" s="1"/>
  <c r="I65" i="18" s="1"/>
  <c r="J65" i="18" s="1"/>
  <c r="K65" i="18" s="1"/>
  <c r="L65" i="18" s="1"/>
  <c r="M65" i="18" s="1"/>
  <c r="N65" i="18" s="1"/>
  <c r="O65" i="18" s="1"/>
  <c r="P65" i="18" s="1"/>
  <c r="Q65" i="18" s="1"/>
  <c r="R65" i="18" s="1"/>
  <c r="A65" i="18"/>
  <c r="S64" i="18"/>
  <c r="G64" i="18"/>
  <c r="H64" i="18" s="1"/>
  <c r="I64" i="18" s="1"/>
  <c r="J64" i="18" s="1"/>
  <c r="K64" i="18" s="1"/>
  <c r="L64" i="18" s="1"/>
  <c r="M64" i="18" s="1"/>
  <c r="N64" i="18" s="1"/>
  <c r="O64" i="18" s="1"/>
  <c r="P64" i="18" s="1"/>
  <c r="Q64" i="18" s="1"/>
  <c r="R64" i="18" s="1"/>
  <c r="A64" i="18"/>
  <c r="S63" i="18"/>
  <c r="G63" i="18"/>
  <c r="H63" i="18" s="1"/>
  <c r="I63" i="18" s="1"/>
  <c r="J63" i="18" s="1"/>
  <c r="K63" i="18" s="1"/>
  <c r="L63" i="18" s="1"/>
  <c r="M63" i="18" s="1"/>
  <c r="N63" i="18" s="1"/>
  <c r="O63" i="18" s="1"/>
  <c r="P63" i="18" s="1"/>
  <c r="Q63" i="18" s="1"/>
  <c r="R63" i="18" s="1"/>
  <c r="A63" i="18"/>
  <c r="S62" i="18"/>
  <c r="G62" i="18"/>
  <c r="H62" i="18" s="1"/>
  <c r="I62" i="18" s="1"/>
  <c r="J62" i="18" s="1"/>
  <c r="K62" i="18" s="1"/>
  <c r="L62" i="18" s="1"/>
  <c r="M62" i="18" s="1"/>
  <c r="N62" i="18" s="1"/>
  <c r="O62" i="18" s="1"/>
  <c r="P62" i="18" s="1"/>
  <c r="Q62" i="18" s="1"/>
  <c r="R62" i="18" s="1"/>
  <c r="A62" i="18"/>
  <c r="S61" i="18"/>
  <c r="G61" i="18"/>
  <c r="H61" i="18" s="1"/>
  <c r="I61" i="18" s="1"/>
  <c r="J61" i="18" s="1"/>
  <c r="K61" i="18" s="1"/>
  <c r="L61" i="18" s="1"/>
  <c r="M61" i="18" s="1"/>
  <c r="N61" i="18" s="1"/>
  <c r="O61" i="18" s="1"/>
  <c r="P61" i="18" s="1"/>
  <c r="Q61" i="18" s="1"/>
  <c r="R61" i="18" s="1"/>
  <c r="A61" i="18"/>
  <c r="S60" i="18"/>
  <c r="G60" i="18"/>
  <c r="H60" i="18" s="1"/>
  <c r="I60" i="18" s="1"/>
  <c r="J60" i="18" s="1"/>
  <c r="K60" i="18" s="1"/>
  <c r="L60" i="18" s="1"/>
  <c r="M60" i="18" s="1"/>
  <c r="N60" i="18" s="1"/>
  <c r="O60" i="18" s="1"/>
  <c r="P60" i="18" s="1"/>
  <c r="Q60" i="18" s="1"/>
  <c r="R60" i="18" s="1"/>
  <c r="A60" i="18"/>
  <c r="S59" i="18"/>
  <c r="G59" i="18"/>
  <c r="H59" i="18" s="1"/>
  <c r="I59" i="18" s="1"/>
  <c r="J59" i="18" s="1"/>
  <c r="K59" i="18" s="1"/>
  <c r="L59" i="18" s="1"/>
  <c r="M59" i="18" s="1"/>
  <c r="N59" i="18" s="1"/>
  <c r="O59" i="18" s="1"/>
  <c r="P59" i="18" s="1"/>
  <c r="Q59" i="18" s="1"/>
  <c r="R59" i="18" s="1"/>
  <c r="A59" i="18"/>
  <c r="S58" i="18"/>
  <c r="G58" i="18"/>
  <c r="H58" i="18" s="1"/>
  <c r="I58" i="18" s="1"/>
  <c r="J58" i="18" s="1"/>
  <c r="K58" i="18" s="1"/>
  <c r="L58" i="18" s="1"/>
  <c r="M58" i="18" s="1"/>
  <c r="N58" i="18" s="1"/>
  <c r="O58" i="18" s="1"/>
  <c r="P58" i="18" s="1"/>
  <c r="Q58" i="18" s="1"/>
  <c r="R58" i="18" s="1"/>
  <c r="A58" i="18"/>
  <c r="S57" i="18"/>
  <c r="G57" i="18"/>
  <c r="H57" i="18" s="1"/>
  <c r="I57" i="18" s="1"/>
  <c r="J57" i="18" s="1"/>
  <c r="K57" i="18" s="1"/>
  <c r="L57" i="18" s="1"/>
  <c r="M57" i="18" s="1"/>
  <c r="N57" i="18" s="1"/>
  <c r="O57" i="18" s="1"/>
  <c r="P57" i="18" s="1"/>
  <c r="Q57" i="18" s="1"/>
  <c r="R57" i="18" s="1"/>
  <c r="A57" i="18"/>
  <c r="S56" i="18"/>
  <c r="G56" i="18"/>
  <c r="H56" i="18" s="1"/>
  <c r="I56" i="18" s="1"/>
  <c r="J56" i="18" s="1"/>
  <c r="K56" i="18" s="1"/>
  <c r="L56" i="18" s="1"/>
  <c r="M56" i="18" s="1"/>
  <c r="N56" i="18" s="1"/>
  <c r="O56" i="18" s="1"/>
  <c r="P56" i="18" s="1"/>
  <c r="Q56" i="18" s="1"/>
  <c r="R56" i="18" s="1"/>
  <c r="A56" i="18"/>
  <c r="S55" i="18"/>
  <c r="G55" i="18"/>
  <c r="H55" i="18" s="1"/>
  <c r="I55" i="18" s="1"/>
  <c r="J55" i="18" s="1"/>
  <c r="K55" i="18" s="1"/>
  <c r="L55" i="18" s="1"/>
  <c r="M55" i="18" s="1"/>
  <c r="N55" i="18" s="1"/>
  <c r="O55" i="18" s="1"/>
  <c r="P55" i="18" s="1"/>
  <c r="Q55" i="18" s="1"/>
  <c r="R55" i="18" s="1"/>
  <c r="A55" i="18"/>
  <c r="S54" i="18"/>
  <c r="G54" i="18"/>
  <c r="H54" i="18" s="1"/>
  <c r="I54" i="18" s="1"/>
  <c r="J54" i="18" s="1"/>
  <c r="K54" i="18" s="1"/>
  <c r="L54" i="18" s="1"/>
  <c r="M54" i="18" s="1"/>
  <c r="N54" i="18" s="1"/>
  <c r="O54" i="18" s="1"/>
  <c r="P54" i="18" s="1"/>
  <c r="Q54" i="18" s="1"/>
  <c r="R54" i="18" s="1"/>
  <c r="A54" i="18"/>
  <c r="S53" i="18"/>
  <c r="G53" i="18"/>
  <c r="H53" i="18" s="1"/>
  <c r="I53" i="18" s="1"/>
  <c r="J53" i="18" s="1"/>
  <c r="K53" i="18" s="1"/>
  <c r="L53" i="18" s="1"/>
  <c r="M53" i="18" s="1"/>
  <c r="N53" i="18" s="1"/>
  <c r="O53" i="18" s="1"/>
  <c r="P53" i="18" s="1"/>
  <c r="Q53" i="18" s="1"/>
  <c r="R53" i="18" s="1"/>
  <c r="A53" i="18"/>
  <c r="S52" i="18"/>
  <c r="G52" i="18"/>
  <c r="H52" i="18" s="1"/>
  <c r="I52" i="18" s="1"/>
  <c r="J52" i="18" s="1"/>
  <c r="K52" i="18" s="1"/>
  <c r="L52" i="18" s="1"/>
  <c r="M52" i="18" s="1"/>
  <c r="N52" i="18" s="1"/>
  <c r="O52" i="18" s="1"/>
  <c r="P52" i="18" s="1"/>
  <c r="Q52" i="18" s="1"/>
  <c r="R52" i="18" s="1"/>
  <c r="A52" i="18"/>
  <c r="S50" i="18"/>
  <c r="G50" i="18"/>
  <c r="H50" i="18" s="1"/>
  <c r="I50" i="18" s="1"/>
  <c r="J50" i="18" s="1"/>
  <c r="K50" i="18" s="1"/>
  <c r="L50" i="18" s="1"/>
  <c r="M50" i="18" s="1"/>
  <c r="N50" i="18" s="1"/>
  <c r="O50" i="18" s="1"/>
  <c r="P50" i="18" s="1"/>
  <c r="Q50" i="18" s="1"/>
  <c r="R50" i="18" s="1"/>
  <c r="A50" i="18"/>
  <c r="S49" i="18"/>
  <c r="G49" i="18"/>
  <c r="H49" i="18" s="1"/>
  <c r="I49" i="18" s="1"/>
  <c r="J49" i="18" s="1"/>
  <c r="K49" i="18" s="1"/>
  <c r="L49" i="18" s="1"/>
  <c r="M49" i="18" s="1"/>
  <c r="N49" i="18" s="1"/>
  <c r="O49" i="18" s="1"/>
  <c r="P49" i="18" s="1"/>
  <c r="Q49" i="18" s="1"/>
  <c r="R49" i="18" s="1"/>
  <c r="A49" i="18"/>
  <c r="S48" i="18"/>
  <c r="G48" i="18"/>
  <c r="H48" i="18" s="1"/>
  <c r="I48" i="18" s="1"/>
  <c r="J48" i="18" s="1"/>
  <c r="K48" i="18" s="1"/>
  <c r="L48" i="18" s="1"/>
  <c r="M48" i="18" s="1"/>
  <c r="N48" i="18" s="1"/>
  <c r="O48" i="18" s="1"/>
  <c r="P48" i="18" s="1"/>
  <c r="Q48" i="18" s="1"/>
  <c r="R48" i="18" s="1"/>
  <c r="A48" i="18"/>
  <c r="S47" i="18"/>
  <c r="G47" i="18"/>
  <c r="H47" i="18" s="1"/>
  <c r="I47" i="18" s="1"/>
  <c r="J47" i="18" s="1"/>
  <c r="K47" i="18" s="1"/>
  <c r="L47" i="18" s="1"/>
  <c r="M47" i="18" s="1"/>
  <c r="N47" i="18" s="1"/>
  <c r="O47" i="18" s="1"/>
  <c r="P47" i="18" s="1"/>
  <c r="Q47" i="18" s="1"/>
  <c r="R47" i="18" s="1"/>
  <c r="A47" i="18"/>
  <c r="S46" i="18"/>
  <c r="G46" i="18"/>
  <c r="H46" i="18" s="1"/>
  <c r="I46" i="18" s="1"/>
  <c r="J46" i="18" s="1"/>
  <c r="K46" i="18" s="1"/>
  <c r="L46" i="18" s="1"/>
  <c r="M46" i="18" s="1"/>
  <c r="N46" i="18" s="1"/>
  <c r="O46" i="18" s="1"/>
  <c r="P46" i="18" s="1"/>
  <c r="Q46" i="18" s="1"/>
  <c r="R46" i="18" s="1"/>
  <c r="A46" i="18"/>
  <c r="S45" i="18"/>
  <c r="G45" i="18"/>
  <c r="H45" i="18" s="1"/>
  <c r="I45" i="18" s="1"/>
  <c r="J45" i="18" s="1"/>
  <c r="K45" i="18" s="1"/>
  <c r="L45" i="18" s="1"/>
  <c r="M45" i="18" s="1"/>
  <c r="N45" i="18" s="1"/>
  <c r="O45" i="18" s="1"/>
  <c r="P45" i="18" s="1"/>
  <c r="Q45" i="18" s="1"/>
  <c r="R45" i="18" s="1"/>
  <c r="A45" i="18"/>
  <c r="S44" i="18"/>
  <c r="G44" i="18"/>
  <c r="H44" i="18" s="1"/>
  <c r="I44" i="18" s="1"/>
  <c r="J44" i="18" s="1"/>
  <c r="K44" i="18" s="1"/>
  <c r="L44" i="18" s="1"/>
  <c r="M44" i="18" s="1"/>
  <c r="N44" i="18" s="1"/>
  <c r="O44" i="18" s="1"/>
  <c r="P44" i="18" s="1"/>
  <c r="Q44" i="18" s="1"/>
  <c r="R44" i="18" s="1"/>
  <c r="A44" i="18"/>
  <c r="S43" i="18"/>
  <c r="G43" i="18"/>
  <c r="H43" i="18" s="1"/>
  <c r="I43" i="18" s="1"/>
  <c r="J43" i="18" s="1"/>
  <c r="K43" i="18" s="1"/>
  <c r="L43" i="18" s="1"/>
  <c r="M43" i="18" s="1"/>
  <c r="N43" i="18" s="1"/>
  <c r="O43" i="18" s="1"/>
  <c r="P43" i="18" s="1"/>
  <c r="Q43" i="18" s="1"/>
  <c r="R43" i="18" s="1"/>
  <c r="A43" i="18"/>
  <c r="S42" i="18"/>
  <c r="G42" i="18"/>
  <c r="H42" i="18" s="1"/>
  <c r="I42" i="18" s="1"/>
  <c r="J42" i="18" s="1"/>
  <c r="K42" i="18" s="1"/>
  <c r="L42" i="18" s="1"/>
  <c r="M42" i="18" s="1"/>
  <c r="N42" i="18" s="1"/>
  <c r="O42" i="18" s="1"/>
  <c r="P42" i="18" s="1"/>
  <c r="Q42" i="18" s="1"/>
  <c r="R42" i="18" s="1"/>
  <c r="A42" i="18"/>
  <c r="S41" i="18"/>
  <c r="G41" i="18"/>
  <c r="H41" i="18" s="1"/>
  <c r="I41" i="18" s="1"/>
  <c r="J41" i="18" s="1"/>
  <c r="K41" i="18" s="1"/>
  <c r="L41" i="18" s="1"/>
  <c r="M41" i="18" s="1"/>
  <c r="N41" i="18" s="1"/>
  <c r="O41" i="18" s="1"/>
  <c r="P41" i="18" s="1"/>
  <c r="Q41" i="18" s="1"/>
  <c r="R41" i="18" s="1"/>
  <c r="A41" i="18"/>
  <c r="S40" i="18"/>
  <c r="G40" i="18"/>
  <c r="H40" i="18" s="1"/>
  <c r="I40" i="18" s="1"/>
  <c r="J40" i="18" s="1"/>
  <c r="K40" i="18" s="1"/>
  <c r="L40" i="18" s="1"/>
  <c r="M40" i="18" s="1"/>
  <c r="N40" i="18" s="1"/>
  <c r="O40" i="18" s="1"/>
  <c r="P40" i="18" s="1"/>
  <c r="Q40" i="18" s="1"/>
  <c r="R40" i="18" s="1"/>
  <c r="A40" i="18"/>
  <c r="S39" i="18"/>
  <c r="G39" i="18"/>
  <c r="H39" i="18" s="1"/>
  <c r="I39" i="18" s="1"/>
  <c r="J39" i="18" s="1"/>
  <c r="K39" i="18" s="1"/>
  <c r="L39" i="18" s="1"/>
  <c r="M39" i="18" s="1"/>
  <c r="N39" i="18" s="1"/>
  <c r="O39" i="18" s="1"/>
  <c r="P39" i="18" s="1"/>
  <c r="Q39" i="18" s="1"/>
  <c r="R39" i="18" s="1"/>
  <c r="A39" i="18"/>
  <c r="S38" i="18"/>
  <c r="G38" i="18"/>
  <c r="H38" i="18" s="1"/>
  <c r="I38" i="18" s="1"/>
  <c r="J38" i="18" s="1"/>
  <c r="K38" i="18" s="1"/>
  <c r="L38" i="18" s="1"/>
  <c r="M38" i="18" s="1"/>
  <c r="N38" i="18" s="1"/>
  <c r="O38" i="18" s="1"/>
  <c r="P38" i="18" s="1"/>
  <c r="Q38" i="18" s="1"/>
  <c r="R38" i="18" s="1"/>
  <c r="A38" i="18"/>
  <c r="S37" i="18"/>
  <c r="G37" i="18"/>
  <c r="H37" i="18" s="1"/>
  <c r="I37" i="18" s="1"/>
  <c r="J37" i="18" s="1"/>
  <c r="K37" i="18" s="1"/>
  <c r="L37" i="18" s="1"/>
  <c r="M37" i="18" s="1"/>
  <c r="N37" i="18" s="1"/>
  <c r="O37" i="18" s="1"/>
  <c r="P37" i="18" s="1"/>
  <c r="Q37" i="18" s="1"/>
  <c r="R37" i="18" s="1"/>
  <c r="A37" i="18"/>
  <c r="S36" i="18"/>
  <c r="G36" i="18"/>
  <c r="H36" i="18" s="1"/>
  <c r="I36" i="18" s="1"/>
  <c r="J36" i="18" s="1"/>
  <c r="K36" i="18" s="1"/>
  <c r="L36" i="18" s="1"/>
  <c r="M36" i="18" s="1"/>
  <c r="N36" i="18" s="1"/>
  <c r="O36" i="18" s="1"/>
  <c r="P36" i="18" s="1"/>
  <c r="Q36" i="18" s="1"/>
  <c r="R36" i="18" s="1"/>
  <c r="A36" i="18"/>
  <c r="S35" i="18"/>
  <c r="G35" i="18"/>
  <c r="H35" i="18" s="1"/>
  <c r="I35" i="18" s="1"/>
  <c r="J35" i="18" s="1"/>
  <c r="K35" i="18" s="1"/>
  <c r="L35" i="18" s="1"/>
  <c r="M35" i="18" s="1"/>
  <c r="N35" i="18" s="1"/>
  <c r="O35" i="18" s="1"/>
  <c r="P35" i="18" s="1"/>
  <c r="Q35" i="18" s="1"/>
  <c r="R35" i="18" s="1"/>
  <c r="A35" i="18"/>
  <c r="S33" i="18"/>
  <c r="G33" i="18"/>
  <c r="H33" i="18" s="1"/>
  <c r="I33" i="18" s="1"/>
  <c r="J33" i="18" s="1"/>
  <c r="K33" i="18" s="1"/>
  <c r="L33" i="18" s="1"/>
  <c r="M33" i="18" s="1"/>
  <c r="N33" i="18" s="1"/>
  <c r="O33" i="18" s="1"/>
  <c r="P33" i="18" s="1"/>
  <c r="Q33" i="18" s="1"/>
  <c r="R33" i="18" s="1"/>
  <c r="A33" i="18"/>
  <c r="S32" i="18"/>
  <c r="G32" i="18"/>
  <c r="H32" i="18" s="1"/>
  <c r="I32" i="18" s="1"/>
  <c r="J32" i="18" s="1"/>
  <c r="K32" i="18" s="1"/>
  <c r="L32" i="18" s="1"/>
  <c r="M32" i="18" s="1"/>
  <c r="N32" i="18" s="1"/>
  <c r="O32" i="18" s="1"/>
  <c r="P32" i="18" s="1"/>
  <c r="Q32" i="18" s="1"/>
  <c r="R32" i="18" s="1"/>
  <c r="A32" i="18"/>
  <c r="S31" i="18"/>
  <c r="G31" i="18"/>
  <c r="H31" i="18" s="1"/>
  <c r="I31" i="18" s="1"/>
  <c r="J31" i="18" s="1"/>
  <c r="K31" i="18" s="1"/>
  <c r="L31" i="18" s="1"/>
  <c r="M31" i="18" s="1"/>
  <c r="N31" i="18" s="1"/>
  <c r="O31" i="18" s="1"/>
  <c r="P31" i="18" s="1"/>
  <c r="Q31" i="18" s="1"/>
  <c r="R31" i="18" s="1"/>
  <c r="A31" i="18"/>
  <c r="S30" i="18"/>
  <c r="G30" i="18"/>
  <c r="H30" i="18" s="1"/>
  <c r="I30" i="18" s="1"/>
  <c r="J30" i="18" s="1"/>
  <c r="K30" i="18" s="1"/>
  <c r="L30" i="18" s="1"/>
  <c r="M30" i="18" s="1"/>
  <c r="N30" i="18" s="1"/>
  <c r="O30" i="18" s="1"/>
  <c r="P30" i="18" s="1"/>
  <c r="Q30" i="18" s="1"/>
  <c r="R30" i="18" s="1"/>
  <c r="A30" i="18"/>
  <c r="S28" i="18"/>
  <c r="G28" i="18"/>
  <c r="H28" i="18" s="1"/>
  <c r="I28" i="18" s="1"/>
  <c r="J28" i="18" s="1"/>
  <c r="K28" i="18" s="1"/>
  <c r="L28" i="18" s="1"/>
  <c r="M28" i="18" s="1"/>
  <c r="N28" i="18" s="1"/>
  <c r="O28" i="18" s="1"/>
  <c r="P28" i="18" s="1"/>
  <c r="Q28" i="18" s="1"/>
  <c r="R28" i="18" s="1"/>
  <c r="A28" i="18"/>
  <c r="S27" i="18"/>
  <c r="G27" i="18"/>
  <c r="H27" i="18" s="1"/>
  <c r="I27" i="18" s="1"/>
  <c r="J27" i="18" s="1"/>
  <c r="K27" i="18" s="1"/>
  <c r="L27" i="18" s="1"/>
  <c r="M27" i="18" s="1"/>
  <c r="N27" i="18" s="1"/>
  <c r="O27" i="18" s="1"/>
  <c r="P27" i="18" s="1"/>
  <c r="Q27" i="18" s="1"/>
  <c r="R27" i="18" s="1"/>
  <c r="A27" i="18"/>
  <c r="S26" i="18"/>
  <c r="G26" i="18"/>
  <c r="H26" i="18" s="1"/>
  <c r="I26" i="18" s="1"/>
  <c r="J26" i="18" s="1"/>
  <c r="K26" i="18" s="1"/>
  <c r="L26" i="18" s="1"/>
  <c r="M26" i="18" s="1"/>
  <c r="N26" i="18" s="1"/>
  <c r="O26" i="18" s="1"/>
  <c r="P26" i="18" s="1"/>
  <c r="Q26" i="18" s="1"/>
  <c r="R26" i="18" s="1"/>
  <c r="A26" i="18"/>
  <c r="S25" i="18"/>
  <c r="G25" i="18"/>
  <c r="H25" i="18" s="1"/>
  <c r="I25" i="18" s="1"/>
  <c r="J25" i="18" s="1"/>
  <c r="K25" i="18" s="1"/>
  <c r="L25" i="18" s="1"/>
  <c r="M25" i="18" s="1"/>
  <c r="N25" i="18" s="1"/>
  <c r="O25" i="18" s="1"/>
  <c r="P25" i="18" s="1"/>
  <c r="Q25" i="18" s="1"/>
  <c r="R25" i="18" s="1"/>
  <c r="A25" i="18"/>
  <c r="S24" i="18"/>
  <c r="G24" i="18"/>
  <c r="H24" i="18" s="1"/>
  <c r="I24" i="18" s="1"/>
  <c r="J24" i="18" s="1"/>
  <c r="K24" i="18" s="1"/>
  <c r="L24" i="18" s="1"/>
  <c r="M24" i="18" s="1"/>
  <c r="N24" i="18" s="1"/>
  <c r="O24" i="18" s="1"/>
  <c r="P24" i="18" s="1"/>
  <c r="Q24" i="18" s="1"/>
  <c r="R24" i="18" s="1"/>
  <c r="A24" i="18"/>
  <c r="S23" i="18"/>
  <c r="G23" i="18"/>
  <c r="H23" i="18" s="1"/>
  <c r="I23" i="18" s="1"/>
  <c r="J23" i="18" s="1"/>
  <c r="K23" i="18" s="1"/>
  <c r="L23" i="18" s="1"/>
  <c r="M23" i="18" s="1"/>
  <c r="N23" i="18" s="1"/>
  <c r="O23" i="18" s="1"/>
  <c r="P23" i="18" s="1"/>
  <c r="Q23" i="18" s="1"/>
  <c r="R23" i="18" s="1"/>
  <c r="A23" i="18"/>
  <c r="S22" i="18"/>
  <c r="G22" i="18"/>
  <c r="H22" i="18" s="1"/>
  <c r="I22" i="18" s="1"/>
  <c r="J22" i="18" s="1"/>
  <c r="K22" i="18" s="1"/>
  <c r="L22" i="18" s="1"/>
  <c r="M22" i="18" s="1"/>
  <c r="N22" i="18" s="1"/>
  <c r="O22" i="18" s="1"/>
  <c r="P22" i="18" s="1"/>
  <c r="Q22" i="18" s="1"/>
  <c r="R22" i="18" s="1"/>
  <c r="A22" i="18"/>
  <c r="S21" i="18"/>
  <c r="G21" i="18"/>
  <c r="H21" i="18" s="1"/>
  <c r="I21" i="18" s="1"/>
  <c r="J21" i="18" s="1"/>
  <c r="K21" i="18" s="1"/>
  <c r="L21" i="18" s="1"/>
  <c r="M21" i="18" s="1"/>
  <c r="N21" i="18" s="1"/>
  <c r="O21" i="18" s="1"/>
  <c r="P21" i="18" s="1"/>
  <c r="Q21" i="18" s="1"/>
  <c r="R21" i="18" s="1"/>
  <c r="A21" i="18"/>
  <c r="S20" i="18"/>
  <c r="G20" i="18"/>
  <c r="H20" i="18" s="1"/>
  <c r="I20" i="18" s="1"/>
  <c r="J20" i="18" s="1"/>
  <c r="K20" i="18" s="1"/>
  <c r="L20" i="18" s="1"/>
  <c r="M20" i="18" s="1"/>
  <c r="N20" i="18" s="1"/>
  <c r="O20" i="18" s="1"/>
  <c r="P20" i="18" s="1"/>
  <c r="Q20" i="18" s="1"/>
  <c r="R20" i="18" s="1"/>
  <c r="A20" i="18"/>
  <c r="S19" i="18"/>
  <c r="G19" i="18"/>
  <c r="H19" i="18" s="1"/>
  <c r="I19" i="18" s="1"/>
  <c r="J19" i="18" s="1"/>
  <c r="K19" i="18" s="1"/>
  <c r="L19" i="18" s="1"/>
  <c r="M19" i="18" s="1"/>
  <c r="N19" i="18" s="1"/>
  <c r="O19" i="18" s="1"/>
  <c r="P19" i="18" s="1"/>
  <c r="Q19" i="18" s="1"/>
  <c r="R19" i="18" s="1"/>
  <c r="A19" i="18"/>
  <c r="S18" i="18"/>
  <c r="G18" i="18"/>
  <c r="H18" i="18" s="1"/>
  <c r="I18" i="18" s="1"/>
  <c r="J18" i="18" s="1"/>
  <c r="K18" i="18" s="1"/>
  <c r="L18" i="18" s="1"/>
  <c r="M18" i="18" s="1"/>
  <c r="N18" i="18" s="1"/>
  <c r="O18" i="18" s="1"/>
  <c r="P18" i="18" s="1"/>
  <c r="Q18" i="18" s="1"/>
  <c r="R18" i="18" s="1"/>
  <c r="A18" i="18"/>
  <c r="S17" i="18"/>
  <c r="G17" i="18"/>
  <c r="H17" i="18" s="1"/>
  <c r="I17" i="18" s="1"/>
  <c r="J17" i="18" s="1"/>
  <c r="K17" i="18" s="1"/>
  <c r="L17" i="18" s="1"/>
  <c r="M17" i="18" s="1"/>
  <c r="N17" i="18" s="1"/>
  <c r="O17" i="18" s="1"/>
  <c r="P17" i="18" s="1"/>
  <c r="Q17" i="18" s="1"/>
  <c r="R17" i="18" s="1"/>
  <c r="A17" i="18"/>
  <c r="S16" i="18"/>
  <c r="G16" i="18"/>
  <c r="H16" i="18" s="1"/>
  <c r="I16" i="18" s="1"/>
  <c r="J16" i="18" s="1"/>
  <c r="K16" i="18" s="1"/>
  <c r="L16" i="18" s="1"/>
  <c r="M16" i="18" s="1"/>
  <c r="N16" i="18" s="1"/>
  <c r="O16" i="18" s="1"/>
  <c r="P16" i="18" s="1"/>
  <c r="Q16" i="18" s="1"/>
  <c r="R16" i="18" s="1"/>
  <c r="A16" i="18"/>
  <c r="S15" i="18"/>
  <c r="G15" i="18"/>
  <c r="H15" i="18" s="1"/>
  <c r="I15" i="18" s="1"/>
  <c r="J15" i="18" s="1"/>
  <c r="K15" i="18" s="1"/>
  <c r="L15" i="18" s="1"/>
  <c r="M15" i="18" s="1"/>
  <c r="N15" i="18" s="1"/>
  <c r="O15" i="18" s="1"/>
  <c r="P15" i="18" s="1"/>
  <c r="Q15" i="18" s="1"/>
  <c r="R15" i="18" s="1"/>
  <c r="A15" i="18"/>
  <c r="S14" i="18"/>
  <c r="G14" i="18"/>
  <c r="H14" i="18" s="1"/>
  <c r="I14" i="18" s="1"/>
  <c r="J14" i="18" s="1"/>
  <c r="K14" i="18" s="1"/>
  <c r="L14" i="18" s="1"/>
  <c r="M14" i="18" s="1"/>
  <c r="N14" i="18" s="1"/>
  <c r="O14" i="18" s="1"/>
  <c r="P14" i="18" s="1"/>
  <c r="Q14" i="18" s="1"/>
  <c r="R14" i="18" s="1"/>
  <c r="A14" i="18"/>
  <c r="S13" i="18"/>
  <c r="G13" i="18"/>
  <c r="H13" i="18" s="1"/>
  <c r="I13" i="18" s="1"/>
  <c r="J13" i="18" s="1"/>
  <c r="K13" i="18" s="1"/>
  <c r="L13" i="18" s="1"/>
  <c r="M13" i="18" s="1"/>
  <c r="N13" i="18" s="1"/>
  <c r="O13" i="18" s="1"/>
  <c r="P13" i="18" s="1"/>
  <c r="Q13" i="18" s="1"/>
  <c r="R13" i="18" s="1"/>
  <c r="A13" i="18"/>
  <c r="S12" i="18"/>
  <c r="G12" i="18"/>
  <c r="H12" i="18" s="1"/>
  <c r="I12" i="18" s="1"/>
  <c r="J12" i="18" s="1"/>
  <c r="K12" i="18" s="1"/>
  <c r="L12" i="18" s="1"/>
  <c r="M12" i="18" s="1"/>
  <c r="N12" i="18" s="1"/>
  <c r="O12" i="18" s="1"/>
  <c r="P12" i="18" s="1"/>
  <c r="Q12" i="18" s="1"/>
  <c r="R12" i="18" s="1"/>
  <c r="A12" i="18"/>
  <c r="S9" i="18"/>
  <c r="G9" i="18"/>
  <c r="H9" i="18" s="1"/>
  <c r="I9" i="18" s="1"/>
  <c r="J9" i="18" s="1"/>
  <c r="K9" i="18" s="1"/>
  <c r="L9" i="18" s="1"/>
  <c r="M9" i="18" s="1"/>
  <c r="N9" i="18" s="1"/>
  <c r="O9" i="18" s="1"/>
  <c r="P9" i="18" s="1"/>
  <c r="Q9" i="18" s="1"/>
  <c r="R9" i="18" s="1"/>
  <c r="A9" i="18"/>
  <c r="S8" i="18"/>
  <c r="G8" i="18"/>
  <c r="H8" i="18" s="1"/>
  <c r="I8" i="18" s="1"/>
  <c r="J8" i="18" s="1"/>
  <c r="K8" i="18" s="1"/>
  <c r="L8" i="18" s="1"/>
  <c r="M8" i="18" s="1"/>
  <c r="N8" i="18" s="1"/>
  <c r="O8" i="18" s="1"/>
  <c r="P8" i="18" s="1"/>
  <c r="Q8" i="18" s="1"/>
  <c r="R8" i="18" s="1"/>
  <c r="A8" i="18"/>
  <c r="S7" i="18"/>
  <c r="G7" i="18"/>
  <c r="H7" i="18" s="1"/>
  <c r="I7" i="18" s="1"/>
  <c r="J7" i="18" s="1"/>
  <c r="K7" i="18" s="1"/>
  <c r="L7" i="18" s="1"/>
  <c r="M7" i="18" s="1"/>
  <c r="N7" i="18" s="1"/>
  <c r="O7" i="18" s="1"/>
  <c r="P7" i="18" s="1"/>
  <c r="Q7" i="18" s="1"/>
  <c r="R7" i="18" s="1"/>
  <c r="A7" i="18"/>
  <c r="S6" i="18"/>
  <c r="G6" i="18"/>
  <c r="H6" i="18" s="1"/>
  <c r="I6" i="18" s="1"/>
  <c r="J6" i="18" s="1"/>
  <c r="K6" i="18" s="1"/>
  <c r="L6" i="18" s="1"/>
  <c r="M6" i="18" s="1"/>
  <c r="N6" i="18" s="1"/>
  <c r="O6" i="18" s="1"/>
  <c r="P6" i="18" s="1"/>
  <c r="Q6" i="18" s="1"/>
  <c r="R6" i="18" s="1"/>
  <c r="A6" i="18"/>
  <c r="S5" i="18"/>
  <c r="G5" i="18"/>
  <c r="H5" i="18" s="1"/>
  <c r="I5" i="18" s="1"/>
  <c r="J5" i="18" s="1"/>
  <c r="K5" i="18" s="1"/>
  <c r="L5" i="18" s="1"/>
  <c r="M5" i="18" s="1"/>
  <c r="N5" i="18" s="1"/>
  <c r="O5" i="18" s="1"/>
  <c r="P5" i="18" s="1"/>
  <c r="Q5" i="18" s="1"/>
  <c r="R5" i="18" s="1"/>
  <c r="B5" i="18"/>
  <c r="B6" i="18" s="1"/>
  <c r="B7" i="18" s="1"/>
  <c r="B8" i="18" s="1"/>
  <c r="B9" i="18" s="1"/>
  <c r="A5" i="18"/>
  <c r="S4" i="18"/>
  <c r="G4" i="18"/>
  <c r="H4" i="18" s="1"/>
  <c r="A4" i="18"/>
  <c r="I3" i="18"/>
  <c r="J3" i="18" s="1"/>
  <c r="K3" i="18" s="1"/>
  <c r="L3" i="18" s="1"/>
  <c r="M3" i="18" s="1"/>
  <c r="N3" i="18" s="1"/>
  <c r="O3" i="18" s="1"/>
  <c r="P3" i="18" s="1"/>
  <c r="Q3" i="18" s="1"/>
  <c r="R3" i="18" s="1"/>
  <c r="J113" i="19" l="1"/>
  <c r="Q113" i="19" s="1"/>
  <c r="J116" i="19"/>
  <c r="Q116" i="19" s="1"/>
  <c r="J114" i="19"/>
  <c r="Q114" i="19" s="1"/>
  <c r="J106" i="19"/>
  <c r="Q106" i="19" s="1"/>
  <c r="J84" i="19"/>
  <c r="Q84" i="19" s="1"/>
  <c r="J105" i="19"/>
  <c r="Q105" i="19" s="1"/>
  <c r="J98" i="19"/>
  <c r="Q98" i="19" s="1"/>
  <c r="J101" i="19"/>
  <c r="Q101" i="19" s="1"/>
  <c r="J85" i="19"/>
  <c r="Q85" i="19" s="1"/>
  <c r="J110" i="19"/>
  <c r="Q110" i="19" s="1"/>
  <c r="J115" i="19"/>
  <c r="Q115" i="19" s="1"/>
  <c r="J97" i="19"/>
  <c r="Q97" i="19" s="1"/>
  <c r="J89" i="19"/>
  <c r="Q89" i="19" s="1"/>
  <c r="J82" i="19"/>
  <c r="Q82" i="19" s="1"/>
  <c r="J100" i="19"/>
  <c r="Q100" i="19" s="1"/>
  <c r="J104" i="19"/>
  <c r="Q104" i="19" s="1"/>
  <c r="J92" i="19"/>
  <c r="Q92" i="19" s="1"/>
  <c r="J108" i="19"/>
  <c r="Q108" i="19" s="1"/>
  <c r="J86" i="19"/>
  <c r="Q86" i="19" s="1"/>
  <c r="J103" i="19"/>
  <c r="Q103" i="19" s="1"/>
  <c r="J112" i="19"/>
  <c r="Q112" i="19" s="1"/>
  <c r="J91" i="19"/>
  <c r="Q91" i="19" s="1"/>
  <c r="J88" i="19"/>
  <c r="Q88" i="19" s="1"/>
  <c r="J94" i="19"/>
  <c r="Q94" i="19" s="1"/>
  <c r="J107" i="19"/>
  <c r="Q107" i="19" s="1"/>
  <c r="J90" i="19"/>
  <c r="Q90" i="19" s="1"/>
  <c r="J109" i="19"/>
  <c r="Q109" i="19" s="1"/>
  <c r="J111" i="19"/>
  <c r="Q111" i="19" s="1"/>
  <c r="J102" i="19"/>
  <c r="Q102" i="19" s="1"/>
  <c r="J95" i="19"/>
  <c r="Q95" i="19" s="1"/>
  <c r="J83" i="19"/>
  <c r="Q83" i="19" s="1"/>
  <c r="J87" i="19"/>
  <c r="Q87" i="19" s="1"/>
  <c r="J93" i="19"/>
  <c r="Q93" i="19" s="1"/>
  <c r="J96" i="19"/>
  <c r="Q96" i="19" s="1"/>
  <c r="J99" i="19"/>
  <c r="Q99" i="19" s="1"/>
  <c r="V110" i="19"/>
  <c r="V111" i="19"/>
  <c r="V105" i="19"/>
  <c r="V101" i="19"/>
  <c r="V99" i="19"/>
  <c r="V112" i="19"/>
  <c r="V86" i="19"/>
  <c r="V115" i="19"/>
  <c r="V106" i="19"/>
  <c r="V91" i="19"/>
  <c r="V103" i="19"/>
  <c r="V89" i="19"/>
  <c r="V116" i="19"/>
  <c r="V90" i="19"/>
  <c r="V92" i="19"/>
  <c r="V84" i="19"/>
  <c r="V108" i="19"/>
  <c r="V96" i="19"/>
  <c r="V109" i="19"/>
  <c r="V97" i="19"/>
  <c r="X103" i="19"/>
  <c r="V94" i="19"/>
  <c r="V93" i="19"/>
  <c r="V107" i="19"/>
  <c r="X100" i="19"/>
  <c r="V98" i="19"/>
  <c r="V100" i="19"/>
  <c r="V102" i="19"/>
  <c r="V95" i="19"/>
  <c r="V85" i="19"/>
  <c r="V83" i="19"/>
  <c r="V87" i="19"/>
  <c r="V104" i="19"/>
  <c r="V88" i="19"/>
  <c r="V82" i="19"/>
  <c r="X107" i="19"/>
  <c r="X96" i="19"/>
  <c r="X92" i="19"/>
  <c r="X98" i="19"/>
  <c r="X104" i="19"/>
  <c r="X112" i="19"/>
  <c r="X84" i="19"/>
  <c r="X102" i="19"/>
  <c r="X87" i="19"/>
  <c r="X115" i="19"/>
  <c r="X108" i="19"/>
  <c r="X116" i="19"/>
  <c r="X109" i="19"/>
  <c r="X106" i="19"/>
  <c r="X110" i="19"/>
  <c r="X89" i="19"/>
  <c r="X86" i="19"/>
  <c r="X83" i="19"/>
  <c r="X93" i="19"/>
  <c r="X97" i="19"/>
  <c r="X90" i="19"/>
  <c r="X95" i="19"/>
  <c r="X82" i="19"/>
  <c r="X105" i="19"/>
  <c r="X99" i="19"/>
  <c r="X94" i="19"/>
  <c r="X88" i="19"/>
  <c r="X85" i="19"/>
  <c r="X101" i="19"/>
  <c r="X91" i="19"/>
  <c r="X111" i="19"/>
  <c r="V9" i="19"/>
  <c r="V7" i="19"/>
  <c r="S25" i="19"/>
  <c r="U25" i="19" s="1"/>
  <c r="S37" i="19"/>
  <c r="U37" i="19" s="1"/>
  <c r="T53" i="19"/>
  <c r="S49" i="19"/>
  <c r="U49" i="19" s="1"/>
  <c r="T68" i="19"/>
  <c r="U68" i="19" s="1"/>
  <c r="T69" i="19"/>
  <c r="T60" i="19"/>
  <c r="U60" i="19" s="1"/>
  <c r="B14" i="18"/>
  <c r="B10" i="18"/>
  <c r="G65" i="19"/>
  <c r="M65" i="19" s="1"/>
  <c r="S29" i="19"/>
  <c r="U29" i="19" s="1"/>
  <c r="T9" i="19"/>
  <c r="T61" i="19"/>
  <c r="G57" i="19"/>
  <c r="M57" i="19" s="1"/>
  <c r="V8" i="19"/>
  <c r="T24" i="19"/>
  <c r="U24" i="19" s="1"/>
  <c r="V12" i="19"/>
  <c r="S9" i="19"/>
  <c r="T45" i="19"/>
  <c r="U45" i="19" s="1"/>
  <c r="T48" i="19"/>
  <c r="U48" i="19" s="1"/>
  <c r="S53" i="19"/>
  <c r="T56" i="19"/>
  <c r="U56" i="19" s="1"/>
  <c r="T64" i="19"/>
  <c r="U64" i="19" s="1"/>
  <c r="T12" i="19"/>
  <c r="U12" i="19" s="1"/>
  <c r="S20" i="19"/>
  <c r="U20" i="19" s="1"/>
  <c r="T44" i="19"/>
  <c r="U44" i="19" s="1"/>
  <c r="S8" i="19"/>
  <c r="U8" i="19" s="1"/>
  <c r="S28" i="19"/>
  <c r="U28" i="19" s="1"/>
  <c r="T32" i="19"/>
  <c r="U32" i="19" s="1"/>
  <c r="S36" i="19"/>
  <c r="U36" i="19" s="1"/>
  <c r="S52" i="19"/>
  <c r="U52" i="19" s="1"/>
  <c r="S76" i="19"/>
  <c r="G56" i="19"/>
  <c r="L56" i="19" s="1"/>
  <c r="G60" i="19"/>
  <c r="L60" i="19" s="1"/>
  <c r="G64" i="19"/>
  <c r="L64" i="19" s="1"/>
  <c r="G68" i="19"/>
  <c r="M68" i="19" s="1"/>
  <c r="S72" i="19"/>
  <c r="T72" i="19"/>
  <c r="T76" i="19"/>
  <c r="S65" i="19"/>
  <c r="U65" i="19" s="1"/>
  <c r="S69" i="19"/>
  <c r="S21" i="19"/>
  <c r="U21" i="19" s="1"/>
  <c r="S33" i="19"/>
  <c r="U33" i="19" s="1"/>
  <c r="S57" i="19"/>
  <c r="U57" i="19" s="1"/>
  <c r="S61" i="19"/>
  <c r="R152" i="18"/>
  <c r="D117" i="19"/>
  <c r="M72" i="19"/>
  <c r="K72" i="19"/>
  <c r="R72" i="19" s="1"/>
  <c r="M61" i="19"/>
  <c r="K61" i="19"/>
  <c r="R61" i="19" s="1"/>
  <c r="J79" i="19"/>
  <c r="Q79" i="19" s="1"/>
  <c r="I71" i="19"/>
  <c r="P71" i="19" s="1"/>
  <c r="J71" i="19"/>
  <c r="Q71" i="19" s="1"/>
  <c r="H71" i="19"/>
  <c r="O71" i="19" s="1"/>
  <c r="J63" i="19"/>
  <c r="Q63" i="19" s="1"/>
  <c r="J55" i="19"/>
  <c r="Q55" i="19" s="1"/>
  <c r="T11" i="19"/>
  <c r="S19" i="19"/>
  <c r="U19" i="19" s="1"/>
  <c r="M53" i="19"/>
  <c r="K53" i="19"/>
  <c r="R53" i="19" s="1"/>
  <c r="M76" i="19"/>
  <c r="K76" i="19"/>
  <c r="R76" i="19" s="1"/>
  <c r="J78" i="19"/>
  <c r="Q78" i="19" s="1"/>
  <c r="J70" i="19"/>
  <c r="Q70" i="19" s="1"/>
  <c r="J58" i="19"/>
  <c r="Q58" i="19" s="1"/>
  <c r="J46" i="19"/>
  <c r="Q46" i="19" s="1"/>
  <c r="T42" i="19"/>
  <c r="I42" i="19"/>
  <c r="P42" i="19" s="1"/>
  <c r="J42" i="19"/>
  <c r="Q42" i="19" s="1"/>
  <c r="H42" i="19"/>
  <c r="O42" i="19" s="1"/>
  <c r="I34" i="19"/>
  <c r="P34" i="19" s="1"/>
  <c r="J34" i="19"/>
  <c r="Q34" i="19" s="1"/>
  <c r="H34" i="19"/>
  <c r="O34" i="19" s="1"/>
  <c r="I26" i="19"/>
  <c r="P26" i="19" s="1"/>
  <c r="J26" i="19"/>
  <c r="Q26" i="19" s="1"/>
  <c r="H26" i="19"/>
  <c r="O26" i="19" s="1"/>
  <c r="I18" i="19"/>
  <c r="P18" i="19" s="1"/>
  <c r="J18" i="19"/>
  <c r="Q18" i="19" s="1"/>
  <c r="H18" i="19"/>
  <c r="O18" i="19" s="1"/>
  <c r="T10" i="19"/>
  <c r="I10" i="19"/>
  <c r="P10" i="19" s="1"/>
  <c r="J10" i="19"/>
  <c r="Q10" i="19" s="1"/>
  <c r="H10" i="19"/>
  <c r="O10" i="19" s="1"/>
  <c r="S7" i="19"/>
  <c r="V11" i="19"/>
  <c r="T31" i="19"/>
  <c r="S43" i="19"/>
  <c r="U43" i="19" s="1"/>
  <c r="G55" i="19"/>
  <c r="S55" i="19"/>
  <c r="G59" i="19"/>
  <c r="G63" i="19"/>
  <c r="S63" i="19"/>
  <c r="G67" i="19"/>
  <c r="M69" i="19"/>
  <c r="K69" i="19"/>
  <c r="R69" i="19" s="1"/>
  <c r="J81" i="19"/>
  <c r="Q81" i="19" s="1"/>
  <c r="J77" i="19"/>
  <c r="Q77" i="19" s="1"/>
  <c r="T73" i="19"/>
  <c r="J73" i="19"/>
  <c r="Q73" i="19" s="1"/>
  <c r="I73" i="19"/>
  <c r="P73" i="19" s="1"/>
  <c r="H73" i="19"/>
  <c r="O73" i="19" s="1"/>
  <c r="J69" i="19"/>
  <c r="Q69" i="19" s="1"/>
  <c r="J65" i="19"/>
  <c r="Q65" i="19" s="1"/>
  <c r="J57" i="19"/>
  <c r="Q57" i="19" s="1"/>
  <c r="J53" i="19"/>
  <c r="Q53" i="19" s="1"/>
  <c r="J49" i="19"/>
  <c r="Q49" i="19" s="1"/>
  <c r="I49" i="19"/>
  <c r="P49" i="19" s="1"/>
  <c r="H49" i="19"/>
  <c r="O49" i="19" s="1"/>
  <c r="J45" i="19"/>
  <c r="Q45" i="19" s="1"/>
  <c r="J41" i="19"/>
  <c r="Q41" i="19" s="1"/>
  <c r="J37" i="19"/>
  <c r="Q37" i="19" s="1"/>
  <c r="J33" i="19"/>
  <c r="Q33" i="19" s="1"/>
  <c r="J29" i="19"/>
  <c r="Q29" i="19" s="1"/>
  <c r="J25" i="19"/>
  <c r="Q25" i="19" s="1"/>
  <c r="J21" i="19"/>
  <c r="Q21" i="19" s="1"/>
  <c r="J17" i="19"/>
  <c r="Q17" i="19" s="1"/>
  <c r="J13" i="19"/>
  <c r="Q13" i="19" s="1"/>
  <c r="J9" i="19"/>
  <c r="Q9" i="19" s="1"/>
  <c r="J75" i="19"/>
  <c r="Q75" i="19" s="1"/>
  <c r="J67" i="19"/>
  <c r="Q67" i="19" s="1"/>
  <c r="J59" i="19"/>
  <c r="Q59" i="19" s="1"/>
  <c r="H43" i="19"/>
  <c r="O43" i="19" s="1"/>
  <c r="I39" i="19"/>
  <c r="P39" i="19" s="1"/>
  <c r="I27" i="19"/>
  <c r="P27" i="19" s="1"/>
  <c r="J7" i="19"/>
  <c r="Q7" i="19" s="1"/>
  <c r="T7" i="19"/>
  <c r="S11" i="19"/>
  <c r="S27" i="19"/>
  <c r="U27" i="19" s="1"/>
  <c r="S35" i="19"/>
  <c r="U35" i="19" s="1"/>
  <c r="S51" i="19"/>
  <c r="U51" i="19" s="1"/>
  <c r="G75" i="19"/>
  <c r="L75" i="19" s="1"/>
  <c r="T75" i="19"/>
  <c r="U75" i="19" s="1"/>
  <c r="S79" i="19"/>
  <c r="S74" i="19"/>
  <c r="U74" i="19" s="1"/>
  <c r="I74" i="19"/>
  <c r="P74" i="19" s="1"/>
  <c r="J74" i="19"/>
  <c r="Q74" i="19" s="1"/>
  <c r="H74" i="19"/>
  <c r="O74" i="19" s="1"/>
  <c r="J66" i="19"/>
  <c r="Q66" i="19" s="1"/>
  <c r="J54" i="19"/>
  <c r="Q54" i="19" s="1"/>
  <c r="I38" i="19"/>
  <c r="P38" i="19" s="1"/>
  <c r="H38" i="19"/>
  <c r="O38" i="19" s="1"/>
  <c r="J38" i="19"/>
  <c r="Q38" i="19" s="1"/>
  <c r="H30" i="19"/>
  <c r="O30" i="19" s="1"/>
  <c r="I30" i="19"/>
  <c r="P30" i="19" s="1"/>
  <c r="J30" i="19"/>
  <c r="Q30" i="19" s="1"/>
  <c r="H22" i="19"/>
  <c r="O22" i="19" s="1"/>
  <c r="I22" i="19"/>
  <c r="P22" i="19" s="1"/>
  <c r="J22" i="19"/>
  <c r="Q22" i="19" s="1"/>
  <c r="H14" i="19"/>
  <c r="O14" i="19" s="1"/>
  <c r="I14" i="19"/>
  <c r="P14" i="19" s="1"/>
  <c r="J14" i="19"/>
  <c r="Q14" i="19" s="1"/>
  <c r="V10" i="19"/>
  <c r="T18" i="19"/>
  <c r="S23" i="19"/>
  <c r="U23" i="19" s="1"/>
  <c r="T26" i="19"/>
  <c r="S31" i="19"/>
  <c r="T34" i="19"/>
  <c r="T39" i="19"/>
  <c r="S46" i="19"/>
  <c r="U46" i="19" s="1"/>
  <c r="S47" i="19"/>
  <c r="T47" i="19"/>
  <c r="T50" i="19"/>
  <c r="U50" i="19" s="1"/>
  <c r="T55" i="19"/>
  <c r="T59" i="19"/>
  <c r="U59" i="19" s="1"/>
  <c r="T63" i="19"/>
  <c r="T67" i="19"/>
  <c r="U67" i="19" s="1"/>
  <c r="G71" i="19"/>
  <c r="S71" i="19"/>
  <c r="U71" i="19" s="1"/>
  <c r="G79" i="19"/>
  <c r="M79" i="19" s="1"/>
  <c r="J6" i="19"/>
  <c r="J80" i="19"/>
  <c r="Q80" i="19" s="1"/>
  <c r="H80" i="19"/>
  <c r="O80" i="19" s="1"/>
  <c r="I80" i="19"/>
  <c r="P80" i="19" s="1"/>
  <c r="J76" i="19"/>
  <c r="Q76" i="19" s="1"/>
  <c r="J72" i="19"/>
  <c r="Q72" i="19" s="1"/>
  <c r="H72" i="19"/>
  <c r="O72" i="19" s="1"/>
  <c r="I72" i="19"/>
  <c r="P72" i="19" s="1"/>
  <c r="J68" i="19"/>
  <c r="Q68" i="19" s="1"/>
  <c r="J64" i="19"/>
  <c r="Q64" i="19" s="1"/>
  <c r="H60" i="19"/>
  <c r="O60" i="19" s="1"/>
  <c r="I60" i="19"/>
  <c r="P60" i="19" s="1"/>
  <c r="J60" i="19"/>
  <c r="Q60" i="19" s="1"/>
  <c r="J56" i="19"/>
  <c r="Q56" i="19" s="1"/>
  <c r="J52" i="19"/>
  <c r="Q52" i="19" s="1"/>
  <c r="J48" i="19"/>
  <c r="Q48" i="19" s="1"/>
  <c r="J44" i="19"/>
  <c r="Q44" i="19" s="1"/>
  <c r="G22" i="20"/>
  <c r="H22" i="20" s="1"/>
  <c r="I22" i="20" s="1"/>
  <c r="J22" i="20" s="1"/>
  <c r="K22" i="20" s="1"/>
  <c r="L22" i="20" s="1"/>
  <c r="M22" i="20" s="1"/>
  <c r="N22" i="20" s="1"/>
  <c r="O22" i="20" s="1"/>
  <c r="P22" i="20" s="1"/>
  <c r="Q22" i="20" s="1"/>
  <c r="F22" i="20"/>
  <c r="F7" i="20"/>
  <c r="C8" i="20"/>
  <c r="H35" i="19" s="1"/>
  <c r="O35" i="19" s="1"/>
  <c r="F13" i="20"/>
  <c r="C14" i="20"/>
  <c r="I23" i="19" s="1"/>
  <c r="P23" i="19" s="1"/>
  <c r="F19" i="20"/>
  <c r="C20" i="20"/>
  <c r="J43" i="19" s="1"/>
  <c r="Q43" i="19" s="1"/>
  <c r="C9" i="20"/>
  <c r="H8" i="19" s="1"/>
  <c r="O8" i="19" s="1"/>
  <c r="C15" i="20"/>
  <c r="I62" i="19" s="1"/>
  <c r="P62" i="19" s="1"/>
  <c r="C21" i="20"/>
  <c r="J12" i="19" s="1"/>
  <c r="Q12" i="19" s="1"/>
  <c r="C10" i="20"/>
  <c r="H65" i="19" s="1"/>
  <c r="O65" i="19" s="1"/>
  <c r="C16" i="20"/>
  <c r="I13" i="19" s="1"/>
  <c r="P13" i="19" s="1"/>
  <c r="S22" i="19"/>
  <c r="U22" i="19" s="1"/>
  <c r="S34" i="19"/>
  <c r="S38" i="19"/>
  <c r="U38" i="19" s="1"/>
  <c r="G54" i="19"/>
  <c r="K54" i="19" s="1"/>
  <c r="R54" i="19" s="1"/>
  <c r="S54" i="19"/>
  <c r="G58" i="19"/>
  <c r="K58" i="19" s="1"/>
  <c r="R58" i="19" s="1"/>
  <c r="S58" i="19"/>
  <c r="G62" i="19"/>
  <c r="K62" i="19" s="1"/>
  <c r="R62" i="19" s="1"/>
  <c r="S62" i="19"/>
  <c r="G66" i="19"/>
  <c r="K66" i="19" s="1"/>
  <c r="R66" i="19" s="1"/>
  <c r="S66" i="19"/>
  <c r="G70" i="19"/>
  <c r="K70" i="19" s="1"/>
  <c r="R70" i="19" s="1"/>
  <c r="S70" i="19"/>
  <c r="S78" i="19"/>
  <c r="S18" i="19"/>
  <c r="S26" i="19"/>
  <c r="S30" i="19"/>
  <c r="U30" i="19" s="1"/>
  <c r="T54" i="19"/>
  <c r="T58" i="19"/>
  <c r="T62" i="19"/>
  <c r="T66" i="19"/>
  <c r="T70" i="19"/>
  <c r="S73" i="19"/>
  <c r="G78" i="19"/>
  <c r="K78" i="19" s="1"/>
  <c r="S10" i="19"/>
  <c r="L61" i="19"/>
  <c r="L69" i="19"/>
  <c r="G73" i="19"/>
  <c r="G74" i="19"/>
  <c r="L74" i="19" s="1"/>
  <c r="S13" i="19"/>
  <c r="G13" i="19"/>
  <c r="K13" i="19" s="1"/>
  <c r="V13" i="19"/>
  <c r="T13" i="19"/>
  <c r="T6" i="19"/>
  <c r="S14" i="19"/>
  <c r="G14" i="19"/>
  <c r="K14" i="19" s="1"/>
  <c r="V14" i="19"/>
  <c r="T14" i="19"/>
  <c r="S16" i="19"/>
  <c r="G16" i="19"/>
  <c r="K16" i="19" s="1"/>
  <c r="V16" i="19"/>
  <c r="T16" i="19"/>
  <c r="V6" i="19"/>
  <c r="S15" i="19"/>
  <c r="G15" i="19"/>
  <c r="K15" i="19" s="1"/>
  <c r="V15" i="19"/>
  <c r="T15" i="19"/>
  <c r="S17" i="19"/>
  <c r="G17" i="19"/>
  <c r="K17" i="19" s="1"/>
  <c r="V17" i="19"/>
  <c r="T17" i="19"/>
  <c r="V76" i="19"/>
  <c r="V78" i="19"/>
  <c r="V75" i="19"/>
  <c r="V74" i="19"/>
  <c r="V73" i="19"/>
  <c r="V72" i="19"/>
  <c r="V71" i="19"/>
  <c r="V70" i="19"/>
  <c r="V69" i="19"/>
  <c r="V68" i="19"/>
  <c r="V67" i="19"/>
  <c r="V66" i="19"/>
  <c r="V65" i="19"/>
  <c r="V64" i="19"/>
  <c r="V63" i="19"/>
  <c r="V62" i="19"/>
  <c r="V61" i="19"/>
  <c r="V60" i="19"/>
  <c r="V59" i="19"/>
  <c r="V58" i="19"/>
  <c r="V52" i="19"/>
  <c r="V51" i="19"/>
  <c r="V50" i="19"/>
  <c r="V49" i="19"/>
  <c r="V57" i="19"/>
  <c r="V56" i="19"/>
  <c r="V55" i="19"/>
  <c r="V54" i="19"/>
  <c r="V53" i="19"/>
  <c r="V48" i="19"/>
  <c r="V46" i="19"/>
  <c r="V44" i="19"/>
  <c r="V42" i="19"/>
  <c r="V47" i="19"/>
  <c r="V45" i="19"/>
  <c r="V43" i="19"/>
  <c r="G6" i="19"/>
  <c r="K6" i="19" s="1"/>
  <c r="G7" i="19"/>
  <c r="K7" i="19" s="1"/>
  <c r="G8" i="19"/>
  <c r="K8" i="19" s="1"/>
  <c r="G9" i="19"/>
  <c r="K9" i="19" s="1"/>
  <c r="G10" i="19"/>
  <c r="K10" i="19" s="1"/>
  <c r="G11" i="19"/>
  <c r="K11" i="19" s="1"/>
  <c r="G12" i="19"/>
  <c r="K12" i="19" s="1"/>
  <c r="V41" i="19"/>
  <c r="V18" i="19"/>
  <c r="V19" i="19"/>
  <c r="V20" i="19"/>
  <c r="V21" i="19"/>
  <c r="V22" i="19"/>
  <c r="V23" i="19"/>
  <c r="V24" i="19"/>
  <c r="V25" i="19"/>
  <c r="V26" i="19"/>
  <c r="V27" i="19"/>
  <c r="V28" i="19"/>
  <c r="V29" i="19"/>
  <c r="V30" i="19"/>
  <c r="V31" i="19"/>
  <c r="V32" i="19"/>
  <c r="V33" i="19"/>
  <c r="V34" i="19"/>
  <c r="V35" i="19"/>
  <c r="V36" i="19"/>
  <c r="V37" i="19"/>
  <c r="V38" i="19"/>
  <c r="V39" i="19"/>
  <c r="V40" i="19"/>
  <c r="G18" i="19"/>
  <c r="K18" i="19" s="1"/>
  <c r="G19" i="19"/>
  <c r="K19" i="19" s="1"/>
  <c r="G20" i="19"/>
  <c r="K20" i="19" s="1"/>
  <c r="G21" i="19"/>
  <c r="K21" i="19" s="1"/>
  <c r="G22" i="19"/>
  <c r="K22" i="19" s="1"/>
  <c r="G23" i="19"/>
  <c r="K23" i="19" s="1"/>
  <c r="G24" i="19"/>
  <c r="K24" i="19" s="1"/>
  <c r="G25" i="19"/>
  <c r="K25" i="19" s="1"/>
  <c r="G26" i="19"/>
  <c r="K26" i="19" s="1"/>
  <c r="G27" i="19"/>
  <c r="K27" i="19" s="1"/>
  <c r="G28" i="19"/>
  <c r="K28" i="19" s="1"/>
  <c r="G29" i="19"/>
  <c r="K29" i="19" s="1"/>
  <c r="G30" i="19"/>
  <c r="K30" i="19" s="1"/>
  <c r="G31" i="19"/>
  <c r="K31" i="19" s="1"/>
  <c r="G32" i="19"/>
  <c r="K32" i="19" s="1"/>
  <c r="G33" i="19"/>
  <c r="K33" i="19" s="1"/>
  <c r="G34" i="19"/>
  <c r="K34" i="19" s="1"/>
  <c r="G35" i="19"/>
  <c r="K35" i="19" s="1"/>
  <c r="G36" i="19"/>
  <c r="K36" i="19" s="1"/>
  <c r="G37" i="19"/>
  <c r="K37" i="19" s="1"/>
  <c r="G38" i="19"/>
  <c r="K38" i="19" s="1"/>
  <c r="G39" i="19"/>
  <c r="K39" i="19" s="1"/>
  <c r="S39" i="19"/>
  <c r="G40" i="19"/>
  <c r="K40" i="19" s="1"/>
  <c r="S40" i="19"/>
  <c r="U40" i="19" s="1"/>
  <c r="G41" i="19"/>
  <c r="K41" i="19" s="1"/>
  <c r="T41" i="19"/>
  <c r="U41" i="19" s="1"/>
  <c r="S42" i="19"/>
  <c r="G42" i="19"/>
  <c r="K42" i="19" s="1"/>
  <c r="L53" i="19"/>
  <c r="G43" i="19"/>
  <c r="K43" i="19" s="1"/>
  <c r="G44" i="19"/>
  <c r="K44" i="19" s="1"/>
  <c r="G45" i="19"/>
  <c r="K45" i="19" s="1"/>
  <c r="G46" i="19"/>
  <c r="K46" i="19" s="1"/>
  <c r="G47" i="19"/>
  <c r="K47" i="19" s="1"/>
  <c r="G48" i="19"/>
  <c r="K48" i="19" s="1"/>
  <c r="G49" i="19"/>
  <c r="K49" i="19" s="1"/>
  <c r="G50" i="19"/>
  <c r="K50" i="19" s="1"/>
  <c r="G51" i="19"/>
  <c r="K51" i="19" s="1"/>
  <c r="G52" i="19"/>
  <c r="K52" i="19" s="1"/>
  <c r="T77" i="19"/>
  <c r="T80" i="19"/>
  <c r="S80" i="19"/>
  <c r="G80" i="19"/>
  <c r="K80" i="19" s="1"/>
  <c r="V77" i="19"/>
  <c r="V80" i="19"/>
  <c r="L72" i="19"/>
  <c r="L76" i="19"/>
  <c r="G77" i="19"/>
  <c r="K77" i="19" s="1"/>
  <c r="T79" i="19"/>
  <c r="T81" i="19"/>
  <c r="S81" i="19"/>
  <c r="G81" i="19"/>
  <c r="K81" i="19" s="1"/>
  <c r="V81" i="19"/>
  <c r="S77" i="19"/>
  <c r="T78" i="19"/>
  <c r="V79" i="19"/>
  <c r="H115" i="18"/>
  <c r="I4" i="18"/>
  <c r="J4" i="18" s="1"/>
  <c r="K4" i="18" s="1"/>
  <c r="L4" i="18" s="1"/>
  <c r="M4" i="18" s="1"/>
  <c r="N4" i="18" s="1"/>
  <c r="O4" i="18" s="1"/>
  <c r="P4" i="18" s="1"/>
  <c r="Q4" i="18" s="1"/>
  <c r="R4" i="18" s="1"/>
  <c r="S115" i="18"/>
  <c r="B216" i="12" s="1"/>
  <c r="I43" i="19" l="1"/>
  <c r="P43" i="19" s="1"/>
  <c r="I79" i="19"/>
  <c r="P79" i="19" s="1"/>
  <c r="I25" i="19"/>
  <c r="P25" i="19" s="1"/>
  <c r="H19" i="19"/>
  <c r="O19" i="19" s="1"/>
  <c r="I19" i="19"/>
  <c r="P19" i="19" s="1"/>
  <c r="I11" i="19"/>
  <c r="P11" i="19" s="1"/>
  <c r="I16" i="19"/>
  <c r="P16" i="19" s="1"/>
  <c r="H31" i="19"/>
  <c r="O31" i="19" s="1"/>
  <c r="I12" i="19"/>
  <c r="P12" i="19" s="1"/>
  <c r="I20" i="19"/>
  <c r="P20" i="19" s="1"/>
  <c r="I31" i="19"/>
  <c r="P31" i="19" s="1"/>
  <c r="I24" i="19"/>
  <c r="P24" i="19" s="1"/>
  <c r="J61" i="19"/>
  <c r="Q61" i="19" s="1"/>
  <c r="J51" i="19"/>
  <c r="Q51" i="19" s="1"/>
  <c r="J24" i="19"/>
  <c r="Q24" i="19" s="1"/>
  <c r="J36" i="19"/>
  <c r="Q36" i="19" s="1"/>
  <c r="J32" i="19"/>
  <c r="Q32" i="19" s="1"/>
  <c r="J15" i="19"/>
  <c r="Q15" i="19" s="1"/>
  <c r="J31" i="19"/>
  <c r="Q31" i="19" s="1"/>
  <c r="J28" i="19"/>
  <c r="Q28" i="19" s="1"/>
  <c r="J11" i="19"/>
  <c r="Q11" i="19" s="1"/>
  <c r="J19" i="19"/>
  <c r="Q19" i="19" s="1"/>
  <c r="J27" i="19"/>
  <c r="Q27" i="19" s="1"/>
  <c r="J50" i="19"/>
  <c r="Q50" i="19" s="1"/>
  <c r="J62" i="19"/>
  <c r="Q62" i="19" s="1"/>
  <c r="J40" i="19"/>
  <c r="Q40" i="19" s="1"/>
  <c r="J16" i="19"/>
  <c r="Q16" i="19" s="1"/>
  <c r="J35" i="19"/>
  <c r="Q35" i="19" s="1"/>
  <c r="J23" i="19"/>
  <c r="Q23" i="19" s="1"/>
  <c r="J8" i="19"/>
  <c r="Q8" i="19" s="1"/>
  <c r="J39" i="19"/>
  <c r="Q39" i="19" s="1"/>
  <c r="J20" i="19"/>
  <c r="Q20" i="19" s="1"/>
  <c r="J47" i="19"/>
  <c r="Q47" i="19" s="1"/>
  <c r="I66" i="19"/>
  <c r="P66" i="19" s="1"/>
  <c r="I6" i="19"/>
  <c r="P6" i="19" s="1"/>
  <c r="I51" i="19"/>
  <c r="P51" i="19" s="1"/>
  <c r="I57" i="19"/>
  <c r="P57" i="19" s="1"/>
  <c r="I48" i="19"/>
  <c r="P48" i="19" s="1"/>
  <c r="I35" i="19"/>
  <c r="P35" i="19" s="1"/>
  <c r="I61" i="19"/>
  <c r="P61" i="19" s="1"/>
  <c r="I52" i="19"/>
  <c r="P52" i="19" s="1"/>
  <c r="I56" i="19"/>
  <c r="P56" i="19" s="1"/>
  <c r="I8" i="19"/>
  <c r="P8" i="19" s="1"/>
  <c r="I21" i="19"/>
  <c r="P21" i="19" s="1"/>
  <c r="I65" i="19"/>
  <c r="P65" i="19" s="1"/>
  <c r="I29" i="19"/>
  <c r="P29" i="19" s="1"/>
  <c r="I69" i="19"/>
  <c r="P69" i="19" s="1"/>
  <c r="I46" i="19"/>
  <c r="P46" i="19" s="1"/>
  <c r="I33" i="19"/>
  <c r="P33" i="19" s="1"/>
  <c r="I78" i="19"/>
  <c r="P78" i="19" s="1"/>
  <c r="I55" i="19"/>
  <c r="P55" i="19" s="1"/>
  <c r="I37" i="19"/>
  <c r="P37" i="19" s="1"/>
  <c r="I28" i="19"/>
  <c r="P28" i="19" s="1"/>
  <c r="I68" i="19"/>
  <c r="P68" i="19" s="1"/>
  <c r="I9" i="19"/>
  <c r="P9" i="19" s="1"/>
  <c r="I63" i="19"/>
  <c r="P63" i="19" s="1"/>
  <c r="I58" i="19"/>
  <c r="P58" i="19" s="1"/>
  <c r="W58" i="19" s="1"/>
  <c r="I70" i="19"/>
  <c r="P70" i="19" s="1"/>
  <c r="I40" i="19"/>
  <c r="P40" i="19" s="1"/>
  <c r="I41" i="19"/>
  <c r="P41" i="19" s="1"/>
  <c r="I32" i="19"/>
  <c r="P32" i="19" s="1"/>
  <c r="I45" i="19"/>
  <c r="P45" i="19" s="1"/>
  <c r="I50" i="19"/>
  <c r="P50" i="19" s="1"/>
  <c r="I54" i="19"/>
  <c r="P54" i="19" s="1"/>
  <c r="I15" i="19"/>
  <c r="P15" i="19" s="1"/>
  <c r="I113" i="19"/>
  <c r="P113" i="19" s="1"/>
  <c r="I106" i="19"/>
  <c r="P106" i="19" s="1"/>
  <c r="I98" i="19"/>
  <c r="P98" i="19" s="1"/>
  <c r="I111" i="19"/>
  <c r="P111" i="19" s="1"/>
  <c r="I99" i="19"/>
  <c r="P99" i="19" s="1"/>
  <c r="I116" i="19"/>
  <c r="P116" i="19" s="1"/>
  <c r="I109" i="19"/>
  <c r="P109" i="19" s="1"/>
  <c r="I92" i="19"/>
  <c r="P92" i="19" s="1"/>
  <c r="I115" i="19"/>
  <c r="P115" i="19" s="1"/>
  <c r="I89" i="19"/>
  <c r="P89" i="19" s="1"/>
  <c r="I91" i="19"/>
  <c r="P91" i="19" s="1"/>
  <c r="I108" i="19"/>
  <c r="P108" i="19" s="1"/>
  <c r="I90" i="19"/>
  <c r="P90" i="19" s="1"/>
  <c r="I110" i="19"/>
  <c r="P110" i="19" s="1"/>
  <c r="I103" i="19"/>
  <c r="P103" i="19" s="1"/>
  <c r="I95" i="19"/>
  <c r="P95" i="19" s="1"/>
  <c r="I112" i="19"/>
  <c r="P112" i="19" s="1"/>
  <c r="I102" i="19"/>
  <c r="P102" i="19" s="1"/>
  <c r="I93" i="19"/>
  <c r="P93" i="19" s="1"/>
  <c r="I83" i="19"/>
  <c r="P83" i="19" s="1"/>
  <c r="I87" i="19"/>
  <c r="P87" i="19" s="1"/>
  <c r="I114" i="19"/>
  <c r="P114" i="19" s="1"/>
  <c r="I105" i="19"/>
  <c r="P105" i="19" s="1"/>
  <c r="I100" i="19"/>
  <c r="P100" i="19" s="1"/>
  <c r="I94" i="19"/>
  <c r="P94" i="19" s="1"/>
  <c r="I97" i="19"/>
  <c r="P97" i="19" s="1"/>
  <c r="I86" i="19"/>
  <c r="P86" i="19" s="1"/>
  <c r="I82" i="19"/>
  <c r="P82" i="19" s="1"/>
  <c r="I104" i="19"/>
  <c r="P104" i="19" s="1"/>
  <c r="I107" i="19"/>
  <c r="P107" i="19" s="1"/>
  <c r="I96" i="19"/>
  <c r="P96" i="19" s="1"/>
  <c r="I88" i="19"/>
  <c r="P88" i="19" s="1"/>
  <c r="I84" i="19"/>
  <c r="P84" i="19" s="1"/>
  <c r="I85" i="19"/>
  <c r="P85" i="19" s="1"/>
  <c r="I101" i="19"/>
  <c r="P101" i="19" s="1"/>
  <c r="I64" i="19"/>
  <c r="P64" i="19" s="1"/>
  <c r="I59" i="19"/>
  <c r="P59" i="19" s="1"/>
  <c r="I47" i="19"/>
  <c r="P47" i="19" s="1"/>
  <c r="I67" i="19"/>
  <c r="P67" i="19" s="1"/>
  <c r="I75" i="19"/>
  <c r="P75" i="19" s="1"/>
  <c r="I7" i="19"/>
  <c r="P7" i="19" s="1"/>
  <c r="I53" i="19"/>
  <c r="P53" i="19" s="1"/>
  <c r="I77" i="19"/>
  <c r="P77" i="19" s="1"/>
  <c r="I81" i="19"/>
  <c r="P81" i="19" s="1"/>
  <c r="I36" i="19"/>
  <c r="P36" i="19" s="1"/>
  <c r="I76" i="19"/>
  <c r="P76" i="19" s="1"/>
  <c r="I44" i="19"/>
  <c r="P44" i="19" s="1"/>
  <c r="I17" i="19"/>
  <c r="P17" i="19" s="1"/>
  <c r="H6" i="19"/>
  <c r="O6" i="19" s="1"/>
  <c r="H58" i="19"/>
  <c r="O58" i="19" s="1"/>
  <c r="H64" i="19"/>
  <c r="O64" i="19" s="1"/>
  <c r="H77" i="19"/>
  <c r="O77" i="19" s="1"/>
  <c r="H53" i="19"/>
  <c r="O53" i="19" s="1"/>
  <c r="H25" i="19"/>
  <c r="O25" i="19" s="1"/>
  <c r="H57" i="19"/>
  <c r="O57" i="19" s="1"/>
  <c r="H48" i="19"/>
  <c r="O48" i="19" s="1"/>
  <c r="H29" i="19"/>
  <c r="O29" i="19" s="1"/>
  <c r="H7" i="19"/>
  <c r="O7" i="19" s="1"/>
  <c r="H75" i="19"/>
  <c r="O75" i="19" s="1"/>
  <c r="H33" i="19"/>
  <c r="O33" i="19" s="1"/>
  <c r="H69" i="19"/>
  <c r="O69" i="19" s="1"/>
  <c r="H79" i="19"/>
  <c r="O79" i="19" s="1"/>
  <c r="H46" i="19"/>
  <c r="O46" i="19" s="1"/>
  <c r="H45" i="19"/>
  <c r="O45" i="19" s="1"/>
  <c r="H17" i="19"/>
  <c r="O17" i="19" s="1"/>
  <c r="H21" i="19"/>
  <c r="O21" i="19" s="1"/>
  <c r="H70" i="19"/>
  <c r="O70" i="19" s="1"/>
  <c r="H81" i="19"/>
  <c r="O81" i="19" s="1"/>
  <c r="H59" i="19"/>
  <c r="O59" i="19" s="1"/>
  <c r="H78" i="19"/>
  <c r="O78" i="19" s="1"/>
  <c r="H67" i="19"/>
  <c r="O67" i="19" s="1"/>
  <c r="H76" i="19"/>
  <c r="O76" i="19" s="1"/>
  <c r="H54" i="19"/>
  <c r="O54" i="19" s="1"/>
  <c r="H52" i="19"/>
  <c r="O52" i="19" s="1"/>
  <c r="H56" i="19"/>
  <c r="O56" i="19" s="1"/>
  <c r="H66" i="19"/>
  <c r="O66" i="19" s="1"/>
  <c r="H50" i="19"/>
  <c r="O50" i="19" s="1"/>
  <c r="H15" i="19"/>
  <c r="O15" i="19" s="1"/>
  <c r="H11" i="19"/>
  <c r="O11" i="19" s="1"/>
  <c r="H20" i="19"/>
  <c r="O20" i="19" s="1"/>
  <c r="H24" i="19"/>
  <c r="O24" i="19" s="1"/>
  <c r="H23" i="19"/>
  <c r="O23" i="19" s="1"/>
  <c r="H28" i="19"/>
  <c r="O28" i="19" s="1"/>
  <c r="H36" i="19"/>
  <c r="O36" i="19" s="1"/>
  <c r="H47" i="19"/>
  <c r="O47" i="19" s="1"/>
  <c r="H61" i="19"/>
  <c r="O61" i="19" s="1"/>
  <c r="H51" i="19"/>
  <c r="O51" i="19" s="1"/>
  <c r="H32" i="19"/>
  <c r="O32" i="19" s="1"/>
  <c r="H12" i="19"/>
  <c r="O12" i="19" s="1"/>
  <c r="H40" i="19"/>
  <c r="O40" i="19" s="1"/>
  <c r="H9" i="19"/>
  <c r="O9" i="19" s="1"/>
  <c r="H37" i="19"/>
  <c r="O37" i="19" s="1"/>
  <c r="H55" i="19"/>
  <c r="O55" i="19" s="1"/>
  <c r="H27" i="19"/>
  <c r="O27" i="19" s="1"/>
  <c r="H16" i="19"/>
  <c r="O16" i="19" s="1"/>
  <c r="H68" i="19"/>
  <c r="O68" i="19" s="1"/>
  <c r="H39" i="19"/>
  <c r="O39" i="19" s="1"/>
  <c r="H113" i="19"/>
  <c r="O113" i="19" s="1"/>
  <c r="H103" i="19"/>
  <c r="O103" i="19" s="1"/>
  <c r="H98" i="19"/>
  <c r="O98" i="19" s="1"/>
  <c r="H116" i="19"/>
  <c r="O116" i="19" s="1"/>
  <c r="H84" i="19"/>
  <c r="O84" i="19" s="1"/>
  <c r="H99" i="19"/>
  <c r="O99" i="19" s="1"/>
  <c r="H88" i="19"/>
  <c r="O88" i="19" s="1"/>
  <c r="H100" i="19"/>
  <c r="O100" i="19" s="1"/>
  <c r="W100" i="19" s="1"/>
  <c r="Z100" i="19" s="1"/>
  <c r="H114" i="19"/>
  <c r="O114" i="19" s="1"/>
  <c r="W114" i="19" s="1"/>
  <c r="H87" i="19"/>
  <c r="O87" i="19" s="1"/>
  <c r="W87" i="19" s="1"/>
  <c r="Y87" i="19" s="1"/>
  <c r="H106" i="19"/>
  <c r="O106" i="19" s="1"/>
  <c r="W106" i="19" s="1"/>
  <c r="Y106" i="19" s="1"/>
  <c r="H90" i="19"/>
  <c r="O90" i="19" s="1"/>
  <c r="H104" i="19"/>
  <c r="O104" i="19" s="1"/>
  <c r="W104" i="19" s="1"/>
  <c r="Y104" i="19" s="1"/>
  <c r="H86" i="19"/>
  <c r="O86" i="19" s="1"/>
  <c r="H107" i="19"/>
  <c r="O107" i="19" s="1"/>
  <c r="W107" i="19" s="1"/>
  <c r="Y107" i="19" s="1"/>
  <c r="H105" i="19"/>
  <c r="O105" i="19" s="1"/>
  <c r="H102" i="19"/>
  <c r="O102" i="19" s="1"/>
  <c r="H83" i="19"/>
  <c r="O83" i="19" s="1"/>
  <c r="H92" i="19"/>
  <c r="O92" i="19" s="1"/>
  <c r="H115" i="19"/>
  <c r="O115" i="19" s="1"/>
  <c r="H108" i="19"/>
  <c r="O108" i="19" s="1"/>
  <c r="H85" i="19"/>
  <c r="O85" i="19" s="1"/>
  <c r="H112" i="19"/>
  <c r="O112" i="19" s="1"/>
  <c r="H101" i="19"/>
  <c r="O101" i="19" s="1"/>
  <c r="H94" i="19"/>
  <c r="O94" i="19" s="1"/>
  <c r="H82" i="19"/>
  <c r="O82" i="19" s="1"/>
  <c r="H109" i="19"/>
  <c r="O109" i="19" s="1"/>
  <c r="H111" i="19"/>
  <c r="O111" i="19" s="1"/>
  <c r="W111" i="19" s="1"/>
  <c r="Z111" i="19" s="1"/>
  <c r="H95" i="19"/>
  <c r="O95" i="19" s="1"/>
  <c r="H97" i="19"/>
  <c r="O97" i="19" s="1"/>
  <c r="W97" i="19" s="1"/>
  <c r="Z97" i="19" s="1"/>
  <c r="H91" i="19"/>
  <c r="O91" i="19" s="1"/>
  <c r="H93" i="19"/>
  <c r="O93" i="19" s="1"/>
  <c r="H89" i="19"/>
  <c r="O89" i="19" s="1"/>
  <c r="H96" i="19"/>
  <c r="O96" i="19" s="1"/>
  <c r="W96" i="19" s="1"/>
  <c r="Z96" i="19" s="1"/>
  <c r="H110" i="19"/>
  <c r="O110" i="19" s="1"/>
  <c r="H62" i="19"/>
  <c r="O62" i="19" s="1"/>
  <c r="H44" i="19"/>
  <c r="O44" i="19" s="1"/>
  <c r="H13" i="19"/>
  <c r="O13" i="19" s="1"/>
  <c r="H41" i="19"/>
  <c r="O41" i="19" s="1"/>
  <c r="H63" i="19"/>
  <c r="O63" i="19" s="1"/>
  <c r="B15" i="18"/>
  <c r="L57" i="19"/>
  <c r="N57" i="19" s="1"/>
  <c r="X57" i="19" s="1"/>
  <c r="L68" i="19"/>
  <c r="N68" i="19" s="1"/>
  <c r="X68" i="19" s="1"/>
  <c r="L65" i="19"/>
  <c r="N65" i="19" s="1"/>
  <c r="X65" i="19" s="1"/>
  <c r="K68" i="19"/>
  <c r="R68" i="19" s="1"/>
  <c r="U53" i="19"/>
  <c r="K65" i="19"/>
  <c r="R65" i="19" s="1"/>
  <c r="W65" i="19" s="1"/>
  <c r="U69" i="19"/>
  <c r="U72" i="19"/>
  <c r="U9" i="19"/>
  <c r="K57" i="19"/>
  <c r="R57" i="19" s="1"/>
  <c r="U61" i="19"/>
  <c r="M64" i="19"/>
  <c r="N64" i="19" s="1"/>
  <c r="X64" i="19" s="1"/>
  <c r="I115" i="18"/>
  <c r="J115" i="18" s="1"/>
  <c r="K115" i="18" s="1"/>
  <c r="L115" i="18" s="1"/>
  <c r="M115" i="18" s="1"/>
  <c r="N115" i="18" s="1"/>
  <c r="O115" i="18" s="1"/>
  <c r="P115" i="18" s="1"/>
  <c r="Q115" i="18" s="1"/>
  <c r="R115" i="18" s="1"/>
  <c r="B238" i="12"/>
  <c r="B243" i="12" s="1"/>
  <c r="B222" i="12"/>
  <c r="B223" i="12" s="1"/>
  <c r="M56" i="19"/>
  <c r="N56" i="19" s="1"/>
  <c r="X56" i="19" s="1"/>
  <c r="U76" i="19"/>
  <c r="K56" i="19"/>
  <c r="R56" i="19" s="1"/>
  <c r="K60" i="19"/>
  <c r="R60" i="19" s="1"/>
  <c r="W60" i="19" s="1"/>
  <c r="K64" i="19"/>
  <c r="R64" i="19" s="1"/>
  <c r="M60" i="19"/>
  <c r="N60" i="19" s="1"/>
  <c r="X60" i="19" s="1"/>
  <c r="N61" i="19"/>
  <c r="U10" i="19"/>
  <c r="U34" i="19"/>
  <c r="N53" i="19"/>
  <c r="U54" i="19"/>
  <c r="U79" i="19"/>
  <c r="U58" i="19"/>
  <c r="N72" i="19"/>
  <c r="W72" i="19"/>
  <c r="U42" i="19"/>
  <c r="U26" i="19"/>
  <c r="U39" i="19"/>
  <c r="N69" i="19"/>
  <c r="U55" i="19"/>
  <c r="U31" i="19"/>
  <c r="U11" i="19"/>
  <c r="U47" i="19"/>
  <c r="M63" i="19"/>
  <c r="K63" i="19"/>
  <c r="R63" i="19" s="1"/>
  <c r="L63" i="19"/>
  <c r="M75" i="19"/>
  <c r="N75" i="19" s="1"/>
  <c r="X75" i="19" s="1"/>
  <c r="K75" i="19"/>
  <c r="R75" i="19" s="1"/>
  <c r="M59" i="19"/>
  <c r="K59" i="19"/>
  <c r="R59" i="19" s="1"/>
  <c r="L59" i="19"/>
  <c r="M78" i="19"/>
  <c r="M73" i="19"/>
  <c r="K73" i="19"/>
  <c r="R73" i="19" s="1"/>
  <c r="W73" i="19" s="1"/>
  <c r="U73" i="19"/>
  <c r="L73" i="19"/>
  <c r="U18" i="19"/>
  <c r="M71" i="19"/>
  <c r="K71" i="19"/>
  <c r="R71" i="19" s="1"/>
  <c r="W71" i="19" s="1"/>
  <c r="L71" i="19"/>
  <c r="M67" i="19"/>
  <c r="K67" i="19"/>
  <c r="R67" i="19" s="1"/>
  <c r="L67" i="19"/>
  <c r="M74" i="19"/>
  <c r="N74" i="19" s="1"/>
  <c r="X74" i="19" s="1"/>
  <c r="K74" i="19"/>
  <c r="R74" i="19" s="1"/>
  <c r="W74" i="19" s="1"/>
  <c r="N76" i="19"/>
  <c r="L79" i="19"/>
  <c r="N79" i="19" s="1"/>
  <c r="K79" i="19"/>
  <c r="R79" i="19" s="1"/>
  <c r="U63" i="19"/>
  <c r="M55" i="19"/>
  <c r="K55" i="19"/>
  <c r="R55" i="19" s="1"/>
  <c r="L55" i="19"/>
  <c r="U7" i="19"/>
  <c r="G8" i="20"/>
  <c r="H8" i="20" s="1"/>
  <c r="I8" i="20" s="1"/>
  <c r="J8" i="20" s="1"/>
  <c r="K8" i="20" s="1"/>
  <c r="L8" i="20" s="1"/>
  <c r="M8" i="20" s="1"/>
  <c r="N8" i="20" s="1"/>
  <c r="O8" i="20" s="1"/>
  <c r="P8" i="20" s="1"/>
  <c r="Q8" i="20" s="1"/>
  <c r="F8" i="20"/>
  <c r="F21" i="20"/>
  <c r="G21" i="20"/>
  <c r="H21" i="20" s="1"/>
  <c r="I21" i="20" s="1"/>
  <c r="J21" i="20" s="1"/>
  <c r="K21" i="20" s="1"/>
  <c r="L21" i="20" s="1"/>
  <c r="M21" i="20" s="1"/>
  <c r="N21" i="20" s="1"/>
  <c r="O21" i="20" s="1"/>
  <c r="P21" i="20" s="1"/>
  <c r="Q21" i="20" s="1"/>
  <c r="F10" i="20"/>
  <c r="G10" i="20"/>
  <c r="H10" i="20" s="1"/>
  <c r="I10" i="20" s="1"/>
  <c r="J10" i="20" s="1"/>
  <c r="K10" i="20" s="1"/>
  <c r="L10" i="20" s="1"/>
  <c r="M10" i="20" s="1"/>
  <c r="N10" i="20" s="1"/>
  <c r="O10" i="20" s="1"/>
  <c r="P10" i="20" s="1"/>
  <c r="Q10" i="20" s="1"/>
  <c r="F15" i="20"/>
  <c r="G15" i="20"/>
  <c r="H15" i="20" s="1"/>
  <c r="I15" i="20" s="1"/>
  <c r="J15" i="20" s="1"/>
  <c r="K15" i="20" s="1"/>
  <c r="L15" i="20" s="1"/>
  <c r="M15" i="20" s="1"/>
  <c r="N15" i="20" s="1"/>
  <c r="O15" i="20" s="1"/>
  <c r="P15" i="20" s="1"/>
  <c r="Q15" i="20" s="1"/>
  <c r="G14" i="20"/>
  <c r="H14" i="20" s="1"/>
  <c r="I14" i="20" s="1"/>
  <c r="J14" i="20" s="1"/>
  <c r="K14" i="20" s="1"/>
  <c r="L14" i="20" s="1"/>
  <c r="M14" i="20" s="1"/>
  <c r="N14" i="20" s="1"/>
  <c r="O14" i="20" s="1"/>
  <c r="P14" i="20" s="1"/>
  <c r="Q14" i="20" s="1"/>
  <c r="F14" i="20"/>
  <c r="G20" i="20"/>
  <c r="H20" i="20" s="1"/>
  <c r="I20" i="20" s="1"/>
  <c r="J20" i="20" s="1"/>
  <c r="K20" i="20" s="1"/>
  <c r="L20" i="20" s="1"/>
  <c r="M20" i="20" s="1"/>
  <c r="N20" i="20" s="1"/>
  <c r="O20" i="20" s="1"/>
  <c r="P20" i="20" s="1"/>
  <c r="Q20" i="20" s="1"/>
  <c r="F20" i="20"/>
  <c r="G16" i="20"/>
  <c r="H16" i="20" s="1"/>
  <c r="I16" i="20" s="1"/>
  <c r="J16" i="20" s="1"/>
  <c r="K16" i="20" s="1"/>
  <c r="L16" i="20" s="1"/>
  <c r="M16" i="20" s="1"/>
  <c r="N16" i="20" s="1"/>
  <c r="O16" i="20" s="1"/>
  <c r="P16" i="20" s="1"/>
  <c r="Q16" i="20" s="1"/>
  <c r="F16" i="20"/>
  <c r="F9" i="20"/>
  <c r="G9" i="20"/>
  <c r="H9" i="20" s="1"/>
  <c r="I9" i="20" s="1"/>
  <c r="J9" i="20" s="1"/>
  <c r="K9" i="20" s="1"/>
  <c r="L9" i="20" s="1"/>
  <c r="M9" i="20" s="1"/>
  <c r="N9" i="20" s="1"/>
  <c r="O9" i="20" s="1"/>
  <c r="P9" i="20" s="1"/>
  <c r="Q9" i="20" s="1"/>
  <c r="L78" i="19"/>
  <c r="R78" i="19"/>
  <c r="M54" i="19"/>
  <c r="L54" i="19"/>
  <c r="U66" i="19"/>
  <c r="M62" i="19"/>
  <c r="L62" i="19"/>
  <c r="U78" i="19"/>
  <c r="M66" i="19"/>
  <c r="L66" i="19"/>
  <c r="M58" i="19"/>
  <c r="L58" i="19"/>
  <c r="M70" i="19"/>
  <c r="L70" i="19"/>
  <c r="U77" i="19"/>
  <c r="U70" i="19"/>
  <c r="U62" i="19"/>
  <c r="R49" i="19"/>
  <c r="W49" i="19" s="1"/>
  <c r="M49" i="19"/>
  <c r="L49" i="19"/>
  <c r="R45" i="19"/>
  <c r="M45" i="19"/>
  <c r="L45" i="19"/>
  <c r="L36" i="19"/>
  <c r="R36" i="19"/>
  <c r="M36" i="19"/>
  <c r="L32" i="19"/>
  <c r="R32" i="19"/>
  <c r="M32" i="19"/>
  <c r="L28" i="19"/>
  <c r="R28" i="19"/>
  <c r="M28" i="19"/>
  <c r="L24" i="19"/>
  <c r="R24" i="19"/>
  <c r="M24" i="19"/>
  <c r="R20" i="19"/>
  <c r="M20" i="19"/>
  <c r="L20" i="19"/>
  <c r="R9" i="19"/>
  <c r="M9" i="19"/>
  <c r="L9" i="19"/>
  <c r="G117" i="19"/>
  <c r="M6" i="19"/>
  <c r="L6" i="19"/>
  <c r="U16" i="19"/>
  <c r="R13" i="19"/>
  <c r="M13" i="19"/>
  <c r="L13" i="19"/>
  <c r="L81" i="19"/>
  <c r="R81" i="19"/>
  <c r="M81" i="19"/>
  <c r="L77" i="19"/>
  <c r="M77" i="19"/>
  <c r="R77" i="19"/>
  <c r="R52" i="19"/>
  <c r="M52" i="19"/>
  <c r="L52" i="19"/>
  <c r="R48" i="19"/>
  <c r="M48" i="19"/>
  <c r="L48" i="19"/>
  <c r="R44" i="19"/>
  <c r="M44" i="19"/>
  <c r="L44" i="19"/>
  <c r="L41" i="19"/>
  <c r="R41" i="19"/>
  <c r="M41" i="19"/>
  <c r="L39" i="19"/>
  <c r="R39" i="19"/>
  <c r="M39" i="19"/>
  <c r="L35" i="19"/>
  <c r="R35" i="19"/>
  <c r="M35" i="19"/>
  <c r="L31" i="19"/>
  <c r="R31" i="19"/>
  <c r="M31" i="19"/>
  <c r="L27" i="19"/>
  <c r="R27" i="19"/>
  <c r="M27" i="19"/>
  <c r="R23" i="19"/>
  <c r="M23" i="19"/>
  <c r="L23" i="19"/>
  <c r="R19" i="19"/>
  <c r="W19" i="19" s="1"/>
  <c r="M19" i="19"/>
  <c r="L19" i="19"/>
  <c r="R12" i="19"/>
  <c r="M12" i="19"/>
  <c r="L12" i="19"/>
  <c r="R8" i="19"/>
  <c r="M8" i="19"/>
  <c r="L8" i="19"/>
  <c r="R17" i="19"/>
  <c r="M17" i="19"/>
  <c r="L17" i="19"/>
  <c r="V117" i="19"/>
  <c r="R14" i="19"/>
  <c r="W14" i="19" s="1"/>
  <c r="M14" i="19"/>
  <c r="L14" i="19"/>
  <c r="T117" i="19"/>
  <c r="U13" i="19"/>
  <c r="U81" i="19"/>
  <c r="L80" i="19"/>
  <c r="R80" i="19"/>
  <c r="W80" i="19" s="1"/>
  <c r="M80" i="19"/>
  <c r="R51" i="19"/>
  <c r="M51" i="19"/>
  <c r="L51" i="19"/>
  <c r="R47" i="19"/>
  <c r="M47" i="19"/>
  <c r="L47" i="19"/>
  <c r="R43" i="19"/>
  <c r="W43" i="19" s="1"/>
  <c r="M43" i="19"/>
  <c r="L43" i="19"/>
  <c r="R42" i="19"/>
  <c r="W42" i="19" s="1"/>
  <c r="L42" i="19"/>
  <c r="M42" i="19"/>
  <c r="L38" i="19"/>
  <c r="R38" i="19"/>
  <c r="W38" i="19" s="1"/>
  <c r="M38" i="19"/>
  <c r="L34" i="19"/>
  <c r="R34" i="19"/>
  <c r="W34" i="19" s="1"/>
  <c r="M34" i="19"/>
  <c r="L30" i="19"/>
  <c r="R30" i="19"/>
  <c r="W30" i="19" s="1"/>
  <c r="M30" i="19"/>
  <c r="L26" i="19"/>
  <c r="R26" i="19"/>
  <c r="W26" i="19" s="1"/>
  <c r="M26" i="19"/>
  <c r="R22" i="19"/>
  <c r="W22" i="19" s="1"/>
  <c r="M22" i="19"/>
  <c r="L22" i="19"/>
  <c r="R18" i="19"/>
  <c r="W18" i="19" s="1"/>
  <c r="M18" i="19"/>
  <c r="L18" i="19"/>
  <c r="R11" i="19"/>
  <c r="M11" i="19"/>
  <c r="L11" i="19"/>
  <c r="R7" i="19"/>
  <c r="M7" i="19"/>
  <c r="L7" i="19"/>
  <c r="U17" i="19"/>
  <c r="R15" i="19"/>
  <c r="M15" i="19"/>
  <c r="L15" i="19"/>
  <c r="Q6" i="19"/>
  <c r="U14" i="19"/>
  <c r="U80" i="19"/>
  <c r="R50" i="19"/>
  <c r="M50" i="19"/>
  <c r="L50" i="19"/>
  <c r="R46" i="19"/>
  <c r="M46" i="19"/>
  <c r="L46" i="19"/>
  <c r="L40" i="19"/>
  <c r="R40" i="19"/>
  <c r="M40" i="19"/>
  <c r="L37" i="19"/>
  <c r="R37" i="19"/>
  <c r="M37" i="19"/>
  <c r="L33" i="19"/>
  <c r="R33" i="19"/>
  <c r="M33" i="19"/>
  <c r="L29" i="19"/>
  <c r="R29" i="19"/>
  <c r="M29" i="19"/>
  <c r="L25" i="19"/>
  <c r="R25" i="19"/>
  <c r="M25" i="19"/>
  <c r="R21" i="19"/>
  <c r="M21" i="19"/>
  <c r="L21" i="19"/>
  <c r="R10" i="19"/>
  <c r="W10" i="19" s="1"/>
  <c r="M10" i="19"/>
  <c r="L10" i="19"/>
  <c r="S117" i="19"/>
  <c r="U6" i="19"/>
  <c r="U15" i="19"/>
  <c r="R16" i="19"/>
  <c r="M16" i="19"/>
  <c r="L16" i="19"/>
  <c r="W78" i="19" l="1"/>
  <c r="W61" i="19"/>
  <c r="W85" i="19"/>
  <c r="Z85" i="19" s="1"/>
  <c r="W103" i="19"/>
  <c r="Y103" i="19" s="1"/>
  <c r="W54" i="19"/>
  <c r="W56" i="19"/>
  <c r="W108" i="19"/>
  <c r="W115" i="19"/>
  <c r="W31" i="19"/>
  <c r="W66" i="19"/>
  <c r="Q117" i="19"/>
  <c r="J117" i="19"/>
  <c r="W62" i="19"/>
  <c r="W39" i="19"/>
  <c r="W77" i="19"/>
  <c r="W92" i="19"/>
  <c r="Z92" i="19" s="1"/>
  <c r="W35" i="19"/>
  <c r="W83" i="19"/>
  <c r="Z83" i="19" s="1"/>
  <c r="W69" i="19"/>
  <c r="W113" i="19"/>
  <c r="Z113" i="19" s="1"/>
  <c r="W105" i="19"/>
  <c r="Z105" i="19" s="1"/>
  <c r="W53" i="19"/>
  <c r="Y53" i="19" s="1"/>
  <c r="W8" i="19"/>
  <c r="W76" i="19"/>
  <c r="W86" i="19"/>
  <c r="Z86" i="19" s="1"/>
  <c r="W90" i="19"/>
  <c r="Y90" i="19" s="1"/>
  <c r="W110" i="19"/>
  <c r="Z110" i="19" s="1"/>
  <c r="I117" i="19"/>
  <c r="W59" i="19"/>
  <c r="W109" i="19"/>
  <c r="Y109" i="19" s="1"/>
  <c r="W88" i="19"/>
  <c r="Z88" i="19" s="1"/>
  <c r="W102" i="19"/>
  <c r="Y102" i="19" s="1"/>
  <c r="W93" i="19"/>
  <c r="Z93" i="19" s="1"/>
  <c r="W82" i="19"/>
  <c r="Y82" i="19" s="1"/>
  <c r="W99" i="19"/>
  <c r="Z99" i="19" s="1"/>
  <c r="W91" i="19"/>
  <c r="Z91" i="19" s="1"/>
  <c r="W70" i="19"/>
  <c r="W94" i="19"/>
  <c r="Z94" i="19" s="1"/>
  <c r="W84" i="19"/>
  <c r="Z84" i="19" s="1"/>
  <c r="Y85" i="19"/>
  <c r="W101" i="19"/>
  <c r="Z101" i="19" s="1"/>
  <c r="W116" i="19"/>
  <c r="Z116" i="19" s="1"/>
  <c r="W89" i="19"/>
  <c r="Y89" i="19" s="1"/>
  <c r="P117" i="19"/>
  <c r="W95" i="19"/>
  <c r="Y95" i="19" s="1"/>
  <c r="W112" i="19"/>
  <c r="Y112" i="19" s="1"/>
  <c r="W98" i="19"/>
  <c r="Y98" i="19" s="1"/>
  <c r="W57" i="19"/>
  <c r="Y57" i="19" s="1"/>
  <c r="W15" i="19"/>
  <c r="W33" i="19"/>
  <c r="W48" i="19"/>
  <c r="Z103" i="19"/>
  <c r="W75" i="19"/>
  <c r="Z75" i="19" s="1"/>
  <c r="W11" i="19"/>
  <c r="W79" i="19"/>
  <c r="W20" i="19"/>
  <c r="W63" i="19"/>
  <c r="W7" i="19"/>
  <c r="W52" i="19"/>
  <c r="W24" i="19"/>
  <c r="W46" i="19"/>
  <c r="W68" i="19"/>
  <c r="Y68" i="19" s="1"/>
  <c r="W17" i="19"/>
  <c r="W28" i="19"/>
  <c r="W21" i="19"/>
  <c r="W81" i="19"/>
  <c r="W50" i="19"/>
  <c r="W25" i="19"/>
  <c r="W67" i="19"/>
  <c r="W64" i="19"/>
  <c r="Y64" i="19" s="1"/>
  <c r="W29" i="19"/>
  <c r="W41" i="19"/>
  <c r="Z87" i="19"/>
  <c r="W45" i="19"/>
  <c r="Y97" i="19"/>
  <c r="Y100" i="19"/>
  <c r="W23" i="19"/>
  <c r="W40" i="19"/>
  <c r="W44" i="19"/>
  <c r="Y111" i="19"/>
  <c r="W37" i="19"/>
  <c r="W9" i="19"/>
  <c r="W55" i="19"/>
  <c r="Z106" i="19"/>
  <c r="W16" i="19"/>
  <c r="H117" i="19"/>
  <c r="Y96" i="19"/>
  <c r="Y114" i="19"/>
  <c r="Z114" i="19"/>
  <c r="Z107" i="19"/>
  <c r="W32" i="19"/>
  <c r="W47" i="19"/>
  <c r="W13" i="19"/>
  <c r="Z104" i="19"/>
  <c r="W27" i="19"/>
  <c r="W12" i="19"/>
  <c r="W51" i="19"/>
  <c r="Y105" i="19"/>
  <c r="W36" i="19"/>
  <c r="B16" i="18"/>
  <c r="X53" i="19"/>
  <c r="X69" i="19"/>
  <c r="X72" i="19"/>
  <c r="Z72" i="19" s="1"/>
  <c r="X61" i="19"/>
  <c r="Y61" i="19" s="1"/>
  <c r="X76" i="19"/>
  <c r="N78" i="19"/>
  <c r="X78" i="19" s="1"/>
  <c r="Y78" i="19" s="1"/>
  <c r="Y65" i="19"/>
  <c r="Z61" i="19"/>
  <c r="Y56" i="19"/>
  <c r="N16" i="19"/>
  <c r="X16" i="19" s="1"/>
  <c r="Z60" i="19"/>
  <c r="Z56" i="19"/>
  <c r="X79" i="19"/>
  <c r="Y60" i="19"/>
  <c r="N59" i="19"/>
  <c r="X59" i="19" s="1"/>
  <c r="N44" i="19"/>
  <c r="X44" i="19" s="1"/>
  <c r="Z65" i="19"/>
  <c r="N24" i="19"/>
  <c r="X24" i="19" s="1"/>
  <c r="Z74" i="19"/>
  <c r="N73" i="19"/>
  <c r="X73" i="19" s="1"/>
  <c r="Y73" i="19" s="1"/>
  <c r="N8" i="19"/>
  <c r="X8" i="19" s="1"/>
  <c r="N21" i="19"/>
  <c r="X21" i="19" s="1"/>
  <c r="N7" i="19"/>
  <c r="X7" i="19" s="1"/>
  <c r="N34" i="19"/>
  <c r="X34" i="19" s="1"/>
  <c r="Y34" i="19" s="1"/>
  <c r="N70" i="19"/>
  <c r="X70" i="19" s="1"/>
  <c r="Y74" i="19"/>
  <c r="N55" i="19"/>
  <c r="X55" i="19" s="1"/>
  <c r="N71" i="19"/>
  <c r="X71" i="19" s="1"/>
  <c r="N63" i="19"/>
  <c r="X63" i="19" s="1"/>
  <c r="N45" i="19"/>
  <c r="X45" i="19" s="1"/>
  <c r="N58" i="19"/>
  <c r="X58" i="19" s="1"/>
  <c r="Y58" i="19" s="1"/>
  <c r="N54" i="19"/>
  <c r="X54" i="19" s="1"/>
  <c r="Z54" i="19" s="1"/>
  <c r="N67" i="19"/>
  <c r="X67" i="19" s="1"/>
  <c r="N29" i="19"/>
  <c r="X29" i="19" s="1"/>
  <c r="N22" i="19"/>
  <c r="X22" i="19" s="1"/>
  <c r="Z22" i="19" s="1"/>
  <c r="N30" i="19"/>
  <c r="X30" i="19" s="1"/>
  <c r="Y30" i="19" s="1"/>
  <c r="N42" i="19"/>
  <c r="X42" i="19" s="1"/>
  <c r="Y42" i="19" s="1"/>
  <c r="N51" i="19"/>
  <c r="X51" i="19" s="1"/>
  <c r="N12" i="19"/>
  <c r="X12" i="19" s="1"/>
  <c r="N39" i="19"/>
  <c r="X39" i="19" s="1"/>
  <c r="N48" i="19"/>
  <c r="X48" i="19" s="1"/>
  <c r="N77" i="19"/>
  <c r="X77" i="19" s="1"/>
  <c r="N13" i="19"/>
  <c r="X13" i="19" s="1"/>
  <c r="N10" i="19"/>
  <c r="X10" i="19" s="1"/>
  <c r="Y10" i="19" s="1"/>
  <c r="N25" i="19"/>
  <c r="X25" i="19" s="1"/>
  <c r="N40" i="19"/>
  <c r="X40" i="19" s="1"/>
  <c r="N18" i="19"/>
  <c r="X18" i="19" s="1"/>
  <c r="Z18" i="19" s="1"/>
  <c r="N47" i="19"/>
  <c r="X47" i="19" s="1"/>
  <c r="N35" i="19"/>
  <c r="X35" i="19" s="1"/>
  <c r="N20" i="19"/>
  <c r="X20" i="19" s="1"/>
  <c r="N28" i="19"/>
  <c r="X28" i="19" s="1"/>
  <c r="N62" i="19"/>
  <c r="X62" i="19" s="1"/>
  <c r="N50" i="19"/>
  <c r="X50" i="19" s="1"/>
  <c r="N11" i="19"/>
  <c r="X11" i="19" s="1"/>
  <c r="Y11" i="19" s="1"/>
  <c r="N23" i="19"/>
  <c r="X23" i="19" s="1"/>
  <c r="N66" i="19"/>
  <c r="X66" i="19" s="1"/>
  <c r="N37" i="19"/>
  <c r="X37" i="19" s="1"/>
  <c r="N26" i="19"/>
  <c r="X26" i="19" s="1"/>
  <c r="Z26" i="19" s="1"/>
  <c r="N80" i="19"/>
  <c r="X80" i="19" s="1"/>
  <c r="Z80" i="19" s="1"/>
  <c r="N31" i="19"/>
  <c r="X31" i="19" s="1"/>
  <c r="N36" i="19"/>
  <c r="X36" i="19" s="1"/>
  <c r="U117" i="19"/>
  <c r="N33" i="19"/>
  <c r="X33" i="19" s="1"/>
  <c r="N46" i="19"/>
  <c r="X46" i="19" s="1"/>
  <c r="N38" i="19"/>
  <c r="X38" i="19" s="1"/>
  <c r="Z38" i="19" s="1"/>
  <c r="N43" i="19"/>
  <c r="X43" i="19" s="1"/>
  <c r="Y43" i="19" s="1"/>
  <c r="N14" i="19"/>
  <c r="X14" i="19" s="1"/>
  <c r="Z14" i="19" s="1"/>
  <c r="N19" i="19"/>
  <c r="X19" i="19" s="1"/>
  <c r="Z19" i="19" s="1"/>
  <c r="N27" i="19"/>
  <c r="X27" i="19" s="1"/>
  <c r="N41" i="19"/>
  <c r="X41" i="19" s="1"/>
  <c r="N52" i="19"/>
  <c r="X52" i="19" s="1"/>
  <c r="N81" i="19"/>
  <c r="X81" i="19" s="1"/>
  <c r="L117" i="19"/>
  <c r="N6" i="19"/>
  <c r="N9" i="19"/>
  <c r="X9" i="19" s="1"/>
  <c r="N32" i="19"/>
  <c r="X32" i="19" s="1"/>
  <c r="N49" i="19"/>
  <c r="X49" i="19" s="1"/>
  <c r="Y49" i="19" s="1"/>
  <c r="N15" i="19"/>
  <c r="X15" i="19" s="1"/>
  <c r="N17" i="19"/>
  <c r="X17" i="19" s="1"/>
  <c r="M117" i="19"/>
  <c r="O117" i="19"/>
  <c r="K117" i="19"/>
  <c r="R6" i="19"/>
  <c r="R117" i="19" s="1"/>
  <c r="A6" i="15"/>
  <c r="B6" i="11"/>
  <c r="A60" i="12" s="1"/>
  <c r="B7" i="11"/>
  <c r="J45" i="12" s="1"/>
  <c r="B8" i="11"/>
  <c r="B9" i="11"/>
  <c r="B10" i="11"/>
  <c r="B11" i="11"/>
  <c r="B12" i="11"/>
  <c r="B13" i="11"/>
  <c r="B16" i="11"/>
  <c r="B17" i="11"/>
  <c r="B18" i="11"/>
  <c r="B19" i="11"/>
  <c r="B20" i="11"/>
  <c r="B5" i="11"/>
  <c r="C13" i="6"/>
  <c r="D21" i="2"/>
  <c r="D44" i="2"/>
  <c r="Y94" i="19" l="1"/>
  <c r="Y92" i="19"/>
  <c r="Y35" i="19"/>
  <c r="Y83" i="19"/>
  <c r="Z39" i="19"/>
  <c r="Y108" i="19"/>
  <c r="Z108" i="19"/>
  <c r="Y113" i="19"/>
  <c r="Y115" i="19"/>
  <c r="Z115" i="19"/>
  <c r="Y93" i="19"/>
  <c r="Y31" i="19"/>
  <c r="Y99" i="19"/>
  <c r="Z57" i="19"/>
  <c r="Z27" i="19"/>
  <c r="Z90" i="19"/>
  <c r="Z59" i="19"/>
  <c r="Z77" i="19"/>
  <c r="Z109" i="19"/>
  <c r="Z41" i="19"/>
  <c r="Y110" i="19"/>
  <c r="Z8" i="19"/>
  <c r="Y75" i="19"/>
  <c r="Z102" i="19"/>
  <c r="Z98" i="19"/>
  <c r="Z21" i="19"/>
  <c r="Z82" i="19"/>
  <c r="Z76" i="19"/>
  <c r="Y88" i="19"/>
  <c r="Z17" i="19"/>
  <c r="Y15" i="19"/>
  <c r="Y24" i="19"/>
  <c r="Y69" i="19"/>
  <c r="Z53" i="19"/>
  <c r="Y86" i="19"/>
  <c r="Z112" i="19"/>
  <c r="Z70" i="19"/>
  <c r="Y101" i="19"/>
  <c r="Y116" i="19"/>
  <c r="Y91" i="19"/>
  <c r="Z89" i="19"/>
  <c r="Z95" i="19"/>
  <c r="Y84" i="19"/>
  <c r="Z33" i="19"/>
  <c r="Y45" i="19"/>
  <c r="Z32" i="19"/>
  <c r="Z68" i="19"/>
  <c r="Z48" i="19"/>
  <c r="Y52" i="19"/>
  <c r="Z20" i="19"/>
  <c r="Y7" i="19"/>
  <c r="Z79" i="19"/>
  <c r="Z28" i="19"/>
  <c r="Z25" i="19"/>
  <c r="Z40" i="19"/>
  <c r="Z64" i="19"/>
  <c r="Y46" i="19"/>
  <c r="Z23" i="19"/>
  <c r="Y29" i="19"/>
  <c r="Y50" i="19"/>
  <c r="Y67" i="19"/>
  <c r="Z81" i="19"/>
  <c r="Y37" i="19"/>
  <c r="Z9" i="19"/>
  <c r="Z12" i="19"/>
  <c r="Z51" i="19"/>
  <c r="Y44" i="19"/>
  <c r="Z36" i="19"/>
  <c r="Z47" i="19"/>
  <c r="Z13" i="19"/>
  <c r="B17" i="18"/>
  <c r="Z69" i="19"/>
  <c r="Y72" i="19"/>
  <c r="Y76" i="19"/>
  <c r="Z44" i="19"/>
  <c r="Y8" i="19"/>
  <c r="A193" i="12"/>
  <c r="Z10" i="19"/>
  <c r="Y21" i="19"/>
  <c r="Z24" i="19"/>
  <c r="Y48" i="19"/>
  <c r="Y16" i="19"/>
  <c r="Z16" i="19"/>
  <c r="Y59" i="19"/>
  <c r="Y40" i="19"/>
  <c r="Y79" i="19"/>
  <c r="Z42" i="19"/>
  <c r="Y54" i="19"/>
  <c r="Z7" i="19"/>
  <c r="Y77" i="19"/>
  <c r="Y18" i="19"/>
  <c r="Z52" i="19"/>
  <c r="Z43" i="19"/>
  <c r="Z50" i="19"/>
  <c r="Z34" i="19"/>
  <c r="Z35" i="19"/>
  <c r="Y28" i="19"/>
  <c r="Y47" i="19"/>
  <c r="Z29" i="19"/>
  <c r="Z30" i="19"/>
  <c r="Z78" i="19"/>
  <c r="Z73" i="19"/>
  <c r="Y20" i="19"/>
  <c r="Z55" i="19"/>
  <c r="Y55" i="19"/>
  <c r="Y12" i="19"/>
  <c r="Y51" i="19"/>
  <c r="Z58" i="19"/>
  <c r="Z11" i="19"/>
  <c r="Z45" i="19"/>
  <c r="Y63" i="19"/>
  <c r="Z63" i="19"/>
  <c r="Y71" i="19"/>
  <c r="Z71" i="19"/>
  <c r="Y70" i="19"/>
  <c r="Z67" i="19"/>
  <c r="Y23" i="19"/>
  <c r="Z49" i="19"/>
  <c r="Y22" i="19"/>
  <c r="Y25" i="19"/>
  <c r="Y27" i="19"/>
  <c r="Y39" i="19"/>
  <c r="Y80" i="19"/>
  <c r="Y66" i="19"/>
  <c r="Z66" i="19"/>
  <c r="Z62" i="19"/>
  <c r="Y62" i="19"/>
  <c r="Z37" i="19"/>
  <c r="Y17" i="19"/>
  <c r="Y81" i="19"/>
  <c r="Z31" i="19"/>
  <c r="Z46" i="19"/>
  <c r="Y13" i="19"/>
  <c r="Z15" i="19"/>
  <c r="W6" i="19"/>
  <c r="N117" i="19"/>
  <c r="X6" i="19"/>
  <c r="X117" i="19" s="1"/>
  <c r="Y19" i="19"/>
  <c r="Y38" i="19"/>
  <c r="Y26" i="19"/>
  <c r="Y9" i="19"/>
  <c r="Y32" i="19"/>
  <c r="Y14" i="19"/>
  <c r="Y36" i="19"/>
  <c r="Y41" i="19"/>
  <c r="Y33" i="19"/>
  <c r="B18" i="18" l="1"/>
  <c r="W117" i="19"/>
  <c r="Y6" i="19"/>
  <c r="Y117" i="19" s="1"/>
  <c r="Z6" i="19"/>
  <c r="Z117" i="19" s="1"/>
  <c r="G4" i="2" s="1"/>
  <c r="D110" i="7"/>
  <c r="B19" i="18" l="1"/>
  <c r="B34" i="11"/>
  <c r="A128" i="12" s="1"/>
  <c r="M146" i="12" s="1"/>
  <c r="B35" i="11"/>
  <c r="A129" i="12" s="1"/>
  <c r="M147" i="12" s="1"/>
  <c r="B36" i="11"/>
  <c r="A130" i="12" s="1"/>
  <c r="M148" i="12" s="1"/>
  <c r="B37" i="11"/>
  <c r="A131" i="12" s="1"/>
  <c r="M149" i="12" s="1"/>
  <c r="B38" i="11"/>
  <c r="A132" i="12" s="1"/>
  <c r="M150" i="12" s="1"/>
  <c r="B39" i="11"/>
  <c r="A133" i="12" s="1"/>
  <c r="M151" i="12" s="1"/>
  <c r="B40" i="11"/>
  <c r="A134" i="12" s="1"/>
  <c r="M152" i="12" s="1"/>
  <c r="B43" i="11"/>
  <c r="A137" i="12" s="1"/>
  <c r="M155" i="12" s="1"/>
  <c r="B44" i="11"/>
  <c r="A138" i="12" s="1"/>
  <c r="M156" i="12" s="1"/>
  <c r="B45" i="11"/>
  <c r="A139" i="12" s="1"/>
  <c r="M157" i="12" s="1"/>
  <c r="B46" i="11"/>
  <c r="A140" i="12" s="1"/>
  <c r="M158" i="12" s="1"/>
  <c r="B47" i="11"/>
  <c r="A141" i="12" s="1"/>
  <c r="M159" i="12" s="1"/>
  <c r="B48" i="11"/>
  <c r="A142" i="12" s="1"/>
  <c r="M160" i="12" s="1"/>
  <c r="B33" i="11"/>
  <c r="A127" i="12" s="1"/>
  <c r="M145" i="12" s="1"/>
  <c r="A38" i="15"/>
  <c r="G18" i="2"/>
  <c r="H18" i="2" s="1"/>
  <c r="B20" i="18" l="1"/>
  <c r="C83" i="14"/>
  <c r="G7" i="2" s="1"/>
  <c r="B21" i="18" l="1"/>
  <c r="D106" i="7"/>
  <c r="G6" i="2"/>
  <c r="G9" i="2"/>
  <c r="G10" i="2"/>
  <c r="G12" i="2"/>
  <c r="G13" i="2"/>
  <c r="G14" i="2"/>
  <c r="G15" i="2"/>
  <c r="G16" i="2"/>
  <c r="G17" i="2"/>
  <c r="G5" i="2"/>
  <c r="B22" i="18" l="1"/>
  <c r="D111" i="7"/>
  <c r="D109" i="7"/>
  <c r="C49" i="14"/>
  <c r="B23" i="18" l="1"/>
  <c r="D27" i="2"/>
  <c r="I110" i="12" s="1"/>
  <c r="D30" i="2"/>
  <c r="I113" i="12" s="1"/>
  <c r="B24" i="18" l="1"/>
  <c r="O34" i="16"/>
  <c r="N34" i="16"/>
  <c r="O33" i="16"/>
  <c r="N33" i="16"/>
  <c r="O32" i="16"/>
  <c r="N32" i="16"/>
  <c r="O31" i="16"/>
  <c r="N31" i="16"/>
  <c r="O30" i="16"/>
  <c r="N30" i="16"/>
  <c r="O29" i="16"/>
  <c r="N29" i="16"/>
  <c r="O28" i="16"/>
  <c r="N28" i="16"/>
  <c r="D28" i="16"/>
  <c r="C28" i="16"/>
  <c r="C51" i="16" s="1"/>
  <c r="O27" i="16"/>
  <c r="N27" i="16"/>
  <c r="G27" i="16"/>
  <c r="F27" i="16"/>
  <c r="E27" i="16"/>
  <c r="O26" i="16"/>
  <c r="N26" i="16"/>
  <c r="G26" i="16"/>
  <c r="F26" i="16"/>
  <c r="E26" i="16"/>
  <c r="O25" i="16"/>
  <c r="N25" i="16"/>
  <c r="G25" i="16"/>
  <c r="F25" i="16"/>
  <c r="E25" i="16"/>
  <c r="O24" i="16"/>
  <c r="N24" i="16"/>
  <c r="G24" i="16"/>
  <c r="F24" i="16"/>
  <c r="E24" i="16"/>
  <c r="O23" i="16"/>
  <c r="N23" i="16"/>
  <c r="G23" i="16"/>
  <c r="F23" i="16"/>
  <c r="E23" i="16"/>
  <c r="O22" i="16"/>
  <c r="N22" i="16"/>
  <c r="G22" i="16"/>
  <c r="F22" i="16"/>
  <c r="E22" i="16"/>
  <c r="O21" i="16"/>
  <c r="N21" i="16"/>
  <c r="G21" i="16"/>
  <c r="F21" i="16"/>
  <c r="E21" i="16"/>
  <c r="O20" i="16"/>
  <c r="N20" i="16"/>
  <c r="G20" i="16"/>
  <c r="F20" i="16"/>
  <c r="E20" i="16"/>
  <c r="O19" i="16"/>
  <c r="N19" i="16"/>
  <c r="G19" i="16"/>
  <c r="F19" i="16"/>
  <c r="E19" i="16"/>
  <c r="O18" i="16"/>
  <c r="N18" i="16"/>
  <c r="G18" i="16"/>
  <c r="F18" i="16"/>
  <c r="E18" i="16"/>
  <c r="O17" i="16"/>
  <c r="N17" i="16"/>
  <c r="G17" i="16"/>
  <c r="F17" i="16"/>
  <c r="E17" i="16"/>
  <c r="O16" i="16"/>
  <c r="N16" i="16"/>
  <c r="G16" i="16"/>
  <c r="F16" i="16"/>
  <c r="E16" i="16"/>
  <c r="O15" i="16"/>
  <c r="N15" i="16"/>
  <c r="G15" i="16"/>
  <c r="F15" i="16"/>
  <c r="E15" i="16"/>
  <c r="O14" i="16"/>
  <c r="N14" i="16"/>
  <c r="G14" i="16"/>
  <c r="F14" i="16"/>
  <c r="E14" i="16"/>
  <c r="O13" i="16"/>
  <c r="N13" i="16"/>
  <c r="G13" i="16"/>
  <c r="F13" i="16"/>
  <c r="E13" i="16"/>
  <c r="O12" i="16"/>
  <c r="N12" i="16"/>
  <c r="G12" i="16"/>
  <c r="F12" i="16"/>
  <c r="E12" i="16"/>
  <c r="O11" i="16"/>
  <c r="N11" i="16"/>
  <c r="G11" i="16"/>
  <c r="F11" i="16"/>
  <c r="E11" i="16"/>
  <c r="O10" i="16"/>
  <c r="N10" i="16"/>
  <c r="G10" i="16"/>
  <c r="F10" i="16"/>
  <c r="E10" i="16"/>
  <c r="O9" i="16"/>
  <c r="N9" i="16"/>
  <c r="G9" i="16"/>
  <c r="F9" i="16"/>
  <c r="E9" i="16"/>
  <c r="O8" i="16"/>
  <c r="N8" i="16"/>
  <c r="G8" i="16"/>
  <c r="F8" i="16"/>
  <c r="E8" i="16"/>
  <c r="O7" i="16"/>
  <c r="N7" i="16"/>
  <c r="G7" i="16"/>
  <c r="F7" i="16"/>
  <c r="E7" i="16"/>
  <c r="O6" i="16"/>
  <c r="N6" i="16"/>
  <c r="I6" i="16"/>
  <c r="I7" i="16" s="1"/>
  <c r="I8" i="16" s="1"/>
  <c r="I9" i="16" s="1"/>
  <c r="I10" i="16" s="1"/>
  <c r="I11" i="16" s="1"/>
  <c r="I12" i="16" s="1"/>
  <c r="I13" i="16" s="1"/>
  <c r="I14" i="16" s="1"/>
  <c r="I15" i="16" s="1"/>
  <c r="I16" i="16" s="1"/>
  <c r="I17" i="16" s="1"/>
  <c r="I18" i="16" s="1"/>
  <c r="I19" i="16" s="1"/>
  <c r="I20" i="16" s="1"/>
  <c r="I21" i="16" s="1"/>
  <c r="I22" i="16" s="1"/>
  <c r="I23" i="16" s="1"/>
  <c r="I24" i="16" s="1"/>
  <c r="I25" i="16" s="1"/>
  <c r="I26" i="16" s="1"/>
  <c r="I27" i="16" s="1"/>
  <c r="I28" i="16" s="1"/>
  <c r="I29" i="16" s="1"/>
  <c r="I30" i="16" s="1"/>
  <c r="I31" i="16" s="1"/>
  <c r="I32" i="16" s="1"/>
  <c r="I33" i="16" s="1"/>
  <c r="I34" i="16" s="1"/>
  <c r="G6" i="16"/>
  <c r="F6" i="16"/>
  <c r="E6" i="16"/>
  <c r="O5" i="16"/>
  <c r="N5" i="16"/>
  <c r="I5" i="16"/>
  <c r="G5" i="16"/>
  <c r="F5" i="16"/>
  <c r="E5" i="16"/>
  <c r="O4" i="16"/>
  <c r="N4" i="16"/>
  <c r="G4" i="16"/>
  <c r="F4" i="16"/>
  <c r="B25" i="18" l="1"/>
  <c r="K20" i="16"/>
  <c r="K9" i="16"/>
  <c r="K12" i="16"/>
  <c r="K27" i="16"/>
  <c r="K22" i="16"/>
  <c r="L16" i="16"/>
  <c r="E31" i="16"/>
  <c r="L8" i="16"/>
  <c r="L4" i="16"/>
  <c r="L12" i="16"/>
  <c r="L6" i="16"/>
  <c r="L18" i="16"/>
  <c r="K8" i="16"/>
  <c r="K15" i="16"/>
  <c r="K17" i="16"/>
  <c r="K4" i="16"/>
  <c r="K11" i="16"/>
  <c r="K14" i="16"/>
  <c r="K19" i="16"/>
  <c r="K21" i="16"/>
  <c r="K23" i="16"/>
  <c r="K5" i="16"/>
  <c r="K6" i="16"/>
  <c r="K7" i="16"/>
  <c r="K10" i="16"/>
  <c r="K13" i="16"/>
  <c r="K16" i="16"/>
  <c r="K18" i="16"/>
  <c r="D51" i="16"/>
  <c r="C95" i="14"/>
  <c r="G11" i="2" s="1"/>
  <c r="H11" i="2" s="1"/>
  <c r="L10" i="16"/>
  <c r="L14" i="16"/>
  <c r="L20" i="16"/>
  <c r="L22" i="16"/>
  <c r="L24" i="16"/>
  <c r="G28" i="16"/>
  <c r="G49" i="16" s="1"/>
  <c r="K24" i="16"/>
  <c r="K25" i="16"/>
  <c r="K30" i="16"/>
  <c r="C44" i="16"/>
  <c r="K29" i="16"/>
  <c r="K33" i="16"/>
  <c r="C46" i="16"/>
  <c r="K26" i="16"/>
  <c r="K32" i="16"/>
  <c r="C40" i="16"/>
  <c r="C48" i="16"/>
  <c r="K31" i="16"/>
  <c r="C42" i="16"/>
  <c r="C50" i="16"/>
  <c r="F28" i="16"/>
  <c r="F50" i="16" s="1"/>
  <c r="L31" i="16"/>
  <c r="L5" i="16"/>
  <c r="L7" i="16"/>
  <c r="L9" i="16"/>
  <c r="L11" i="16"/>
  <c r="L13" i="16"/>
  <c r="L15" i="16"/>
  <c r="L17" i="16"/>
  <c r="L19" i="16"/>
  <c r="L21" i="16"/>
  <c r="L23" i="16"/>
  <c r="L25" i="16"/>
  <c r="L27" i="16"/>
  <c r="K28" i="16"/>
  <c r="L29" i="16"/>
  <c r="L30" i="16"/>
  <c r="D40" i="16"/>
  <c r="D42" i="16"/>
  <c r="D44" i="16"/>
  <c r="D46" i="16"/>
  <c r="D48" i="16"/>
  <c r="D50" i="16"/>
  <c r="L32" i="16"/>
  <c r="L33" i="16"/>
  <c r="L28" i="16"/>
  <c r="K34" i="16"/>
  <c r="C41" i="16"/>
  <c r="C43" i="16"/>
  <c r="C45" i="16"/>
  <c r="C47" i="16"/>
  <c r="C49" i="16"/>
  <c r="L26" i="16"/>
  <c r="L34" i="16"/>
  <c r="D41" i="16"/>
  <c r="D43" i="16"/>
  <c r="D45" i="16"/>
  <c r="D47" i="16"/>
  <c r="D49" i="16"/>
  <c r="B26" i="18" l="1"/>
  <c r="F47" i="16"/>
  <c r="G44" i="16"/>
  <c r="G41" i="16"/>
  <c r="G42" i="16"/>
  <c r="G45" i="16"/>
  <c r="G51" i="16"/>
  <c r="G46" i="16"/>
  <c r="G48" i="16"/>
  <c r="G40" i="16"/>
  <c r="G50" i="16"/>
  <c r="G47" i="16"/>
  <c r="G43" i="16"/>
  <c r="F43" i="16"/>
  <c r="F44" i="16"/>
  <c r="F51" i="16"/>
  <c r="F45" i="16"/>
  <c r="F40" i="16"/>
  <c r="F41" i="16"/>
  <c r="F49" i="16"/>
  <c r="F46" i="16"/>
  <c r="F48" i="16"/>
  <c r="F42" i="16"/>
  <c r="C52" i="16"/>
  <c r="D52" i="16"/>
  <c r="B27" i="18" l="1"/>
  <c r="G52" i="16"/>
  <c r="F52" i="16"/>
  <c r="D3" i="2"/>
  <c r="B28" i="18" l="1"/>
  <c r="D17" i="2"/>
  <c r="D18" i="2"/>
  <c r="D19" i="2"/>
  <c r="D20" i="2"/>
  <c r="D16" i="2"/>
  <c r="B29" i="18" l="1"/>
  <c r="A5" i="15"/>
  <c r="A7" i="15"/>
  <c r="A8" i="15"/>
  <c r="A9" i="15"/>
  <c r="A10" i="15"/>
  <c r="A11" i="15"/>
  <c r="A12" i="15"/>
  <c r="A13" i="15"/>
  <c r="A16" i="15"/>
  <c r="A17" i="15"/>
  <c r="A18" i="15"/>
  <c r="A19" i="15"/>
  <c r="A20" i="15"/>
  <c r="A21" i="15"/>
  <c r="A23" i="15"/>
  <c r="A24" i="15"/>
  <c r="A25" i="15"/>
  <c r="A26" i="15"/>
  <c r="A27" i="15"/>
  <c r="A28" i="15"/>
  <c r="A30" i="15"/>
  <c r="A32" i="15"/>
  <c r="A33" i="15"/>
  <c r="A34" i="15"/>
  <c r="A35" i="15"/>
  <c r="A36" i="15"/>
  <c r="A37" i="15"/>
  <c r="A39" i="15"/>
  <c r="A40" i="15"/>
  <c r="A43" i="15"/>
  <c r="A44" i="15"/>
  <c r="A45" i="15"/>
  <c r="A46" i="15"/>
  <c r="A47" i="15"/>
  <c r="A48" i="15"/>
  <c r="A49" i="15"/>
  <c r="A51" i="15"/>
  <c r="A53" i="15"/>
  <c r="A55" i="15"/>
  <c r="A56" i="15"/>
  <c r="A57" i="15"/>
  <c r="A58" i="15"/>
  <c r="A59" i="15"/>
  <c r="A61" i="15"/>
  <c r="A63" i="15"/>
  <c r="A65" i="15"/>
  <c r="A67" i="15"/>
  <c r="A68" i="15"/>
  <c r="A69" i="15"/>
  <c r="A70" i="15"/>
  <c r="A72" i="15"/>
  <c r="A74" i="15"/>
  <c r="A75" i="15"/>
  <c r="A76" i="15"/>
  <c r="A78" i="15"/>
  <c r="A79" i="15"/>
  <c r="A80" i="15"/>
  <c r="A82" i="15"/>
  <c r="A84" i="15"/>
  <c r="A87" i="15"/>
  <c r="A88" i="15"/>
  <c r="A89" i="15"/>
  <c r="A90" i="15"/>
  <c r="A91" i="15"/>
  <c r="A93" i="15"/>
  <c r="A94" i="15"/>
  <c r="A95" i="15"/>
  <c r="A97" i="15"/>
  <c r="A99" i="15"/>
  <c r="A4" i="15"/>
  <c r="D35" i="2"/>
  <c r="D36" i="2"/>
  <c r="D31" i="2" s="1"/>
  <c r="I114" i="12" s="1"/>
  <c r="I117" i="12" s="1"/>
  <c r="B30" i="18" l="1"/>
  <c r="D37" i="2"/>
  <c r="D38" i="2"/>
  <c r="B31" i="18" l="1"/>
  <c r="D39" i="2"/>
  <c r="D40" i="2"/>
  <c r="D42" i="2"/>
  <c r="D41" i="2"/>
  <c r="D43" i="2"/>
  <c r="D14" i="2"/>
  <c r="D13" i="2"/>
  <c r="D12" i="2"/>
  <c r="D11" i="2"/>
  <c r="D8" i="2"/>
  <c r="D6" i="2"/>
  <c r="B32" i="18" l="1"/>
  <c r="J37" i="2"/>
  <c r="F34" i="2"/>
  <c r="B33" i="18" l="1"/>
  <c r="A59" i="12"/>
  <c r="A192" i="12" s="1"/>
  <c r="A61" i="12"/>
  <c r="A194" i="12" s="1"/>
  <c r="A46" i="12"/>
  <c r="A172" i="12" s="1"/>
  <c r="A47" i="12"/>
  <c r="A173" i="12" s="1"/>
  <c r="A48" i="12"/>
  <c r="A174" i="12" s="1"/>
  <c r="A49" i="12"/>
  <c r="A175" i="12" s="1"/>
  <c r="A50" i="12"/>
  <c r="A176" i="12" s="1"/>
  <c r="A51" i="12"/>
  <c r="A177" i="12" s="1"/>
  <c r="A52" i="12"/>
  <c r="A55" i="12"/>
  <c r="A188" i="12" s="1"/>
  <c r="A56" i="12"/>
  <c r="A189" i="12" s="1"/>
  <c r="A57" i="12"/>
  <c r="A190" i="12" s="1"/>
  <c r="A58" i="12"/>
  <c r="A191" i="12" s="1"/>
  <c r="A45" i="12"/>
  <c r="B34" i="18" l="1"/>
  <c r="J44" i="12"/>
  <c r="A171" i="12"/>
  <c r="J46" i="12"/>
  <c r="A178" i="12"/>
  <c r="C131" i="7"/>
  <c r="B24" i="32" s="1"/>
  <c r="C132" i="7"/>
  <c r="B25" i="32" s="1"/>
  <c r="C133" i="7"/>
  <c r="B26" i="32" s="1"/>
  <c r="C134" i="7"/>
  <c r="C130" i="7"/>
  <c r="B23" i="32" s="1"/>
  <c r="D122" i="7"/>
  <c r="B35" i="18" l="1"/>
  <c r="A36" i="12"/>
  <c r="A35" i="12"/>
  <c r="A34" i="12"/>
  <c r="A31" i="12"/>
  <c r="A30" i="12"/>
  <c r="B36" i="18" l="1"/>
  <c r="A10" i="12"/>
  <c r="A11" i="12"/>
  <c r="A12" i="12"/>
  <c r="A9" i="12"/>
  <c r="A7" i="12"/>
  <c r="A5" i="12"/>
  <c r="A201" i="12" s="1"/>
  <c r="A4" i="12"/>
  <c r="A200" i="12" s="1"/>
  <c r="A3" i="12"/>
  <c r="A199" i="12" s="1"/>
  <c r="A2" i="12"/>
  <c r="Y63" i="11"/>
  <c r="X4" i="12" s="1"/>
  <c r="Y54" i="11"/>
  <c r="X63" i="11"/>
  <c r="W4" i="12" s="1"/>
  <c r="X54" i="11"/>
  <c r="W54" i="11"/>
  <c r="V54" i="11"/>
  <c r="U54" i="11"/>
  <c r="T54" i="11"/>
  <c r="S54" i="11"/>
  <c r="R54" i="11"/>
  <c r="B37" i="18" l="1"/>
  <c r="A21" i="12"/>
  <c r="A198" i="12"/>
  <c r="A16" i="12"/>
  <c r="Q54" i="11"/>
  <c r="P54" i="11"/>
  <c r="C2" i="11"/>
  <c r="B38" i="18" l="1"/>
  <c r="D3" i="33"/>
  <c r="B126" i="12"/>
  <c r="B2" i="15"/>
  <c r="F2" i="15"/>
  <c r="J2" i="15" s="1"/>
  <c r="N2" i="15" s="1"/>
  <c r="R2" i="15" s="1"/>
  <c r="V2" i="15" s="1"/>
  <c r="Z2" i="15" s="1"/>
  <c r="AD2" i="15" s="1"/>
  <c r="AH2" i="15" s="1"/>
  <c r="AL2" i="15" s="1"/>
  <c r="AP2" i="15" s="1"/>
  <c r="AT2" i="15" s="1"/>
  <c r="AX2" i="15" s="1"/>
  <c r="BB2" i="15" s="1"/>
  <c r="BF2" i="15" s="1"/>
  <c r="BJ2" i="15" s="1"/>
  <c r="BN2" i="15" s="1"/>
  <c r="BR2" i="15" s="1"/>
  <c r="BV2" i="15" s="1"/>
  <c r="BZ2" i="15" s="1"/>
  <c r="CD2" i="15" s="1"/>
  <c r="CH2" i="15" s="1"/>
  <c r="CL2" i="15" s="1"/>
  <c r="D2" i="11"/>
  <c r="B1" i="12"/>
  <c r="B77" i="1"/>
  <c r="B76" i="1"/>
  <c r="B75" i="1"/>
  <c r="B43" i="1"/>
  <c r="B44" i="1"/>
  <c r="B45" i="1"/>
  <c r="B46" i="1"/>
  <c r="B47" i="1"/>
  <c r="B48" i="1"/>
  <c r="B49" i="1"/>
  <c r="B51" i="1"/>
  <c r="B52" i="1"/>
  <c r="B53" i="1"/>
  <c r="B54" i="1"/>
  <c r="B55" i="1"/>
  <c r="B56" i="1"/>
  <c r="B41" i="1"/>
  <c r="B39" i="18" l="1"/>
  <c r="E3" i="33"/>
  <c r="C126" i="12"/>
  <c r="B20" i="12"/>
  <c r="B26" i="12" s="1"/>
  <c r="B33" i="12" s="1"/>
  <c r="B38" i="12" s="1"/>
  <c r="B8" i="12"/>
  <c r="B15" i="12" s="1"/>
  <c r="E2" i="11"/>
  <c r="C1" i="12"/>
  <c r="B266" i="12" s="1"/>
  <c r="B279" i="12" s="1"/>
  <c r="C40" i="6"/>
  <c r="L14" i="2"/>
  <c r="B40" i="18" l="1"/>
  <c r="F3" i="33"/>
  <c r="D126" i="12"/>
  <c r="C20" i="12"/>
  <c r="C26" i="12" s="1"/>
  <c r="C33" i="12" s="1"/>
  <c r="C38" i="12" s="1"/>
  <c r="C8" i="12"/>
  <c r="C15" i="12" s="1"/>
  <c r="F2" i="11"/>
  <c r="D1" i="12"/>
  <c r="C266" i="12" s="1"/>
  <c r="C279" i="12" s="1"/>
  <c r="H25" i="2"/>
  <c r="C89" i="6" s="1"/>
  <c r="B41" i="18" l="1"/>
  <c r="G3" i="33"/>
  <c r="E126" i="12"/>
  <c r="G2" i="11"/>
  <c r="E1" i="12"/>
  <c r="D266" i="12" s="1"/>
  <c r="D279" i="12" s="1"/>
  <c r="D20" i="12"/>
  <c r="D26" i="12" s="1"/>
  <c r="D33" i="12" s="1"/>
  <c r="D38" i="12" s="1"/>
  <c r="D8" i="12"/>
  <c r="D15" i="12" s="1"/>
  <c r="D24" i="9"/>
  <c r="E24" i="9" s="1"/>
  <c r="F24" i="9" s="1"/>
  <c r="G24" i="9" s="1"/>
  <c r="H24" i="9" s="1"/>
  <c r="I24" i="9" s="1"/>
  <c r="J24" i="9" s="1"/>
  <c r="K24" i="9" s="1"/>
  <c r="L24" i="9" s="1"/>
  <c r="M24" i="9" s="1"/>
  <c r="N24" i="9" s="1"/>
  <c r="O24" i="9" s="1"/>
  <c r="P24" i="9" s="1"/>
  <c r="Q24" i="9" s="1"/>
  <c r="R24" i="9" s="1"/>
  <c r="S24" i="9" s="1"/>
  <c r="T24" i="9" s="1"/>
  <c r="U24" i="9" s="1"/>
  <c r="V24" i="9" s="1"/>
  <c r="W24" i="9" s="1"/>
  <c r="X24" i="9" s="1"/>
  <c r="Y24" i="9" s="1"/>
  <c r="Z24" i="9" s="1"/>
  <c r="AA24" i="9" s="1"/>
  <c r="AB24" i="9" s="1"/>
  <c r="AC24" i="9" s="1"/>
  <c r="AD24" i="9" s="1"/>
  <c r="AE24" i="9" s="1"/>
  <c r="AF24" i="9" s="1"/>
  <c r="AG24" i="9" s="1"/>
  <c r="AH24" i="9" s="1"/>
  <c r="AI24" i="9" s="1"/>
  <c r="AJ24" i="9" s="1"/>
  <c r="AK24" i="9" s="1"/>
  <c r="AL24" i="9" s="1"/>
  <c r="AM24" i="9" s="1"/>
  <c r="AN24" i="9" s="1"/>
  <c r="AO24" i="9" s="1"/>
  <c r="AP24" i="9" s="1"/>
  <c r="AQ24" i="9" s="1"/>
  <c r="AR24" i="9" s="1"/>
  <c r="AS24" i="9" s="1"/>
  <c r="AT24" i="9" s="1"/>
  <c r="AU24" i="9" s="1"/>
  <c r="AV24" i="9" s="1"/>
  <c r="AW24" i="9" s="1"/>
  <c r="AX24" i="9" s="1"/>
  <c r="AY24" i="9" s="1"/>
  <c r="AZ24" i="9" s="1"/>
  <c r="BA24" i="9" s="1"/>
  <c r="BB24" i="9" s="1"/>
  <c r="BC24" i="9" s="1"/>
  <c r="BD24" i="9" s="1"/>
  <c r="BE24" i="9" s="1"/>
  <c r="BF24" i="9" s="1"/>
  <c r="BG24" i="9" s="1"/>
  <c r="BH24" i="9" s="1"/>
  <c r="BI24" i="9" s="1"/>
  <c r="BJ24" i="9" s="1"/>
  <c r="BK24" i="9" s="1"/>
  <c r="BL24" i="9" s="1"/>
  <c r="BM24" i="9" s="1"/>
  <c r="BN24" i="9" s="1"/>
  <c r="BO24" i="9" s="1"/>
  <c r="BP24" i="9" s="1"/>
  <c r="BQ24" i="9" s="1"/>
  <c r="BR24" i="9" s="1"/>
  <c r="BS24" i="9" s="1"/>
  <c r="BT24" i="9" s="1"/>
  <c r="BU24" i="9" s="1"/>
  <c r="BV24" i="9" s="1"/>
  <c r="BW24" i="9" s="1"/>
  <c r="BX24" i="9" s="1"/>
  <c r="BY24" i="9" s="1"/>
  <c r="BZ24" i="9" s="1"/>
  <c r="CA24" i="9" s="1"/>
  <c r="CB24" i="9" s="1"/>
  <c r="CC24" i="9" s="1"/>
  <c r="CD24" i="9" s="1"/>
  <c r="CE24" i="9" s="1"/>
  <c r="CF24" i="9" s="1"/>
  <c r="CG24" i="9" s="1"/>
  <c r="CH24" i="9" s="1"/>
  <c r="CI24" i="9" s="1"/>
  <c r="CJ24" i="9" s="1"/>
  <c r="CK24" i="9" s="1"/>
  <c r="CL24" i="9" s="1"/>
  <c r="CM24" i="9" s="1"/>
  <c r="CN24" i="9" s="1"/>
  <c r="CO24" i="9" s="1"/>
  <c r="CP24" i="9" s="1"/>
  <c r="CQ24" i="9" s="1"/>
  <c r="CR24" i="9" s="1"/>
  <c r="CS24" i="9" s="1"/>
  <c r="CT24" i="9" s="1"/>
  <c r="CU24" i="9" s="1"/>
  <c r="CV24" i="9" s="1"/>
  <c r="CW24" i="9" s="1"/>
  <c r="CX24" i="9" s="1"/>
  <c r="CY24" i="9" s="1"/>
  <c r="CZ24" i="9" s="1"/>
  <c r="DA24" i="9" s="1"/>
  <c r="DB24" i="9" s="1"/>
  <c r="DC24" i="9" s="1"/>
  <c r="DD24" i="9" s="1"/>
  <c r="DE24" i="9" s="1"/>
  <c r="DF24" i="9" s="1"/>
  <c r="DG24" i="9" s="1"/>
  <c r="DH24" i="9" s="1"/>
  <c r="DI24" i="9" s="1"/>
  <c r="DJ24" i="9" s="1"/>
  <c r="DK24" i="9" s="1"/>
  <c r="DL24" i="9" s="1"/>
  <c r="DM24" i="9" s="1"/>
  <c r="DN24" i="9" s="1"/>
  <c r="DO24" i="9" s="1"/>
  <c r="DP24" i="9" s="1"/>
  <c r="DQ24" i="9" s="1"/>
  <c r="DR24" i="9" s="1"/>
  <c r="DS24" i="9" s="1"/>
  <c r="DT24" i="9" s="1"/>
  <c r="DU24" i="9" s="1"/>
  <c r="DV24" i="9" s="1"/>
  <c r="DW24" i="9" s="1"/>
  <c r="DX24" i="9" s="1"/>
  <c r="DY24" i="9" s="1"/>
  <c r="DZ24" i="9" s="1"/>
  <c r="EA24" i="9" s="1"/>
  <c r="EB24" i="9" s="1"/>
  <c r="EC24" i="9" s="1"/>
  <c r="ED24" i="9" s="1"/>
  <c r="EE24" i="9" s="1"/>
  <c r="EF24" i="9" s="1"/>
  <c r="EG24" i="9" s="1"/>
  <c r="EH24" i="9" s="1"/>
  <c r="EI24" i="9" s="1"/>
  <c r="EJ24" i="9" s="1"/>
  <c r="EK24" i="9" s="1"/>
  <c r="EL24" i="9" s="1"/>
  <c r="EM24" i="9" s="1"/>
  <c r="EN24" i="9" s="1"/>
  <c r="EO24" i="9" s="1"/>
  <c r="EP24" i="9" s="1"/>
  <c r="EQ24" i="9" s="1"/>
  <c r="ER24" i="9" s="1"/>
  <c r="ES24" i="9" s="1"/>
  <c r="ET24" i="9" s="1"/>
  <c r="EU24" i="9" s="1"/>
  <c r="EV24" i="9" s="1"/>
  <c r="EW24" i="9" s="1"/>
  <c r="EX24" i="9" s="1"/>
  <c r="EY24" i="9" s="1"/>
  <c r="EZ24" i="9" s="1"/>
  <c r="FA24" i="9" s="1"/>
  <c r="FB24" i="9" s="1"/>
  <c r="FC24" i="9" s="1"/>
  <c r="FD24" i="9" s="1"/>
  <c r="FE24" i="9" s="1"/>
  <c r="FF24" i="9" s="1"/>
  <c r="FG24" i="9" s="1"/>
  <c r="FH24" i="9" s="1"/>
  <c r="FI24" i="9" s="1"/>
  <c r="FJ24" i="9" s="1"/>
  <c r="FK24" i="9" s="1"/>
  <c r="FL24" i="9" s="1"/>
  <c r="FM24" i="9" s="1"/>
  <c r="FN24" i="9" s="1"/>
  <c r="FO24" i="9" s="1"/>
  <c r="FP24" i="9" s="1"/>
  <c r="FQ24" i="9" s="1"/>
  <c r="FR24" i="9" s="1"/>
  <c r="FS24" i="9" s="1"/>
  <c r="FT24" i="9" s="1"/>
  <c r="FU24" i="9" s="1"/>
  <c r="FV24" i="9" s="1"/>
  <c r="FW24" i="9" s="1"/>
  <c r="FX24" i="9" s="1"/>
  <c r="FY24" i="9" s="1"/>
  <c r="FZ24" i="9" s="1"/>
  <c r="GA24" i="9" s="1"/>
  <c r="GB24" i="9" s="1"/>
  <c r="GC24" i="9" s="1"/>
  <c r="GD24" i="9" s="1"/>
  <c r="GE24" i="9" s="1"/>
  <c r="GF24" i="9" s="1"/>
  <c r="GG24" i="9" s="1"/>
  <c r="GH24" i="9" s="1"/>
  <c r="GI24" i="9" s="1"/>
  <c r="GJ24" i="9" s="1"/>
  <c r="GK24" i="9" s="1"/>
  <c r="GL24" i="9" s="1"/>
  <c r="GM24" i="9" s="1"/>
  <c r="GN24" i="9" s="1"/>
  <c r="GO24" i="9" s="1"/>
  <c r="GP24" i="9" s="1"/>
  <c r="GQ24" i="9" s="1"/>
  <c r="GR24" i="9" s="1"/>
  <c r="GS24" i="9" s="1"/>
  <c r="GT24" i="9" s="1"/>
  <c r="GU24" i="9" s="1"/>
  <c r="GV24" i="9" s="1"/>
  <c r="GW24" i="9" s="1"/>
  <c r="GX24" i="9" s="1"/>
  <c r="GY24" i="9" s="1"/>
  <c r="GZ24" i="9" s="1"/>
  <c r="HA24" i="9" s="1"/>
  <c r="HB24" i="9" s="1"/>
  <c r="HC24" i="9" s="1"/>
  <c r="HD24" i="9" s="1"/>
  <c r="HE24" i="9" s="1"/>
  <c r="HF24" i="9" s="1"/>
  <c r="HG24" i="9" s="1"/>
  <c r="HH24" i="9" s="1"/>
  <c r="HI24" i="9" s="1"/>
  <c r="HJ24" i="9" s="1"/>
  <c r="HK24" i="9" s="1"/>
  <c r="HL24" i="9" s="1"/>
  <c r="HM24" i="9" s="1"/>
  <c r="HN24" i="9" s="1"/>
  <c r="HO24" i="9" s="1"/>
  <c r="HP24" i="9" s="1"/>
  <c r="HQ24" i="9" s="1"/>
  <c r="HR24" i="9" s="1"/>
  <c r="HS24" i="9" s="1"/>
  <c r="HT24" i="9" s="1"/>
  <c r="HU24" i="9" s="1"/>
  <c r="HV24" i="9" s="1"/>
  <c r="HW24" i="9" s="1"/>
  <c r="HX24" i="9" s="1"/>
  <c r="HY24" i="9" s="1"/>
  <c r="HZ24" i="9" s="1"/>
  <c r="IA24" i="9" s="1"/>
  <c r="IB24" i="9" s="1"/>
  <c r="IC24" i="9" s="1"/>
  <c r="ID24" i="9" s="1"/>
  <c r="IE24" i="9" s="1"/>
  <c r="IF24" i="9" s="1"/>
  <c r="IG24" i="9" s="1"/>
  <c r="IH24" i="9" s="1"/>
  <c r="II24" i="9" s="1"/>
  <c r="IJ24" i="9" s="1"/>
  <c r="IK24" i="9" s="1"/>
  <c r="IL24" i="9" s="1"/>
  <c r="IM24" i="9" s="1"/>
  <c r="IN24" i="9" s="1"/>
  <c r="IO24" i="9" s="1"/>
  <c r="IP24" i="9" s="1"/>
  <c r="IQ24" i="9" s="1"/>
  <c r="IR24" i="9" s="1"/>
  <c r="IS24" i="9" s="1"/>
  <c r="IT24" i="9" s="1"/>
  <c r="IU24" i="9" s="1"/>
  <c r="IV24" i="9" s="1"/>
  <c r="IW24" i="9" s="1"/>
  <c r="IX24" i="9" s="1"/>
  <c r="IY24" i="9" s="1"/>
  <c r="IZ24" i="9" s="1"/>
  <c r="JA24" i="9" s="1"/>
  <c r="JB24" i="9" s="1"/>
  <c r="JC24" i="9" s="1"/>
  <c r="JD24" i="9" s="1"/>
  <c r="JE24" i="9" s="1"/>
  <c r="JF24" i="9" s="1"/>
  <c r="JG24" i="9" s="1"/>
  <c r="JH24" i="9" s="1"/>
  <c r="JI24" i="9" s="1"/>
  <c r="JJ24" i="9" s="1"/>
  <c r="JK24" i="9" s="1"/>
  <c r="JL24" i="9" s="1"/>
  <c r="JM24" i="9" s="1"/>
  <c r="JN24" i="9" s="1"/>
  <c r="JO24" i="9" s="1"/>
  <c r="JP24" i="9" s="1"/>
  <c r="JQ24" i="9" s="1"/>
  <c r="JR24" i="9" s="1"/>
  <c r="AA23" i="9"/>
  <c r="AB23" i="9" s="1"/>
  <c r="AC23" i="9" s="1"/>
  <c r="AD23" i="9" s="1"/>
  <c r="AE23" i="9" s="1"/>
  <c r="AF23" i="9" s="1"/>
  <c r="AG23" i="9" s="1"/>
  <c r="AH23" i="9" s="1"/>
  <c r="AI23" i="9" s="1"/>
  <c r="AJ23" i="9" s="1"/>
  <c r="AK23" i="9" s="1"/>
  <c r="AL23" i="9" s="1"/>
  <c r="O23" i="9"/>
  <c r="P23" i="9" s="1"/>
  <c r="Q23" i="9" s="1"/>
  <c r="R23" i="9" s="1"/>
  <c r="S23" i="9" s="1"/>
  <c r="T23" i="9" s="1"/>
  <c r="U23" i="9" s="1"/>
  <c r="V23" i="9" s="1"/>
  <c r="W23" i="9" s="1"/>
  <c r="X23" i="9" s="1"/>
  <c r="Y23" i="9" s="1"/>
  <c r="Z23" i="9" s="1"/>
  <c r="C23" i="9"/>
  <c r="D23" i="9" s="1"/>
  <c r="E23" i="9" s="1"/>
  <c r="F23" i="9" s="1"/>
  <c r="G23" i="9" s="1"/>
  <c r="H23" i="9" s="1"/>
  <c r="I23" i="9" s="1"/>
  <c r="J23" i="9" s="1"/>
  <c r="K23" i="9" s="1"/>
  <c r="L23" i="9" s="1"/>
  <c r="M23" i="9" s="1"/>
  <c r="N23" i="9" s="1"/>
  <c r="AM22" i="9"/>
  <c r="AY22" i="9" s="1"/>
  <c r="BK22" i="9" s="1"/>
  <c r="BK23" i="9" s="1"/>
  <c r="BL23" i="9" s="1"/>
  <c r="BM23" i="9" s="1"/>
  <c r="BN23" i="9" s="1"/>
  <c r="BO23" i="9" s="1"/>
  <c r="BP23" i="9" s="1"/>
  <c r="BQ23" i="9" s="1"/>
  <c r="BR23" i="9" s="1"/>
  <c r="BS23" i="9" s="1"/>
  <c r="BT23" i="9" s="1"/>
  <c r="BU23" i="9" s="1"/>
  <c r="BV23" i="9" s="1"/>
  <c r="B42" i="18" l="1"/>
  <c r="H3" i="33"/>
  <c r="F126" i="12"/>
  <c r="E20" i="12"/>
  <c r="E26" i="12" s="1"/>
  <c r="E33" i="12" s="1"/>
  <c r="E38" i="12" s="1"/>
  <c r="E8" i="12"/>
  <c r="E15" i="12" s="1"/>
  <c r="F1" i="12"/>
  <c r="E266" i="12" s="1"/>
  <c r="E279" i="12" s="1"/>
  <c r="H2" i="11"/>
  <c r="AM23" i="9"/>
  <c r="AN23" i="9" s="1"/>
  <c r="AO23" i="9" s="1"/>
  <c r="AP23" i="9" s="1"/>
  <c r="AQ23" i="9" s="1"/>
  <c r="AR23" i="9" s="1"/>
  <c r="AS23" i="9" s="1"/>
  <c r="AT23" i="9" s="1"/>
  <c r="AU23" i="9" s="1"/>
  <c r="AV23" i="9" s="1"/>
  <c r="AW23" i="9" s="1"/>
  <c r="AX23" i="9" s="1"/>
  <c r="BW22" i="9"/>
  <c r="AY23" i="9"/>
  <c r="AZ23" i="9" s="1"/>
  <c r="BA23" i="9" s="1"/>
  <c r="BB23" i="9" s="1"/>
  <c r="BC23" i="9" s="1"/>
  <c r="BD23" i="9" s="1"/>
  <c r="BE23" i="9" s="1"/>
  <c r="BF23" i="9" s="1"/>
  <c r="BG23" i="9" s="1"/>
  <c r="BH23" i="9" s="1"/>
  <c r="BI23" i="9" s="1"/>
  <c r="BJ23" i="9" s="1"/>
  <c r="B43" i="18" l="1"/>
  <c r="I3" i="33"/>
  <c r="G126" i="12"/>
  <c r="G1" i="12"/>
  <c r="F266" i="12" s="1"/>
  <c r="F279" i="12" s="1"/>
  <c r="I2" i="11"/>
  <c r="F20" i="12"/>
  <c r="F26" i="12" s="1"/>
  <c r="F33" i="12" s="1"/>
  <c r="F38" i="12" s="1"/>
  <c r="F8" i="12"/>
  <c r="F15" i="12" s="1"/>
  <c r="CI22" i="9"/>
  <c r="BW23" i="9"/>
  <c r="BX23" i="9" s="1"/>
  <c r="BY23" i="9" s="1"/>
  <c r="BZ23" i="9" s="1"/>
  <c r="CA23" i="9" s="1"/>
  <c r="CB23" i="9" s="1"/>
  <c r="CC23" i="9" s="1"/>
  <c r="CD23" i="9" s="1"/>
  <c r="CE23" i="9" s="1"/>
  <c r="CF23" i="9" s="1"/>
  <c r="CG23" i="9" s="1"/>
  <c r="CH23" i="9" s="1"/>
  <c r="D128" i="7"/>
  <c r="B44" i="18" l="1"/>
  <c r="J3" i="33"/>
  <c r="H126" i="12"/>
  <c r="H1" i="12"/>
  <c r="J2" i="11"/>
  <c r="G20" i="12"/>
  <c r="G26" i="12" s="1"/>
  <c r="G33" i="12" s="1"/>
  <c r="G38" i="12" s="1"/>
  <c r="G8" i="12"/>
  <c r="G15" i="12" s="1"/>
  <c r="D108" i="7"/>
  <c r="D131" i="7"/>
  <c r="D24" i="32" s="1"/>
  <c r="D112" i="7"/>
  <c r="D2" i="7" s="1"/>
  <c r="L173" i="12" s="1"/>
  <c r="CU22" i="9"/>
  <c r="CI23" i="9"/>
  <c r="CJ23" i="9" s="1"/>
  <c r="CK23" i="9" s="1"/>
  <c r="CL23" i="9" s="1"/>
  <c r="CM23" i="9" s="1"/>
  <c r="CN23" i="9" s="1"/>
  <c r="CO23" i="9" s="1"/>
  <c r="CP23" i="9" s="1"/>
  <c r="CQ23" i="9" s="1"/>
  <c r="CR23" i="9" s="1"/>
  <c r="CS23" i="9" s="1"/>
  <c r="CT23" i="9" s="1"/>
  <c r="O64" i="2"/>
  <c r="O65" i="2" s="1"/>
  <c r="O66" i="2" s="1"/>
  <c r="O67" i="2" s="1"/>
  <c r="O62" i="2"/>
  <c r="O61" i="2" s="1"/>
  <c r="O60" i="2" s="1"/>
  <c r="O59" i="2" s="1"/>
  <c r="O52" i="2"/>
  <c r="O53" i="2" s="1"/>
  <c r="O54" i="2" s="1"/>
  <c r="O50" i="2"/>
  <c r="O49" i="2" s="1"/>
  <c r="O48" i="2" s="1"/>
  <c r="O39" i="2"/>
  <c r="O40" i="2" s="1"/>
  <c r="O41" i="2" s="1"/>
  <c r="O42" i="2" s="1"/>
  <c r="O43" i="2" s="1"/>
  <c r="O44" i="2" s="1"/>
  <c r="O37" i="2"/>
  <c r="O36" i="2" s="1"/>
  <c r="O35" i="2" s="1"/>
  <c r="O34" i="2" s="1"/>
  <c r="T33" i="2"/>
  <c r="S33" i="2" s="1"/>
  <c r="R33" i="2" s="1"/>
  <c r="Q33" i="2" s="1"/>
  <c r="P33" i="2" s="1"/>
  <c r="V33" i="2"/>
  <c r="W33" i="2" s="1"/>
  <c r="X33" i="2" s="1"/>
  <c r="Y33" i="2" s="1"/>
  <c r="Z33" i="2" s="1"/>
  <c r="Q24" i="2"/>
  <c r="R24" i="2" s="1"/>
  <c r="S24" i="2" s="1"/>
  <c r="T24" i="2" s="1"/>
  <c r="W24" i="2" s="1"/>
  <c r="X24" i="2" s="1"/>
  <c r="Y24" i="2" s="1"/>
  <c r="Z24" i="2" s="1"/>
  <c r="V13" i="2"/>
  <c r="W13" i="2" s="1"/>
  <c r="X13" i="2" s="1"/>
  <c r="Y13" i="2" s="1"/>
  <c r="Z13" i="2" s="1"/>
  <c r="D130" i="7" l="1"/>
  <c r="D23" i="32" s="1"/>
  <c r="H23" i="32" s="1"/>
  <c r="D4" i="7"/>
  <c r="L175" i="12" s="1"/>
  <c r="L172" i="12"/>
  <c r="B45" i="18"/>
  <c r="K3" i="33"/>
  <c r="I126" i="12"/>
  <c r="I24" i="32"/>
  <c r="M24" i="32"/>
  <c r="Q24" i="32"/>
  <c r="U24" i="32"/>
  <c r="K24" i="32"/>
  <c r="S24" i="32"/>
  <c r="H24" i="32"/>
  <c r="T24" i="32"/>
  <c r="F24" i="32"/>
  <c r="J24" i="32"/>
  <c r="N24" i="32"/>
  <c r="R24" i="32"/>
  <c r="V24" i="32"/>
  <c r="G24" i="32"/>
  <c r="O24" i="32"/>
  <c r="W24" i="32"/>
  <c r="L24" i="32"/>
  <c r="P24" i="32"/>
  <c r="E24" i="32"/>
  <c r="M23" i="32"/>
  <c r="Q23" i="32"/>
  <c r="U23" i="32"/>
  <c r="O23" i="32"/>
  <c r="P23" i="32"/>
  <c r="E23" i="32"/>
  <c r="F23" i="32"/>
  <c r="J23" i="32"/>
  <c r="N23" i="32"/>
  <c r="R23" i="32"/>
  <c r="V23" i="32"/>
  <c r="G23" i="32"/>
  <c r="K23" i="32"/>
  <c r="S23" i="32"/>
  <c r="W23" i="32"/>
  <c r="D133" i="7"/>
  <c r="D26" i="32" s="1"/>
  <c r="D132" i="7"/>
  <c r="D25" i="32" s="1"/>
  <c r="D113" i="7"/>
  <c r="I1" i="12"/>
  <c r="K2" i="11"/>
  <c r="H20" i="12"/>
  <c r="H26" i="12" s="1"/>
  <c r="H33" i="12" s="1"/>
  <c r="H38" i="12" s="1"/>
  <c r="H8" i="12"/>
  <c r="H15" i="12" s="1"/>
  <c r="DG22" i="9"/>
  <c r="CU23" i="9"/>
  <c r="CV23" i="9" s="1"/>
  <c r="CW23" i="9" s="1"/>
  <c r="CX23" i="9" s="1"/>
  <c r="CY23" i="9" s="1"/>
  <c r="CZ23" i="9" s="1"/>
  <c r="DA23" i="9" s="1"/>
  <c r="DB23" i="9" s="1"/>
  <c r="DC23" i="9" s="1"/>
  <c r="DD23" i="9" s="1"/>
  <c r="DE23" i="9" s="1"/>
  <c r="DF23" i="9" s="1"/>
  <c r="F39" i="2"/>
  <c r="T23" i="32" l="1"/>
  <c r="I23" i="32"/>
  <c r="L23" i="32"/>
  <c r="B46" i="18"/>
  <c r="L3" i="33"/>
  <c r="J126" i="12"/>
  <c r="X24" i="32"/>
  <c r="D8" i="7"/>
  <c r="L179" i="12" s="1"/>
  <c r="X23" i="32"/>
  <c r="T26" i="32"/>
  <c r="S26" i="32"/>
  <c r="V26" i="32"/>
  <c r="U26" i="32"/>
  <c r="U5" i="32" s="1"/>
  <c r="W26" i="32"/>
  <c r="D22" i="32"/>
  <c r="J1" i="12"/>
  <c r="L2" i="11"/>
  <c r="I20" i="12"/>
  <c r="I26" i="12" s="1"/>
  <c r="I33" i="12" s="1"/>
  <c r="I38" i="12" s="1"/>
  <c r="I8" i="12"/>
  <c r="I15" i="12" s="1"/>
  <c r="DG23" i="9"/>
  <c r="DH23" i="9" s="1"/>
  <c r="DI23" i="9" s="1"/>
  <c r="DJ23" i="9" s="1"/>
  <c r="DK23" i="9" s="1"/>
  <c r="DL23" i="9" s="1"/>
  <c r="DM23" i="9" s="1"/>
  <c r="DN23" i="9" s="1"/>
  <c r="DO23" i="9" s="1"/>
  <c r="DP23" i="9" s="1"/>
  <c r="DQ23" i="9" s="1"/>
  <c r="DR23" i="9" s="1"/>
  <c r="DS22" i="9"/>
  <c r="F37" i="2"/>
  <c r="F36" i="2"/>
  <c r="F38" i="2"/>
  <c r="F35" i="2"/>
  <c r="B47" i="18" l="1"/>
  <c r="M3" i="33"/>
  <c r="K126" i="12"/>
  <c r="N22" i="32"/>
  <c r="O22" i="32"/>
  <c r="P22" i="32"/>
  <c r="Q22" i="32"/>
  <c r="M22" i="32"/>
  <c r="R22" i="32"/>
  <c r="X26" i="32"/>
  <c r="K1" i="12"/>
  <c r="M2" i="11"/>
  <c r="J20" i="12"/>
  <c r="J26" i="12" s="1"/>
  <c r="J33" i="12" s="1"/>
  <c r="J38" i="12" s="1"/>
  <c r="J8" i="12"/>
  <c r="J15" i="12" s="1"/>
  <c r="EE22" i="9"/>
  <c r="DS23" i="9"/>
  <c r="DT23" i="9" s="1"/>
  <c r="DU23" i="9" s="1"/>
  <c r="DV23" i="9" s="1"/>
  <c r="DW23" i="9" s="1"/>
  <c r="DX23" i="9" s="1"/>
  <c r="DY23" i="9" s="1"/>
  <c r="DZ23" i="9" s="1"/>
  <c r="EA23" i="9" s="1"/>
  <c r="EB23" i="9" s="1"/>
  <c r="EC23" i="9" s="1"/>
  <c r="ED23" i="9" s="1"/>
  <c r="D134" i="7"/>
  <c r="X3" i="32" s="1"/>
  <c r="B48" i="18" l="1"/>
  <c r="N3" i="33"/>
  <c r="L126" i="12"/>
  <c r="X22" i="32"/>
  <c r="L1" i="12"/>
  <c r="N2" i="11"/>
  <c r="K20" i="12"/>
  <c r="K26" i="12" s="1"/>
  <c r="K33" i="12" s="1"/>
  <c r="K38" i="12" s="1"/>
  <c r="K8" i="12"/>
  <c r="K15" i="12" s="1"/>
  <c r="EQ22" i="9"/>
  <c r="EE23" i="9"/>
  <c r="EF23" i="9" s="1"/>
  <c r="EG23" i="9" s="1"/>
  <c r="EH23" i="9" s="1"/>
  <c r="EI23" i="9" s="1"/>
  <c r="EJ23" i="9" s="1"/>
  <c r="EK23" i="9" s="1"/>
  <c r="EL23" i="9" s="1"/>
  <c r="EM23" i="9" s="1"/>
  <c r="EN23" i="9" s="1"/>
  <c r="EO23" i="9" s="1"/>
  <c r="EP23" i="9" s="1"/>
  <c r="M9" i="10"/>
  <c r="L9" i="10" s="1"/>
  <c r="K9" i="10" s="1"/>
  <c r="J9" i="10" s="1"/>
  <c r="I9" i="10" s="1"/>
  <c r="H9" i="10" s="1"/>
  <c r="G9" i="10" s="1"/>
  <c r="F9" i="10" s="1"/>
  <c r="E9" i="10" s="1"/>
  <c r="D9" i="10" s="1"/>
  <c r="C9" i="10" s="1"/>
  <c r="B49" i="18" l="1"/>
  <c r="O3" i="33"/>
  <c r="M126" i="12"/>
  <c r="M1" i="12"/>
  <c r="O2" i="11"/>
  <c r="L20" i="12"/>
  <c r="L26" i="12" s="1"/>
  <c r="L33" i="12" s="1"/>
  <c r="L38" i="12" s="1"/>
  <c r="L8" i="12"/>
  <c r="L15" i="12" s="1"/>
  <c r="FC22" i="9"/>
  <c r="EQ23" i="9"/>
  <c r="ER23" i="9" s="1"/>
  <c r="ES23" i="9" s="1"/>
  <c r="ET23" i="9" s="1"/>
  <c r="EU23" i="9" s="1"/>
  <c r="EV23" i="9" s="1"/>
  <c r="EW23" i="9" s="1"/>
  <c r="EX23" i="9" s="1"/>
  <c r="EY23" i="9" s="1"/>
  <c r="EZ23" i="9" s="1"/>
  <c r="FA23" i="9" s="1"/>
  <c r="FB23" i="9" s="1"/>
  <c r="AM2" i="9"/>
  <c r="AY2" i="9" s="1"/>
  <c r="C3" i="9"/>
  <c r="D3" i="9" s="1"/>
  <c r="E3" i="9" s="1"/>
  <c r="F3" i="9" s="1"/>
  <c r="G3" i="9" s="1"/>
  <c r="H3" i="9" s="1"/>
  <c r="I3" i="9" s="1"/>
  <c r="J3" i="9" s="1"/>
  <c r="K3" i="9" s="1"/>
  <c r="L3" i="9" s="1"/>
  <c r="M3" i="9" s="1"/>
  <c r="N3" i="9" s="1"/>
  <c r="O3" i="9"/>
  <c r="P3" i="9" s="1"/>
  <c r="Q3" i="9" s="1"/>
  <c r="R3" i="9" s="1"/>
  <c r="S3" i="9" s="1"/>
  <c r="T3" i="9" s="1"/>
  <c r="U3" i="9" s="1"/>
  <c r="V3" i="9" s="1"/>
  <c r="W3" i="9" s="1"/>
  <c r="X3" i="9" s="1"/>
  <c r="Y3" i="9" s="1"/>
  <c r="Z3" i="9" s="1"/>
  <c r="AA3" i="9"/>
  <c r="AB3" i="9" s="1"/>
  <c r="AC3" i="9" s="1"/>
  <c r="AD3" i="9" s="1"/>
  <c r="AE3" i="9" s="1"/>
  <c r="AF3" i="9" s="1"/>
  <c r="AG3" i="9" s="1"/>
  <c r="AH3" i="9" s="1"/>
  <c r="AI3" i="9" s="1"/>
  <c r="AJ3" i="9" s="1"/>
  <c r="AK3" i="9" s="1"/>
  <c r="AL3" i="9" s="1"/>
  <c r="D4" i="9"/>
  <c r="E4" i="9" s="1"/>
  <c r="F4" i="9" s="1"/>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AD4" i="9" s="1"/>
  <c r="AE4" i="9" s="1"/>
  <c r="AF4" i="9" s="1"/>
  <c r="AG4" i="9" s="1"/>
  <c r="AH4" i="9" s="1"/>
  <c r="AI4" i="9" s="1"/>
  <c r="AJ4" i="9" s="1"/>
  <c r="AK4" i="9" s="1"/>
  <c r="AL4" i="9" s="1"/>
  <c r="AM4" i="9" s="1"/>
  <c r="AN4" i="9" s="1"/>
  <c r="AO4" i="9" s="1"/>
  <c r="AP4" i="9" s="1"/>
  <c r="AQ4" i="9" s="1"/>
  <c r="AR4" i="9" s="1"/>
  <c r="AS4" i="9" s="1"/>
  <c r="AT4" i="9" s="1"/>
  <c r="AU4" i="9" s="1"/>
  <c r="AV4" i="9" s="1"/>
  <c r="AW4" i="9" s="1"/>
  <c r="AX4" i="9" s="1"/>
  <c r="AY4" i="9" s="1"/>
  <c r="AZ4" i="9" s="1"/>
  <c r="BA4" i="9" s="1"/>
  <c r="BB4" i="9" s="1"/>
  <c r="BC4" i="9" s="1"/>
  <c r="BD4" i="9" s="1"/>
  <c r="BE4" i="9" s="1"/>
  <c r="BF4" i="9" s="1"/>
  <c r="BG4" i="9" s="1"/>
  <c r="BH4" i="9" s="1"/>
  <c r="BI4" i="9" s="1"/>
  <c r="BJ4" i="9" s="1"/>
  <c r="BK4" i="9" s="1"/>
  <c r="BL4" i="9" s="1"/>
  <c r="BM4" i="9" s="1"/>
  <c r="BN4" i="9" s="1"/>
  <c r="BO4" i="9" s="1"/>
  <c r="BP4" i="9" s="1"/>
  <c r="BQ4" i="9" s="1"/>
  <c r="BR4" i="9" s="1"/>
  <c r="BS4" i="9" s="1"/>
  <c r="BT4" i="9" s="1"/>
  <c r="BU4" i="9" s="1"/>
  <c r="BV4" i="9" s="1"/>
  <c r="BW4" i="9" s="1"/>
  <c r="BX4" i="9" s="1"/>
  <c r="BY4" i="9" s="1"/>
  <c r="BZ4" i="9" s="1"/>
  <c r="CA4" i="9" s="1"/>
  <c r="CB4" i="9" s="1"/>
  <c r="CC4" i="9" s="1"/>
  <c r="CD4" i="9" s="1"/>
  <c r="CE4" i="9" s="1"/>
  <c r="CF4" i="9" s="1"/>
  <c r="CG4" i="9" s="1"/>
  <c r="CH4" i="9" s="1"/>
  <c r="CI4" i="9" s="1"/>
  <c r="CJ4" i="9" s="1"/>
  <c r="CK4" i="9" s="1"/>
  <c r="CL4" i="9" s="1"/>
  <c r="CM4" i="9" s="1"/>
  <c r="CN4" i="9" s="1"/>
  <c r="CO4" i="9" s="1"/>
  <c r="CP4" i="9" s="1"/>
  <c r="CQ4" i="9" s="1"/>
  <c r="CR4" i="9" s="1"/>
  <c r="CS4" i="9" s="1"/>
  <c r="CT4" i="9" s="1"/>
  <c r="CU4" i="9" s="1"/>
  <c r="CV4" i="9" s="1"/>
  <c r="CW4" i="9" s="1"/>
  <c r="CX4" i="9" s="1"/>
  <c r="CY4" i="9" s="1"/>
  <c r="CZ4" i="9" s="1"/>
  <c r="DA4" i="9" s="1"/>
  <c r="DB4" i="9" s="1"/>
  <c r="DC4" i="9" s="1"/>
  <c r="DD4" i="9" s="1"/>
  <c r="DE4" i="9" s="1"/>
  <c r="DF4" i="9" s="1"/>
  <c r="DG4" i="9" s="1"/>
  <c r="DH4" i="9" s="1"/>
  <c r="DI4" i="9" s="1"/>
  <c r="DJ4" i="9" s="1"/>
  <c r="DK4" i="9" s="1"/>
  <c r="DL4" i="9" s="1"/>
  <c r="DM4" i="9" s="1"/>
  <c r="DN4" i="9" s="1"/>
  <c r="DO4" i="9" s="1"/>
  <c r="DP4" i="9" s="1"/>
  <c r="DQ4" i="9" s="1"/>
  <c r="DR4" i="9" s="1"/>
  <c r="DS4" i="9" s="1"/>
  <c r="DT4" i="9" s="1"/>
  <c r="DU4" i="9" s="1"/>
  <c r="DV4" i="9" s="1"/>
  <c r="DW4" i="9" s="1"/>
  <c r="DX4" i="9" s="1"/>
  <c r="DY4" i="9" s="1"/>
  <c r="DZ4" i="9" s="1"/>
  <c r="EA4" i="9" s="1"/>
  <c r="EB4" i="9" s="1"/>
  <c r="EC4" i="9" s="1"/>
  <c r="ED4" i="9" s="1"/>
  <c r="EE4" i="9" s="1"/>
  <c r="EF4" i="9" s="1"/>
  <c r="EG4" i="9" s="1"/>
  <c r="EH4" i="9" s="1"/>
  <c r="EI4" i="9" s="1"/>
  <c r="EJ4" i="9" s="1"/>
  <c r="EK4" i="9" s="1"/>
  <c r="EL4" i="9" s="1"/>
  <c r="EM4" i="9" s="1"/>
  <c r="EN4" i="9" s="1"/>
  <c r="EO4" i="9" s="1"/>
  <c r="EP4" i="9" s="1"/>
  <c r="EQ4" i="9" s="1"/>
  <c r="ER4" i="9" s="1"/>
  <c r="ES4" i="9" s="1"/>
  <c r="ET4" i="9" s="1"/>
  <c r="EU4" i="9" s="1"/>
  <c r="EV4" i="9" s="1"/>
  <c r="EW4" i="9" s="1"/>
  <c r="EX4" i="9" s="1"/>
  <c r="EY4" i="9" s="1"/>
  <c r="EZ4" i="9" s="1"/>
  <c r="FA4" i="9" s="1"/>
  <c r="FB4" i="9" s="1"/>
  <c r="FC4" i="9" s="1"/>
  <c r="FD4" i="9" s="1"/>
  <c r="FE4" i="9" s="1"/>
  <c r="FF4" i="9" s="1"/>
  <c r="FG4" i="9" s="1"/>
  <c r="FH4" i="9" s="1"/>
  <c r="FI4" i="9" s="1"/>
  <c r="FJ4" i="9" s="1"/>
  <c r="FK4" i="9" s="1"/>
  <c r="FL4" i="9" s="1"/>
  <c r="FM4" i="9" s="1"/>
  <c r="FN4" i="9" s="1"/>
  <c r="FO4" i="9" s="1"/>
  <c r="FP4" i="9" s="1"/>
  <c r="FQ4" i="9" s="1"/>
  <c r="FR4" i="9" s="1"/>
  <c r="FS4" i="9" s="1"/>
  <c r="FT4" i="9" s="1"/>
  <c r="FU4" i="9" s="1"/>
  <c r="FV4" i="9" s="1"/>
  <c r="FW4" i="9" s="1"/>
  <c r="FX4" i="9" s="1"/>
  <c r="FY4" i="9" s="1"/>
  <c r="FZ4" i="9" s="1"/>
  <c r="GA4" i="9" s="1"/>
  <c r="GB4" i="9" s="1"/>
  <c r="GC4" i="9" s="1"/>
  <c r="GD4" i="9" s="1"/>
  <c r="GE4" i="9" s="1"/>
  <c r="GF4" i="9" s="1"/>
  <c r="GG4" i="9" s="1"/>
  <c r="GH4" i="9" s="1"/>
  <c r="GI4" i="9" s="1"/>
  <c r="GJ4" i="9" s="1"/>
  <c r="GK4" i="9" s="1"/>
  <c r="GL4" i="9" s="1"/>
  <c r="GM4" i="9" s="1"/>
  <c r="GN4" i="9" s="1"/>
  <c r="GO4" i="9" s="1"/>
  <c r="GP4" i="9" s="1"/>
  <c r="GQ4" i="9" s="1"/>
  <c r="GR4" i="9" s="1"/>
  <c r="GS4" i="9" s="1"/>
  <c r="GT4" i="9" s="1"/>
  <c r="GU4" i="9" s="1"/>
  <c r="GV4" i="9" s="1"/>
  <c r="GW4" i="9" s="1"/>
  <c r="GX4" i="9" s="1"/>
  <c r="GY4" i="9" s="1"/>
  <c r="GZ4" i="9" s="1"/>
  <c r="HA4" i="9" s="1"/>
  <c r="HB4" i="9" s="1"/>
  <c r="HC4" i="9" s="1"/>
  <c r="HD4" i="9" s="1"/>
  <c r="HE4" i="9" s="1"/>
  <c r="HF4" i="9" s="1"/>
  <c r="HG4" i="9" s="1"/>
  <c r="HH4" i="9" s="1"/>
  <c r="HI4" i="9" s="1"/>
  <c r="HJ4" i="9" s="1"/>
  <c r="HK4" i="9" s="1"/>
  <c r="HL4" i="9" s="1"/>
  <c r="HM4" i="9" s="1"/>
  <c r="HN4" i="9" s="1"/>
  <c r="HO4" i="9" s="1"/>
  <c r="HP4" i="9" s="1"/>
  <c r="HQ4" i="9" s="1"/>
  <c r="HR4" i="9" s="1"/>
  <c r="HS4" i="9" s="1"/>
  <c r="HT4" i="9" s="1"/>
  <c r="HU4" i="9" s="1"/>
  <c r="HV4" i="9" s="1"/>
  <c r="HW4" i="9" s="1"/>
  <c r="HX4" i="9" s="1"/>
  <c r="HY4" i="9" s="1"/>
  <c r="HZ4" i="9" s="1"/>
  <c r="IA4" i="9" s="1"/>
  <c r="IB4" i="9" s="1"/>
  <c r="IC4" i="9" s="1"/>
  <c r="ID4" i="9" s="1"/>
  <c r="IE4" i="9" s="1"/>
  <c r="IF4" i="9" s="1"/>
  <c r="IG4" i="9" s="1"/>
  <c r="IH4" i="9" s="1"/>
  <c r="II4" i="9" s="1"/>
  <c r="IJ4" i="9" s="1"/>
  <c r="IK4" i="9" s="1"/>
  <c r="IL4" i="9" s="1"/>
  <c r="IM4" i="9" s="1"/>
  <c r="IN4" i="9" s="1"/>
  <c r="IO4" i="9" s="1"/>
  <c r="IP4" i="9" s="1"/>
  <c r="IQ4" i="9" s="1"/>
  <c r="IR4" i="9" s="1"/>
  <c r="IS4" i="9" s="1"/>
  <c r="IT4" i="9" s="1"/>
  <c r="IU4" i="9" s="1"/>
  <c r="IV4" i="9" s="1"/>
  <c r="IW4" i="9" s="1"/>
  <c r="IX4" i="9" s="1"/>
  <c r="IY4" i="9" s="1"/>
  <c r="IZ4" i="9" s="1"/>
  <c r="JA4" i="9" s="1"/>
  <c r="JB4" i="9" s="1"/>
  <c r="JC4" i="9" s="1"/>
  <c r="JD4" i="9" s="1"/>
  <c r="JE4" i="9" s="1"/>
  <c r="JF4" i="9" s="1"/>
  <c r="JG4" i="9" s="1"/>
  <c r="JH4" i="9" s="1"/>
  <c r="JI4" i="9" s="1"/>
  <c r="JJ4" i="9" s="1"/>
  <c r="JK4" i="9" s="1"/>
  <c r="JL4" i="9" s="1"/>
  <c r="JM4" i="9" s="1"/>
  <c r="JN4" i="9" s="1"/>
  <c r="JO4" i="9" s="1"/>
  <c r="JP4" i="9" s="1"/>
  <c r="JQ4" i="9" s="1"/>
  <c r="JR4" i="9" s="1"/>
  <c r="C12" i="9"/>
  <c r="C13" i="9"/>
  <c r="F3" i="8"/>
  <c r="G3" i="8" s="1"/>
  <c r="H3" i="8" s="1"/>
  <c r="I3" i="8" s="1"/>
  <c r="J3" i="8"/>
  <c r="K3" i="8" s="1"/>
  <c r="L3" i="8" s="1"/>
  <c r="M3" i="8" s="1"/>
  <c r="N3" i="8" s="1"/>
  <c r="O3" i="8" s="1"/>
  <c r="P3" i="8" s="1"/>
  <c r="Q3" i="8" s="1"/>
  <c r="R3" i="8" s="1"/>
  <c r="S3" i="8" s="1"/>
  <c r="T3" i="8" s="1"/>
  <c r="U3" i="8" s="1"/>
  <c r="V3" i="8" s="1"/>
  <c r="W3" i="8" s="1"/>
  <c r="X3" i="8" s="1"/>
  <c r="Y3" i="8" s="1"/>
  <c r="Z3" i="8" s="1"/>
  <c r="AA3" i="8" s="1"/>
  <c r="AB3" i="8" s="1"/>
  <c r="AC3" i="8" s="1"/>
  <c r="AD3" i="8" s="1"/>
  <c r="AE3" i="8" s="1"/>
  <c r="AF3" i="8" s="1"/>
  <c r="AG3" i="8" s="1"/>
  <c r="AH3" i="8" s="1"/>
  <c r="AI3" i="8" s="1"/>
  <c r="AJ3" i="8" s="1"/>
  <c r="AK3" i="8" s="1"/>
  <c r="AL3" i="8" s="1"/>
  <c r="AM3" i="8" s="1"/>
  <c r="AN3" i="8" s="1"/>
  <c r="AO3" i="8" s="1"/>
  <c r="AP3" i="8" s="1"/>
  <c r="AQ3" i="8" s="1"/>
  <c r="AR3" i="8" s="1"/>
  <c r="AS3" i="8" s="1"/>
  <c r="AT3" i="8" s="1"/>
  <c r="AU3" i="8" s="1"/>
  <c r="AV3" i="8" s="1"/>
  <c r="AW3" i="8" s="1"/>
  <c r="AX3" i="8" s="1"/>
  <c r="AY3" i="8" s="1"/>
  <c r="AZ3" i="8" s="1"/>
  <c r="BA3" i="8" s="1"/>
  <c r="BB3" i="8" s="1"/>
  <c r="BC3" i="8" s="1"/>
  <c r="BD3" i="8" s="1"/>
  <c r="BE3" i="8" s="1"/>
  <c r="BF3" i="8" s="1"/>
  <c r="BG3" i="8" s="1"/>
  <c r="BH3" i="8" s="1"/>
  <c r="BI3" i="8" s="1"/>
  <c r="BJ3" i="8" s="1"/>
  <c r="BK3" i="8" s="1"/>
  <c r="BL3" i="8" s="1"/>
  <c r="BM3" i="8" s="1"/>
  <c r="BN3" i="8" s="1"/>
  <c r="BO3" i="8" s="1"/>
  <c r="BP3" i="8" s="1"/>
  <c r="BQ3" i="8" s="1"/>
  <c r="BR3" i="8" s="1"/>
  <c r="BS3" i="8" s="1"/>
  <c r="BT3" i="8" s="1"/>
  <c r="BU3" i="8" s="1"/>
  <c r="BV3" i="8" s="1"/>
  <c r="BW3" i="8" s="1"/>
  <c r="BX3" i="8" s="1"/>
  <c r="BY3" i="8" s="1"/>
  <c r="BZ3" i="8" s="1"/>
  <c r="CA3" i="8" s="1"/>
  <c r="CB3" i="8" s="1"/>
  <c r="CC3" i="8" s="1"/>
  <c r="CD3" i="8" s="1"/>
  <c r="CE3" i="8" s="1"/>
  <c r="CF3" i="8" s="1"/>
  <c r="CG3" i="8" s="1"/>
  <c r="CH3" i="8" s="1"/>
  <c r="CI3" i="8" s="1"/>
  <c r="CJ3" i="8" s="1"/>
  <c r="CK3" i="8" s="1"/>
  <c r="CL3" i="8" s="1"/>
  <c r="AO4" i="8"/>
  <c r="BA4" i="8" s="1"/>
  <c r="BM4" i="8" s="1"/>
  <c r="BY4" i="8" s="1"/>
  <c r="CK4" i="8" s="1"/>
  <c r="CW4" i="8" s="1"/>
  <c r="DI4" i="8" s="1"/>
  <c r="DU4" i="8" s="1"/>
  <c r="EG4" i="8" s="1"/>
  <c r="ES4" i="8" s="1"/>
  <c r="FE4" i="8" s="1"/>
  <c r="FQ4" i="8" s="1"/>
  <c r="GC4" i="8" s="1"/>
  <c r="GO4" i="8" s="1"/>
  <c r="HA4" i="8" s="1"/>
  <c r="HM4" i="8" s="1"/>
  <c r="HY4" i="8" s="1"/>
  <c r="IK4" i="8" s="1"/>
  <c r="IW4" i="8" s="1"/>
  <c r="JI4" i="8" s="1"/>
  <c r="B14" i="8"/>
  <c r="F37" i="8"/>
  <c r="G37" i="8" s="1"/>
  <c r="H37" i="8" s="1"/>
  <c r="I37" i="8" s="1"/>
  <c r="J37" i="8" s="1"/>
  <c r="K37" i="8" s="1"/>
  <c r="L37" i="8" s="1"/>
  <c r="M37" i="8" s="1"/>
  <c r="N37" i="8" s="1"/>
  <c r="O37" i="8" s="1"/>
  <c r="P37" i="8" s="1"/>
  <c r="Q37" i="8" s="1"/>
  <c r="R37" i="8" s="1"/>
  <c r="S37" i="8" s="1"/>
  <c r="T37" i="8" s="1"/>
  <c r="U37" i="8" s="1"/>
  <c r="V37" i="8" s="1"/>
  <c r="W37" i="8" s="1"/>
  <c r="X37" i="8" s="1"/>
  <c r="Y37" i="8" s="1"/>
  <c r="Z37" i="8" s="1"/>
  <c r="AA37" i="8" s="1"/>
  <c r="AB37" i="8" s="1"/>
  <c r="AC37" i="8" s="1"/>
  <c r="AD37" i="8" s="1"/>
  <c r="AE37" i="8" s="1"/>
  <c r="AF37" i="8" s="1"/>
  <c r="AG37" i="8" s="1"/>
  <c r="AH37" i="8" s="1"/>
  <c r="AI37" i="8" s="1"/>
  <c r="AJ37" i="8" s="1"/>
  <c r="AK37" i="8" s="1"/>
  <c r="AL37" i="8" s="1"/>
  <c r="AM37" i="8" s="1"/>
  <c r="AN37" i="8" s="1"/>
  <c r="AO37" i="8" s="1"/>
  <c r="AP37" i="8" s="1"/>
  <c r="AQ37" i="8" s="1"/>
  <c r="AR37" i="8" s="1"/>
  <c r="AS37" i="8" s="1"/>
  <c r="AT37" i="8" s="1"/>
  <c r="AU37" i="8" s="1"/>
  <c r="AV37" i="8" s="1"/>
  <c r="AW37" i="8" s="1"/>
  <c r="AX37" i="8" s="1"/>
  <c r="AY37" i="8" s="1"/>
  <c r="AZ37" i="8" s="1"/>
  <c r="BA37" i="8" s="1"/>
  <c r="BB37" i="8" s="1"/>
  <c r="BC37" i="8" s="1"/>
  <c r="BD37" i="8" s="1"/>
  <c r="BE37" i="8" s="1"/>
  <c r="BF37" i="8" s="1"/>
  <c r="BG37" i="8" s="1"/>
  <c r="BH37" i="8" s="1"/>
  <c r="BI37" i="8" s="1"/>
  <c r="BJ37" i="8" s="1"/>
  <c r="BK37" i="8" s="1"/>
  <c r="BL37" i="8" s="1"/>
  <c r="BM37" i="8" s="1"/>
  <c r="BN37" i="8" s="1"/>
  <c r="BO37" i="8" s="1"/>
  <c r="BP37" i="8" s="1"/>
  <c r="BQ37" i="8" s="1"/>
  <c r="BR37" i="8" s="1"/>
  <c r="BS37" i="8" s="1"/>
  <c r="BT37" i="8" s="1"/>
  <c r="BU37" i="8" s="1"/>
  <c r="BV37" i="8" s="1"/>
  <c r="BW37" i="8" s="1"/>
  <c r="BX37" i="8" s="1"/>
  <c r="BY37" i="8" s="1"/>
  <c r="BZ37" i="8" s="1"/>
  <c r="CA37" i="8" s="1"/>
  <c r="CB37" i="8" s="1"/>
  <c r="CC37" i="8" s="1"/>
  <c r="CD37" i="8" s="1"/>
  <c r="CE37" i="8" s="1"/>
  <c r="CF37" i="8" s="1"/>
  <c r="CG37" i="8" s="1"/>
  <c r="CH37" i="8" s="1"/>
  <c r="CI37" i="8" s="1"/>
  <c r="CJ37" i="8" s="1"/>
  <c r="CK37" i="8" s="1"/>
  <c r="CL37" i="8" s="1"/>
  <c r="CM37" i="8" s="1"/>
  <c r="CN37" i="8" s="1"/>
  <c r="CO37" i="8" s="1"/>
  <c r="CP37" i="8" s="1"/>
  <c r="CQ37" i="8" s="1"/>
  <c r="CR37" i="8" s="1"/>
  <c r="CS37" i="8" s="1"/>
  <c r="CT37" i="8" s="1"/>
  <c r="CU37" i="8" s="1"/>
  <c r="CV37" i="8" s="1"/>
  <c r="CW37" i="8" s="1"/>
  <c r="CX37" i="8" s="1"/>
  <c r="CY37" i="8" s="1"/>
  <c r="CZ37" i="8" s="1"/>
  <c r="DA37" i="8" s="1"/>
  <c r="DB37" i="8" s="1"/>
  <c r="DC37" i="8" s="1"/>
  <c r="DD37" i="8" s="1"/>
  <c r="DE37" i="8" s="1"/>
  <c r="DF37" i="8" s="1"/>
  <c r="DG37" i="8" s="1"/>
  <c r="DH37" i="8" s="1"/>
  <c r="DI37" i="8" s="1"/>
  <c r="DJ37" i="8" s="1"/>
  <c r="DK37" i="8" s="1"/>
  <c r="DL37" i="8" s="1"/>
  <c r="DM37" i="8" s="1"/>
  <c r="DN37" i="8" s="1"/>
  <c r="DO37" i="8" s="1"/>
  <c r="DP37" i="8" s="1"/>
  <c r="DQ37" i="8" s="1"/>
  <c r="DR37" i="8" s="1"/>
  <c r="DS37" i="8" s="1"/>
  <c r="DT37" i="8" s="1"/>
  <c r="DU37" i="8" s="1"/>
  <c r="DV37" i="8" s="1"/>
  <c r="DW37" i="8" s="1"/>
  <c r="DX37" i="8" s="1"/>
  <c r="DY37" i="8" s="1"/>
  <c r="DZ37" i="8" s="1"/>
  <c r="EA37" i="8" s="1"/>
  <c r="EB37" i="8" s="1"/>
  <c r="EC37" i="8" s="1"/>
  <c r="ED37" i="8" s="1"/>
  <c r="EE37" i="8" s="1"/>
  <c r="EF37" i="8" s="1"/>
  <c r="EG37" i="8" s="1"/>
  <c r="EH37" i="8" s="1"/>
  <c r="EI37" i="8" s="1"/>
  <c r="EJ37" i="8" s="1"/>
  <c r="EK37" i="8" s="1"/>
  <c r="EL37" i="8" s="1"/>
  <c r="EM37" i="8" s="1"/>
  <c r="EN37" i="8" s="1"/>
  <c r="EO37" i="8" s="1"/>
  <c r="EP37" i="8" s="1"/>
  <c r="EQ37" i="8" s="1"/>
  <c r="ER37" i="8" s="1"/>
  <c r="ES37" i="8" s="1"/>
  <c r="ET37" i="8" s="1"/>
  <c r="EU37" i="8" s="1"/>
  <c r="EV37" i="8" s="1"/>
  <c r="EW37" i="8" s="1"/>
  <c r="EX37" i="8" s="1"/>
  <c r="EY37" i="8" s="1"/>
  <c r="EZ37" i="8" s="1"/>
  <c r="FA37" i="8" s="1"/>
  <c r="FB37" i="8" s="1"/>
  <c r="FC37" i="8" s="1"/>
  <c r="FD37" i="8" s="1"/>
  <c r="FE37" i="8" s="1"/>
  <c r="FF37" i="8" s="1"/>
  <c r="FG37" i="8" s="1"/>
  <c r="FH37" i="8" s="1"/>
  <c r="FI37" i="8" s="1"/>
  <c r="FJ37" i="8" s="1"/>
  <c r="FK37" i="8" s="1"/>
  <c r="FL37" i="8" s="1"/>
  <c r="FM37" i="8" s="1"/>
  <c r="FN37" i="8" s="1"/>
  <c r="FO37" i="8" s="1"/>
  <c r="FP37" i="8" s="1"/>
  <c r="FQ37" i="8" s="1"/>
  <c r="FR37" i="8" s="1"/>
  <c r="FS37" i="8" s="1"/>
  <c r="FT37" i="8" s="1"/>
  <c r="FU37" i="8" s="1"/>
  <c r="FV37" i="8" s="1"/>
  <c r="FW37" i="8" s="1"/>
  <c r="FX37" i="8" s="1"/>
  <c r="FY37" i="8" s="1"/>
  <c r="FZ37" i="8" s="1"/>
  <c r="GA37" i="8" s="1"/>
  <c r="GB37" i="8" s="1"/>
  <c r="GC37" i="8" s="1"/>
  <c r="GD37" i="8" s="1"/>
  <c r="GE37" i="8" s="1"/>
  <c r="GF37" i="8" s="1"/>
  <c r="GG37" i="8" s="1"/>
  <c r="GH37" i="8" s="1"/>
  <c r="GI37" i="8" s="1"/>
  <c r="GJ37" i="8" s="1"/>
  <c r="GK37" i="8" s="1"/>
  <c r="GL37" i="8" s="1"/>
  <c r="GM37" i="8" s="1"/>
  <c r="GN37" i="8" s="1"/>
  <c r="GO37" i="8" s="1"/>
  <c r="GP37" i="8" s="1"/>
  <c r="GQ37" i="8" s="1"/>
  <c r="GR37" i="8" s="1"/>
  <c r="GS37" i="8" s="1"/>
  <c r="GT37" i="8" s="1"/>
  <c r="GU37" i="8" s="1"/>
  <c r="GV37" i="8" s="1"/>
  <c r="GW37" i="8" s="1"/>
  <c r="GX37" i="8" s="1"/>
  <c r="GY37" i="8" s="1"/>
  <c r="GZ37" i="8" s="1"/>
  <c r="HA37" i="8" s="1"/>
  <c r="HB37" i="8" s="1"/>
  <c r="HC37" i="8" s="1"/>
  <c r="HD37" i="8" s="1"/>
  <c r="HE37" i="8" s="1"/>
  <c r="HF37" i="8" s="1"/>
  <c r="HG37" i="8" s="1"/>
  <c r="HH37" i="8" s="1"/>
  <c r="HI37" i="8" s="1"/>
  <c r="HJ37" i="8" s="1"/>
  <c r="HK37" i="8" s="1"/>
  <c r="HL37" i="8" s="1"/>
  <c r="HM37" i="8" s="1"/>
  <c r="HN37" i="8" s="1"/>
  <c r="HO37" i="8" s="1"/>
  <c r="HP37" i="8" s="1"/>
  <c r="HQ37" i="8" s="1"/>
  <c r="HR37" i="8" s="1"/>
  <c r="HS37" i="8" s="1"/>
  <c r="HT37" i="8" s="1"/>
  <c r="HU37" i="8" s="1"/>
  <c r="HV37" i="8" s="1"/>
  <c r="HW37" i="8" s="1"/>
  <c r="HX37" i="8" s="1"/>
  <c r="HY37" i="8" s="1"/>
  <c r="HZ37" i="8" s="1"/>
  <c r="IA37" i="8" s="1"/>
  <c r="IB37" i="8" s="1"/>
  <c r="IC37" i="8" s="1"/>
  <c r="ID37" i="8" s="1"/>
  <c r="IE37" i="8" s="1"/>
  <c r="IF37" i="8" s="1"/>
  <c r="IG37" i="8" s="1"/>
  <c r="IH37" i="8" s="1"/>
  <c r="II37" i="8" s="1"/>
  <c r="IJ37" i="8" s="1"/>
  <c r="IK37" i="8" s="1"/>
  <c r="IL37" i="8" s="1"/>
  <c r="IM37" i="8" s="1"/>
  <c r="IN37" i="8" s="1"/>
  <c r="IO37" i="8" s="1"/>
  <c r="IP37" i="8" s="1"/>
  <c r="IQ37" i="8" s="1"/>
  <c r="IR37" i="8" s="1"/>
  <c r="IS37" i="8" s="1"/>
  <c r="IT37" i="8" s="1"/>
  <c r="IU37" i="8" s="1"/>
  <c r="IV37" i="8" s="1"/>
  <c r="IW37" i="8" s="1"/>
  <c r="IX37" i="8" s="1"/>
  <c r="IY37" i="8" s="1"/>
  <c r="IZ37" i="8" s="1"/>
  <c r="JA37" i="8" s="1"/>
  <c r="JB37" i="8" s="1"/>
  <c r="JC37" i="8" s="1"/>
  <c r="JD37" i="8" s="1"/>
  <c r="JE37" i="8" s="1"/>
  <c r="JF37" i="8" s="1"/>
  <c r="JG37" i="8" s="1"/>
  <c r="JH37" i="8" s="1"/>
  <c r="JI37" i="8" s="1"/>
  <c r="JJ37" i="8" s="1"/>
  <c r="JK37" i="8" s="1"/>
  <c r="JL37" i="8" s="1"/>
  <c r="JM37" i="8" s="1"/>
  <c r="JN37" i="8" s="1"/>
  <c r="JO37" i="8" s="1"/>
  <c r="JP37" i="8" s="1"/>
  <c r="JQ37" i="8" s="1"/>
  <c r="JR37" i="8" s="1"/>
  <c r="JS37" i="8" s="1"/>
  <c r="JT37" i="8" s="1"/>
  <c r="AO38" i="8"/>
  <c r="BA38" i="8" s="1"/>
  <c r="BM38" i="8" s="1"/>
  <c r="BY38" i="8" s="1"/>
  <c r="CK38" i="8" s="1"/>
  <c r="CW38" i="8" s="1"/>
  <c r="DI38" i="8" s="1"/>
  <c r="DU38" i="8" s="1"/>
  <c r="EG38" i="8" s="1"/>
  <c r="ES38" i="8" s="1"/>
  <c r="FE38" i="8" s="1"/>
  <c r="FQ38" i="8" s="1"/>
  <c r="GC38" i="8" s="1"/>
  <c r="GO38" i="8" s="1"/>
  <c r="HA38" i="8" s="1"/>
  <c r="HM38" i="8" s="1"/>
  <c r="HY38" i="8" s="1"/>
  <c r="IK38" i="8" s="1"/>
  <c r="IW38" i="8" s="1"/>
  <c r="JI38" i="8" s="1"/>
  <c r="D1" i="6"/>
  <c r="C3" i="6"/>
  <c r="C62" i="6" s="1"/>
  <c r="AM5" i="6"/>
  <c r="AY5" i="6" s="1"/>
  <c r="C6" i="6"/>
  <c r="D6" i="6" s="1"/>
  <c r="E6" i="6" s="1"/>
  <c r="F6" i="6" s="1"/>
  <c r="G6" i="6" s="1"/>
  <c r="H6" i="6" s="1"/>
  <c r="I6" i="6" s="1"/>
  <c r="J6" i="6" s="1"/>
  <c r="K6" i="6" s="1"/>
  <c r="L6" i="6" s="1"/>
  <c r="M6" i="6" s="1"/>
  <c r="N6" i="6" s="1"/>
  <c r="O6" i="6"/>
  <c r="P6" i="6" s="1"/>
  <c r="Q6" i="6" s="1"/>
  <c r="R6" i="6" s="1"/>
  <c r="S6" i="6" s="1"/>
  <c r="T6" i="6" s="1"/>
  <c r="U6" i="6" s="1"/>
  <c r="V6" i="6" s="1"/>
  <c r="W6" i="6" s="1"/>
  <c r="X6" i="6" s="1"/>
  <c r="Y6" i="6" s="1"/>
  <c r="Z6" i="6" s="1"/>
  <c r="AA6" i="6"/>
  <c r="AB6" i="6" s="1"/>
  <c r="AC6" i="6" s="1"/>
  <c r="AD6" i="6" s="1"/>
  <c r="AE6" i="6" s="1"/>
  <c r="AF6" i="6" s="1"/>
  <c r="AG6" i="6" s="1"/>
  <c r="AH6" i="6" s="1"/>
  <c r="AI6" i="6" s="1"/>
  <c r="AJ6" i="6" s="1"/>
  <c r="AK6" i="6" s="1"/>
  <c r="AL6" i="6" s="1"/>
  <c r="C9" i="6"/>
  <c r="D9" i="6"/>
  <c r="E9" i="6"/>
  <c r="F9" i="6"/>
  <c r="G9" i="6"/>
  <c r="H9" i="6"/>
  <c r="I9" i="6"/>
  <c r="J9" i="6"/>
  <c r="K9" i="6"/>
  <c r="L9" i="6"/>
  <c r="M9" i="6"/>
  <c r="N9" i="6"/>
  <c r="O9" i="6"/>
  <c r="P9" i="6"/>
  <c r="Q9" i="6"/>
  <c r="R9" i="6"/>
  <c r="S9" i="6"/>
  <c r="T9" i="6"/>
  <c r="U9" i="6"/>
  <c r="V9" i="6"/>
  <c r="W9" i="6"/>
  <c r="X9" i="6"/>
  <c r="Y9" i="6"/>
  <c r="Z9" i="6"/>
  <c r="AA9" i="6"/>
  <c r="AB9" i="6"/>
  <c r="AC9" i="6"/>
  <c r="AD9" i="6"/>
  <c r="AE9" i="6"/>
  <c r="AF9"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BO9" i="6"/>
  <c r="BP9" i="6"/>
  <c r="BQ9" i="6"/>
  <c r="BR9" i="6"/>
  <c r="BS9" i="6"/>
  <c r="BT9" i="6"/>
  <c r="BU9" i="6"/>
  <c r="BV9" i="6"/>
  <c r="BW9" i="6"/>
  <c r="BX9" i="6"/>
  <c r="BY9" i="6"/>
  <c r="BZ9" i="6"/>
  <c r="CA9" i="6"/>
  <c r="CB9" i="6"/>
  <c r="CC9" i="6"/>
  <c r="CD9" i="6"/>
  <c r="CE9" i="6"/>
  <c r="CF9" i="6"/>
  <c r="CG9" i="6"/>
  <c r="CH9" i="6"/>
  <c r="CI9" i="6"/>
  <c r="CJ9" i="6"/>
  <c r="CK9" i="6"/>
  <c r="CL9" i="6"/>
  <c r="CM9" i="6"/>
  <c r="CN9" i="6"/>
  <c r="CO9" i="6"/>
  <c r="CP9" i="6"/>
  <c r="CQ9" i="6"/>
  <c r="CR9" i="6"/>
  <c r="CS9" i="6"/>
  <c r="CT9" i="6"/>
  <c r="CU9" i="6"/>
  <c r="CV9" i="6"/>
  <c r="CW9" i="6"/>
  <c r="CX9" i="6"/>
  <c r="CY9" i="6"/>
  <c r="CZ9" i="6"/>
  <c r="DA9" i="6"/>
  <c r="DB9" i="6"/>
  <c r="DC9" i="6"/>
  <c r="DD9" i="6"/>
  <c r="DE9" i="6"/>
  <c r="DF9" i="6"/>
  <c r="DG9" i="6"/>
  <c r="DH9" i="6"/>
  <c r="DI9" i="6"/>
  <c r="DJ9" i="6"/>
  <c r="DK9" i="6"/>
  <c r="DL9" i="6"/>
  <c r="DM9" i="6"/>
  <c r="DN9" i="6"/>
  <c r="DO9" i="6"/>
  <c r="DP9" i="6"/>
  <c r="DQ9" i="6"/>
  <c r="DR9" i="6"/>
  <c r="DS9" i="6"/>
  <c r="DT9" i="6"/>
  <c r="DU9" i="6"/>
  <c r="DV9" i="6"/>
  <c r="DW9" i="6"/>
  <c r="DX9" i="6"/>
  <c r="DY9" i="6"/>
  <c r="DZ9" i="6"/>
  <c r="EA9" i="6"/>
  <c r="EB9" i="6"/>
  <c r="EC9" i="6"/>
  <c r="ED9" i="6"/>
  <c r="EE9" i="6"/>
  <c r="EF9" i="6"/>
  <c r="EG9" i="6"/>
  <c r="EH9" i="6"/>
  <c r="EI9" i="6"/>
  <c r="EJ9" i="6"/>
  <c r="EK9" i="6"/>
  <c r="EL9" i="6"/>
  <c r="EM9" i="6"/>
  <c r="EN9" i="6"/>
  <c r="EO9" i="6"/>
  <c r="EP9" i="6"/>
  <c r="EQ9" i="6"/>
  <c r="ER9" i="6"/>
  <c r="ES9" i="6"/>
  <c r="ET9" i="6"/>
  <c r="EU9" i="6"/>
  <c r="EV9" i="6"/>
  <c r="EW9" i="6"/>
  <c r="EX9" i="6"/>
  <c r="EY9" i="6"/>
  <c r="EZ9" i="6"/>
  <c r="FA9" i="6"/>
  <c r="FB9" i="6"/>
  <c r="FC9" i="6"/>
  <c r="FD9" i="6"/>
  <c r="FE9" i="6"/>
  <c r="FF9" i="6"/>
  <c r="FG9" i="6"/>
  <c r="FH9" i="6"/>
  <c r="FI9" i="6"/>
  <c r="FJ9" i="6"/>
  <c r="FK9" i="6"/>
  <c r="FL9" i="6"/>
  <c r="FM9" i="6"/>
  <c r="FN9" i="6"/>
  <c r="FO9" i="6"/>
  <c r="FP9" i="6"/>
  <c r="FQ9" i="6"/>
  <c r="FR9" i="6"/>
  <c r="FS9" i="6"/>
  <c r="FT9" i="6"/>
  <c r="FU9" i="6"/>
  <c r="FV9" i="6"/>
  <c r="FW9" i="6"/>
  <c r="FX9" i="6"/>
  <c r="FY9" i="6"/>
  <c r="FZ9" i="6"/>
  <c r="GA9" i="6"/>
  <c r="GB9" i="6"/>
  <c r="GC9" i="6"/>
  <c r="GD9" i="6"/>
  <c r="GE9" i="6"/>
  <c r="GF9" i="6"/>
  <c r="GG9" i="6"/>
  <c r="GH9" i="6"/>
  <c r="GI9" i="6"/>
  <c r="GJ9" i="6"/>
  <c r="GK9" i="6"/>
  <c r="GL9" i="6"/>
  <c r="GM9" i="6"/>
  <c r="GN9" i="6"/>
  <c r="GO9" i="6"/>
  <c r="GP9" i="6"/>
  <c r="GQ9" i="6"/>
  <c r="GR9" i="6"/>
  <c r="GS9" i="6"/>
  <c r="GT9" i="6"/>
  <c r="GU9" i="6"/>
  <c r="GV9" i="6"/>
  <c r="GW9" i="6"/>
  <c r="GX9" i="6"/>
  <c r="GY9" i="6"/>
  <c r="GZ9" i="6"/>
  <c r="HA9" i="6"/>
  <c r="HB9" i="6"/>
  <c r="HC9" i="6"/>
  <c r="HD9" i="6"/>
  <c r="HE9" i="6"/>
  <c r="HF9" i="6"/>
  <c r="HG9" i="6"/>
  <c r="HH9" i="6"/>
  <c r="HI9" i="6"/>
  <c r="HJ9" i="6"/>
  <c r="HK9" i="6"/>
  <c r="HL9" i="6"/>
  <c r="HM9" i="6"/>
  <c r="HN9" i="6"/>
  <c r="HO9" i="6"/>
  <c r="HP9" i="6"/>
  <c r="HQ9" i="6"/>
  <c r="HR9" i="6"/>
  <c r="HS9" i="6"/>
  <c r="HT9" i="6"/>
  <c r="HU9" i="6"/>
  <c r="HV9" i="6"/>
  <c r="HW9" i="6"/>
  <c r="HX9" i="6"/>
  <c r="HY9" i="6"/>
  <c r="HZ9" i="6"/>
  <c r="IA9" i="6"/>
  <c r="IB9" i="6"/>
  <c r="IC9" i="6"/>
  <c r="ID9" i="6"/>
  <c r="IE9" i="6"/>
  <c r="IF9" i="6"/>
  <c r="IG9" i="6"/>
  <c r="IH9" i="6"/>
  <c r="II9" i="6"/>
  <c r="IJ9" i="6"/>
  <c r="IK9" i="6"/>
  <c r="IL9" i="6"/>
  <c r="IM9" i="6"/>
  <c r="IN9" i="6"/>
  <c r="IO9" i="6"/>
  <c r="IP9" i="6"/>
  <c r="IQ9" i="6"/>
  <c r="IR9" i="6"/>
  <c r="IS9" i="6"/>
  <c r="IT9" i="6"/>
  <c r="IU9" i="6"/>
  <c r="IV9" i="6"/>
  <c r="IW9" i="6"/>
  <c r="IX9" i="6"/>
  <c r="IY9" i="6"/>
  <c r="IZ9" i="6"/>
  <c r="JA9" i="6"/>
  <c r="JB9" i="6"/>
  <c r="JC9" i="6"/>
  <c r="JD9" i="6"/>
  <c r="JE9" i="6"/>
  <c r="JF9" i="6"/>
  <c r="JG9" i="6"/>
  <c r="JH9" i="6"/>
  <c r="JI9" i="6"/>
  <c r="JJ9" i="6"/>
  <c r="JK9" i="6"/>
  <c r="JL9" i="6"/>
  <c r="JM9" i="6"/>
  <c r="JN9" i="6"/>
  <c r="JO9" i="6"/>
  <c r="JP9" i="6"/>
  <c r="JQ9" i="6"/>
  <c r="JR9" i="6"/>
  <c r="C31" i="6"/>
  <c r="C32" i="6"/>
  <c r="C33" i="6"/>
  <c r="C34" i="6"/>
  <c r="C41" i="6"/>
  <c r="C42" i="6"/>
  <c r="C43" i="6"/>
  <c r="C46" i="6"/>
  <c r="C47" i="6"/>
  <c r="C50" i="6"/>
  <c r="C51" i="6"/>
  <c r="C52" i="6"/>
  <c r="C53" i="6"/>
  <c r="C54" i="6"/>
  <c r="C55" i="6"/>
  <c r="C63" i="6"/>
  <c r="C65" i="6"/>
  <c r="C102" i="6"/>
  <c r="P11" i="7"/>
  <c r="S11" i="7"/>
  <c r="U11" i="7" s="1"/>
  <c r="T11" i="7"/>
  <c r="T12" i="7" s="1"/>
  <c r="T13" i="7" s="1"/>
  <c r="T14" i="7" s="1"/>
  <c r="T15" i="7" s="1"/>
  <c r="T16" i="7" s="1"/>
  <c r="T17" i="7" s="1"/>
  <c r="T18" i="7" s="1"/>
  <c r="T19" i="7" s="1"/>
  <c r="T20" i="7" s="1"/>
  <c r="P12" i="7"/>
  <c r="R12" i="7"/>
  <c r="R13" i="7" s="1"/>
  <c r="R14" i="7" s="1"/>
  <c r="R15" i="7" s="1"/>
  <c r="R16" i="7" s="1"/>
  <c r="R17" i="7" s="1"/>
  <c r="R18" i="7" s="1"/>
  <c r="R19" i="7" s="1"/>
  <c r="R20" i="7" s="1"/>
  <c r="S12" i="7"/>
  <c r="U12" i="7" s="1"/>
  <c r="P13" i="7"/>
  <c r="S13" i="7"/>
  <c r="U13" i="7" s="1"/>
  <c r="P14" i="7"/>
  <c r="S14" i="7"/>
  <c r="U14" i="7" s="1"/>
  <c r="P15" i="7"/>
  <c r="S15" i="7"/>
  <c r="U15" i="7" s="1"/>
  <c r="P16" i="7"/>
  <c r="S16" i="7"/>
  <c r="U16" i="7" s="1"/>
  <c r="P17" i="7"/>
  <c r="S17" i="7"/>
  <c r="U17" i="7" s="1"/>
  <c r="P18" i="7"/>
  <c r="P19" i="7"/>
  <c r="P20" i="7"/>
  <c r="P21" i="7"/>
  <c r="P22" i="7"/>
  <c r="P23" i="7"/>
  <c r="P24" i="7"/>
  <c r="AF24" i="7"/>
  <c r="AG24" i="7"/>
  <c r="AH24" i="7"/>
  <c r="AI24" i="7"/>
  <c r="AJ24" i="7"/>
  <c r="AK24" i="7"/>
  <c r="AL24" i="7"/>
  <c r="AM24" i="7"/>
  <c r="AN24" i="7"/>
  <c r="AO24" i="7"/>
  <c r="AP24" i="7"/>
  <c r="AQ24" i="7"/>
  <c r="AR24" i="7"/>
  <c r="AS24" i="7"/>
  <c r="AT24" i="7"/>
  <c r="AU24" i="7"/>
  <c r="P25" i="7"/>
  <c r="T25" i="7"/>
  <c r="V25" i="7"/>
  <c r="AA24" i="7" s="1"/>
  <c r="P26" i="7"/>
  <c r="R26" i="7"/>
  <c r="T26" i="7"/>
  <c r="V26" i="7"/>
  <c r="W26" i="7" s="1"/>
  <c r="P27" i="7"/>
  <c r="T27" i="7"/>
  <c r="V27" i="7"/>
  <c r="P28" i="7"/>
  <c r="T28" i="7"/>
  <c r="V28" i="7"/>
  <c r="P29" i="7"/>
  <c r="T29" i="7"/>
  <c r="V29" i="7"/>
  <c r="P30" i="7"/>
  <c r="T30" i="7"/>
  <c r="V30" i="7"/>
  <c r="P31" i="7"/>
  <c r="T31" i="7"/>
  <c r="V31" i="7"/>
  <c r="P32" i="7"/>
  <c r="T32" i="7"/>
  <c r="V32" i="7"/>
  <c r="P33" i="7"/>
  <c r="T33" i="7"/>
  <c r="V33" i="7"/>
  <c r="P34" i="7"/>
  <c r="T34" i="7"/>
  <c r="V34" i="7"/>
  <c r="T35" i="7"/>
  <c r="V35" i="7"/>
  <c r="W35" i="7" s="1"/>
  <c r="T36" i="7"/>
  <c r="V36" i="7"/>
  <c r="W36" i="7" s="1"/>
  <c r="T37" i="7"/>
  <c r="V37" i="7"/>
  <c r="W37" i="7" s="1"/>
  <c r="T38" i="7"/>
  <c r="V38" i="7"/>
  <c r="W38" i="7" s="1"/>
  <c r="T39" i="7"/>
  <c r="V39" i="7"/>
  <c r="W39" i="7" s="1"/>
  <c r="T40" i="7"/>
  <c r="V40" i="7"/>
  <c r="W40" i="7" s="1"/>
  <c r="T41" i="7"/>
  <c r="V41" i="7"/>
  <c r="W41" i="7" s="1"/>
  <c r="T42" i="7"/>
  <c r="V42" i="7"/>
  <c r="W42" i="7" s="1"/>
  <c r="T43" i="7"/>
  <c r="V43" i="7"/>
  <c r="W43" i="7" s="1"/>
  <c r="T44" i="7"/>
  <c r="V44" i="7"/>
  <c r="W44" i="7" s="1"/>
  <c r="T45" i="7"/>
  <c r="V45" i="7"/>
  <c r="W45" i="7" s="1"/>
  <c r="T46" i="7"/>
  <c r="V46" i="7"/>
  <c r="W46" i="7" s="1"/>
  <c r="T47" i="7"/>
  <c r="V47" i="7"/>
  <c r="W47" i="7" s="1"/>
  <c r="D116" i="7"/>
  <c r="D117" i="7"/>
  <c r="D118" i="7"/>
  <c r="D119" i="7"/>
  <c r="D120" i="7"/>
  <c r="D123" i="7"/>
  <c r="D124" i="7"/>
  <c r="D125" i="7"/>
  <c r="D126" i="7"/>
  <c r="L3" i="2"/>
  <c r="H4" i="2"/>
  <c r="H5" i="2"/>
  <c r="L5" i="2"/>
  <c r="H6" i="2"/>
  <c r="L6" i="2"/>
  <c r="H7" i="2"/>
  <c r="L7" i="2"/>
  <c r="L8" i="2"/>
  <c r="H9" i="2"/>
  <c r="L9" i="2"/>
  <c r="H10" i="2"/>
  <c r="L10" i="2"/>
  <c r="H12" i="2"/>
  <c r="L11" i="2"/>
  <c r="H13" i="2"/>
  <c r="L12" i="2"/>
  <c r="H14" i="2"/>
  <c r="L13" i="2"/>
  <c r="H15" i="2"/>
  <c r="H16" i="2"/>
  <c r="H17" i="2"/>
  <c r="N2" i="1"/>
  <c r="O2" i="1" s="1"/>
  <c r="N12" i="1"/>
  <c r="O12" i="1" s="1"/>
  <c r="C14" i="1"/>
  <c r="C15" i="1"/>
  <c r="C16" i="1"/>
  <c r="C20" i="1"/>
  <c r="C22" i="1"/>
  <c r="C23" i="1"/>
  <c r="N26" i="1"/>
  <c r="O26" i="1" s="1"/>
  <c r="C30" i="1"/>
  <c r="C31" i="1"/>
  <c r="B50" i="18" l="1"/>
  <c r="P3" i="33"/>
  <c r="N126" i="12"/>
  <c r="D50" i="6"/>
  <c r="D15" i="6"/>
  <c r="D17" i="6"/>
  <c r="D24" i="6"/>
  <c r="D21" i="6"/>
  <c r="D18" i="6"/>
  <c r="D20" i="6"/>
  <c r="D22" i="6"/>
  <c r="D26" i="6"/>
  <c r="D19" i="6"/>
  <c r="D14" i="6"/>
  <c r="D45" i="6"/>
  <c r="D23" i="6"/>
  <c r="D16" i="6"/>
  <c r="D13" i="6"/>
  <c r="D25" i="6"/>
  <c r="D27" i="6"/>
  <c r="F6" i="32"/>
  <c r="D52" i="6"/>
  <c r="D41" i="6"/>
  <c r="D32" i="6"/>
  <c r="D54" i="6"/>
  <c r="D43" i="6"/>
  <c r="D63" i="6"/>
  <c r="D46" i="6"/>
  <c r="D49" i="6"/>
  <c r="E127" i="7"/>
  <c r="D127" i="7" s="1"/>
  <c r="N1" i="12"/>
  <c r="P2" i="11"/>
  <c r="M20" i="12"/>
  <c r="M26" i="12" s="1"/>
  <c r="M33" i="12" s="1"/>
  <c r="M38" i="12" s="1"/>
  <c r="M8" i="12"/>
  <c r="M15" i="12" s="1"/>
  <c r="C97" i="6"/>
  <c r="C106" i="6"/>
  <c r="D40" i="6"/>
  <c r="D89" i="6"/>
  <c r="D34" i="6"/>
  <c r="AM3" i="9"/>
  <c r="AN3" i="9" s="1"/>
  <c r="AO3" i="9" s="1"/>
  <c r="AP3" i="9" s="1"/>
  <c r="AQ3" i="9" s="1"/>
  <c r="AR3" i="9" s="1"/>
  <c r="AS3" i="9" s="1"/>
  <c r="AT3" i="9" s="1"/>
  <c r="AU3" i="9" s="1"/>
  <c r="AV3" i="9" s="1"/>
  <c r="AW3" i="9" s="1"/>
  <c r="AX3" i="9" s="1"/>
  <c r="BZ7" i="8"/>
  <c r="V11" i="7"/>
  <c r="D55" i="6"/>
  <c r="D53" i="6"/>
  <c r="D51" i="6"/>
  <c r="D47" i="6"/>
  <c r="D31" i="6"/>
  <c r="C19" i="1"/>
  <c r="FC23" i="9"/>
  <c r="FD23" i="9" s="1"/>
  <c r="FE23" i="9" s="1"/>
  <c r="FF23" i="9" s="1"/>
  <c r="FG23" i="9" s="1"/>
  <c r="FH23" i="9" s="1"/>
  <c r="FI23" i="9" s="1"/>
  <c r="FJ23" i="9" s="1"/>
  <c r="FK23" i="9" s="1"/>
  <c r="FL23" i="9" s="1"/>
  <c r="FM23" i="9" s="1"/>
  <c r="FN23" i="9" s="1"/>
  <c r="FO22" i="9"/>
  <c r="D65" i="6"/>
  <c r="D97" i="6" s="1"/>
  <c r="D30" i="9" s="1"/>
  <c r="D42" i="6"/>
  <c r="D33" i="6"/>
  <c r="E1" i="6"/>
  <c r="C35" i="6"/>
  <c r="AM6" i="6"/>
  <c r="AN6" i="6" s="1"/>
  <c r="AO6" i="6" s="1"/>
  <c r="AP6" i="6" s="1"/>
  <c r="AQ6" i="6" s="1"/>
  <c r="AR6" i="6" s="1"/>
  <c r="AS6" i="6" s="1"/>
  <c r="AT6" i="6" s="1"/>
  <c r="AU6" i="6" s="1"/>
  <c r="AV6" i="6" s="1"/>
  <c r="AW6" i="6" s="1"/>
  <c r="AX6" i="6" s="1"/>
  <c r="D3" i="6"/>
  <c r="D62" i="6" s="1"/>
  <c r="C14" i="9"/>
  <c r="C28" i="6"/>
  <c r="V13" i="7"/>
  <c r="Z25" i="7"/>
  <c r="B22" i="8"/>
  <c r="AU25" i="7"/>
  <c r="AR25" i="7"/>
  <c r="V17" i="7"/>
  <c r="B19" i="8"/>
  <c r="C24" i="1" s="1"/>
  <c r="AQ25" i="7"/>
  <c r="R27" i="7"/>
  <c r="AB26" i="7" s="1"/>
  <c r="V15" i="7"/>
  <c r="BG7" i="8"/>
  <c r="P2" i="1"/>
  <c r="P26" i="1"/>
  <c r="P12" i="1"/>
  <c r="AM25" i="7"/>
  <c r="AI25" i="7"/>
  <c r="AE25" i="7"/>
  <c r="AA25" i="7"/>
  <c r="AD24" i="7"/>
  <c r="Z24" i="7"/>
  <c r="AT25" i="7"/>
  <c r="AP25" i="7"/>
  <c r="AL25" i="7"/>
  <c r="AH25" i="7"/>
  <c r="AD25" i="7"/>
  <c r="D60" i="6"/>
  <c r="D100" i="6" s="1"/>
  <c r="D32" i="9" s="1"/>
  <c r="H60" i="6"/>
  <c r="H100" i="6" s="1"/>
  <c r="H32" i="9" s="1"/>
  <c r="L60" i="6"/>
  <c r="E60" i="6"/>
  <c r="E100" i="6" s="1"/>
  <c r="E32" i="9" s="1"/>
  <c r="I60" i="6"/>
  <c r="M60" i="6"/>
  <c r="M100" i="6" s="1"/>
  <c r="M32" i="9" s="1"/>
  <c r="F60" i="6"/>
  <c r="J60" i="6"/>
  <c r="J100" i="6" s="1"/>
  <c r="J32" i="9" s="1"/>
  <c r="N60" i="6"/>
  <c r="N100" i="6" s="1"/>
  <c r="N32" i="9" s="1"/>
  <c r="C60" i="6"/>
  <c r="G60" i="6"/>
  <c r="G100" i="6" s="1"/>
  <c r="G32" i="9" s="1"/>
  <c r="K60" i="6"/>
  <c r="K100" i="6" s="1"/>
  <c r="K32" i="9" s="1"/>
  <c r="AC24" i="7"/>
  <c r="Y24" i="7"/>
  <c r="V16" i="7"/>
  <c r="V14" i="7"/>
  <c r="V12" i="7"/>
  <c r="I3" i="1"/>
  <c r="I5" i="1" s="1"/>
  <c r="P60" i="6"/>
  <c r="P100" i="6" s="1"/>
  <c r="P32" i="9" s="1"/>
  <c r="T60" i="6"/>
  <c r="T100" i="6" s="1"/>
  <c r="T32" i="9" s="1"/>
  <c r="X60" i="6"/>
  <c r="Q60" i="6"/>
  <c r="Q100" i="6" s="1"/>
  <c r="Q32" i="9" s="1"/>
  <c r="U60" i="6"/>
  <c r="Y60" i="6"/>
  <c r="Y100" i="6" s="1"/>
  <c r="Y32" i="9" s="1"/>
  <c r="R60" i="6"/>
  <c r="V60" i="6"/>
  <c r="V100" i="6" s="1"/>
  <c r="V32" i="9" s="1"/>
  <c r="Z60" i="6"/>
  <c r="Z100" i="6" s="1"/>
  <c r="Z32" i="9" s="1"/>
  <c r="O60" i="6"/>
  <c r="S60" i="6"/>
  <c r="S100" i="6" s="1"/>
  <c r="S32" i="9" s="1"/>
  <c r="W60" i="6"/>
  <c r="W100" i="6" s="1"/>
  <c r="W32" i="9" s="1"/>
  <c r="AS25" i="7"/>
  <c r="AO25" i="7"/>
  <c r="AK25" i="7"/>
  <c r="AG25" i="7"/>
  <c r="AC25" i="7"/>
  <c r="Y25" i="7"/>
  <c r="AB24" i="7"/>
  <c r="W34" i="7"/>
  <c r="W33" i="7"/>
  <c r="W32" i="7"/>
  <c r="W31" i="7"/>
  <c r="W30" i="7"/>
  <c r="W29" i="7"/>
  <c r="W28" i="7"/>
  <c r="W27" i="7"/>
  <c r="AN25" i="7"/>
  <c r="AJ25" i="7"/>
  <c r="AF25" i="7"/>
  <c r="AB25" i="7"/>
  <c r="W25" i="7"/>
  <c r="AE24" i="7"/>
  <c r="BK5" i="6"/>
  <c r="AY6" i="6"/>
  <c r="CM3" i="8"/>
  <c r="AC7" i="8"/>
  <c r="AG7" i="8"/>
  <c r="AK7" i="8"/>
  <c r="AO7" i="8"/>
  <c r="AS7" i="8"/>
  <c r="AW7" i="8"/>
  <c r="BA7" i="8"/>
  <c r="BE7" i="8"/>
  <c r="AB7" i="8"/>
  <c r="AF7" i="8"/>
  <c r="AJ7" i="8"/>
  <c r="AN7" i="8"/>
  <c r="AR7" i="8"/>
  <c r="AV7" i="8"/>
  <c r="AZ7" i="8"/>
  <c r="BD7" i="8"/>
  <c r="BH7" i="8"/>
  <c r="BL7" i="8"/>
  <c r="BP7" i="8"/>
  <c r="Z7" i="8"/>
  <c r="AH7" i="8"/>
  <c r="AP7" i="8"/>
  <c r="AX7" i="8"/>
  <c r="BF7" i="8"/>
  <c r="BK7" i="8"/>
  <c r="BQ7" i="8"/>
  <c r="BU7" i="8"/>
  <c r="BY7" i="8"/>
  <c r="CC7" i="8"/>
  <c r="CG7" i="8"/>
  <c r="CK7" i="8"/>
  <c r="AD7" i="8"/>
  <c r="AL7" i="8"/>
  <c r="AT7" i="8"/>
  <c r="BB7" i="8"/>
  <c r="BI7" i="8"/>
  <c r="BN7" i="8"/>
  <c r="BS7" i="8"/>
  <c r="BW7" i="8"/>
  <c r="CA7" i="8"/>
  <c r="CE7" i="8"/>
  <c r="CI7" i="8"/>
  <c r="CM7" i="8"/>
  <c r="AE7" i="8"/>
  <c r="AM7" i="8"/>
  <c r="AU7" i="8"/>
  <c r="BC7" i="8"/>
  <c r="BJ7" i="8"/>
  <c r="BO7" i="8"/>
  <c r="BT7" i="8"/>
  <c r="BX7" i="8"/>
  <c r="CB7" i="8"/>
  <c r="CF7" i="8"/>
  <c r="CJ7" i="8"/>
  <c r="AY7" i="8"/>
  <c r="BV7" i="8"/>
  <c r="CL7" i="8"/>
  <c r="AI7" i="8"/>
  <c r="BM7" i="8"/>
  <c r="CD7" i="8"/>
  <c r="AQ7" i="8"/>
  <c r="BR7" i="8"/>
  <c r="CH7" i="8"/>
  <c r="AA7" i="8"/>
  <c r="AY3" i="9"/>
  <c r="AZ3" i="9" s="1"/>
  <c r="BA3" i="9" s="1"/>
  <c r="BB3" i="9" s="1"/>
  <c r="BC3" i="9" s="1"/>
  <c r="BD3" i="9" s="1"/>
  <c r="BE3" i="9" s="1"/>
  <c r="BF3" i="9" s="1"/>
  <c r="BG3" i="9" s="1"/>
  <c r="BH3" i="9" s="1"/>
  <c r="BI3" i="9" s="1"/>
  <c r="BJ3" i="9" s="1"/>
  <c r="BK2" i="9"/>
  <c r="B51" i="18" l="1"/>
  <c r="D48" i="6"/>
  <c r="E15" i="6"/>
  <c r="E13" i="6"/>
  <c r="E24" i="6"/>
  <c r="B17" i="15" s="1"/>
  <c r="E19" i="6"/>
  <c r="B12" i="15" s="1"/>
  <c r="E14" i="6"/>
  <c r="E23" i="6"/>
  <c r="B16" i="15" s="1"/>
  <c r="E21" i="6"/>
  <c r="B14" i="15" s="1"/>
  <c r="E25" i="6"/>
  <c r="B18" i="15" s="1"/>
  <c r="E20" i="6"/>
  <c r="B13" i="15" s="1"/>
  <c r="E18" i="6"/>
  <c r="E45" i="6"/>
  <c r="B38" i="15" s="1"/>
  <c r="E26" i="6"/>
  <c r="E27" i="6"/>
  <c r="B20" i="15" s="1"/>
  <c r="E22" i="6"/>
  <c r="B15" i="15" s="1"/>
  <c r="E16" i="6"/>
  <c r="B9" i="15" s="1"/>
  <c r="E17" i="6"/>
  <c r="B10" i="15" s="1"/>
  <c r="Q3" i="33"/>
  <c r="O126" i="12"/>
  <c r="G6" i="32"/>
  <c r="F53" i="15"/>
  <c r="AL60" i="6"/>
  <c r="AL100" i="6" s="1"/>
  <c r="AL32" i="9" s="1"/>
  <c r="AC60" i="6"/>
  <c r="AC100" i="6" s="1"/>
  <c r="AC32" i="9" s="1"/>
  <c r="AK26" i="7"/>
  <c r="AA60" i="6"/>
  <c r="AA100" i="6" s="1"/>
  <c r="AJ60" i="6"/>
  <c r="AJ100" i="6" s="1"/>
  <c r="AL26" i="7"/>
  <c r="E49" i="6"/>
  <c r="B42" i="15" s="1"/>
  <c r="B53" i="15"/>
  <c r="L100" i="6"/>
  <c r="E53" i="15"/>
  <c r="F100" i="6"/>
  <c r="C53" i="15"/>
  <c r="X100" i="6"/>
  <c r="I53" i="15"/>
  <c r="U100" i="6"/>
  <c r="H53" i="15"/>
  <c r="I100" i="6"/>
  <c r="D53" i="15"/>
  <c r="R100" i="6"/>
  <c r="G53" i="15"/>
  <c r="C30" i="9"/>
  <c r="O1" i="12"/>
  <c r="Q2" i="11"/>
  <c r="N20" i="12"/>
  <c r="N26" i="12" s="1"/>
  <c r="N33" i="12" s="1"/>
  <c r="N38" i="12" s="1"/>
  <c r="N8" i="12"/>
  <c r="N15" i="12" s="1"/>
  <c r="AF60" i="6"/>
  <c r="AF100" i="6" s="1"/>
  <c r="AF32" i="9" s="1"/>
  <c r="AO26" i="7"/>
  <c r="AP26" i="7"/>
  <c r="AA26" i="7"/>
  <c r="AH60" i="6"/>
  <c r="AH100" i="6" s="1"/>
  <c r="AH32" i="9" s="1"/>
  <c r="AF26" i="7"/>
  <c r="AI60" i="6"/>
  <c r="AI100" i="6" s="1"/>
  <c r="AI32" i="9" s="1"/>
  <c r="AD60" i="6"/>
  <c r="AK60" i="6"/>
  <c r="AK100" i="6" s="1"/>
  <c r="AK32" i="9" s="1"/>
  <c r="AB60" i="6"/>
  <c r="AB100" i="6" s="1"/>
  <c r="AB32" i="9" s="1"/>
  <c r="AC26" i="7"/>
  <c r="AS26" i="7"/>
  <c r="AD26" i="7"/>
  <c r="AT26" i="7"/>
  <c r="AE26" i="7"/>
  <c r="AE60" i="6"/>
  <c r="AE100" i="6" s="1"/>
  <c r="AE32" i="9" s="1"/>
  <c r="O100" i="6"/>
  <c r="D53" i="11"/>
  <c r="D93" i="11" s="1"/>
  <c r="AG60" i="6"/>
  <c r="AG26" i="7"/>
  <c r="C100" i="6"/>
  <c r="C53" i="11"/>
  <c r="C93" i="11" s="1"/>
  <c r="AH26" i="7"/>
  <c r="D35" i="6"/>
  <c r="E3" i="6"/>
  <c r="E62" i="6" s="1"/>
  <c r="B55" i="15" s="1"/>
  <c r="E40" i="6"/>
  <c r="B33" i="15" s="1"/>
  <c r="E89" i="6"/>
  <c r="B82" i="15" s="1"/>
  <c r="GA22" i="9"/>
  <c r="FO23" i="9"/>
  <c r="FP23" i="9" s="1"/>
  <c r="FQ23" i="9" s="1"/>
  <c r="FR23" i="9" s="1"/>
  <c r="FS23" i="9" s="1"/>
  <c r="FT23" i="9" s="1"/>
  <c r="FU23" i="9" s="1"/>
  <c r="FV23" i="9" s="1"/>
  <c r="FW23" i="9" s="1"/>
  <c r="FX23" i="9" s="1"/>
  <c r="FY23" i="9" s="1"/>
  <c r="FZ23" i="9" s="1"/>
  <c r="D28" i="6"/>
  <c r="F1" i="6"/>
  <c r="E63" i="6"/>
  <c r="B56" i="15" s="1"/>
  <c r="E31" i="6"/>
  <c r="B24" i="15" s="1"/>
  <c r="E43" i="6"/>
  <c r="B36" i="15" s="1"/>
  <c r="E50" i="6"/>
  <c r="B43" i="15" s="1"/>
  <c r="E54" i="6"/>
  <c r="B47" i="15" s="1"/>
  <c r="E65" i="6"/>
  <c r="E97" i="6" s="1"/>
  <c r="E30" i="9" s="1"/>
  <c r="E32" i="6"/>
  <c r="B25" i="15" s="1"/>
  <c r="E33" i="6"/>
  <c r="B26" i="15" s="1"/>
  <c r="E51" i="6"/>
  <c r="B44" i="15" s="1"/>
  <c r="E55" i="6"/>
  <c r="B48" i="15" s="1"/>
  <c r="E41" i="6"/>
  <c r="B34" i="15" s="1"/>
  <c r="E46" i="6"/>
  <c r="B39" i="15" s="1"/>
  <c r="E42" i="6"/>
  <c r="B35" i="15" s="1"/>
  <c r="E53" i="6"/>
  <c r="B46" i="15" s="1"/>
  <c r="B5" i="15"/>
  <c r="E52" i="6"/>
  <c r="B45" i="15" s="1"/>
  <c r="E34" i="6"/>
  <c r="B27" i="15" s="1"/>
  <c r="E47" i="6"/>
  <c r="B40" i="15" s="1"/>
  <c r="C37" i="6"/>
  <c r="B27" i="8"/>
  <c r="C32" i="1" s="1"/>
  <c r="C27" i="1"/>
  <c r="Z26" i="7"/>
  <c r="Y26" i="7"/>
  <c r="AR26" i="7"/>
  <c r="AI26" i="7"/>
  <c r="R28" i="7"/>
  <c r="AJ26" i="7"/>
  <c r="AM26" i="7"/>
  <c r="AN26" i="7"/>
  <c r="AU26" i="7"/>
  <c r="AQ26" i="7"/>
  <c r="I4" i="1"/>
  <c r="AZ6" i="6"/>
  <c r="Q2" i="1"/>
  <c r="CN3" i="8"/>
  <c r="BW5" i="6"/>
  <c r="BK6" i="6"/>
  <c r="BK3" i="9"/>
  <c r="BL3" i="9" s="1"/>
  <c r="BM3" i="9" s="1"/>
  <c r="BN3" i="9" s="1"/>
  <c r="BO3" i="9" s="1"/>
  <c r="BP3" i="9" s="1"/>
  <c r="BQ3" i="9" s="1"/>
  <c r="BR3" i="9" s="1"/>
  <c r="BS3" i="9" s="1"/>
  <c r="BT3" i="9" s="1"/>
  <c r="BU3" i="9" s="1"/>
  <c r="BV3" i="9" s="1"/>
  <c r="BW2" i="9"/>
  <c r="Q12" i="1"/>
  <c r="Q26" i="1"/>
  <c r="B52" i="18" l="1"/>
  <c r="E48" i="6"/>
  <c r="B41" i="15" s="1"/>
  <c r="R3" i="33"/>
  <c r="P126" i="12"/>
  <c r="F23" i="6"/>
  <c r="F14" i="6"/>
  <c r="F27" i="6"/>
  <c r="F15" i="6"/>
  <c r="F13" i="6"/>
  <c r="F26" i="6"/>
  <c r="F19" i="6"/>
  <c r="F20" i="6"/>
  <c r="F24" i="6"/>
  <c r="F18" i="6"/>
  <c r="F21" i="6"/>
  <c r="F17" i="6"/>
  <c r="F25" i="6"/>
  <c r="F45" i="6"/>
  <c r="F16" i="6"/>
  <c r="F22" i="6"/>
  <c r="H6" i="32"/>
  <c r="B19" i="15"/>
  <c r="B11" i="15"/>
  <c r="B8" i="15"/>
  <c r="B7" i="15"/>
  <c r="F49" i="6"/>
  <c r="B6" i="15"/>
  <c r="AG100" i="6"/>
  <c r="L53" i="15"/>
  <c r="X32" i="9"/>
  <c r="I93" i="15"/>
  <c r="C32" i="9"/>
  <c r="B93" i="15"/>
  <c r="O32" i="9"/>
  <c r="F93" i="15"/>
  <c r="R32" i="9"/>
  <c r="G93" i="15"/>
  <c r="U32" i="9"/>
  <c r="H93" i="15"/>
  <c r="F32" i="9"/>
  <c r="C93" i="15"/>
  <c r="M53" i="15"/>
  <c r="I32" i="9"/>
  <c r="D93" i="15"/>
  <c r="L32" i="9"/>
  <c r="E93" i="15"/>
  <c r="AD100" i="6"/>
  <c r="K53" i="15"/>
  <c r="AA32" i="9"/>
  <c r="J93" i="15"/>
  <c r="J53" i="15"/>
  <c r="AJ32" i="9"/>
  <c r="M93" i="15"/>
  <c r="B58" i="15"/>
  <c r="B90" i="15"/>
  <c r="B28" i="15"/>
  <c r="R2" i="11"/>
  <c r="P1" i="12"/>
  <c r="O20" i="12"/>
  <c r="O26" i="12" s="1"/>
  <c r="O33" i="12" s="1"/>
  <c r="O38" i="12" s="1"/>
  <c r="O8" i="12"/>
  <c r="O15" i="12" s="1"/>
  <c r="E53" i="11"/>
  <c r="E93" i="11" s="1"/>
  <c r="D37" i="6"/>
  <c r="F40" i="6"/>
  <c r="F89" i="6"/>
  <c r="GM22" i="9"/>
  <c r="GA23" i="9"/>
  <c r="GB23" i="9" s="1"/>
  <c r="GC23" i="9" s="1"/>
  <c r="GD23" i="9" s="1"/>
  <c r="GE23" i="9" s="1"/>
  <c r="GF23" i="9" s="1"/>
  <c r="GG23" i="9" s="1"/>
  <c r="GH23" i="9" s="1"/>
  <c r="GI23" i="9" s="1"/>
  <c r="GJ23" i="9" s="1"/>
  <c r="GK23" i="9" s="1"/>
  <c r="GL23" i="9" s="1"/>
  <c r="E28" i="6"/>
  <c r="E35" i="6"/>
  <c r="G1" i="6"/>
  <c r="F42" i="6"/>
  <c r="F47" i="6"/>
  <c r="F53" i="6"/>
  <c r="F63" i="6"/>
  <c r="F31" i="6"/>
  <c r="F43" i="6"/>
  <c r="F50" i="6"/>
  <c r="F54" i="6"/>
  <c r="F65" i="6"/>
  <c r="F32" i="6"/>
  <c r="F33" i="6"/>
  <c r="F51" i="6"/>
  <c r="F55" i="6"/>
  <c r="F34" i="6"/>
  <c r="F41" i="6"/>
  <c r="F46" i="6"/>
  <c r="F52" i="6"/>
  <c r="F3" i="6"/>
  <c r="F62" i="6" s="1"/>
  <c r="Y27" i="7"/>
  <c r="AN27" i="7"/>
  <c r="AQ27" i="7"/>
  <c r="R29" i="7"/>
  <c r="AZ60" i="6" s="1"/>
  <c r="AZ100" i="6" s="1"/>
  <c r="AZ32" i="9" s="1"/>
  <c r="AR27" i="7"/>
  <c r="AJ27" i="7"/>
  <c r="AU27" i="7"/>
  <c r="AA27" i="7"/>
  <c r="AI27" i="7"/>
  <c r="AM27" i="7"/>
  <c r="AB27" i="7"/>
  <c r="AL27" i="7"/>
  <c r="AU60" i="6"/>
  <c r="AU100" i="6" s="1"/>
  <c r="AU32" i="9" s="1"/>
  <c r="AH27" i="7"/>
  <c r="AD27" i="7"/>
  <c r="Z27" i="7"/>
  <c r="AS27" i="7"/>
  <c r="AN60" i="6"/>
  <c r="AN100" i="6" s="1"/>
  <c r="AN32" i="9" s="1"/>
  <c r="AE27" i="7"/>
  <c r="AO27" i="7"/>
  <c r="AR60" i="6"/>
  <c r="AR100" i="6" s="1"/>
  <c r="AR32" i="9" s="1"/>
  <c r="AO60" i="6"/>
  <c r="AO100" i="6" s="1"/>
  <c r="AO32" i="9" s="1"/>
  <c r="AF27" i="7"/>
  <c r="AK27" i="7"/>
  <c r="AV60" i="6"/>
  <c r="AS60" i="6"/>
  <c r="AP60" i="6"/>
  <c r="AT27" i="7"/>
  <c r="AG27" i="7"/>
  <c r="AW60" i="6"/>
  <c r="AW100" i="6" s="1"/>
  <c r="AW32" i="9" s="1"/>
  <c r="AT60" i="6"/>
  <c r="AT100" i="6" s="1"/>
  <c r="AT32" i="9" s="1"/>
  <c r="AM60" i="6"/>
  <c r="AP27" i="7"/>
  <c r="AC27" i="7"/>
  <c r="AX60" i="6"/>
  <c r="AX100" i="6" s="1"/>
  <c r="AX32" i="9" s="1"/>
  <c r="AQ60" i="6"/>
  <c r="AQ100" i="6" s="1"/>
  <c r="AQ32" i="9" s="1"/>
  <c r="CI2" i="9"/>
  <c r="BW3" i="9"/>
  <c r="BX3" i="9" s="1"/>
  <c r="BY3" i="9" s="1"/>
  <c r="BZ3" i="9" s="1"/>
  <c r="CA3" i="9" s="1"/>
  <c r="CB3" i="9" s="1"/>
  <c r="CC3" i="9" s="1"/>
  <c r="CD3" i="9" s="1"/>
  <c r="CE3" i="9" s="1"/>
  <c r="CF3" i="9" s="1"/>
  <c r="CG3" i="9" s="1"/>
  <c r="CH3" i="9" s="1"/>
  <c r="BL6" i="6"/>
  <c r="R2" i="1"/>
  <c r="CI5" i="6"/>
  <c r="BW6" i="6"/>
  <c r="BA6" i="6"/>
  <c r="R26" i="1"/>
  <c r="R12" i="1"/>
  <c r="CO3" i="8"/>
  <c r="CN7" i="8"/>
  <c r="B53" i="18" l="1"/>
  <c r="F48" i="6"/>
  <c r="S3" i="33"/>
  <c r="Q126" i="12"/>
  <c r="G25" i="6"/>
  <c r="G18" i="6"/>
  <c r="G16" i="6"/>
  <c r="G21" i="6"/>
  <c r="G14" i="6"/>
  <c r="G22" i="6"/>
  <c r="G15" i="6"/>
  <c r="G13" i="6"/>
  <c r="G26" i="6"/>
  <c r="G19" i="6"/>
  <c r="G24" i="6"/>
  <c r="G20" i="6"/>
  <c r="G17" i="6"/>
  <c r="G23" i="6"/>
  <c r="G27" i="6"/>
  <c r="G45" i="6"/>
  <c r="I6" i="32"/>
  <c r="B21" i="15"/>
  <c r="B30" i="15" s="1"/>
  <c r="G49" i="6"/>
  <c r="N53" i="15"/>
  <c r="AV100" i="6"/>
  <c r="Q53" i="15"/>
  <c r="AP100" i="6"/>
  <c r="O53" i="15"/>
  <c r="AD32" i="9"/>
  <c r="K93" i="15"/>
  <c r="AS100" i="6"/>
  <c r="P53" i="15"/>
  <c r="AG32" i="9"/>
  <c r="L93" i="15"/>
  <c r="F97" i="6"/>
  <c r="P20" i="12"/>
  <c r="P26" i="12" s="1"/>
  <c r="P33" i="12" s="1"/>
  <c r="P38" i="12" s="1"/>
  <c r="P8" i="12"/>
  <c r="P15" i="12" s="1"/>
  <c r="S2" i="11"/>
  <c r="Q1" i="12"/>
  <c r="AM100" i="6"/>
  <c r="F53" i="11"/>
  <c r="F93" i="11" s="1"/>
  <c r="G40" i="6"/>
  <c r="G89" i="6"/>
  <c r="GY22" i="9"/>
  <c r="GM23" i="9"/>
  <c r="GN23" i="9" s="1"/>
  <c r="GO23" i="9" s="1"/>
  <c r="GP23" i="9" s="1"/>
  <c r="GQ23" i="9" s="1"/>
  <c r="GR23" i="9" s="1"/>
  <c r="GS23" i="9" s="1"/>
  <c r="GT23" i="9" s="1"/>
  <c r="GU23" i="9" s="1"/>
  <c r="GV23" i="9" s="1"/>
  <c r="GW23" i="9" s="1"/>
  <c r="GX23" i="9" s="1"/>
  <c r="F35" i="6"/>
  <c r="H1" i="6"/>
  <c r="G42" i="6"/>
  <c r="G47" i="6"/>
  <c r="G53" i="6"/>
  <c r="G63" i="6"/>
  <c r="G31" i="6"/>
  <c r="G43" i="6"/>
  <c r="G50" i="6"/>
  <c r="G54" i="6"/>
  <c r="G65" i="6"/>
  <c r="G97" i="6" s="1"/>
  <c r="G30" i="9" s="1"/>
  <c r="G51" i="6"/>
  <c r="G32" i="6"/>
  <c r="G55" i="6"/>
  <c r="G33" i="6"/>
  <c r="G34" i="6"/>
  <c r="G41" i="6"/>
  <c r="G46" i="6"/>
  <c r="G52" i="6"/>
  <c r="G3" i="6"/>
  <c r="G62" i="6" s="1"/>
  <c r="F28" i="6"/>
  <c r="E37" i="6"/>
  <c r="Y28" i="7"/>
  <c r="AA28" i="7"/>
  <c r="AQ28" i="7"/>
  <c r="AB28" i="7"/>
  <c r="AJ28" i="7"/>
  <c r="AM28" i="7"/>
  <c r="AN28" i="7"/>
  <c r="R30" i="7"/>
  <c r="BL60" i="6" s="1"/>
  <c r="BL100" i="6" s="1"/>
  <c r="BL32" i="9" s="1"/>
  <c r="AR28" i="7"/>
  <c r="AU28" i="7"/>
  <c r="AT28" i="7"/>
  <c r="AK28" i="7"/>
  <c r="AP28" i="7"/>
  <c r="AG28" i="7"/>
  <c r="AI28" i="7"/>
  <c r="AL28" i="7"/>
  <c r="AC28" i="7"/>
  <c r="AE28" i="7"/>
  <c r="AH28" i="7"/>
  <c r="AD28" i="7"/>
  <c r="AF28" i="7"/>
  <c r="Z28" i="7"/>
  <c r="AS28" i="7"/>
  <c r="AO28" i="7"/>
  <c r="AY60" i="6"/>
  <c r="S12" i="1"/>
  <c r="CP3" i="8"/>
  <c r="CO7" i="8"/>
  <c r="S26" i="1"/>
  <c r="CI6" i="6"/>
  <c r="CU5" i="6"/>
  <c r="CI3" i="9"/>
  <c r="CJ3" i="9" s="1"/>
  <c r="CK3" i="9" s="1"/>
  <c r="CL3" i="9" s="1"/>
  <c r="CM3" i="9" s="1"/>
  <c r="CN3" i="9" s="1"/>
  <c r="CO3" i="9" s="1"/>
  <c r="CP3" i="9" s="1"/>
  <c r="CQ3" i="9" s="1"/>
  <c r="CR3" i="9" s="1"/>
  <c r="CS3" i="9" s="1"/>
  <c r="CT3" i="9" s="1"/>
  <c r="CU2" i="9"/>
  <c r="BB6" i="6"/>
  <c r="BA60" i="6"/>
  <c r="BA100" i="6" s="1"/>
  <c r="BA32" i="9" s="1"/>
  <c r="S2" i="1"/>
  <c r="BX6" i="6"/>
  <c r="BM6" i="6"/>
  <c r="B54" i="18" l="1"/>
  <c r="G48" i="6"/>
  <c r="T3" i="33"/>
  <c r="R126" i="12"/>
  <c r="H22" i="6"/>
  <c r="C15" i="15" s="1"/>
  <c r="H18" i="6"/>
  <c r="C11" i="15" s="1"/>
  <c r="H21" i="6"/>
  <c r="C14" i="15" s="1"/>
  <c r="H13" i="6"/>
  <c r="H15" i="6"/>
  <c r="H25" i="6"/>
  <c r="C18" i="15" s="1"/>
  <c r="H19" i="6"/>
  <c r="C12" i="15" s="1"/>
  <c r="H20" i="6"/>
  <c r="C13" i="15" s="1"/>
  <c r="H27" i="6"/>
  <c r="C20" i="15" s="1"/>
  <c r="H26" i="6"/>
  <c r="C19" i="15" s="1"/>
  <c r="H23" i="6"/>
  <c r="C16" i="15" s="1"/>
  <c r="H17" i="6"/>
  <c r="C10" i="15" s="1"/>
  <c r="H45" i="6"/>
  <c r="C38" i="15" s="1"/>
  <c r="H14" i="6"/>
  <c r="C7" i="15" s="1"/>
  <c r="H16" i="6"/>
  <c r="C9" i="15" s="1"/>
  <c r="H24" i="6"/>
  <c r="C17" i="15" s="1"/>
  <c r="J6" i="32"/>
  <c r="H49" i="6"/>
  <c r="C42" i="15" s="1"/>
  <c r="AS32" i="9"/>
  <c r="P93" i="15"/>
  <c r="AP32" i="9"/>
  <c r="O93" i="15"/>
  <c r="AM32" i="9"/>
  <c r="N93" i="15"/>
  <c r="R53" i="15"/>
  <c r="AV32" i="9"/>
  <c r="Q93" i="15"/>
  <c r="F30" i="9"/>
  <c r="R1" i="12"/>
  <c r="T2" i="11"/>
  <c r="Q20" i="12"/>
  <c r="Q26" i="12" s="1"/>
  <c r="Q33" i="12" s="1"/>
  <c r="Q38" i="12" s="1"/>
  <c r="Q8" i="12"/>
  <c r="Q15" i="12" s="1"/>
  <c r="AY100" i="6"/>
  <c r="H40" i="6"/>
  <c r="C33" i="15" s="1"/>
  <c r="H89" i="6"/>
  <c r="C82" i="15" s="1"/>
  <c r="HK22" i="9"/>
  <c r="GY23" i="9"/>
  <c r="GZ23" i="9" s="1"/>
  <c r="HA23" i="9" s="1"/>
  <c r="HB23" i="9" s="1"/>
  <c r="HC23" i="9" s="1"/>
  <c r="HD23" i="9" s="1"/>
  <c r="HE23" i="9" s="1"/>
  <c r="HF23" i="9" s="1"/>
  <c r="HG23" i="9" s="1"/>
  <c r="HH23" i="9" s="1"/>
  <c r="HI23" i="9" s="1"/>
  <c r="HJ23" i="9" s="1"/>
  <c r="F37" i="6"/>
  <c r="G28" i="6"/>
  <c r="G35" i="6"/>
  <c r="I1" i="6"/>
  <c r="H34" i="6"/>
  <c r="C27" i="15" s="1"/>
  <c r="H41" i="6"/>
  <c r="C34" i="15" s="1"/>
  <c r="H46" i="6"/>
  <c r="C39" i="15" s="1"/>
  <c r="H52" i="6"/>
  <c r="C45" i="15" s="1"/>
  <c r="H42" i="6"/>
  <c r="C35" i="15" s="1"/>
  <c r="H47" i="6"/>
  <c r="C40" i="15" s="1"/>
  <c r="H53" i="6"/>
  <c r="C46" i="15" s="1"/>
  <c r="H63" i="6"/>
  <c r="C56" i="15" s="1"/>
  <c r="H31" i="6"/>
  <c r="C24" i="15" s="1"/>
  <c r="H43" i="6"/>
  <c r="C36" i="15" s="1"/>
  <c r="H50" i="6"/>
  <c r="C43" i="15" s="1"/>
  <c r="H54" i="6"/>
  <c r="C47" i="15" s="1"/>
  <c r="H65" i="6"/>
  <c r="H97" i="6" s="1"/>
  <c r="H30" i="9" s="1"/>
  <c r="H32" i="6"/>
  <c r="C25" i="15" s="1"/>
  <c r="H33" i="6"/>
  <c r="C26" i="15" s="1"/>
  <c r="H51" i="6"/>
  <c r="C44" i="15" s="1"/>
  <c r="H55" i="6"/>
  <c r="C48" i="15" s="1"/>
  <c r="H3" i="6"/>
  <c r="H62" i="6" s="1"/>
  <c r="C55" i="15" s="1"/>
  <c r="C5" i="15"/>
  <c r="Y29" i="7"/>
  <c r="AQ29" i="7"/>
  <c r="AR29" i="7"/>
  <c r="AU29" i="7"/>
  <c r="AA29" i="7"/>
  <c r="AM29" i="7"/>
  <c r="AN29" i="7"/>
  <c r="R31" i="7"/>
  <c r="BX60" i="6" s="1"/>
  <c r="BX100" i="6" s="1"/>
  <c r="BX32" i="9" s="1"/>
  <c r="AB29" i="7"/>
  <c r="AF29" i="7"/>
  <c r="AI29" i="7"/>
  <c r="AE29" i="7"/>
  <c r="AS29" i="7"/>
  <c r="AJ29" i="7"/>
  <c r="AT29" i="7"/>
  <c r="AO29" i="7"/>
  <c r="AP29" i="7"/>
  <c r="AK29" i="7"/>
  <c r="AL29" i="7"/>
  <c r="AG29" i="7"/>
  <c r="AH29" i="7"/>
  <c r="AC29" i="7"/>
  <c r="AD29" i="7"/>
  <c r="Z29" i="7"/>
  <c r="BK60" i="6"/>
  <c r="BY6" i="6"/>
  <c r="BC6" i="6"/>
  <c r="BB60" i="6"/>
  <c r="DG5" i="6"/>
  <c r="CU6" i="6"/>
  <c r="BN6" i="6"/>
  <c r="BM60" i="6"/>
  <c r="BM100" i="6" s="1"/>
  <c r="BM32" i="9" s="1"/>
  <c r="T2" i="1"/>
  <c r="CU3" i="9"/>
  <c r="CV3" i="9" s="1"/>
  <c r="CW3" i="9" s="1"/>
  <c r="CX3" i="9" s="1"/>
  <c r="CY3" i="9" s="1"/>
  <c r="CZ3" i="9" s="1"/>
  <c r="DA3" i="9" s="1"/>
  <c r="DB3" i="9" s="1"/>
  <c r="DC3" i="9" s="1"/>
  <c r="DD3" i="9" s="1"/>
  <c r="DE3" i="9" s="1"/>
  <c r="DF3" i="9" s="1"/>
  <c r="DG2" i="9"/>
  <c r="CJ6" i="6"/>
  <c r="T26" i="1"/>
  <c r="CQ3" i="8"/>
  <c r="CP7" i="8"/>
  <c r="T12" i="1"/>
  <c r="B55" i="18" l="1"/>
  <c r="C8" i="15"/>
  <c r="H48" i="6"/>
  <c r="C41" i="15" s="1"/>
  <c r="U3" i="33"/>
  <c r="S126" i="12"/>
  <c r="I23" i="6"/>
  <c r="I16" i="6"/>
  <c r="I14" i="6"/>
  <c r="I21" i="6"/>
  <c r="I20" i="6"/>
  <c r="I22" i="6"/>
  <c r="I15" i="6"/>
  <c r="I27" i="6"/>
  <c r="I19" i="6"/>
  <c r="I13" i="6"/>
  <c r="I25" i="6"/>
  <c r="I18" i="6"/>
  <c r="I26" i="6"/>
  <c r="I45" i="6"/>
  <c r="I24" i="6"/>
  <c r="I17" i="6"/>
  <c r="K6" i="32"/>
  <c r="I49" i="6"/>
  <c r="C6" i="15"/>
  <c r="V53" i="15"/>
  <c r="AY32" i="9"/>
  <c r="R93" i="15"/>
  <c r="BB100" i="6"/>
  <c r="C58" i="15"/>
  <c r="C90" i="15"/>
  <c r="C28" i="15"/>
  <c r="S1" i="12"/>
  <c r="U2" i="11"/>
  <c r="R20" i="12"/>
  <c r="R26" i="12" s="1"/>
  <c r="R33" i="12" s="1"/>
  <c r="R38" i="12" s="1"/>
  <c r="R8" i="12"/>
  <c r="R15" i="12" s="1"/>
  <c r="BK100" i="6"/>
  <c r="I40" i="6"/>
  <c r="I89" i="6"/>
  <c r="HK23" i="9"/>
  <c r="HL23" i="9" s="1"/>
  <c r="HM23" i="9" s="1"/>
  <c r="HN23" i="9" s="1"/>
  <c r="HO23" i="9" s="1"/>
  <c r="HP23" i="9" s="1"/>
  <c r="HQ23" i="9" s="1"/>
  <c r="HR23" i="9" s="1"/>
  <c r="HS23" i="9" s="1"/>
  <c r="HT23" i="9" s="1"/>
  <c r="HU23" i="9" s="1"/>
  <c r="HV23" i="9" s="1"/>
  <c r="HW22" i="9"/>
  <c r="H35" i="6"/>
  <c r="G37" i="6"/>
  <c r="H28" i="6"/>
  <c r="J1" i="6"/>
  <c r="I3" i="6"/>
  <c r="I62" i="6" s="1"/>
  <c r="I52" i="6"/>
  <c r="I34" i="6"/>
  <c r="I41" i="6"/>
  <c r="I46" i="6"/>
  <c r="I42" i="6"/>
  <c r="I47" i="6"/>
  <c r="I53" i="6"/>
  <c r="I43" i="6"/>
  <c r="I54" i="6"/>
  <c r="I33" i="6"/>
  <c r="I55" i="6"/>
  <c r="I63" i="6"/>
  <c r="I65" i="6"/>
  <c r="I51" i="6"/>
  <c r="I31" i="6"/>
  <c r="I50" i="6"/>
  <c r="I32" i="6"/>
  <c r="Y30" i="7"/>
  <c r="AB30" i="7"/>
  <c r="AM30" i="7"/>
  <c r="AU30" i="7"/>
  <c r="AN30" i="7"/>
  <c r="AQ30" i="7"/>
  <c r="R32" i="7"/>
  <c r="CJ60" i="6" s="1"/>
  <c r="CJ100" i="6" s="1"/>
  <c r="CJ32" i="9" s="1"/>
  <c r="AR30" i="7"/>
  <c r="AA30" i="7"/>
  <c r="AD30" i="7"/>
  <c r="AC30" i="7"/>
  <c r="Z30" i="7"/>
  <c r="AF30" i="7"/>
  <c r="AT30" i="7"/>
  <c r="AS30" i="7"/>
  <c r="AP30" i="7"/>
  <c r="AO30" i="7"/>
  <c r="AI30" i="7"/>
  <c r="AL30" i="7"/>
  <c r="AK30" i="7"/>
  <c r="AE30" i="7"/>
  <c r="AH30" i="7"/>
  <c r="AG30" i="7"/>
  <c r="AJ30" i="7"/>
  <c r="BW60" i="6"/>
  <c r="DS5" i="6"/>
  <c r="DG6" i="6"/>
  <c r="U12" i="1"/>
  <c r="CR3" i="8"/>
  <c r="CQ7" i="8"/>
  <c r="U2" i="1"/>
  <c r="U26" i="1"/>
  <c r="CK6" i="6"/>
  <c r="BZ6" i="6"/>
  <c r="BY60" i="6"/>
  <c r="BY100" i="6" s="1"/>
  <c r="BY32" i="9" s="1"/>
  <c r="DG3" i="9"/>
  <c r="DH3" i="9" s="1"/>
  <c r="DI3" i="9" s="1"/>
  <c r="DJ3" i="9" s="1"/>
  <c r="DK3" i="9" s="1"/>
  <c r="DL3" i="9" s="1"/>
  <c r="DM3" i="9" s="1"/>
  <c r="DN3" i="9" s="1"/>
  <c r="DO3" i="9" s="1"/>
  <c r="DP3" i="9" s="1"/>
  <c r="DQ3" i="9" s="1"/>
  <c r="DR3" i="9" s="1"/>
  <c r="DS2" i="9"/>
  <c r="BO6" i="6"/>
  <c r="BN60" i="6"/>
  <c r="CV6" i="6"/>
  <c r="BD6" i="6"/>
  <c r="BC60" i="6"/>
  <c r="BC100" i="6" s="1"/>
  <c r="BC32" i="9" s="1"/>
  <c r="B56" i="18" l="1"/>
  <c r="C21" i="15"/>
  <c r="C30" i="15" s="1"/>
  <c r="I48" i="6"/>
  <c r="V3" i="33"/>
  <c r="T126" i="12"/>
  <c r="J14" i="6"/>
  <c r="J13" i="6"/>
  <c r="J17" i="6"/>
  <c r="J26" i="6"/>
  <c r="J24" i="6"/>
  <c r="J23" i="6"/>
  <c r="J16" i="6"/>
  <c r="J19" i="6"/>
  <c r="J22" i="6"/>
  <c r="J25" i="6"/>
  <c r="J27" i="6"/>
  <c r="J15" i="6"/>
  <c r="J18" i="6"/>
  <c r="J21" i="6"/>
  <c r="J45" i="6"/>
  <c r="J20" i="6"/>
  <c r="L6" i="32"/>
  <c r="J49" i="6"/>
  <c r="Z53" i="15"/>
  <c r="BB32" i="9"/>
  <c r="BN100" i="6"/>
  <c r="BK32" i="9"/>
  <c r="V93" i="15"/>
  <c r="I97" i="6"/>
  <c r="V2" i="11"/>
  <c r="T1" i="12"/>
  <c r="S20" i="12"/>
  <c r="S26" i="12" s="1"/>
  <c r="S33" i="12" s="1"/>
  <c r="S38" i="12" s="1"/>
  <c r="S8" i="12"/>
  <c r="S15" i="12" s="1"/>
  <c r="BW100" i="6"/>
  <c r="J40" i="6"/>
  <c r="J89" i="6"/>
  <c r="II22" i="9"/>
  <c r="HW23" i="9"/>
  <c r="HX23" i="9" s="1"/>
  <c r="HY23" i="9" s="1"/>
  <c r="HZ23" i="9" s="1"/>
  <c r="IA23" i="9" s="1"/>
  <c r="IB23" i="9" s="1"/>
  <c r="IC23" i="9" s="1"/>
  <c r="ID23" i="9" s="1"/>
  <c r="IE23" i="9" s="1"/>
  <c r="IF23" i="9" s="1"/>
  <c r="IG23" i="9" s="1"/>
  <c r="IH23" i="9" s="1"/>
  <c r="I28" i="6"/>
  <c r="I35" i="6"/>
  <c r="K1" i="6"/>
  <c r="J33" i="6"/>
  <c r="J51" i="6"/>
  <c r="J55" i="6"/>
  <c r="J34" i="6"/>
  <c r="J41" i="6"/>
  <c r="J46" i="6"/>
  <c r="J52" i="6"/>
  <c r="J42" i="6"/>
  <c r="J47" i="6"/>
  <c r="J53" i="6"/>
  <c r="J63" i="6"/>
  <c r="J43" i="6"/>
  <c r="J50" i="6"/>
  <c r="J54" i="6"/>
  <c r="J65" i="6"/>
  <c r="J97" i="6" s="1"/>
  <c r="J30" i="9" s="1"/>
  <c r="J3" i="6"/>
  <c r="J62" i="6" s="1"/>
  <c r="J32" i="6"/>
  <c r="J31" i="6"/>
  <c r="H37" i="6"/>
  <c r="Y31" i="7"/>
  <c r="AR31" i="7"/>
  <c r="AM31" i="7"/>
  <c r="AU31" i="7"/>
  <c r="AA31" i="7"/>
  <c r="AB31" i="7"/>
  <c r="AE31" i="7"/>
  <c r="AN31" i="7"/>
  <c r="AQ31" i="7"/>
  <c r="R33" i="7"/>
  <c r="CV60" i="6" s="1"/>
  <c r="CV100" i="6" s="1"/>
  <c r="CV32" i="9" s="1"/>
  <c r="AL31" i="7"/>
  <c r="AO31" i="7"/>
  <c r="AF31" i="7"/>
  <c r="AH31" i="7"/>
  <c r="AK31" i="7"/>
  <c r="AD31" i="7"/>
  <c r="AG31" i="7"/>
  <c r="Z31" i="7"/>
  <c r="AC31" i="7"/>
  <c r="AI31" i="7"/>
  <c r="AJ31" i="7"/>
  <c r="AT31" i="7"/>
  <c r="AP31" i="7"/>
  <c r="AS31" i="7"/>
  <c r="CI60" i="6"/>
  <c r="V2" i="1"/>
  <c r="V12" i="1"/>
  <c r="EE5" i="6"/>
  <c r="DS6" i="6"/>
  <c r="DH6" i="6"/>
  <c r="CL6" i="6"/>
  <c r="CK60" i="6"/>
  <c r="CK100" i="6" s="1"/>
  <c r="CK32" i="9" s="1"/>
  <c r="V26" i="1"/>
  <c r="CW6" i="6"/>
  <c r="EE2" i="9"/>
  <c r="DS3" i="9"/>
  <c r="DT3" i="9" s="1"/>
  <c r="DU3" i="9" s="1"/>
  <c r="DV3" i="9" s="1"/>
  <c r="DW3" i="9" s="1"/>
  <c r="DX3" i="9" s="1"/>
  <c r="DY3" i="9" s="1"/>
  <c r="DZ3" i="9" s="1"/>
  <c r="EA3" i="9" s="1"/>
  <c r="EB3" i="9" s="1"/>
  <c r="EC3" i="9" s="1"/>
  <c r="ED3" i="9" s="1"/>
  <c r="CA6" i="6"/>
  <c r="BZ60" i="6"/>
  <c r="CS3" i="8"/>
  <c r="CR7" i="8"/>
  <c r="BP6" i="6"/>
  <c r="BO60" i="6"/>
  <c r="BO100" i="6" s="1"/>
  <c r="BO32" i="9" s="1"/>
  <c r="BE6" i="6"/>
  <c r="BD60" i="6"/>
  <c r="B57" i="18" l="1"/>
  <c r="J48" i="6"/>
  <c r="W3" i="33"/>
  <c r="U126" i="12"/>
  <c r="K26" i="6"/>
  <c r="D19" i="15" s="1"/>
  <c r="K15" i="6"/>
  <c r="K23" i="6"/>
  <c r="D16" i="15" s="1"/>
  <c r="K16" i="6"/>
  <c r="D9" i="15" s="1"/>
  <c r="K27" i="6"/>
  <c r="D20" i="15" s="1"/>
  <c r="K19" i="6"/>
  <c r="D12" i="15" s="1"/>
  <c r="K17" i="6"/>
  <c r="D10" i="15" s="1"/>
  <c r="K20" i="6"/>
  <c r="D13" i="15" s="1"/>
  <c r="K25" i="6"/>
  <c r="D18" i="15" s="1"/>
  <c r="K24" i="6"/>
  <c r="D17" i="15" s="1"/>
  <c r="K22" i="6"/>
  <c r="D15" i="15" s="1"/>
  <c r="K13" i="6"/>
  <c r="D6" i="15" s="1"/>
  <c r="K18" i="6"/>
  <c r="D11" i="15" s="1"/>
  <c r="K14" i="6"/>
  <c r="D7" i="15" s="1"/>
  <c r="K21" i="6"/>
  <c r="D14" i="15" s="1"/>
  <c r="K45" i="6"/>
  <c r="D38" i="15" s="1"/>
  <c r="M6" i="32"/>
  <c r="K49" i="6"/>
  <c r="D42" i="15" s="1"/>
  <c r="AD53" i="15"/>
  <c r="BD100" i="6"/>
  <c r="S53" i="15"/>
  <c r="BN32" i="9"/>
  <c r="BW32" i="9"/>
  <c r="Z93" i="15"/>
  <c r="BZ100" i="6"/>
  <c r="I30" i="9"/>
  <c r="T20" i="12"/>
  <c r="T26" i="12" s="1"/>
  <c r="T33" i="12" s="1"/>
  <c r="T38" i="12" s="1"/>
  <c r="T8" i="12"/>
  <c r="T15" i="12" s="1"/>
  <c r="U1" i="12"/>
  <c r="W2" i="11"/>
  <c r="CI100" i="6"/>
  <c r="K40" i="6"/>
  <c r="D33" i="15" s="1"/>
  <c r="K89" i="6"/>
  <c r="D82" i="15" s="1"/>
  <c r="IU22" i="9"/>
  <c r="II23" i="9"/>
  <c r="IJ23" i="9" s="1"/>
  <c r="IK23" i="9" s="1"/>
  <c r="IL23" i="9" s="1"/>
  <c r="IM23" i="9" s="1"/>
  <c r="IN23" i="9" s="1"/>
  <c r="IO23" i="9" s="1"/>
  <c r="IP23" i="9" s="1"/>
  <c r="IQ23" i="9" s="1"/>
  <c r="IR23" i="9" s="1"/>
  <c r="IS23" i="9" s="1"/>
  <c r="IT23" i="9" s="1"/>
  <c r="J28" i="6"/>
  <c r="I37" i="6"/>
  <c r="J35" i="6"/>
  <c r="K3" i="6"/>
  <c r="K62" i="6" s="1"/>
  <c r="D55" i="15" s="1"/>
  <c r="K33" i="6"/>
  <c r="D26" i="15" s="1"/>
  <c r="K51" i="6"/>
  <c r="D44" i="15" s="1"/>
  <c r="K55" i="6"/>
  <c r="D48" i="15" s="1"/>
  <c r="K34" i="6"/>
  <c r="D27" i="15" s="1"/>
  <c r="K41" i="6"/>
  <c r="D34" i="15" s="1"/>
  <c r="K46" i="6"/>
  <c r="D39" i="15" s="1"/>
  <c r="K52" i="6"/>
  <c r="D45" i="15" s="1"/>
  <c r="K53" i="6"/>
  <c r="D46" i="15" s="1"/>
  <c r="K32" i="6"/>
  <c r="D25" i="15" s="1"/>
  <c r="K65" i="6"/>
  <c r="K97" i="6" s="1"/>
  <c r="K30" i="9" s="1"/>
  <c r="K42" i="6"/>
  <c r="D35" i="15" s="1"/>
  <c r="L1" i="6"/>
  <c r="K47" i="6"/>
  <c r="D40" i="15" s="1"/>
  <c r="D5" i="15"/>
  <c r="K31" i="6"/>
  <c r="D24" i="15" s="1"/>
  <c r="K63" i="6"/>
  <c r="D56" i="15" s="1"/>
  <c r="K43" i="6"/>
  <c r="D36" i="15" s="1"/>
  <c r="K50" i="6"/>
  <c r="D43" i="15" s="1"/>
  <c r="K54" i="6"/>
  <c r="D47" i="15" s="1"/>
  <c r="Y32" i="7"/>
  <c r="AE32" i="7"/>
  <c r="AF32" i="7"/>
  <c r="AN32" i="7"/>
  <c r="R34" i="7"/>
  <c r="AQ32" i="7"/>
  <c r="AU32" i="7"/>
  <c r="AR32" i="7"/>
  <c r="AB32" i="7"/>
  <c r="AA32" i="7"/>
  <c r="AT32" i="7"/>
  <c r="AP32" i="7"/>
  <c r="AL32" i="7"/>
  <c r="AS32" i="7"/>
  <c r="AJ32" i="7"/>
  <c r="AM32" i="7"/>
  <c r="AH32" i="7"/>
  <c r="AO32" i="7"/>
  <c r="AI32" i="7"/>
  <c r="AD32" i="7"/>
  <c r="AK32" i="7"/>
  <c r="Z32" i="7"/>
  <c r="AG32" i="7"/>
  <c r="AC32" i="7"/>
  <c r="CU60" i="6"/>
  <c r="EE3" i="9"/>
  <c r="EF3" i="9" s="1"/>
  <c r="EG3" i="9" s="1"/>
  <c r="EH3" i="9" s="1"/>
  <c r="EI3" i="9" s="1"/>
  <c r="EJ3" i="9" s="1"/>
  <c r="EK3" i="9" s="1"/>
  <c r="EL3" i="9" s="1"/>
  <c r="EM3" i="9" s="1"/>
  <c r="EN3" i="9" s="1"/>
  <c r="EO3" i="9" s="1"/>
  <c r="EP3" i="9" s="1"/>
  <c r="EQ2" i="9"/>
  <c r="W12" i="1"/>
  <c r="W26" i="1"/>
  <c r="DT6" i="6"/>
  <c r="W2" i="1"/>
  <c r="BQ6" i="6"/>
  <c r="BP60" i="6"/>
  <c r="CB6" i="6"/>
  <c r="CA60" i="6"/>
  <c r="CM6" i="6"/>
  <c r="CL60" i="6"/>
  <c r="EE6" i="6"/>
  <c r="EQ5" i="6"/>
  <c r="CT3" i="8"/>
  <c r="CS7" i="8"/>
  <c r="BF6" i="6"/>
  <c r="BE60" i="6"/>
  <c r="CX6" i="6"/>
  <c r="CW60" i="6"/>
  <c r="CW100" i="6" s="1"/>
  <c r="CW32" i="9" s="1"/>
  <c r="DI6" i="6"/>
  <c r="B58" i="18" l="1"/>
  <c r="D8" i="15"/>
  <c r="D21" i="15" s="1"/>
  <c r="K48" i="6"/>
  <c r="D41" i="15" s="1"/>
  <c r="X3" i="33"/>
  <c r="V126" i="12"/>
  <c r="L13" i="6"/>
  <c r="L45" i="6"/>
  <c r="L14" i="6"/>
  <c r="L27" i="6"/>
  <c r="L20" i="6"/>
  <c r="L23" i="6"/>
  <c r="L22" i="6"/>
  <c r="L19" i="6"/>
  <c r="L16" i="6"/>
  <c r="L25" i="6"/>
  <c r="L17" i="6"/>
  <c r="L26" i="6"/>
  <c r="L24" i="6"/>
  <c r="L15" i="6"/>
  <c r="L18" i="6"/>
  <c r="L21" i="6"/>
  <c r="N6" i="32"/>
  <c r="L49" i="6"/>
  <c r="BE100" i="6"/>
  <c r="CI32" i="9"/>
  <c r="AD93" i="15"/>
  <c r="BZ32" i="9"/>
  <c r="CL100" i="6"/>
  <c r="BP100" i="6"/>
  <c r="W53" i="15"/>
  <c r="AH53" i="15"/>
  <c r="BD32" i="9"/>
  <c r="S93" i="15"/>
  <c r="D90" i="15"/>
  <c r="D58" i="15"/>
  <c r="D28" i="15"/>
  <c r="V1" i="12"/>
  <c r="X2" i="11"/>
  <c r="U20" i="12"/>
  <c r="U26" i="12" s="1"/>
  <c r="U33" i="12" s="1"/>
  <c r="U38" i="12" s="1"/>
  <c r="U8" i="12"/>
  <c r="U15" i="12" s="1"/>
  <c r="CA100" i="6"/>
  <c r="CA32" i="9" s="1"/>
  <c r="CU100" i="6"/>
  <c r="L40" i="6"/>
  <c r="L89" i="6"/>
  <c r="IU23" i="9"/>
  <c r="IV23" i="9" s="1"/>
  <c r="IW23" i="9" s="1"/>
  <c r="IX23" i="9" s="1"/>
  <c r="IY23" i="9" s="1"/>
  <c r="IZ23" i="9" s="1"/>
  <c r="JA23" i="9" s="1"/>
  <c r="JB23" i="9" s="1"/>
  <c r="JC23" i="9" s="1"/>
  <c r="JD23" i="9" s="1"/>
  <c r="JE23" i="9" s="1"/>
  <c r="JF23" i="9" s="1"/>
  <c r="JG22" i="9"/>
  <c r="JG23" i="9" s="1"/>
  <c r="JH23" i="9" s="1"/>
  <c r="JI23" i="9" s="1"/>
  <c r="JJ23" i="9" s="1"/>
  <c r="JK23" i="9" s="1"/>
  <c r="JL23" i="9" s="1"/>
  <c r="JM23" i="9" s="1"/>
  <c r="JN23" i="9" s="1"/>
  <c r="JO23" i="9" s="1"/>
  <c r="JP23" i="9" s="1"/>
  <c r="JQ23" i="9" s="1"/>
  <c r="JR23" i="9" s="1"/>
  <c r="J37" i="6"/>
  <c r="K35" i="6"/>
  <c r="K28" i="6"/>
  <c r="M1" i="6"/>
  <c r="L52" i="6"/>
  <c r="L41" i="6"/>
  <c r="L51" i="6"/>
  <c r="L50" i="6"/>
  <c r="L3" i="6"/>
  <c r="L62" i="6" s="1"/>
  <c r="L47" i="6"/>
  <c r="L46" i="6"/>
  <c r="L34" i="6"/>
  <c r="L65" i="6"/>
  <c r="L55" i="6"/>
  <c r="L33" i="6"/>
  <c r="L63" i="6"/>
  <c r="L54" i="6"/>
  <c r="L43" i="6"/>
  <c r="L32" i="6"/>
  <c r="L53" i="6"/>
  <c r="L42" i="6"/>
  <c r="L31" i="6"/>
  <c r="Y33" i="7"/>
  <c r="AU33" i="7"/>
  <c r="AA33" i="7"/>
  <c r="AB33" i="7"/>
  <c r="R35" i="7"/>
  <c r="DT60" i="6" s="1"/>
  <c r="DT100" i="6" s="1"/>
  <c r="DT32" i="9" s="1"/>
  <c r="AE33" i="7"/>
  <c r="AQ33" i="7"/>
  <c r="AR33" i="7"/>
  <c r="AF33" i="7"/>
  <c r="AG33" i="7"/>
  <c r="AM33" i="7"/>
  <c r="AC33" i="7"/>
  <c r="AJ33" i="7"/>
  <c r="AI33" i="7"/>
  <c r="AT33" i="7"/>
  <c r="AP33" i="7"/>
  <c r="AL33" i="7"/>
  <c r="AH33" i="7"/>
  <c r="AS33" i="7"/>
  <c r="AN33" i="7"/>
  <c r="AD33" i="7"/>
  <c r="AO33" i="7"/>
  <c r="Z33" i="7"/>
  <c r="AK33" i="7"/>
  <c r="DG60" i="6"/>
  <c r="DH60" i="6"/>
  <c r="DH100" i="6" s="1"/>
  <c r="DH32" i="9" s="1"/>
  <c r="BG6" i="6"/>
  <c r="BF60" i="6"/>
  <c r="BF100" i="6" s="1"/>
  <c r="BF32" i="9" s="1"/>
  <c r="FC5" i="6"/>
  <c r="EQ6" i="6"/>
  <c r="CN6" i="6"/>
  <c r="CM60" i="6"/>
  <c r="CM100" i="6" s="1"/>
  <c r="CM32" i="9" s="1"/>
  <c r="BR6" i="6"/>
  <c r="BQ60" i="6"/>
  <c r="X2" i="1"/>
  <c r="DU6" i="6"/>
  <c r="EF6" i="6"/>
  <c r="CC6" i="6"/>
  <c r="CB60" i="6"/>
  <c r="X26" i="1"/>
  <c r="X12" i="1"/>
  <c r="DJ6" i="6"/>
  <c r="DI60" i="6"/>
  <c r="DI100" i="6" s="1"/>
  <c r="DI32" i="9" s="1"/>
  <c r="CY6" i="6"/>
  <c r="CX60" i="6"/>
  <c r="CU3" i="8"/>
  <c r="CT7" i="8"/>
  <c r="EQ3" i="9"/>
  <c r="ER3" i="9" s="1"/>
  <c r="ES3" i="9" s="1"/>
  <c r="ET3" i="9" s="1"/>
  <c r="EU3" i="9" s="1"/>
  <c r="EV3" i="9" s="1"/>
  <c r="EW3" i="9" s="1"/>
  <c r="EX3" i="9" s="1"/>
  <c r="EY3" i="9" s="1"/>
  <c r="EZ3" i="9" s="1"/>
  <c r="FA3" i="9" s="1"/>
  <c r="FB3" i="9" s="1"/>
  <c r="FC2" i="9"/>
  <c r="B59" i="18" l="1"/>
  <c r="L48" i="6"/>
  <c r="Y3" i="33"/>
  <c r="W126" i="12"/>
  <c r="M23" i="6"/>
  <c r="M20" i="6"/>
  <c r="M22" i="6"/>
  <c r="M14" i="6"/>
  <c r="M13" i="6"/>
  <c r="M45" i="6"/>
  <c r="M17" i="6"/>
  <c r="M26" i="6"/>
  <c r="M25" i="6"/>
  <c r="M27" i="6"/>
  <c r="M21" i="6"/>
  <c r="M19" i="6"/>
  <c r="M18" i="6"/>
  <c r="M15" i="6"/>
  <c r="M24" i="6"/>
  <c r="M16" i="6"/>
  <c r="O6" i="32"/>
  <c r="M49" i="6"/>
  <c r="CU32" i="9"/>
  <c r="AH93" i="15"/>
  <c r="CX100" i="6"/>
  <c r="BQ100" i="6"/>
  <c r="CL32" i="9"/>
  <c r="AL53" i="15"/>
  <c r="CB100" i="6"/>
  <c r="CB32" i="9" s="1"/>
  <c r="AA53" i="15"/>
  <c r="BP32" i="9"/>
  <c r="W93" i="15"/>
  <c r="BE32" i="9"/>
  <c r="L97" i="6"/>
  <c r="D30" i="15"/>
  <c r="W1" i="12"/>
  <c r="Y2" i="11"/>
  <c r="X126" i="12" s="1"/>
  <c r="V20" i="12"/>
  <c r="V26" i="12" s="1"/>
  <c r="V33" i="12" s="1"/>
  <c r="V38" i="12" s="1"/>
  <c r="V8" i="12"/>
  <c r="V15" i="12" s="1"/>
  <c r="DG100" i="6"/>
  <c r="M40" i="6"/>
  <c r="M89" i="6"/>
  <c r="K37" i="6"/>
  <c r="L35" i="6"/>
  <c r="L28" i="6"/>
  <c r="N1" i="6"/>
  <c r="M65" i="6"/>
  <c r="M97" i="6" s="1"/>
  <c r="M30" i="9" s="1"/>
  <c r="M41" i="6"/>
  <c r="M3" i="6"/>
  <c r="M62" i="6" s="1"/>
  <c r="M46" i="6"/>
  <c r="M54" i="6"/>
  <c r="M55" i="6"/>
  <c r="M52" i="6"/>
  <c r="M53" i="6"/>
  <c r="M63" i="6"/>
  <c r="M34" i="6"/>
  <c r="M50" i="6"/>
  <c r="M33" i="6"/>
  <c r="M51" i="6"/>
  <c r="M47" i="6"/>
  <c r="M32" i="6"/>
  <c r="M43" i="6"/>
  <c r="M31" i="6"/>
  <c r="M42" i="6"/>
  <c r="AB34" i="7"/>
  <c r="AM34" i="7"/>
  <c r="AQ34" i="7"/>
  <c r="AU34" i="7"/>
  <c r="AA34" i="7"/>
  <c r="AE34" i="7"/>
  <c r="AI34" i="7"/>
  <c r="R36" i="7"/>
  <c r="EF60" i="6" s="1"/>
  <c r="EF100" i="6" s="1"/>
  <c r="EF32" i="9" s="1"/>
  <c r="AD34" i="7"/>
  <c r="AO34" i="7"/>
  <c r="AF34" i="7"/>
  <c r="Z34" i="7"/>
  <c r="AK34" i="7"/>
  <c r="AG34" i="7"/>
  <c r="AC34" i="7"/>
  <c r="AT34" i="7"/>
  <c r="Y34" i="7"/>
  <c r="AP34" i="7"/>
  <c r="AR34" i="7"/>
  <c r="AL34" i="7"/>
  <c r="AN34" i="7"/>
  <c r="AH34" i="7"/>
  <c r="AS34" i="7"/>
  <c r="AJ34" i="7"/>
  <c r="DS60" i="6"/>
  <c r="CO6" i="6"/>
  <c r="CN60" i="6"/>
  <c r="CZ6" i="6"/>
  <c r="CY60" i="6"/>
  <c r="CY100" i="6" s="1"/>
  <c r="CY32" i="9" s="1"/>
  <c r="Y12" i="1"/>
  <c r="Y26" i="1"/>
  <c r="CD6" i="6"/>
  <c r="CC60" i="6"/>
  <c r="BS6" i="6"/>
  <c r="BR60" i="6"/>
  <c r="BR100" i="6" s="1"/>
  <c r="BR32" i="9" s="1"/>
  <c r="ER6" i="6"/>
  <c r="BH6" i="6"/>
  <c r="BG60" i="6"/>
  <c r="BG100" i="6" s="1"/>
  <c r="BG32" i="9" s="1"/>
  <c r="FC3" i="9"/>
  <c r="FD3" i="9" s="1"/>
  <c r="FE3" i="9" s="1"/>
  <c r="FF3" i="9" s="1"/>
  <c r="FG3" i="9" s="1"/>
  <c r="FH3" i="9" s="1"/>
  <c r="FI3" i="9" s="1"/>
  <c r="FJ3" i="9" s="1"/>
  <c r="FK3" i="9" s="1"/>
  <c r="FL3" i="9" s="1"/>
  <c r="FM3" i="9" s="1"/>
  <c r="FN3" i="9" s="1"/>
  <c r="FO2" i="9"/>
  <c r="DK6" i="6"/>
  <c r="DJ60" i="6"/>
  <c r="EG6" i="6"/>
  <c r="Y2" i="1"/>
  <c r="CV3" i="8"/>
  <c r="CU7" i="8"/>
  <c r="DV6" i="6"/>
  <c r="DU60" i="6"/>
  <c r="DU100" i="6" s="1"/>
  <c r="DU32" i="9" s="1"/>
  <c r="FO5" i="6"/>
  <c r="FC6" i="6"/>
  <c r="B60" i="18" l="1"/>
  <c r="M48" i="6"/>
  <c r="N24" i="6"/>
  <c r="N25" i="6"/>
  <c r="N23" i="6"/>
  <c r="N15" i="6"/>
  <c r="N45" i="6"/>
  <c r="E38" i="15" s="1"/>
  <c r="N19" i="6"/>
  <c r="N16" i="6"/>
  <c r="N20" i="6"/>
  <c r="N27" i="6"/>
  <c r="N14" i="6"/>
  <c r="N26" i="6"/>
  <c r="N22" i="6"/>
  <c r="N21" i="6"/>
  <c r="N13" i="6"/>
  <c r="C6" i="11" s="1"/>
  <c r="N18" i="6"/>
  <c r="N17" i="6"/>
  <c r="P6" i="32"/>
  <c r="X1" i="12"/>
  <c r="X20" i="12" s="1"/>
  <c r="X26" i="12" s="1"/>
  <c r="X33" i="12" s="1"/>
  <c r="X38" i="12" s="1"/>
  <c r="Z3" i="33"/>
  <c r="N49" i="6"/>
  <c r="E42" i="15" s="1"/>
  <c r="T53" i="15"/>
  <c r="AA93" i="15"/>
  <c r="CX32" i="9"/>
  <c r="DJ100" i="6"/>
  <c r="T93" i="15"/>
  <c r="CN100" i="6"/>
  <c r="AE53" i="15"/>
  <c r="CC100" i="6"/>
  <c r="AP53" i="15"/>
  <c r="DG32" i="9"/>
  <c r="AL93" i="15"/>
  <c r="BQ32" i="9"/>
  <c r="L30" i="9"/>
  <c r="W20" i="12"/>
  <c r="W26" i="12" s="1"/>
  <c r="W33" i="12" s="1"/>
  <c r="W38" i="12" s="1"/>
  <c r="W8" i="12"/>
  <c r="W15" i="12" s="1"/>
  <c r="DS100" i="6"/>
  <c r="N40" i="6"/>
  <c r="E33" i="15" s="1"/>
  <c r="N89" i="6"/>
  <c r="M35" i="6"/>
  <c r="M28" i="6"/>
  <c r="O1" i="6"/>
  <c r="N32" i="6"/>
  <c r="C25" i="11" s="1"/>
  <c r="N43" i="6"/>
  <c r="E36" i="15" s="1"/>
  <c r="N50" i="6"/>
  <c r="E43" i="15" s="1"/>
  <c r="N54" i="6"/>
  <c r="E47" i="15" s="1"/>
  <c r="N33" i="6"/>
  <c r="C26" i="11" s="1"/>
  <c r="N51" i="6"/>
  <c r="E44" i="15" s="1"/>
  <c r="N55" i="6"/>
  <c r="E48" i="15" s="1"/>
  <c r="N34" i="6"/>
  <c r="C27" i="11" s="1"/>
  <c r="N41" i="6"/>
  <c r="E34" i="15" s="1"/>
  <c r="N46" i="6"/>
  <c r="E39" i="15" s="1"/>
  <c r="N52" i="6"/>
  <c r="E45" i="15" s="1"/>
  <c r="N31" i="6"/>
  <c r="N42" i="6"/>
  <c r="E35" i="15" s="1"/>
  <c r="N47" i="6"/>
  <c r="E40" i="15" s="1"/>
  <c r="N53" i="6"/>
  <c r="E46" i="15" s="1"/>
  <c r="N65" i="6"/>
  <c r="E58" i="15" s="1"/>
  <c r="N63" i="6"/>
  <c r="C56" i="11" s="1"/>
  <c r="N3" i="6"/>
  <c r="N62" i="6" s="1"/>
  <c r="C55" i="11" s="1"/>
  <c r="L37" i="6"/>
  <c r="Y35" i="7"/>
  <c r="AB35" i="7"/>
  <c r="AM35" i="7"/>
  <c r="AS35" i="7"/>
  <c r="AK35" i="7"/>
  <c r="AI35" i="7"/>
  <c r="AT35" i="7"/>
  <c r="AO35" i="7"/>
  <c r="AE35" i="7"/>
  <c r="AP35" i="7"/>
  <c r="AG35" i="7"/>
  <c r="AA35" i="7"/>
  <c r="AL35" i="7"/>
  <c r="AR35" i="7"/>
  <c r="AH35" i="7"/>
  <c r="AC35" i="7"/>
  <c r="AN35" i="7"/>
  <c r="R37" i="7"/>
  <c r="ER60" i="6" s="1"/>
  <c r="ER100" i="6" s="1"/>
  <c r="ER32" i="9" s="1"/>
  <c r="AD35" i="7"/>
  <c r="AJ35" i="7"/>
  <c r="AU35" i="7"/>
  <c r="Z35" i="7"/>
  <c r="AF35" i="7"/>
  <c r="AQ35" i="7"/>
  <c r="EE60" i="6"/>
  <c r="FD6" i="6"/>
  <c r="DW6" i="6"/>
  <c r="DV60" i="6"/>
  <c r="ES6" i="6"/>
  <c r="DA6" i="6"/>
  <c r="CZ60" i="6"/>
  <c r="BT6" i="6"/>
  <c r="BS60" i="6"/>
  <c r="BS100" i="6" s="1"/>
  <c r="BS32" i="9" s="1"/>
  <c r="BI6" i="6"/>
  <c r="BH60" i="6"/>
  <c r="CE6" i="6"/>
  <c r="CD60" i="6"/>
  <c r="CD100" i="6" s="1"/>
  <c r="CD32" i="9" s="1"/>
  <c r="Z12" i="1"/>
  <c r="Z2" i="1"/>
  <c r="GA5" i="6"/>
  <c r="FO6" i="6"/>
  <c r="CW3" i="8"/>
  <c r="CV7" i="8"/>
  <c r="DL6" i="6"/>
  <c r="DK60" i="6"/>
  <c r="DK100" i="6" s="1"/>
  <c r="DK32" i="9" s="1"/>
  <c r="EH6" i="6"/>
  <c r="EG60" i="6"/>
  <c r="EG100" i="6" s="1"/>
  <c r="EG32" i="9" s="1"/>
  <c r="GA2" i="9"/>
  <c r="FO3" i="9"/>
  <c r="FP3" i="9" s="1"/>
  <c r="FQ3" i="9" s="1"/>
  <c r="FR3" i="9" s="1"/>
  <c r="FS3" i="9" s="1"/>
  <c r="FT3" i="9" s="1"/>
  <c r="FU3" i="9" s="1"/>
  <c r="FV3" i="9" s="1"/>
  <c r="FW3" i="9" s="1"/>
  <c r="FX3" i="9" s="1"/>
  <c r="FY3" i="9" s="1"/>
  <c r="FZ3" i="9" s="1"/>
  <c r="Z26" i="1"/>
  <c r="CP6" i="6"/>
  <c r="CO60" i="6"/>
  <c r="B61" i="18" l="1"/>
  <c r="N48" i="6"/>
  <c r="E41" i="15" s="1"/>
  <c r="O26" i="6"/>
  <c r="O19" i="6"/>
  <c r="O22" i="6"/>
  <c r="O18" i="6"/>
  <c r="O24" i="6"/>
  <c r="O14" i="6"/>
  <c r="O17" i="6"/>
  <c r="O23" i="6"/>
  <c r="O45" i="6"/>
  <c r="O27" i="6"/>
  <c r="O16" i="6"/>
  <c r="O20" i="6"/>
  <c r="O15" i="6"/>
  <c r="O25" i="6"/>
  <c r="O21" i="6"/>
  <c r="O13" i="6"/>
  <c r="X8" i="12"/>
  <c r="X15" i="12" s="1"/>
  <c r="Q6" i="32"/>
  <c r="C14" i="11"/>
  <c r="T69" i="12" s="1"/>
  <c r="E14" i="15"/>
  <c r="C5" i="11"/>
  <c r="T66" i="12" s="1"/>
  <c r="C12" i="11"/>
  <c r="C11" i="11"/>
  <c r="T72" i="12" s="1"/>
  <c r="C9" i="11"/>
  <c r="T70" i="12" s="1"/>
  <c r="C20" i="11"/>
  <c r="C10" i="11"/>
  <c r="C19" i="11"/>
  <c r="C16" i="11"/>
  <c r="C8" i="11"/>
  <c r="C24" i="11"/>
  <c r="C28" i="11" s="1"/>
  <c r="C17" i="11"/>
  <c r="C82" i="11"/>
  <c r="C15" i="11"/>
  <c r="E15" i="15"/>
  <c r="O49" i="6"/>
  <c r="E6" i="15"/>
  <c r="X93" i="15"/>
  <c r="CN32" i="9"/>
  <c r="AE93" i="15"/>
  <c r="X53" i="15"/>
  <c r="CO100" i="6"/>
  <c r="AT53" i="15"/>
  <c r="DS32" i="9"/>
  <c r="AP93" i="15"/>
  <c r="CC32" i="9"/>
  <c r="DJ32" i="9"/>
  <c r="BH100" i="6"/>
  <c r="CZ100" i="6"/>
  <c r="AI53" i="15"/>
  <c r="DV100" i="6"/>
  <c r="E55" i="15"/>
  <c r="E56" i="15"/>
  <c r="E26" i="15"/>
  <c r="E27" i="15"/>
  <c r="E25" i="15"/>
  <c r="E82" i="15"/>
  <c r="E24" i="15"/>
  <c r="E5" i="15"/>
  <c r="E19" i="15"/>
  <c r="E8" i="15"/>
  <c r="E12" i="15"/>
  <c r="E17" i="15"/>
  <c r="C7" i="11"/>
  <c r="T67" i="12" s="1"/>
  <c r="E7" i="15"/>
  <c r="C18" i="11"/>
  <c r="E18" i="15"/>
  <c r="C13" i="11"/>
  <c r="T68" i="12" s="1"/>
  <c r="E13" i="15"/>
  <c r="E16" i="15"/>
  <c r="E11" i="15"/>
  <c r="E20" i="15"/>
  <c r="E9" i="15"/>
  <c r="E10" i="15"/>
  <c r="EE100" i="6"/>
  <c r="N97" i="6"/>
  <c r="C58" i="11"/>
  <c r="C90" i="11" s="1"/>
  <c r="B11" i="12" s="1"/>
  <c r="O40" i="6"/>
  <c r="O89" i="6"/>
  <c r="M37" i="6"/>
  <c r="N35" i="6"/>
  <c r="N28" i="6"/>
  <c r="O54" i="6"/>
  <c r="O43" i="6"/>
  <c r="O32" i="6"/>
  <c r="O53" i="6"/>
  <c r="O42" i="6"/>
  <c r="O31" i="6"/>
  <c r="O52" i="6"/>
  <c r="O41" i="6"/>
  <c r="O65" i="6"/>
  <c r="O51" i="6"/>
  <c r="O3" i="6"/>
  <c r="O62" i="6" s="1"/>
  <c r="O63" i="6"/>
  <c r="O50" i="6"/>
  <c r="O47" i="6"/>
  <c r="P1" i="6"/>
  <c r="O46" i="6"/>
  <c r="O34" i="6"/>
  <c r="O55" i="6"/>
  <c r="O33" i="6"/>
  <c r="AL36" i="7"/>
  <c r="AU36" i="7"/>
  <c r="AC36" i="7"/>
  <c r="AP36" i="7"/>
  <c r="R38" i="7"/>
  <c r="FD60" i="6" s="1"/>
  <c r="FD100" i="6" s="1"/>
  <c r="FD32" i="9" s="1"/>
  <c r="AG36" i="7"/>
  <c r="AD36" i="7"/>
  <c r="AT36" i="7"/>
  <c r="AB36" i="7"/>
  <c r="AK36" i="7"/>
  <c r="AA36" i="7"/>
  <c r="AF36" i="7"/>
  <c r="AO36" i="7"/>
  <c r="AM36" i="7"/>
  <c r="AE36" i="7"/>
  <c r="AJ36" i="7"/>
  <c r="AS36" i="7"/>
  <c r="Z36" i="7"/>
  <c r="AI36" i="7"/>
  <c r="AN36" i="7"/>
  <c r="AR36" i="7"/>
  <c r="AH36" i="7"/>
  <c r="AQ36" i="7"/>
  <c r="Y36" i="7"/>
  <c r="EQ60" i="6"/>
  <c r="FP6" i="6"/>
  <c r="ET6" i="6"/>
  <c r="ES60" i="6"/>
  <c r="ES100" i="6" s="1"/>
  <c r="ES32" i="9" s="1"/>
  <c r="EI6" i="6"/>
  <c r="EH60" i="6"/>
  <c r="DM6" i="6"/>
  <c r="DL60" i="6"/>
  <c r="DL100" i="6" s="1"/>
  <c r="DL32" i="9" s="1"/>
  <c r="GA6" i="6"/>
  <c r="GM5" i="6"/>
  <c r="AA2" i="1"/>
  <c r="BJ6" i="6"/>
  <c r="BI60" i="6"/>
  <c r="BI100" i="6" s="1"/>
  <c r="BI32" i="9" s="1"/>
  <c r="FE6" i="6"/>
  <c r="DB6" i="6"/>
  <c r="DA60" i="6"/>
  <c r="CQ6" i="6"/>
  <c r="CP60" i="6"/>
  <c r="AA26" i="1"/>
  <c r="GA3" i="9"/>
  <c r="GB3" i="9" s="1"/>
  <c r="GC3" i="9" s="1"/>
  <c r="GD3" i="9" s="1"/>
  <c r="GE3" i="9" s="1"/>
  <c r="GF3" i="9" s="1"/>
  <c r="GG3" i="9" s="1"/>
  <c r="GH3" i="9" s="1"/>
  <c r="GI3" i="9" s="1"/>
  <c r="GJ3" i="9" s="1"/>
  <c r="GK3" i="9" s="1"/>
  <c r="GL3" i="9" s="1"/>
  <c r="GM2" i="9"/>
  <c r="CX3" i="8"/>
  <c r="CW7" i="8"/>
  <c r="AA12" i="1"/>
  <c r="CF6" i="6"/>
  <c r="CE60" i="6"/>
  <c r="CE100" i="6" s="1"/>
  <c r="CE32" i="9" s="1"/>
  <c r="BU6" i="6"/>
  <c r="BT60" i="6"/>
  <c r="DX6" i="6"/>
  <c r="DW60" i="6"/>
  <c r="DW100" i="6" s="1"/>
  <c r="DW32" i="9" s="1"/>
  <c r="B62" i="18" l="1"/>
  <c r="O48" i="6"/>
  <c r="P45" i="6"/>
  <c r="P21" i="6"/>
  <c r="P13" i="6"/>
  <c r="P22" i="6"/>
  <c r="P18" i="6"/>
  <c r="P17" i="6"/>
  <c r="P25" i="6"/>
  <c r="P20" i="6"/>
  <c r="P14" i="6"/>
  <c r="P15" i="6"/>
  <c r="P27" i="6"/>
  <c r="P24" i="6"/>
  <c r="P16" i="6"/>
  <c r="P23" i="6"/>
  <c r="P26" i="6"/>
  <c r="P19" i="6"/>
  <c r="T71" i="12"/>
  <c r="R6" i="32"/>
  <c r="B27" i="12"/>
  <c r="B34" i="12" s="1"/>
  <c r="P49" i="6"/>
  <c r="AX53" i="15"/>
  <c r="AM53" i="15"/>
  <c r="AB53" i="15"/>
  <c r="AB93" i="15"/>
  <c r="BT100" i="6"/>
  <c r="DV32" i="9"/>
  <c r="CZ32" i="9"/>
  <c r="AI93" i="15"/>
  <c r="DA100" i="6"/>
  <c r="BH32" i="9"/>
  <c r="EH100" i="6"/>
  <c r="EE32" i="9"/>
  <c r="AT93" i="15"/>
  <c r="AM93" i="15"/>
  <c r="CO32" i="9"/>
  <c r="N30" i="9"/>
  <c r="E90" i="15"/>
  <c r="E28" i="15"/>
  <c r="C21" i="11"/>
  <c r="C30" i="11" s="1"/>
  <c r="B2" i="12" s="1"/>
  <c r="B39" i="12" s="1"/>
  <c r="B28" i="12"/>
  <c r="E21" i="15"/>
  <c r="CP100" i="6"/>
  <c r="CP32" i="9" s="1"/>
  <c r="EQ100" i="6"/>
  <c r="O97" i="6"/>
  <c r="P40" i="6"/>
  <c r="P89" i="6"/>
  <c r="O35" i="6"/>
  <c r="O28" i="6"/>
  <c r="N37" i="6"/>
  <c r="P3" i="6"/>
  <c r="P62" i="6" s="1"/>
  <c r="P32" i="6"/>
  <c r="P50" i="6"/>
  <c r="P53" i="6"/>
  <c r="P55" i="6"/>
  <c r="P47" i="6"/>
  <c r="P33" i="6"/>
  <c r="P52" i="6"/>
  <c r="P42" i="6"/>
  <c r="P51" i="6"/>
  <c r="P34" i="6"/>
  <c r="P54" i="6"/>
  <c r="P63" i="6"/>
  <c r="P41" i="6"/>
  <c r="Q1" i="6"/>
  <c r="P65" i="6"/>
  <c r="P97" i="6" s="1"/>
  <c r="P30" i="9" s="1"/>
  <c r="P43" i="6"/>
  <c r="P31" i="6"/>
  <c r="P46" i="6"/>
  <c r="R39" i="7"/>
  <c r="FP60" i="6" s="1"/>
  <c r="FP100" i="6" s="1"/>
  <c r="FP32" i="9" s="1"/>
  <c r="AG37" i="7"/>
  <c r="AP37" i="7"/>
  <c r="AK37" i="7"/>
  <c r="AA37" i="7"/>
  <c r="AO37" i="7"/>
  <c r="AB37" i="7"/>
  <c r="AT37" i="7"/>
  <c r="AF37" i="7"/>
  <c r="AJ37" i="7"/>
  <c r="AH37" i="7"/>
  <c r="AU37" i="7"/>
  <c r="AQ37" i="7"/>
  <c r="AE37" i="7"/>
  <c r="AS37" i="7"/>
  <c r="AC37" i="7"/>
  <c r="AI37" i="7"/>
  <c r="AN37" i="7"/>
  <c r="Z37" i="7"/>
  <c r="AM37" i="7"/>
  <c r="AR37" i="7"/>
  <c r="AL37" i="7"/>
  <c r="AD37" i="7"/>
  <c r="Y37" i="7"/>
  <c r="FC60" i="6"/>
  <c r="GM3" i="9"/>
  <c r="GN3" i="9" s="1"/>
  <c r="GO3" i="9" s="1"/>
  <c r="GP3" i="9" s="1"/>
  <c r="GQ3" i="9" s="1"/>
  <c r="GR3" i="9" s="1"/>
  <c r="GS3" i="9" s="1"/>
  <c r="GT3" i="9" s="1"/>
  <c r="GU3" i="9" s="1"/>
  <c r="GV3" i="9" s="1"/>
  <c r="GW3" i="9" s="1"/>
  <c r="GX3" i="9" s="1"/>
  <c r="GY2" i="9"/>
  <c r="GB6" i="6"/>
  <c r="CY3" i="8"/>
  <c r="CX7" i="8"/>
  <c r="FF6" i="6"/>
  <c r="FE60" i="6"/>
  <c r="FE100" i="6" s="1"/>
  <c r="FE32" i="9" s="1"/>
  <c r="EU6" i="6"/>
  <c r="ET60" i="6"/>
  <c r="DY6" i="6"/>
  <c r="DX60" i="6"/>
  <c r="CR6" i="6"/>
  <c r="CQ60" i="6"/>
  <c r="AB26" i="1"/>
  <c r="FQ6" i="6"/>
  <c r="BV6" i="6"/>
  <c r="BU60" i="6"/>
  <c r="BU100" i="6" s="1"/>
  <c r="BU32" i="9" s="1"/>
  <c r="CG6" i="6"/>
  <c r="CF60" i="6"/>
  <c r="AB12" i="1"/>
  <c r="DC6" i="6"/>
  <c r="DB60" i="6"/>
  <c r="DB100" i="6" s="1"/>
  <c r="DB32" i="9" s="1"/>
  <c r="BJ60" i="6"/>
  <c r="U53" i="15" s="1"/>
  <c r="AB2" i="1"/>
  <c r="EJ6" i="6"/>
  <c r="EI60" i="6"/>
  <c r="EI100" i="6" s="1"/>
  <c r="EI32" i="9" s="1"/>
  <c r="GY5" i="6"/>
  <c r="GM6" i="6"/>
  <c r="DN6" i="6"/>
  <c r="DM60" i="6"/>
  <c r="B63" i="18" l="1"/>
  <c r="P48" i="6"/>
  <c r="Q15" i="6"/>
  <c r="Q25" i="6"/>
  <c r="F18" i="15" s="1"/>
  <c r="Q26" i="6"/>
  <c r="F19" i="15" s="1"/>
  <c r="Q19" i="6"/>
  <c r="Q21" i="6"/>
  <c r="Q18" i="6"/>
  <c r="Q14" i="6"/>
  <c r="Q22" i="6"/>
  <c r="Q17" i="6"/>
  <c r="F10" i="15" s="1"/>
  <c r="Q24" i="6"/>
  <c r="Q45" i="6"/>
  <c r="Q16" i="6"/>
  <c r="F9" i="15" s="1"/>
  <c r="Q20" i="6"/>
  <c r="Q23" i="6"/>
  <c r="Q27" i="6"/>
  <c r="F20" i="15" s="1"/>
  <c r="Q13" i="6"/>
  <c r="S6" i="32"/>
  <c r="BB53" i="15"/>
  <c r="DA32" i="9"/>
  <c r="CF100" i="6"/>
  <c r="DX100" i="6"/>
  <c r="AQ53" i="15"/>
  <c r="EQ32" i="9"/>
  <c r="AX93" i="15"/>
  <c r="DM100" i="6"/>
  <c r="CQ100" i="6"/>
  <c r="AF53" i="15"/>
  <c r="ET100" i="6"/>
  <c r="EH32" i="9"/>
  <c r="BT32" i="9"/>
  <c r="O30" i="9"/>
  <c r="E30" i="15"/>
  <c r="FC100" i="6"/>
  <c r="BJ100" i="6"/>
  <c r="G53" i="11"/>
  <c r="G93" i="11" s="1"/>
  <c r="B16" i="12"/>
  <c r="B21" i="12"/>
  <c r="Q89" i="6"/>
  <c r="F82" i="15" s="1"/>
  <c r="P35" i="6"/>
  <c r="P28" i="6"/>
  <c r="O37" i="6"/>
  <c r="Q33" i="6"/>
  <c r="F26" i="15" s="1"/>
  <c r="Q55" i="6"/>
  <c r="F48" i="15" s="1"/>
  <c r="Q43" i="6"/>
  <c r="F36" i="15" s="1"/>
  <c r="Q34" i="6"/>
  <c r="F27" i="15" s="1"/>
  <c r="Q65" i="6"/>
  <c r="Q97" i="6" s="1"/>
  <c r="Q30" i="9" s="1"/>
  <c r="R1" i="6"/>
  <c r="Q3" i="6"/>
  <c r="Q62" i="6" s="1"/>
  <c r="F55" i="15" s="1"/>
  <c r="Q32" i="6"/>
  <c r="F25" i="15" s="1"/>
  <c r="Q51" i="6"/>
  <c r="F44" i="15" s="1"/>
  <c r="Q41" i="6"/>
  <c r="F34" i="15" s="1"/>
  <c r="Q52" i="6"/>
  <c r="F45" i="15" s="1"/>
  <c r="Q31" i="6"/>
  <c r="Q42" i="6"/>
  <c r="F35" i="15" s="1"/>
  <c r="AB38" i="7"/>
  <c r="AK38" i="7"/>
  <c r="AT38" i="7"/>
  <c r="AO38" i="7"/>
  <c r="AF38" i="7"/>
  <c r="AA38" i="7"/>
  <c r="R40" i="7"/>
  <c r="GB60" i="6" s="1"/>
  <c r="GB100" i="6" s="1"/>
  <c r="GB32" i="9" s="1"/>
  <c r="AJ38" i="7"/>
  <c r="AS38" i="7"/>
  <c r="AE38" i="7"/>
  <c r="Z38" i="7"/>
  <c r="AI38" i="7"/>
  <c r="AN38" i="7"/>
  <c r="Y38" i="7"/>
  <c r="AU38" i="7"/>
  <c r="AR38" i="7"/>
  <c r="AD38" i="7"/>
  <c r="AM38" i="7"/>
  <c r="AH38" i="7"/>
  <c r="AC38" i="7"/>
  <c r="AL38" i="7"/>
  <c r="AP38" i="7"/>
  <c r="AQ38" i="7"/>
  <c r="AG38" i="7"/>
  <c r="FO60" i="6"/>
  <c r="CS6" i="6"/>
  <c r="CR60" i="6"/>
  <c r="FG6" i="6"/>
  <c r="FF60" i="6"/>
  <c r="DZ6" i="6"/>
  <c r="DY60" i="6"/>
  <c r="CZ3" i="8"/>
  <c r="CY7" i="8"/>
  <c r="GN6" i="6"/>
  <c r="AC2" i="1"/>
  <c r="BV60" i="6"/>
  <c r="Y53" i="15" s="1"/>
  <c r="DD6" i="6"/>
  <c r="DC60" i="6"/>
  <c r="DC100" i="6" s="1"/>
  <c r="DC32" i="9" s="1"/>
  <c r="CH6" i="6"/>
  <c r="CG60" i="6"/>
  <c r="CG100" i="6" s="1"/>
  <c r="CG32" i="9" s="1"/>
  <c r="AC26" i="1"/>
  <c r="DO6" i="6"/>
  <c r="DN60" i="6"/>
  <c r="DN100" i="6" s="1"/>
  <c r="DN32" i="9" s="1"/>
  <c r="FR6" i="6"/>
  <c r="FQ60" i="6"/>
  <c r="FQ100" i="6" s="1"/>
  <c r="FQ32" i="9" s="1"/>
  <c r="GY3" i="9"/>
  <c r="GZ3" i="9" s="1"/>
  <c r="HA3" i="9" s="1"/>
  <c r="HB3" i="9" s="1"/>
  <c r="HC3" i="9" s="1"/>
  <c r="HD3" i="9" s="1"/>
  <c r="HE3" i="9" s="1"/>
  <c r="HF3" i="9" s="1"/>
  <c r="HG3" i="9" s="1"/>
  <c r="HH3" i="9" s="1"/>
  <c r="HI3" i="9" s="1"/>
  <c r="HJ3" i="9" s="1"/>
  <c r="HK2" i="9"/>
  <c r="HK5" i="6"/>
  <c r="GY6" i="6"/>
  <c r="EK6" i="6"/>
  <c r="EJ60" i="6"/>
  <c r="EJ100" i="6" s="1"/>
  <c r="EJ32" i="9" s="1"/>
  <c r="AC12" i="1"/>
  <c r="EV6" i="6"/>
  <c r="EU60" i="6"/>
  <c r="GC6" i="6"/>
  <c r="B64" i="18" l="1"/>
  <c r="Q48" i="6"/>
  <c r="F41" i="15" s="1"/>
  <c r="T6" i="32"/>
  <c r="F7" i="15"/>
  <c r="F12" i="15"/>
  <c r="F5" i="15"/>
  <c r="Q49" i="6"/>
  <c r="F42" i="15" s="1"/>
  <c r="Q50" i="6"/>
  <c r="F43" i="15" s="1"/>
  <c r="Q47" i="6"/>
  <c r="F40" i="15" s="1"/>
  <c r="F6" i="15"/>
  <c r="Q63" i="6"/>
  <c r="F56" i="15" s="1"/>
  <c r="F11" i="15"/>
  <c r="Q46" i="6"/>
  <c r="F39" i="15" s="1"/>
  <c r="F14" i="15"/>
  <c r="F8" i="15"/>
  <c r="Q40" i="6"/>
  <c r="F33" i="15" s="1"/>
  <c r="F38" i="15"/>
  <c r="F15" i="15"/>
  <c r="Q54" i="6"/>
  <c r="F47" i="15" s="1"/>
  <c r="Q53" i="6"/>
  <c r="F46" i="15" s="1"/>
  <c r="R25" i="32"/>
  <c r="R5" i="32" s="1"/>
  <c r="K25" i="32"/>
  <c r="K5" i="32" s="1"/>
  <c r="S25" i="32"/>
  <c r="L25" i="32"/>
  <c r="L5" i="32" s="1"/>
  <c r="E25" i="32"/>
  <c r="I25" i="32"/>
  <c r="I5" i="32" s="1"/>
  <c r="M25" i="32"/>
  <c r="Q25" i="32"/>
  <c r="G25" i="32"/>
  <c r="G5" i="32" s="1"/>
  <c r="O25" i="32"/>
  <c r="H25" i="32"/>
  <c r="H5" i="32" s="1"/>
  <c r="P25" i="32"/>
  <c r="F25" i="32"/>
  <c r="F5" i="32" s="1"/>
  <c r="J25" i="32"/>
  <c r="J5" i="32" s="1"/>
  <c r="N25" i="32"/>
  <c r="F13" i="15"/>
  <c r="F16" i="15"/>
  <c r="F17" i="15"/>
  <c r="F24" i="15"/>
  <c r="F28" i="15" s="1"/>
  <c r="AJ53" i="15"/>
  <c r="AU53" i="15"/>
  <c r="BF53" i="15"/>
  <c r="ET32" i="9"/>
  <c r="DX32" i="9"/>
  <c r="AQ93" i="15"/>
  <c r="DY100" i="6"/>
  <c r="AU93" i="15"/>
  <c r="AJ93" i="15"/>
  <c r="FF100" i="6"/>
  <c r="FC32" i="9"/>
  <c r="BB93" i="15"/>
  <c r="DM32" i="9"/>
  <c r="CR100" i="6"/>
  <c r="BJ32" i="9"/>
  <c r="U93" i="15"/>
  <c r="CQ32" i="9"/>
  <c r="AF93" i="15"/>
  <c r="CF32" i="9"/>
  <c r="F58" i="15"/>
  <c r="F90" i="15"/>
  <c r="EU100" i="6"/>
  <c r="EU32" i="9" s="1"/>
  <c r="FO100" i="6"/>
  <c r="BV100" i="6"/>
  <c r="H53" i="11"/>
  <c r="H93" i="11" s="1"/>
  <c r="R89" i="6"/>
  <c r="P37" i="6"/>
  <c r="Q35" i="6"/>
  <c r="R33" i="6"/>
  <c r="R34" i="6"/>
  <c r="R65" i="6"/>
  <c r="R3" i="6"/>
  <c r="S1" i="6"/>
  <c r="Y39" i="7"/>
  <c r="AQ39" i="7"/>
  <c r="AC39" i="7"/>
  <c r="AL39" i="7"/>
  <c r="AU39" i="7"/>
  <c r="AG39" i="7"/>
  <c r="AP39" i="7"/>
  <c r="R41" i="7"/>
  <c r="GM60" i="6" s="1"/>
  <c r="AK39" i="7"/>
  <c r="AT39" i="7"/>
  <c r="AB39" i="7"/>
  <c r="AA39" i="7"/>
  <c r="AO39" i="7"/>
  <c r="AF39" i="7"/>
  <c r="AS39" i="7"/>
  <c r="AE39" i="7"/>
  <c r="AJ39" i="7"/>
  <c r="AH39" i="7"/>
  <c r="Z39" i="7"/>
  <c r="AI39" i="7"/>
  <c r="AN39" i="7"/>
  <c r="AD39" i="7"/>
  <c r="AM39" i="7"/>
  <c r="AR39" i="7"/>
  <c r="GA60" i="6"/>
  <c r="GD6" i="6"/>
  <c r="GC60" i="6"/>
  <c r="GC100" i="6" s="1"/>
  <c r="GC32" i="9" s="1"/>
  <c r="DE6" i="6"/>
  <c r="DD60" i="6"/>
  <c r="CH60" i="6"/>
  <c r="AC53" i="15" s="1"/>
  <c r="AD2" i="1"/>
  <c r="GZ6" i="6"/>
  <c r="GO6" i="6"/>
  <c r="HW5" i="6"/>
  <c r="HK6" i="6"/>
  <c r="AD12" i="1"/>
  <c r="HW2" i="9"/>
  <c r="HK3" i="9"/>
  <c r="HL3" i="9" s="1"/>
  <c r="HM3" i="9" s="1"/>
  <c r="HN3" i="9" s="1"/>
  <c r="HO3" i="9" s="1"/>
  <c r="HP3" i="9" s="1"/>
  <c r="HQ3" i="9" s="1"/>
  <c r="HR3" i="9" s="1"/>
  <c r="HS3" i="9" s="1"/>
  <c r="HT3" i="9" s="1"/>
  <c r="HU3" i="9" s="1"/>
  <c r="HV3" i="9" s="1"/>
  <c r="FS6" i="6"/>
  <c r="FR60" i="6"/>
  <c r="AD26" i="1"/>
  <c r="EA6" i="6"/>
  <c r="DZ60" i="6"/>
  <c r="DZ100" i="6" s="1"/>
  <c r="DZ32" i="9" s="1"/>
  <c r="DA3" i="8"/>
  <c r="CZ7" i="8"/>
  <c r="FH6" i="6"/>
  <c r="FG60" i="6"/>
  <c r="FG100" i="6" s="1"/>
  <c r="FG32" i="9" s="1"/>
  <c r="EW6" i="6"/>
  <c r="EV60" i="6"/>
  <c r="DP6" i="6"/>
  <c r="DO60" i="6"/>
  <c r="EL6" i="6"/>
  <c r="EK60" i="6"/>
  <c r="CT6" i="6"/>
  <c r="CS60" i="6"/>
  <c r="CS100" i="6" s="1"/>
  <c r="CS32" i="9" s="1"/>
  <c r="B65" i="18" l="1"/>
  <c r="R50" i="6"/>
  <c r="R62" i="6"/>
  <c r="R63" i="6" s="1"/>
  <c r="R27" i="6"/>
  <c r="R26" i="6"/>
  <c r="R15" i="6"/>
  <c r="R16" i="6"/>
  <c r="R45" i="6"/>
  <c r="R23" i="6"/>
  <c r="R14" i="6"/>
  <c r="R18" i="6"/>
  <c r="R25" i="6"/>
  <c r="R13" i="6"/>
  <c r="R22" i="6"/>
  <c r="R19" i="6"/>
  <c r="R20" i="6"/>
  <c r="R24" i="6"/>
  <c r="R21" i="6"/>
  <c r="R17" i="6"/>
  <c r="R55" i="6"/>
  <c r="R52" i="6"/>
  <c r="R47" i="6"/>
  <c r="R32" i="6"/>
  <c r="R46" i="6"/>
  <c r="U6" i="32"/>
  <c r="R42" i="6"/>
  <c r="R53" i="6"/>
  <c r="M9" i="32"/>
  <c r="P9" i="32"/>
  <c r="P5" i="32" s="1"/>
  <c r="Q9" i="32"/>
  <c r="Q5" i="32" s="1"/>
  <c r="O9" i="32"/>
  <c r="O5" i="32" s="1"/>
  <c r="T9" i="32"/>
  <c r="T5" i="32" s="1"/>
  <c r="S9" i="32"/>
  <c r="S5" i="32" s="1"/>
  <c r="N9" i="32"/>
  <c r="N5" i="32" s="1"/>
  <c r="R40" i="6"/>
  <c r="R54" i="6"/>
  <c r="Q28" i="6"/>
  <c r="Q37" i="6" s="1"/>
  <c r="R43" i="6"/>
  <c r="R31" i="6"/>
  <c r="E5" i="32"/>
  <c r="E4" i="32" s="1"/>
  <c r="F4" i="32" s="1"/>
  <c r="G4" i="32" s="1"/>
  <c r="H4" i="32" s="1"/>
  <c r="I4" i="32" s="1"/>
  <c r="J4" i="32" s="1"/>
  <c r="K4" i="32" s="1"/>
  <c r="L4" i="32" s="1"/>
  <c r="X25" i="32"/>
  <c r="R41" i="6"/>
  <c r="R51" i="6"/>
  <c r="R49" i="6"/>
  <c r="F21" i="15"/>
  <c r="F30" i="15" s="1"/>
  <c r="DO100" i="6"/>
  <c r="AN53" i="15"/>
  <c r="FO32" i="9"/>
  <c r="BF93" i="15"/>
  <c r="FF32" i="9"/>
  <c r="DY32" i="9"/>
  <c r="EK100" i="6"/>
  <c r="EV100" i="6"/>
  <c r="AY53" i="15"/>
  <c r="DD100" i="6"/>
  <c r="BJ53" i="15"/>
  <c r="CR32" i="9"/>
  <c r="FR100" i="6"/>
  <c r="BV32" i="9"/>
  <c r="Y93" i="15"/>
  <c r="R97" i="6"/>
  <c r="CH100" i="6"/>
  <c r="I53" i="11"/>
  <c r="I93" i="11" s="1"/>
  <c r="GA100" i="6"/>
  <c r="GM100" i="6"/>
  <c r="S89" i="6"/>
  <c r="GN60" i="6"/>
  <c r="GN100" i="6" s="1"/>
  <c r="GN32" i="9" s="1"/>
  <c r="S65" i="6"/>
  <c r="S97" i="6" s="1"/>
  <c r="S30" i="9" s="1"/>
  <c r="S34" i="6"/>
  <c r="T1" i="6"/>
  <c r="S33" i="6"/>
  <c r="S3" i="6"/>
  <c r="S43" i="6"/>
  <c r="S55" i="6"/>
  <c r="AH40" i="7"/>
  <c r="AQ40" i="7"/>
  <c r="Y40" i="7"/>
  <c r="AP40" i="7"/>
  <c r="R42" i="7"/>
  <c r="GZ60" i="6" s="1"/>
  <c r="GZ100" i="6" s="1"/>
  <c r="GZ32" i="9" s="1"/>
  <c r="AG40" i="7"/>
  <c r="AL40" i="7"/>
  <c r="AU40" i="7"/>
  <c r="AC40" i="7"/>
  <c r="AT40" i="7"/>
  <c r="AB40" i="7"/>
  <c r="AK40" i="7"/>
  <c r="AA40" i="7"/>
  <c r="AF40" i="7"/>
  <c r="AO40" i="7"/>
  <c r="AE40" i="7"/>
  <c r="AJ40" i="7"/>
  <c r="AS40" i="7"/>
  <c r="Z40" i="7"/>
  <c r="AI40" i="7"/>
  <c r="AN40" i="7"/>
  <c r="AD40" i="7"/>
  <c r="AM40" i="7"/>
  <c r="AR40" i="7"/>
  <c r="EM6" i="6"/>
  <c r="EL60" i="6"/>
  <c r="EL100" i="6" s="1"/>
  <c r="EL32" i="9" s="1"/>
  <c r="EX6" i="6"/>
  <c r="EW60" i="6"/>
  <c r="AE26" i="1"/>
  <c r="HW6" i="6"/>
  <c r="II5" i="6"/>
  <c r="GE6" i="6"/>
  <c r="GD60" i="6"/>
  <c r="FT6" i="6"/>
  <c r="FS60" i="6"/>
  <c r="GP6" i="6"/>
  <c r="GO60" i="6"/>
  <c r="GO100" i="6" s="1"/>
  <c r="GO32" i="9" s="1"/>
  <c r="CT60" i="6"/>
  <c r="AG53" i="15" s="1"/>
  <c r="DQ6" i="6"/>
  <c r="DP60" i="6"/>
  <c r="EB6" i="6"/>
  <c r="EA60" i="6"/>
  <c r="EA100" i="6" s="1"/>
  <c r="EA32" i="9" s="1"/>
  <c r="HW3" i="9"/>
  <c r="HX3" i="9" s="1"/>
  <c r="HY3" i="9" s="1"/>
  <c r="HZ3" i="9" s="1"/>
  <c r="IA3" i="9" s="1"/>
  <c r="IB3" i="9" s="1"/>
  <c r="IC3" i="9" s="1"/>
  <c r="ID3" i="9" s="1"/>
  <c r="IE3" i="9" s="1"/>
  <c r="IF3" i="9" s="1"/>
  <c r="IG3" i="9" s="1"/>
  <c r="IH3" i="9" s="1"/>
  <c r="II2" i="9"/>
  <c r="AE12" i="1"/>
  <c r="DF6" i="6"/>
  <c r="DE60" i="6"/>
  <c r="DE100" i="6" s="1"/>
  <c r="DE32" i="9" s="1"/>
  <c r="FI6" i="6"/>
  <c r="FH60" i="6"/>
  <c r="FH100" i="6" s="1"/>
  <c r="FH32" i="9" s="1"/>
  <c r="HL6" i="6"/>
  <c r="DB3" i="8"/>
  <c r="DA7" i="8"/>
  <c r="HA6" i="6"/>
  <c r="AE2" i="1"/>
  <c r="B66" i="18" l="1"/>
  <c r="R48" i="6"/>
  <c r="S42" i="6"/>
  <c r="S62" i="6"/>
  <c r="S63" i="6" s="1"/>
  <c r="S27" i="6"/>
  <c r="S26" i="6"/>
  <c r="S22" i="6"/>
  <c r="S23" i="6"/>
  <c r="S15" i="6"/>
  <c r="S24" i="6"/>
  <c r="T3" i="6"/>
  <c r="S45" i="6"/>
  <c r="S18" i="6"/>
  <c r="S21" i="6"/>
  <c r="S16" i="6"/>
  <c r="S19" i="6"/>
  <c r="S14" i="6"/>
  <c r="S25" i="6"/>
  <c r="S13" i="6"/>
  <c r="S20" i="6"/>
  <c r="S17" i="6"/>
  <c r="S47" i="6"/>
  <c r="S51" i="6"/>
  <c r="R35" i="6"/>
  <c r="V6" i="32"/>
  <c r="V9" i="32" s="1"/>
  <c r="V5" i="32" s="1"/>
  <c r="S54" i="6"/>
  <c r="S31" i="6"/>
  <c r="S49" i="6"/>
  <c r="S50" i="6"/>
  <c r="M5" i="32"/>
  <c r="M4" i="32" s="1"/>
  <c r="N4" i="32" s="1"/>
  <c r="O4" i="32" s="1"/>
  <c r="P4" i="32" s="1"/>
  <c r="Q4" i="32" s="1"/>
  <c r="R4" i="32" s="1"/>
  <c r="S4" i="32" s="1"/>
  <c r="T4" i="32" s="1"/>
  <c r="U4" i="32" s="1"/>
  <c r="S32" i="6"/>
  <c r="S52" i="6"/>
  <c r="S46" i="6"/>
  <c r="S40" i="6"/>
  <c r="S53" i="6"/>
  <c r="S41" i="6"/>
  <c r="BC53" i="15"/>
  <c r="AR53" i="15"/>
  <c r="BC93" i="15"/>
  <c r="DP100" i="6"/>
  <c r="EW100" i="6"/>
  <c r="GM32" i="9"/>
  <c r="BN93" i="15"/>
  <c r="GA32" i="9"/>
  <c r="BJ93" i="15"/>
  <c r="BN53" i="15"/>
  <c r="DD32" i="9"/>
  <c r="EK32" i="9"/>
  <c r="AR93" i="15"/>
  <c r="GD100" i="6"/>
  <c r="CH32" i="9"/>
  <c r="AC93" i="15"/>
  <c r="FR32" i="9"/>
  <c r="EV32" i="9"/>
  <c r="AY93" i="15"/>
  <c r="DO32" i="9"/>
  <c r="AN93" i="15"/>
  <c r="R30" i="9"/>
  <c r="CT100" i="6"/>
  <c r="J53" i="11"/>
  <c r="J93" i="11" s="1"/>
  <c r="FS100" i="6"/>
  <c r="FS32" i="9" s="1"/>
  <c r="T89" i="6"/>
  <c r="G82" i="15" s="1"/>
  <c r="T34" i="6"/>
  <c r="G27" i="15" s="1"/>
  <c r="U1" i="6"/>
  <c r="T65" i="6"/>
  <c r="T97" i="6" s="1"/>
  <c r="T30" i="9" s="1"/>
  <c r="T33" i="6"/>
  <c r="G26" i="15" s="1"/>
  <c r="AM41" i="7"/>
  <c r="AR41" i="7"/>
  <c r="AD41" i="7"/>
  <c r="AQ41" i="7"/>
  <c r="Y41" i="7"/>
  <c r="AH41" i="7"/>
  <c r="AC41" i="7"/>
  <c r="AP41" i="7"/>
  <c r="AK41" i="7"/>
  <c r="AI41" i="7"/>
  <c r="AN41" i="7"/>
  <c r="AU41" i="7"/>
  <c r="AL41" i="7"/>
  <c r="AG41" i="7"/>
  <c r="AB41" i="7"/>
  <c r="R43" i="7"/>
  <c r="HL60" i="6" s="1"/>
  <c r="HL100" i="6" s="1"/>
  <c r="HL32" i="9" s="1"/>
  <c r="AT41" i="7"/>
  <c r="AJ41" i="7"/>
  <c r="Z41" i="7"/>
  <c r="AA41" i="7"/>
  <c r="AF41" i="7"/>
  <c r="AO41" i="7"/>
  <c r="AE41" i="7"/>
  <c r="AS41" i="7"/>
  <c r="GY60" i="6"/>
  <c r="AF2" i="1"/>
  <c r="EY6" i="6"/>
  <c r="EX60" i="6"/>
  <c r="EX100" i="6" s="1"/>
  <c r="EX32" i="9" s="1"/>
  <c r="GF6" i="6"/>
  <c r="GE60" i="6"/>
  <c r="GE100" i="6" s="1"/>
  <c r="GE32" i="9" s="1"/>
  <c r="IU5" i="6"/>
  <c r="II6" i="6"/>
  <c r="HB6" i="6"/>
  <c r="HA60" i="6"/>
  <c r="HA100" i="6" s="1"/>
  <c r="HA32" i="9" s="1"/>
  <c r="EC6" i="6"/>
  <c r="EB60" i="6"/>
  <c r="EN6" i="6"/>
  <c r="EM60" i="6"/>
  <c r="DF60" i="6"/>
  <c r="AK53" i="15" s="1"/>
  <c r="AF12" i="1"/>
  <c r="FJ6" i="6"/>
  <c r="FI60" i="6"/>
  <c r="II3" i="9"/>
  <c r="IJ3" i="9" s="1"/>
  <c r="IK3" i="9" s="1"/>
  <c r="IL3" i="9" s="1"/>
  <c r="IM3" i="9" s="1"/>
  <c r="IN3" i="9" s="1"/>
  <c r="IO3" i="9" s="1"/>
  <c r="IP3" i="9" s="1"/>
  <c r="IQ3" i="9" s="1"/>
  <c r="IR3" i="9" s="1"/>
  <c r="IS3" i="9" s="1"/>
  <c r="IT3" i="9" s="1"/>
  <c r="IU2" i="9"/>
  <c r="DR6" i="6"/>
  <c r="DQ60" i="6"/>
  <c r="DQ100" i="6" s="1"/>
  <c r="DQ32" i="9" s="1"/>
  <c r="HX6" i="6"/>
  <c r="DC3" i="8"/>
  <c r="DB7" i="8"/>
  <c r="GQ6" i="6"/>
  <c r="GP60" i="6"/>
  <c r="FU6" i="6"/>
  <c r="FT60" i="6"/>
  <c r="FT100" i="6" s="1"/>
  <c r="FT32" i="9" s="1"/>
  <c r="HM6" i="6"/>
  <c r="AF26" i="1"/>
  <c r="B67" i="18" l="1"/>
  <c r="S48" i="6"/>
  <c r="T54" i="6"/>
  <c r="G47" i="15" s="1"/>
  <c r="V4" i="32"/>
  <c r="T62" i="6"/>
  <c r="G55" i="15" s="1"/>
  <c r="T26" i="6"/>
  <c r="G19" i="15" s="1"/>
  <c r="T27" i="6"/>
  <c r="G20" i="15" s="1"/>
  <c r="T22" i="6"/>
  <c r="G15" i="15" s="1"/>
  <c r="T23" i="6"/>
  <c r="G16" i="15" s="1"/>
  <c r="T17" i="6"/>
  <c r="G10" i="15" s="1"/>
  <c r="T25" i="6"/>
  <c r="G18" i="15" s="1"/>
  <c r="T19" i="6"/>
  <c r="G12" i="15" s="1"/>
  <c r="T15" i="6"/>
  <c r="T21" i="6"/>
  <c r="G14" i="15" s="1"/>
  <c r="T16" i="6"/>
  <c r="G9" i="15" s="1"/>
  <c r="T45" i="6"/>
  <c r="G38" i="15" s="1"/>
  <c r="T18" i="6"/>
  <c r="G11" i="15" s="1"/>
  <c r="T24" i="6"/>
  <c r="G17" i="15" s="1"/>
  <c r="T20" i="6"/>
  <c r="G13" i="15" s="1"/>
  <c r="T13" i="6"/>
  <c r="G6" i="15" s="1"/>
  <c r="T14" i="6"/>
  <c r="G7" i="15" s="1"/>
  <c r="T53" i="6"/>
  <c r="G46" i="15" s="1"/>
  <c r="S35" i="6"/>
  <c r="T50" i="6"/>
  <c r="G43" i="15" s="1"/>
  <c r="T52" i="6"/>
  <c r="G45" i="15" s="1"/>
  <c r="T46" i="6"/>
  <c r="G39" i="15" s="1"/>
  <c r="T63" i="6"/>
  <c r="G56" i="15" s="1"/>
  <c r="T31" i="6"/>
  <c r="G24" i="15" s="1"/>
  <c r="T49" i="6"/>
  <c r="G42" i="15" s="1"/>
  <c r="U89" i="6"/>
  <c r="W6" i="32"/>
  <c r="W9" i="32" s="1"/>
  <c r="T51" i="6"/>
  <c r="G44" i="15" s="1"/>
  <c r="T41" i="6"/>
  <c r="G34" i="15" s="1"/>
  <c r="EB100" i="6"/>
  <c r="CT32" i="9"/>
  <c r="AG93" i="15"/>
  <c r="EW32" i="9"/>
  <c r="GP100" i="6"/>
  <c r="FI100" i="6"/>
  <c r="EM100" i="6"/>
  <c r="AV53" i="15"/>
  <c r="BG93" i="15"/>
  <c r="DP32" i="9"/>
  <c r="BR53" i="15"/>
  <c r="GD32" i="9"/>
  <c r="BG53" i="15"/>
  <c r="T55" i="6"/>
  <c r="G48" i="15" s="1"/>
  <c r="T43" i="6"/>
  <c r="G36" i="15" s="1"/>
  <c r="T42" i="6"/>
  <c r="G35" i="15" s="1"/>
  <c r="T40" i="6"/>
  <c r="G33" i="15" s="1"/>
  <c r="T47" i="6"/>
  <c r="G40" i="15" s="1"/>
  <c r="T32" i="6"/>
  <c r="G25" i="15" s="1"/>
  <c r="G90" i="15"/>
  <c r="G58" i="15"/>
  <c r="GY100" i="6"/>
  <c r="DF100" i="6"/>
  <c r="K53" i="11"/>
  <c r="K93" i="11" s="1"/>
  <c r="U3" i="6"/>
  <c r="U34" i="6"/>
  <c r="V1" i="6"/>
  <c r="V89" i="6" s="1"/>
  <c r="U33" i="6"/>
  <c r="AG42" i="7"/>
  <c r="AP42" i="7"/>
  <c r="R44" i="7"/>
  <c r="HX60" i="6" s="1"/>
  <c r="HX100" i="6" s="1"/>
  <c r="HX32" i="9" s="1"/>
  <c r="AB42" i="7"/>
  <c r="AT42" i="7"/>
  <c r="AF42" i="7"/>
  <c r="AO42" i="7"/>
  <c r="AA42" i="7"/>
  <c r="AJ42" i="7"/>
  <c r="AS42" i="7"/>
  <c r="AE42" i="7"/>
  <c r="AR42" i="7"/>
  <c r="AD42" i="7"/>
  <c r="AM42" i="7"/>
  <c r="Y42" i="7"/>
  <c r="AH42" i="7"/>
  <c r="AQ42" i="7"/>
  <c r="AN42" i="7"/>
  <c r="Z42" i="7"/>
  <c r="AI42" i="7"/>
  <c r="AK42" i="7"/>
  <c r="AC42" i="7"/>
  <c r="AL42" i="7"/>
  <c r="AU42" i="7"/>
  <c r="HK60" i="6"/>
  <c r="HN6" i="6"/>
  <c r="HM60" i="6"/>
  <c r="HM100" i="6" s="1"/>
  <c r="HM32" i="9" s="1"/>
  <c r="IU3" i="9"/>
  <c r="IV3" i="9" s="1"/>
  <c r="IW3" i="9" s="1"/>
  <c r="IX3" i="9" s="1"/>
  <c r="IY3" i="9" s="1"/>
  <c r="IZ3" i="9" s="1"/>
  <c r="JA3" i="9" s="1"/>
  <c r="JB3" i="9" s="1"/>
  <c r="JC3" i="9" s="1"/>
  <c r="JD3" i="9" s="1"/>
  <c r="JE3" i="9" s="1"/>
  <c r="JF3" i="9" s="1"/>
  <c r="JG2" i="9"/>
  <c r="JG3" i="9" s="1"/>
  <c r="JH3" i="9" s="1"/>
  <c r="JI3" i="9" s="1"/>
  <c r="JJ3" i="9" s="1"/>
  <c r="JK3" i="9" s="1"/>
  <c r="JL3" i="9" s="1"/>
  <c r="JM3" i="9" s="1"/>
  <c r="JN3" i="9" s="1"/>
  <c r="JO3" i="9" s="1"/>
  <c r="JP3" i="9" s="1"/>
  <c r="JQ3" i="9" s="1"/>
  <c r="JR3" i="9" s="1"/>
  <c r="IJ6" i="6"/>
  <c r="GG6" i="6"/>
  <c r="GF60" i="6"/>
  <c r="BK53" i="15" s="1"/>
  <c r="HY6" i="6"/>
  <c r="HC6" i="6"/>
  <c r="HB60" i="6"/>
  <c r="JG5" i="6"/>
  <c r="JG6" i="6" s="1"/>
  <c r="IU6" i="6"/>
  <c r="EZ6" i="6"/>
  <c r="EY60" i="6"/>
  <c r="EY100" i="6" s="1"/>
  <c r="EY32" i="9" s="1"/>
  <c r="FV6" i="6"/>
  <c r="FU60" i="6"/>
  <c r="AG26" i="1"/>
  <c r="FK6" i="6"/>
  <c r="FJ60" i="6"/>
  <c r="FJ100" i="6" s="1"/>
  <c r="FJ32" i="9" s="1"/>
  <c r="AG12" i="1"/>
  <c r="EO6" i="6"/>
  <c r="EN60" i="6"/>
  <c r="ED6" i="6"/>
  <c r="EC60" i="6"/>
  <c r="EC100" i="6" s="1"/>
  <c r="EC32" i="9" s="1"/>
  <c r="GR6" i="6"/>
  <c r="GQ60" i="6"/>
  <c r="GQ100" i="6" s="1"/>
  <c r="GQ32" i="9" s="1"/>
  <c r="DD3" i="8"/>
  <c r="DC7" i="8"/>
  <c r="DR60" i="6"/>
  <c r="AO53" i="15" s="1"/>
  <c r="AG2" i="1"/>
  <c r="B68" i="18" l="1"/>
  <c r="G8" i="15"/>
  <c r="T48" i="6"/>
  <c r="G41" i="15" s="1"/>
  <c r="U26" i="6"/>
  <c r="U18" i="6"/>
  <c r="U45" i="6"/>
  <c r="U19" i="6"/>
  <c r="U14" i="6"/>
  <c r="U17" i="6"/>
  <c r="U24" i="6"/>
  <c r="U25" i="6"/>
  <c r="U27" i="6"/>
  <c r="U23" i="6"/>
  <c r="U15" i="6"/>
  <c r="U16" i="6"/>
  <c r="U13" i="6"/>
  <c r="U21" i="6"/>
  <c r="U22" i="6"/>
  <c r="U20" i="6"/>
  <c r="W5" i="32"/>
  <c r="W4" i="32" s="1"/>
  <c r="X9" i="32"/>
  <c r="X27" i="32" s="1"/>
  <c r="G28" i="15"/>
  <c r="U46" i="6"/>
  <c r="U49" i="6"/>
  <c r="U47" i="6"/>
  <c r="U51" i="6"/>
  <c r="AZ53" i="15"/>
  <c r="EN100" i="6"/>
  <c r="HB100" i="6"/>
  <c r="EM32" i="9"/>
  <c r="AV93" i="15"/>
  <c r="GP32" i="9"/>
  <c r="DF32" i="9"/>
  <c r="AK93" i="15"/>
  <c r="AZ93" i="15"/>
  <c r="FU100" i="6"/>
  <c r="BV53" i="15"/>
  <c r="GY32" i="9"/>
  <c r="BR93" i="15"/>
  <c r="FI32" i="9"/>
  <c r="EB32" i="9"/>
  <c r="T35" i="6"/>
  <c r="U52" i="6"/>
  <c r="GF100" i="6"/>
  <c r="HK100" i="6"/>
  <c r="DR100" i="6"/>
  <c r="L53" i="11"/>
  <c r="L93" i="11" s="1"/>
  <c r="U53" i="6"/>
  <c r="U31" i="6"/>
  <c r="U62" i="6"/>
  <c r="U40" i="6"/>
  <c r="U54" i="6"/>
  <c r="U41" i="6"/>
  <c r="U50" i="6"/>
  <c r="U43" i="6"/>
  <c r="U55" i="6"/>
  <c r="U32" i="6"/>
  <c r="W1" i="6"/>
  <c r="W89" i="6" s="1"/>
  <c r="H82" i="15" s="1"/>
  <c r="V34" i="6"/>
  <c r="V3" i="6"/>
  <c r="V33" i="6"/>
  <c r="U42" i="6"/>
  <c r="AC43" i="7"/>
  <c r="AL43" i="7"/>
  <c r="AU43" i="7"/>
  <c r="AG43" i="7"/>
  <c r="AP43" i="7"/>
  <c r="R45" i="7"/>
  <c r="IJ60" i="6" s="1"/>
  <c r="IJ100" i="6" s="1"/>
  <c r="IJ32" i="9" s="1"/>
  <c r="AA43" i="7"/>
  <c r="AT43" i="7"/>
  <c r="AS43" i="7"/>
  <c r="AE43" i="7"/>
  <c r="AJ43" i="7"/>
  <c r="Z43" i="7"/>
  <c r="AI43" i="7"/>
  <c r="AN43" i="7"/>
  <c r="AK43" i="7"/>
  <c r="AB43" i="7"/>
  <c r="AF43" i="7"/>
  <c r="AO43" i="7"/>
  <c r="AD43" i="7"/>
  <c r="AM43" i="7"/>
  <c r="AR43" i="7"/>
  <c r="Y43" i="7"/>
  <c r="AH43" i="7"/>
  <c r="AQ43" i="7"/>
  <c r="HW60" i="6"/>
  <c r="FA6" i="6"/>
  <c r="EZ60" i="6"/>
  <c r="HZ6" i="6"/>
  <c r="HY60" i="6"/>
  <c r="HY100" i="6" s="1"/>
  <c r="HY32" i="9" s="1"/>
  <c r="DE3" i="8"/>
  <c r="DD7" i="8"/>
  <c r="ED60" i="6"/>
  <c r="AS53" i="15" s="1"/>
  <c r="AH12" i="1"/>
  <c r="FW6" i="6"/>
  <c r="FV60" i="6"/>
  <c r="FV100" i="6" s="1"/>
  <c r="FV32" i="9" s="1"/>
  <c r="IV6" i="6"/>
  <c r="HD6" i="6"/>
  <c r="HC60" i="6"/>
  <c r="HC100" i="6" s="1"/>
  <c r="HC32" i="9" s="1"/>
  <c r="FL6" i="6"/>
  <c r="FK60" i="6"/>
  <c r="FK100" i="6" s="1"/>
  <c r="FK32" i="9" s="1"/>
  <c r="JH6" i="6"/>
  <c r="IK6" i="6"/>
  <c r="AH2" i="1"/>
  <c r="GS6" i="6"/>
  <c r="GR60" i="6"/>
  <c r="EP6" i="6"/>
  <c r="EO60" i="6"/>
  <c r="EO100" i="6" s="1"/>
  <c r="EO32" i="9" s="1"/>
  <c r="GH6" i="6"/>
  <c r="GG60" i="6"/>
  <c r="HO6" i="6"/>
  <c r="HN60" i="6"/>
  <c r="B69" i="18" l="1"/>
  <c r="U48" i="6"/>
  <c r="V26" i="6"/>
  <c r="V22" i="6"/>
  <c r="V15" i="6"/>
  <c r="V45" i="6"/>
  <c r="V18" i="6"/>
  <c r="V23" i="6"/>
  <c r="V19" i="6"/>
  <c r="V24" i="6"/>
  <c r="V27" i="6"/>
  <c r="V21" i="6"/>
  <c r="V20" i="6"/>
  <c r="V17" i="6"/>
  <c r="V14" i="6"/>
  <c r="V13" i="6"/>
  <c r="V16" i="6"/>
  <c r="V25" i="6"/>
  <c r="V49" i="6"/>
  <c r="BD93" i="15"/>
  <c r="BD53" i="15"/>
  <c r="GG100" i="6"/>
  <c r="GR100" i="6"/>
  <c r="BO53" i="15"/>
  <c r="BZ53" i="15"/>
  <c r="HK32" i="9"/>
  <c r="BV93" i="15"/>
  <c r="HB32" i="9"/>
  <c r="GF32" i="9"/>
  <c r="BK93" i="15"/>
  <c r="HN100" i="6"/>
  <c r="EZ100" i="6"/>
  <c r="FU32" i="9"/>
  <c r="EN32" i="9"/>
  <c r="DR32" i="9"/>
  <c r="AO93" i="15"/>
  <c r="U63" i="6"/>
  <c r="HW100" i="6"/>
  <c r="ED100" i="6"/>
  <c r="M53" i="11"/>
  <c r="M93" i="11" s="1"/>
  <c r="U35" i="6"/>
  <c r="V62" i="6"/>
  <c r="V63" i="6" s="1"/>
  <c r="V40" i="6"/>
  <c r="V31" i="6"/>
  <c r="V47" i="6"/>
  <c r="V52" i="6"/>
  <c r="V43" i="6"/>
  <c r="V50" i="6"/>
  <c r="V46" i="6"/>
  <c r="X1" i="6"/>
  <c r="X89" i="6" s="1"/>
  <c r="W33" i="6"/>
  <c r="H26" i="15" s="1"/>
  <c r="W34" i="6"/>
  <c r="H27" i="15" s="1"/>
  <c r="W3" i="6"/>
  <c r="V51" i="6"/>
  <c r="V32" i="6"/>
  <c r="V41" i="6"/>
  <c r="V54" i="6"/>
  <c r="V53" i="6"/>
  <c r="V42" i="6"/>
  <c r="V55" i="6"/>
  <c r="AD44" i="7"/>
  <c r="AM44" i="7"/>
  <c r="AR44" i="7"/>
  <c r="AH44" i="7"/>
  <c r="AQ44" i="7"/>
  <c r="Y44" i="7"/>
  <c r="AB44" i="7"/>
  <c r="AK44" i="7"/>
  <c r="AA44" i="7"/>
  <c r="AE44" i="7"/>
  <c r="AS44" i="7"/>
  <c r="AJ44" i="7"/>
  <c r="AL44" i="7"/>
  <c r="AU44" i="7"/>
  <c r="AC44" i="7"/>
  <c r="AF44" i="7"/>
  <c r="AO44" i="7"/>
  <c r="AN44" i="7"/>
  <c r="AP44" i="7"/>
  <c r="R46" i="7"/>
  <c r="IV60" i="6" s="1"/>
  <c r="IV100" i="6" s="1"/>
  <c r="IV32" i="9" s="1"/>
  <c r="AG44" i="7"/>
  <c r="AT44" i="7"/>
  <c r="Z44" i="7"/>
  <c r="AI44" i="7"/>
  <c r="II60" i="6"/>
  <c r="IL6" i="6"/>
  <c r="IK60" i="6"/>
  <c r="IK100" i="6" s="1"/>
  <c r="IK32" i="9" s="1"/>
  <c r="FX6" i="6"/>
  <c r="FW60" i="6"/>
  <c r="FB6" i="6"/>
  <c r="FA60" i="6"/>
  <c r="FA100" i="6" s="1"/>
  <c r="FA32" i="9" s="1"/>
  <c r="HP6" i="6"/>
  <c r="HO60" i="6"/>
  <c r="HO100" i="6" s="1"/>
  <c r="HO32" i="9" s="1"/>
  <c r="GT6" i="6"/>
  <c r="GS60" i="6"/>
  <c r="AI2" i="1"/>
  <c r="JI6" i="6"/>
  <c r="IW6" i="6"/>
  <c r="IA6" i="6"/>
  <c r="HZ60" i="6"/>
  <c r="EP60" i="6"/>
  <c r="AW53" i="15" s="1"/>
  <c r="FM6" i="6"/>
  <c r="FL60" i="6"/>
  <c r="HE6" i="6"/>
  <c r="HD60" i="6"/>
  <c r="HD100" i="6" s="1"/>
  <c r="HD32" i="9" s="1"/>
  <c r="GI6" i="6"/>
  <c r="GH60" i="6"/>
  <c r="GH100" i="6" s="1"/>
  <c r="GH32" i="9" s="1"/>
  <c r="AI12" i="1"/>
  <c r="DF3" i="8"/>
  <c r="DE7" i="8"/>
  <c r="B70" i="18" l="1"/>
  <c r="V48" i="6"/>
  <c r="W16" i="6"/>
  <c r="H9" i="15" s="1"/>
  <c r="W13" i="6"/>
  <c r="H6" i="15" s="1"/>
  <c r="W19" i="6"/>
  <c r="H12" i="15" s="1"/>
  <c r="W18" i="6"/>
  <c r="H11" i="15" s="1"/>
  <c r="W21" i="6"/>
  <c r="H14" i="15" s="1"/>
  <c r="W24" i="6"/>
  <c r="H17" i="15" s="1"/>
  <c r="W25" i="6"/>
  <c r="H18" i="15" s="1"/>
  <c r="W27" i="6"/>
  <c r="H20" i="15" s="1"/>
  <c r="W14" i="6"/>
  <c r="H7" i="15" s="1"/>
  <c r="W17" i="6"/>
  <c r="H10" i="15" s="1"/>
  <c r="W22" i="6"/>
  <c r="W23" i="6"/>
  <c r="H16" i="15" s="1"/>
  <c r="W45" i="6"/>
  <c r="W26" i="6"/>
  <c r="H19" i="15" s="1"/>
  <c r="W15" i="6"/>
  <c r="W20" i="6"/>
  <c r="H13" i="15" s="1"/>
  <c r="W49" i="6"/>
  <c r="H42" i="15" s="1"/>
  <c r="BS53" i="15"/>
  <c r="HZ100" i="6"/>
  <c r="HN32" i="9"/>
  <c r="FL100" i="6"/>
  <c r="GS100" i="6"/>
  <c r="ED32" i="9"/>
  <c r="AS93" i="15"/>
  <c r="GR32" i="9"/>
  <c r="BO93" i="15"/>
  <c r="HW32" i="9"/>
  <c r="BZ93" i="15"/>
  <c r="EZ32" i="9"/>
  <c r="FW100" i="6"/>
  <c r="BH53" i="15"/>
  <c r="CD53" i="15"/>
  <c r="BS93" i="15"/>
  <c r="GG32" i="9"/>
  <c r="EP100" i="6"/>
  <c r="N53" i="11"/>
  <c r="N93" i="11" s="1"/>
  <c r="II100" i="6"/>
  <c r="W62" i="6"/>
  <c r="W63" i="6" s="1"/>
  <c r="H56" i="15" s="1"/>
  <c r="W40" i="6"/>
  <c r="H33" i="15" s="1"/>
  <c r="W31" i="6"/>
  <c r="H24" i="15" s="1"/>
  <c r="W41" i="6"/>
  <c r="H34" i="15" s="1"/>
  <c r="W42" i="6"/>
  <c r="H35" i="15" s="1"/>
  <c r="W51" i="6"/>
  <c r="H44" i="15" s="1"/>
  <c r="W52" i="6"/>
  <c r="H45" i="15" s="1"/>
  <c r="W50" i="6"/>
  <c r="H43" i="15" s="1"/>
  <c r="W43" i="6"/>
  <c r="H36" i="15" s="1"/>
  <c r="W46" i="6"/>
  <c r="H39" i="15" s="1"/>
  <c r="W32" i="6"/>
  <c r="H25" i="15" s="1"/>
  <c r="W54" i="6"/>
  <c r="H47" i="15" s="1"/>
  <c r="V35" i="6"/>
  <c r="W55" i="6"/>
  <c r="H48" i="15" s="1"/>
  <c r="W47" i="6"/>
  <c r="H40" i="15" s="1"/>
  <c r="X33" i="6"/>
  <c r="X3" i="6"/>
  <c r="X34" i="6"/>
  <c r="Y1" i="6"/>
  <c r="Y89" i="6" s="1"/>
  <c r="W53" i="6"/>
  <c r="H46" i="15" s="1"/>
  <c r="R47" i="7"/>
  <c r="JG60" i="6" s="1"/>
  <c r="AG45" i="7"/>
  <c r="AP45" i="7"/>
  <c r="AD45" i="7"/>
  <c r="AB45" i="7"/>
  <c r="AK45" i="7"/>
  <c r="AT45" i="7"/>
  <c r="AA45" i="7"/>
  <c r="AF45" i="7"/>
  <c r="AO45" i="7"/>
  <c r="AI45" i="7"/>
  <c r="AN45" i="7"/>
  <c r="Z45" i="7"/>
  <c r="AE45" i="7"/>
  <c r="AJ45" i="7"/>
  <c r="AS45" i="7"/>
  <c r="AM45" i="7"/>
  <c r="AR45" i="7"/>
  <c r="AQ45" i="7"/>
  <c r="Y45" i="7"/>
  <c r="AH45" i="7"/>
  <c r="AU45" i="7"/>
  <c r="AC45" i="7"/>
  <c r="AL45" i="7"/>
  <c r="IU60" i="6"/>
  <c r="GJ6" i="6"/>
  <c r="GI60" i="6"/>
  <c r="GI100" i="6" s="1"/>
  <c r="GI32" i="9" s="1"/>
  <c r="JJ6" i="6"/>
  <c r="IX6" i="6"/>
  <c r="IW60" i="6"/>
  <c r="IW100" i="6" s="1"/>
  <c r="IW32" i="9" s="1"/>
  <c r="IM6" i="6"/>
  <c r="IL60" i="6"/>
  <c r="FB60" i="6"/>
  <c r="BA53" i="15" s="1"/>
  <c r="FY6" i="6"/>
  <c r="FX60" i="6"/>
  <c r="DG3" i="8"/>
  <c r="DF7" i="8"/>
  <c r="HF6" i="6"/>
  <c r="HE60" i="6"/>
  <c r="FN6" i="6"/>
  <c r="FM60" i="6"/>
  <c r="FM100" i="6" s="1"/>
  <c r="FM32" i="9" s="1"/>
  <c r="IB6" i="6"/>
  <c r="IA60" i="6"/>
  <c r="IA100" i="6" s="1"/>
  <c r="IA32" i="9" s="1"/>
  <c r="GU6" i="6"/>
  <c r="GT60" i="6"/>
  <c r="GT100" i="6" s="1"/>
  <c r="GT32" i="9" s="1"/>
  <c r="HQ6" i="6"/>
  <c r="HP60" i="6"/>
  <c r="HP100" i="6" s="1"/>
  <c r="HP32" i="9" s="1"/>
  <c r="B71" i="18" l="1"/>
  <c r="H8" i="15"/>
  <c r="W48" i="6"/>
  <c r="H41" i="15" s="1"/>
  <c r="X26" i="6"/>
  <c r="X17" i="6"/>
  <c r="X22" i="6"/>
  <c r="X16" i="6"/>
  <c r="X15" i="6"/>
  <c r="X23" i="6"/>
  <c r="X13" i="6"/>
  <c r="X18" i="6"/>
  <c r="X27" i="6"/>
  <c r="X45" i="6"/>
  <c r="X20" i="6"/>
  <c r="X19" i="6"/>
  <c r="X21" i="6"/>
  <c r="X24" i="6"/>
  <c r="X25" i="6"/>
  <c r="X14" i="6"/>
  <c r="H38" i="15"/>
  <c r="X49" i="6"/>
  <c r="H15" i="15"/>
  <c r="CH53" i="15"/>
  <c r="BL53" i="15"/>
  <c r="JI60" i="6"/>
  <c r="JI100" i="6" s="1"/>
  <c r="JI32" i="9" s="1"/>
  <c r="IL100" i="6"/>
  <c r="FW32" i="9"/>
  <c r="BH93" i="15"/>
  <c r="GS32" i="9"/>
  <c r="HE100" i="6"/>
  <c r="FX100" i="6"/>
  <c r="EP32" i="9"/>
  <c r="AW93" i="15"/>
  <c r="BW53" i="15"/>
  <c r="BL93" i="15"/>
  <c r="FL32" i="9"/>
  <c r="II32" i="9"/>
  <c r="CD93" i="15"/>
  <c r="BW93" i="15"/>
  <c r="HZ32" i="9"/>
  <c r="H55" i="15"/>
  <c r="H28" i="15"/>
  <c r="X43" i="6"/>
  <c r="IU100" i="6"/>
  <c r="JG100" i="6"/>
  <c r="FB100" i="6"/>
  <c r="O53" i="11"/>
  <c r="O93" i="11" s="1"/>
  <c r="X50" i="6"/>
  <c r="X62" i="6"/>
  <c r="X40" i="6"/>
  <c r="W35" i="6"/>
  <c r="X41" i="6"/>
  <c r="X52" i="6"/>
  <c r="X51" i="6"/>
  <c r="X32" i="6"/>
  <c r="X53" i="6"/>
  <c r="X54" i="6"/>
  <c r="Y33" i="6"/>
  <c r="Y34" i="6"/>
  <c r="Y3" i="6"/>
  <c r="Z1" i="6"/>
  <c r="Z89" i="6" s="1"/>
  <c r="X46" i="6"/>
  <c r="X47" i="6"/>
  <c r="X42" i="6"/>
  <c r="X31" i="6"/>
  <c r="X55" i="6"/>
  <c r="AR46" i="7"/>
  <c r="AR47" i="7" s="1"/>
  <c r="IB64" i="6" s="1"/>
  <c r="AD46" i="7"/>
  <c r="AD47" i="7" s="1"/>
  <c r="AM46" i="7"/>
  <c r="AM47" i="7" s="1"/>
  <c r="Y46" i="7"/>
  <c r="Y47" i="7" s="1"/>
  <c r="AH46" i="7"/>
  <c r="AH47" i="7" s="1"/>
  <c r="AQ46" i="7"/>
  <c r="AQ47" i="7" s="1"/>
  <c r="HQ64" i="6" s="1"/>
  <c r="AC46" i="7"/>
  <c r="AC47" i="7" s="1"/>
  <c r="AL46" i="7"/>
  <c r="AL47" i="7" s="1"/>
  <c r="AU46" i="7"/>
  <c r="AU47" i="7" s="1"/>
  <c r="JJ64" i="6" s="1"/>
  <c r="AG46" i="7"/>
  <c r="AG47" i="7" s="1"/>
  <c r="AP46" i="7"/>
  <c r="AP47" i="7" s="1"/>
  <c r="HF64" i="6" s="1"/>
  <c r="AB46" i="7"/>
  <c r="AB47" i="7" s="1"/>
  <c r="AK46" i="7"/>
  <c r="AK47" i="7" s="1"/>
  <c r="AT46" i="7"/>
  <c r="AT47" i="7" s="1"/>
  <c r="IX64" i="6" s="1"/>
  <c r="AF46" i="7"/>
  <c r="AF47" i="7" s="1"/>
  <c r="AO46" i="7"/>
  <c r="AO47" i="7" s="1"/>
  <c r="GU64" i="6" s="1"/>
  <c r="AA46" i="7"/>
  <c r="AA47" i="7" s="1"/>
  <c r="AJ46" i="7"/>
  <c r="AJ47" i="7" s="1"/>
  <c r="AS46" i="7"/>
  <c r="AS47" i="7" s="1"/>
  <c r="IM64" i="6" s="1"/>
  <c r="AE46" i="7"/>
  <c r="AE47" i="7" s="1"/>
  <c r="AN46" i="7"/>
  <c r="AN47" i="7" s="1"/>
  <c r="GJ64" i="6" s="1"/>
  <c r="Z46" i="7"/>
  <c r="Z47" i="7" s="1"/>
  <c r="AI46" i="7"/>
  <c r="AI47" i="7" s="1"/>
  <c r="JH60" i="6"/>
  <c r="JH100" i="6" s="1"/>
  <c r="JH32" i="9" s="1"/>
  <c r="HG6" i="6"/>
  <c r="HF60" i="6"/>
  <c r="HF100" i="6" s="1"/>
  <c r="HF32" i="9" s="1"/>
  <c r="GV6" i="6"/>
  <c r="GU60" i="6"/>
  <c r="GU100" i="6" s="1"/>
  <c r="GU32" i="9" s="1"/>
  <c r="FN60" i="6"/>
  <c r="BE53" i="15" s="1"/>
  <c r="IY6" i="6"/>
  <c r="IX60" i="6"/>
  <c r="JK6" i="6"/>
  <c r="JJ60" i="6"/>
  <c r="GK6" i="6"/>
  <c r="GJ60" i="6"/>
  <c r="IN6" i="6"/>
  <c r="IM60" i="6"/>
  <c r="IM100" i="6" s="1"/>
  <c r="IM32" i="9" s="1"/>
  <c r="HR6" i="6"/>
  <c r="HQ60" i="6"/>
  <c r="IC6" i="6"/>
  <c r="IB60" i="6"/>
  <c r="CA53" i="15" s="1"/>
  <c r="DH3" i="8"/>
  <c r="DG7" i="8"/>
  <c r="FZ6" i="6"/>
  <c r="FY60" i="6"/>
  <c r="FY100" i="6" s="1"/>
  <c r="FY32" i="9" s="1"/>
  <c r="B72" i="18" l="1"/>
  <c r="X48" i="6"/>
  <c r="Y22" i="6"/>
  <c r="Y14" i="6"/>
  <c r="Y15" i="6"/>
  <c r="Y19" i="6"/>
  <c r="Y45" i="6"/>
  <c r="Y16" i="6"/>
  <c r="Y21" i="6"/>
  <c r="Y24" i="6"/>
  <c r="Y17" i="6"/>
  <c r="Y20" i="6"/>
  <c r="Y13" i="6"/>
  <c r="Y23" i="6"/>
  <c r="Y18" i="6"/>
  <c r="Y25" i="6"/>
  <c r="Y27" i="6"/>
  <c r="Y26" i="6"/>
  <c r="D82" i="11"/>
  <c r="Y49" i="6"/>
  <c r="FY64" i="6"/>
  <c r="Y46" i="6"/>
  <c r="FB32" i="9"/>
  <c r="BA93" i="15"/>
  <c r="HE32" i="9"/>
  <c r="IX100" i="6"/>
  <c r="JG32" i="9"/>
  <c r="CL93" i="15"/>
  <c r="BP93" i="15"/>
  <c r="CL53" i="15"/>
  <c r="HQ100" i="6"/>
  <c r="JJ100" i="6"/>
  <c r="IU32" i="9"/>
  <c r="CH93" i="15"/>
  <c r="FX32" i="9"/>
  <c r="GJ100" i="6"/>
  <c r="BP53" i="15"/>
  <c r="IL32" i="9"/>
  <c r="X63" i="6"/>
  <c r="I82" i="15"/>
  <c r="X35" i="6"/>
  <c r="IB100" i="6"/>
  <c r="FN100" i="6"/>
  <c r="P53" i="11"/>
  <c r="P93" i="11" s="1"/>
  <c r="Y62" i="6"/>
  <c r="Y63" i="6" s="1"/>
  <c r="Y40" i="6"/>
  <c r="Y41" i="6"/>
  <c r="Y50" i="6"/>
  <c r="Y54" i="6"/>
  <c r="Y52" i="6"/>
  <c r="Y42" i="6"/>
  <c r="Y43" i="6"/>
  <c r="Z34" i="6"/>
  <c r="D27" i="11" s="1"/>
  <c r="AA1" i="6"/>
  <c r="AA89" i="6" s="1"/>
  <c r="Z3" i="6"/>
  <c r="Z33" i="6"/>
  <c r="D26" i="11" s="1"/>
  <c r="Y31" i="6"/>
  <c r="Y55" i="6"/>
  <c r="Y51" i="6"/>
  <c r="Y53" i="6"/>
  <c r="Y47" i="6"/>
  <c r="Y32" i="6"/>
  <c r="FC64" i="6"/>
  <c r="FD64" i="6"/>
  <c r="FE64" i="6"/>
  <c r="FF64" i="6"/>
  <c r="FG64" i="6"/>
  <c r="FH64" i="6"/>
  <c r="FI64" i="6"/>
  <c r="FJ64" i="6"/>
  <c r="FK64" i="6"/>
  <c r="FL64" i="6"/>
  <c r="FM64" i="6"/>
  <c r="X64" i="6"/>
  <c r="S64" i="6"/>
  <c r="W64" i="6"/>
  <c r="W96" i="6" s="1"/>
  <c r="W29" i="9" s="1"/>
  <c r="U64" i="6"/>
  <c r="Y64" i="6"/>
  <c r="P64" i="6"/>
  <c r="R64" i="6"/>
  <c r="V64" i="6"/>
  <c r="V96" i="6" s="1"/>
  <c r="V29" i="9" s="1"/>
  <c r="Z64" i="6"/>
  <c r="Q64" i="6"/>
  <c r="T64" i="6"/>
  <c r="O64" i="6"/>
  <c r="IU64" i="6"/>
  <c r="IV64" i="6"/>
  <c r="IW64" i="6"/>
  <c r="HK64" i="6"/>
  <c r="HL64" i="6"/>
  <c r="HM64" i="6"/>
  <c r="HN64" i="6"/>
  <c r="HO64" i="6"/>
  <c r="HP64" i="6"/>
  <c r="GA64" i="6"/>
  <c r="GB64" i="6"/>
  <c r="GC64" i="6"/>
  <c r="GD64" i="6"/>
  <c r="GE64" i="6"/>
  <c r="GF64" i="6"/>
  <c r="GG64" i="6"/>
  <c r="GH64" i="6"/>
  <c r="GI64" i="6"/>
  <c r="ES64" i="6"/>
  <c r="ET64" i="6"/>
  <c r="ER64" i="6"/>
  <c r="EQ64" i="6"/>
  <c r="EU64" i="6"/>
  <c r="EV64" i="6"/>
  <c r="EW64" i="6"/>
  <c r="EX64" i="6"/>
  <c r="EY64" i="6"/>
  <c r="EZ64" i="6"/>
  <c r="FA64" i="6"/>
  <c r="FB64" i="6"/>
  <c r="DL64" i="6"/>
  <c r="DG64" i="6"/>
  <c r="DH64" i="6"/>
  <c r="DJ64" i="6"/>
  <c r="DM64" i="6"/>
  <c r="DK64" i="6"/>
  <c r="DI64" i="6"/>
  <c r="DN64" i="6"/>
  <c r="DO64" i="6"/>
  <c r="DP64" i="6"/>
  <c r="DQ64" i="6"/>
  <c r="DR64" i="6"/>
  <c r="CE64" i="6"/>
  <c r="BW64" i="6"/>
  <c r="CF64" i="6"/>
  <c r="BY64" i="6"/>
  <c r="BZ64" i="6"/>
  <c r="CA64" i="6"/>
  <c r="CB64" i="6"/>
  <c r="CC64" i="6"/>
  <c r="CD64" i="6"/>
  <c r="BX64" i="6"/>
  <c r="CG64" i="6"/>
  <c r="CH64" i="6"/>
  <c r="AV64" i="6"/>
  <c r="AQ64" i="6"/>
  <c r="AO64" i="6"/>
  <c r="AW64" i="6"/>
  <c r="AP64" i="6"/>
  <c r="AT64" i="6"/>
  <c r="AN64" i="6"/>
  <c r="AX64" i="6"/>
  <c r="AR64" i="6"/>
  <c r="AM64" i="6"/>
  <c r="AU64" i="6"/>
  <c r="AS64" i="6"/>
  <c r="E64" i="6"/>
  <c r="K64" i="6"/>
  <c r="F64" i="6"/>
  <c r="N64" i="6"/>
  <c r="C64" i="6"/>
  <c r="M64" i="6"/>
  <c r="J64" i="6"/>
  <c r="D64" i="6"/>
  <c r="H64" i="6"/>
  <c r="L64" i="6"/>
  <c r="G64" i="6"/>
  <c r="I64" i="6"/>
  <c r="II64" i="6"/>
  <c r="IJ64" i="6"/>
  <c r="IK64" i="6"/>
  <c r="IL64" i="6"/>
  <c r="GY64" i="6"/>
  <c r="GZ64" i="6"/>
  <c r="HA64" i="6"/>
  <c r="HB64" i="6"/>
  <c r="HC64" i="6"/>
  <c r="HD64" i="6"/>
  <c r="HE64" i="6"/>
  <c r="FO64" i="6"/>
  <c r="FP64" i="6"/>
  <c r="FQ64" i="6"/>
  <c r="FR64" i="6"/>
  <c r="FS64" i="6"/>
  <c r="FT64" i="6"/>
  <c r="FU64" i="6"/>
  <c r="FV64" i="6"/>
  <c r="FW64" i="6"/>
  <c r="FX64" i="6"/>
  <c r="FN64" i="6"/>
  <c r="EE64" i="6"/>
  <c r="EI64" i="6"/>
  <c r="EF64" i="6"/>
  <c r="EG64" i="6"/>
  <c r="EH64" i="6"/>
  <c r="EJ64" i="6"/>
  <c r="EK64" i="6"/>
  <c r="EL64" i="6"/>
  <c r="EM64" i="6"/>
  <c r="EN64" i="6"/>
  <c r="EO64" i="6"/>
  <c r="EP64" i="6"/>
  <c r="DA64" i="6"/>
  <c r="CV64" i="6"/>
  <c r="DB64" i="6"/>
  <c r="CW64" i="6"/>
  <c r="CX64" i="6"/>
  <c r="CY64" i="6"/>
  <c r="CU64" i="6"/>
  <c r="CZ64" i="6"/>
  <c r="DC64" i="6"/>
  <c r="DD64" i="6"/>
  <c r="DE64" i="6"/>
  <c r="DF64" i="6"/>
  <c r="BT64" i="6"/>
  <c r="BP64" i="6"/>
  <c r="BK64" i="6"/>
  <c r="BS64" i="6"/>
  <c r="BU64" i="6"/>
  <c r="BL64" i="6"/>
  <c r="BR64" i="6"/>
  <c r="BM64" i="6"/>
  <c r="BN64" i="6"/>
  <c r="BO64" i="6"/>
  <c r="BQ64" i="6"/>
  <c r="BV64" i="6"/>
  <c r="AG64" i="6"/>
  <c r="AH64" i="6"/>
  <c r="AB64" i="6"/>
  <c r="AL64" i="6"/>
  <c r="AF64" i="6"/>
  <c r="AJ64" i="6"/>
  <c r="AA64" i="6"/>
  <c r="AE64" i="6"/>
  <c r="AD64" i="6"/>
  <c r="AC64" i="6"/>
  <c r="AI64" i="6"/>
  <c r="AK64" i="6"/>
  <c r="JG64" i="6"/>
  <c r="JH64" i="6"/>
  <c r="JI64" i="6"/>
  <c r="HW64" i="6"/>
  <c r="HX64" i="6"/>
  <c r="HY64" i="6"/>
  <c r="HZ64" i="6"/>
  <c r="IA64" i="6"/>
  <c r="GM64" i="6"/>
  <c r="GN64" i="6"/>
  <c r="GO64" i="6"/>
  <c r="GP64" i="6"/>
  <c r="GQ64" i="6"/>
  <c r="GR64" i="6"/>
  <c r="GS64" i="6"/>
  <c r="GT64" i="6"/>
  <c r="DW64" i="6"/>
  <c r="DT64" i="6"/>
  <c r="DV64" i="6"/>
  <c r="DU64" i="6"/>
  <c r="DX64" i="6"/>
  <c r="DS64" i="6"/>
  <c r="DY64" i="6"/>
  <c r="DZ64" i="6"/>
  <c r="EA64" i="6"/>
  <c r="EB64" i="6"/>
  <c r="EC64" i="6"/>
  <c r="ED64" i="6"/>
  <c r="CP64" i="6"/>
  <c r="CQ64" i="6"/>
  <c r="CI64" i="6"/>
  <c r="CK64" i="6"/>
  <c r="CL64" i="6"/>
  <c r="CM64" i="6"/>
  <c r="CN64" i="6"/>
  <c r="CJ64" i="6"/>
  <c r="CO64" i="6"/>
  <c r="CR64" i="6"/>
  <c r="CS64" i="6"/>
  <c r="CT64" i="6"/>
  <c r="BI64" i="6"/>
  <c r="BE64" i="6"/>
  <c r="BF64" i="6"/>
  <c r="BG64" i="6"/>
  <c r="AZ64" i="6"/>
  <c r="BH64" i="6"/>
  <c r="BB64" i="6"/>
  <c r="BJ64" i="6"/>
  <c r="BA64" i="6"/>
  <c r="AY64" i="6"/>
  <c r="BC64" i="6"/>
  <c r="BD64" i="6"/>
  <c r="DI3" i="8"/>
  <c r="DH7" i="8"/>
  <c r="IO6" i="6"/>
  <c r="IN60" i="6"/>
  <c r="IN100" i="6" s="1"/>
  <c r="IN32" i="9" s="1"/>
  <c r="IN64" i="6"/>
  <c r="FZ60" i="6"/>
  <c r="BI53" i="15" s="1"/>
  <c r="FZ64" i="6"/>
  <c r="HS6" i="6"/>
  <c r="HR60" i="6"/>
  <c r="HR100" i="6" s="1"/>
  <c r="HR32" i="9" s="1"/>
  <c r="HR64" i="6"/>
  <c r="JL6" i="6"/>
  <c r="JK60" i="6"/>
  <c r="JK100" i="6" s="1"/>
  <c r="JK32" i="9" s="1"/>
  <c r="JK64" i="6"/>
  <c r="GW6" i="6"/>
  <c r="GV60" i="6"/>
  <c r="GV64" i="6"/>
  <c r="ID6" i="6"/>
  <c r="IC60" i="6"/>
  <c r="IC64" i="6"/>
  <c r="GL6" i="6"/>
  <c r="GK60" i="6"/>
  <c r="GK100" i="6" s="1"/>
  <c r="GK32" i="9" s="1"/>
  <c r="GK64" i="6"/>
  <c r="IZ6" i="6"/>
  <c r="IY60" i="6"/>
  <c r="IY100" i="6" s="1"/>
  <c r="IY32" i="9" s="1"/>
  <c r="IY64" i="6"/>
  <c r="HH6" i="6"/>
  <c r="HG60" i="6"/>
  <c r="HG100" i="6" s="1"/>
  <c r="HG32" i="9" s="1"/>
  <c r="HG64" i="6"/>
  <c r="B73" i="18" l="1"/>
  <c r="Y48" i="6"/>
  <c r="Z16" i="6"/>
  <c r="Z25" i="6"/>
  <c r="Z19" i="6"/>
  <c r="Z14" i="6"/>
  <c r="Z27" i="6"/>
  <c r="Z45" i="6"/>
  <c r="I38" i="15" s="1"/>
  <c r="Z13" i="6"/>
  <c r="D6" i="11" s="1"/>
  <c r="Z26" i="6"/>
  <c r="Z18" i="6"/>
  <c r="Z20" i="6"/>
  <c r="Z24" i="6"/>
  <c r="Z15" i="6"/>
  <c r="Z23" i="6"/>
  <c r="Z22" i="6"/>
  <c r="Z17" i="6"/>
  <c r="Z21" i="6"/>
  <c r="D14" i="11" s="1"/>
  <c r="U69" i="12" s="1"/>
  <c r="Z49" i="6"/>
  <c r="AF57" i="15"/>
  <c r="AE57" i="15"/>
  <c r="BN57" i="15"/>
  <c r="CL57" i="15"/>
  <c r="L57" i="15"/>
  <c r="W57" i="15"/>
  <c r="AU57" i="15"/>
  <c r="BG57" i="15"/>
  <c r="AZ57" i="15"/>
  <c r="BK57" i="15"/>
  <c r="CH57" i="15"/>
  <c r="BC57" i="15"/>
  <c r="Z47" i="6"/>
  <c r="Z42" i="6"/>
  <c r="BT53" i="15"/>
  <c r="K57" i="15"/>
  <c r="AI57" i="15"/>
  <c r="AT57" i="15"/>
  <c r="BT57" i="15"/>
  <c r="E57" i="15"/>
  <c r="E59" i="15" s="1"/>
  <c r="J57" i="15"/>
  <c r="B57" i="15"/>
  <c r="B59" i="15" s="1"/>
  <c r="Q57" i="15"/>
  <c r="AJ57" i="15"/>
  <c r="C57" i="15"/>
  <c r="C59" i="15" s="1"/>
  <c r="X96" i="6"/>
  <c r="X29" i="9" s="1"/>
  <c r="I57" i="15"/>
  <c r="GJ32" i="9"/>
  <c r="IX32" i="9"/>
  <c r="BO57" i="15"/>
  <c r="BZ57" i="15"/>
  <c r="BH57" i="15"/>
  <c r="F57" i="11"/>
  <c r="N57" i="15"/>
  <c r="Z57" i="15"/>
  <c r="AO57" i="15"/>
  <c r="AL57" i="15"/>
  <c r="BA57" i="15"/>
  <c r="AY57" i="15"/>
  <c r="BL57" i="15"/>
  <c r="BV57" i="15"/>
  <c r="D57" i="11"/>
  <c r="F57" i="15"/>
  <c r="F59" i="15" s="1"/>
  <c r="U96" i="6"/>
  <c r="H89" i="15" s="1"/>
  <c r="H57" i="15"/>
  <c r="BD57" i="15"/>
  <c r="FN32" i="9"/>
  <c r="BE93" i="15"/>
  <c r="CE53" i="15"/>
  <c r="GV100" i="6"/>
  <c r="S57" i="15"/>
  <c r="AD57" i="15"/>
  <c r="AR57" i="15"/>
  <c r="AQ57" i="15"/>
  <c r="BP57" i="15"/>
  <c r="CA57" i="15"/>
  <c r="X57" i="15"/>
  <c r="V57" i="15"/>
  <c r="AH57" i="15"/>
  <c r="AV57" i="15"/>
  <c r="BI57" i="15"/>
  <c r="BR57" i="15"/>
  <c r="AA57" i="15"/>
  <c r="BW57" i="15"/>
  <c r="IB32" i="9"/>
  <c r="CA93" i="15"/>
  <c r="Y57" i="15"/>
  <c r="AC57" i="15"/>
  <c r="CD57" i="15"/>
  <c r="O57" i="15"/>
  <c r="AN57" i="15"/>
  <c r="G57" i="15"/>
  <c r="G59" i="15" s="1"/>
  <c r="BE57" i="15"/>
  <c r="HQ32" i="9"/>
  <c r="IC100" i="6"/>
  <c r="R57" i="15"/>
  <c r="U57" i="15"/>
  <c r="T57" i="15"/>
  <c r="AG57" i="15"/>
  <c r="AS57" i="15"/>
  <c r="AP57" i="15"/>
  <c r="M57" i="15"/>
  <c r="AK57" i="15"/>
  <c r="AW57" i="15"/>
  <c r="BF57" i="15"/>
  <c r="BS57" i="15"/>
  <c r="CE57" i="15"/>
  <c r="D57" i="15"/>
  <c r="D59" i="15" s="1"/>
  <c r="P57" i="15"/>
  <c r="AB57" i="15"/>
  <c r="AM57" i="15"/>
  <c r="AX57" i="15"/>
  <c r="BJ57" i="15"/>
  <c r="BB57" i="15"/>
  <c r="CE93" i="15"/>
  <c r="JJ32" i="9"/>
  <c r="BT93" i="15"/>
  <c r="I27" i="15"/>
  <c r="I26" i="15"/>
  <c r="I57" i="11"/>
  <c r="J57" i="11"/>
  <c r="E57" i="11"/>
  <c r="H57" i="11"/>
  <c r="K57" i="11"/>
  <c r="C57" i="11"/>
  <c r="L57" i="11"/>
  <c r="FZ100" i="6"/>
  <c r="Q53" i="11"/>
  <c r="Q93" i="11" s="1"/>
  <c r="G57" i="11"/>
  <c r="M57" i="11"/>
  <c r="Q57" i="11"/>
  <c r="O57" i="11"/>
  <c r="P57" i="11"/>
  <c r="N57" i="11"/>
  <c r="Z62" i="6"/>
  <c r="I55" i="15" s="1"/>
  <c r="Z40" i="6"/>
  <c r="Y96" i="6"/>
  <c r="Y29" i="9" s="1"/>
  <c r="Z51" i="6"/>
  <c r="Z46" i="6"/>
  <c r="Z31" i="6"/>
  <c r="Z54" i="6"/>
  <c r="Z41" i="6"/>
  <c r="Z52" i="6"/>
  <c r="Z43" i="6"/>
  <c r="Z53" i="6"/>
  <c r="AB1" i="6"/>
  <c r="AB89" i="6" s="1"/>
  <c r="AA33" i="6"/>
  <c r="AA3" i="6"/>
  <c r="AA34" i="6"/>
  <c r="Z32" i="6"/>
  <c r="D25" i="11" s="1"/>
  <c r="Z55" i="6"/>
  <c r="Y35" i="6"/>
  <c r="Z50" i="6"/>
  <c r="C66" i="6"/>
  <c r="C96" i="6"/>
  <c r="O96" i="6"/>
  <c r="O66" i="6"/>
  <c r="I66" i="6"/>
  <c r="I96" i="6"/>
  <c r="N96" i="6"/>
  <c r="N29" i="9" s="1"/>
  <c r="N66" i="6"/>
  <c r="T96" i="6"/>
  <c r="T29" i="9" s="1"/>
  <c r="T66" i="6"/>
  <c r="G66" i="6"/>
  <c r="G96" i="6"/>
  <c r="G29" i="9" s="1"/>
  <c r="F66" i="6"/>
  <c r="F96" i="6"/>
  <c r="Q66" i="6"/>
  <c r="Q96" i="6"/>
  <c r="Q29" i="9" s="1"/>
  <c r="S96" i="6"/>
  <c r="S29" i="9" s="1"/>
  <c r="S66" i="6"/>
  <c r="M66" i="6"/>
  <c r="M96" i="6"/>
  <c r="M29" i="9" s="1"/>
  <c r="L66" i="6"/>
  <c r="L96" i="6"/>
  <c r="K66" i="6"/>
  <c r="K96" i="6"/>
  <c r="K29" i="9" s="1"/>
  <c r="H96" i="6"/>
  <c r="H29" i="9" s="1"/>
  <c r="H66" i="6"/>
  <c r="E66" i="6"/>
  <c r="E96" i="6"/>
  <c r="E29" i="9" s="1"/>
  <c r="D96" i="6"/>
  <c r="D29" i="9" s="1"/>
  <c r="D66" i="6"/>
  <c r="R66" i="6"/>
  <c r="R96" i="6"/>
  <c r="J66" i="6"/>
  <c r="J96" i="6"/>
  <c r="J29" i="9" s="1"/>
  <c r="P96" i="6"/>
  <c r="P29" i="9" s="1"/>
  <c r="P66" i="6"/>
  <c r="GL60" i="6"/>
  <c r="BM53" i="15" s="1"/>
  <c r="GL64" i="6"/>
  <c r="GX6" i="6"/>
  <c r="GW60" i="6"/>
  <c r="GW100" i="6" s="1"/>
  <c r="GW32" i="9" s="1"/>
  <c r="GW64" i="6"/>
  <c r="IP6" i="6"/>
  <c r="IO60" i="6"/>
  <c r="IO64" i="6"/>
  <c r="HI6" i="6"/>
  <c r="HH60" i="6"/>
  <c r="HH64" i="6"/>
  <c r="JA6" i="6"/>
  <c r="IZ60" i="6"/>
  <c r="IZ100" i="6" s="1"/>
  <c r="IZ32" i="9" s="1"/>
  <c r="IZ64" i="6"/>
  <c r="CI57" i="15" s="1"/>
  <c r="IE6" i="6"/>
  <c r="ID60" i="6"/>
  <c r="ID100" i="6" s="1"/>
  <c r="ID32" i="9" s="1"/>
  <c r="ID64" i="6"/>
  <c r="JM6" i="6"/>
  <c r="JL60" i="6"/>
  <c r="JL100" i="6" s="1"/>
  <c r="JL32" i="9" s="1"/>
  <c r="JL64" i="6"/>
  <c r="CM57" i="15" s="1"/>
  <c r="HT6" i="6"/>
  <c r="HS60" i="6"/>
  <c r="HS100" i="6" s="1"/>
  <c r="HS32" i="9" s="1"/>
  <c r="HS64" i="6"/>
  <c r="BX57" i="15" s="1"/>
  <c r="DJ3" i="8"/>
  <c r="DI7" i="8"/>
  <c r="B74" i="18" l="1"/>
  <c r="Z48" i="6"/>
  <c r="I14" i="15"/>
  <c r="AA18" i="6"/>
  <c r="AA13" i="6"/>
  <c r="AA17" i="6"/>
  <c r="AA25" i="6"/>
  <c r="AA14" i="6"/>
  <c r="AA15" i="6"/>
  <c r="AA26" i="6"/>
  <c r="AA27" i="6"/>
  <c r="AA45" i="6"/>
  <c r="AA24" i="6"/>
  <c r="AA23" i="6"/>
  <c r="AA20" i="6"/>
  <c r="AA21" i="6"/>
  <c r="AA19" i="6"/>
  <c r="AA22" i="6"/>
  <c r="AA16" i="6"/>
  <c r="D38" i="11"/>
  <c r="C132" i="12" s="1"/>
  <c r="D12" i="11"/>
  <c r="D7" i="11"/>
  <c r="D11" i="11"/>
  <c r="U72" i="12" s="1"/>
  <c r="D18" i="11"/>
  <c r="D10" i="11"/>
  <c r="D15" i="11"/>
  <c r="D20" i="11"/>
  <c r="I24" i="15"/>
  <c r="D9" i="11"/>
  <c r="U70" i="12" s="1"/>
  <c r="D13" i="11"/>
  <c r="U68" i="12" s="1"/>
  <c r="D19" i="11"/>
  <c r="D17" i="11"/>
  <c r="D45" i="11"/>
  <c r="C139" i="12" s="1"/>
  <c r="D47" i="11"/>
  <c r="C141" i="12" s="1"/>
  <c r="D43" i="11"/>
  <c r="C137" i="12" s="1"/>
  <c r="D34" i="11"/>
  <c r="C128" i="12" s="1"/>
  <c r="D33" i="11"/>
  <c r="I35" i="15"/>
  <c r="I42" i="15"/>
  <c r="D48" i="11"/>
  <c r="C142" i="12" s="1"/>
  <c r="D46" i="11"/>
  <c r="C140" i="12" s="1"/>
  <c r="D44" i="11"/>
  <c r="C138" i="12" s="1"/>
  <c r="I40" i="15"/>
  <c r="D42" i="11"/>
  <c r="C136" i="12" s="1"/>
  <c r="AA49" i="6"/>
  <c r="I6" i="15"/>
  <c r="I15" i="15"/>
  <c r="D40" i="11"/>
  <c r="C134" i="12" s="1"/>
  <c r="D35" i="11"/>
  <c r="C129" i="12" s="1"/>
  <c r="U29" i="9"/>
  <c r="CM53" i="15"/>
  <c r="AA43" i="6"/>
  <c r="HH100" i="6"/>
  <c r="BX53" i="15"/>
  <c r="CI53" i="15"/>
  <c r="FZ32" i="9"/>
  <c r="BI93" i="15"/>
  <c r="CM93" i="15"/>
  <c r="IC32" i="9"/>
  <c r="GV32" i="9"/>
  <c r="CI93" i="15"/>
  <c r="R57" i="11"/>
  <c r="BM57" i="15"/>
  <c r="IO100" i="6"/>
  <c r="BX93" i="15"/>
  <c r="O29" i="9"/>
  <c r="F89" i="15"/>
  <c r="L29" i="9"/>
  <c r="E89" i="15"/>
  <c r="F29" i="9"/>
  <c r="C89" i="15"/>
  <c r="I29" i="9"/>
  <c r="D89" i="15"/>
  <c r="C29" i="9"/>
  <c r="B89" i="15"/>
  <c r="R29" i="9"/>
  <c r="G89" i="15"/>
  <c r="I25" i="15"/>
  <c r="I44" i="15"/>
  <c r="I47" i="15"/>
  <c r="I34" i="15"/>
  <c r="I43" i="15"/>
  <c r="I45" i="15"/>
  <c r="D39" i="11"/>
  <c r="C133" i="12" s="1"/>
  <c r="I39" i="15"/>
  <c r="I48" i="15"/>
  <c r="I46" i="15"/>
  <c r="D36" i="11"/>
  <c r="C130" i="12" s="1"/>
  <c r="I36" i="15"/>
  <c r="I33" i="15"/>
  <c r="I17" i="15"/>
  <c r="I9" i="15"/>
  <c r="I11" i="15"/>
  <c r="I12" i="15"/>
  <c r="D16" i="11"/>
  <c r="I16" i="15"/>
  <c r="I20" i="15"/>
  <c r="I18" i="15"/>
  <c r="I13" i="15"/>
  <c r="D8" i="11"/>
  <c r="I8" i="15"/>
  <c r="I7" i="15"/>
  <c r="I10" i="15"/>
  <c r="I19" i="15"/>
  <c r="GL100" i="6"/>
  <c r="R53" i="11"/>
  <c r="R93" i="11" s="1"/>
  <c r="Z63" i="6"/>
  <c r="D55" i="11"/>
  <c r="C89" i="11"/>
  <c r="B10" i="12" s="1"/>
  <c r="C59" i="11"/>
  <c r="D24" i="11"/>
  <c r="D28" i="11" s="1"/>
  <c r="AA62" i="6"/>
  <c r="AA40" i="6"/>
  <c r="AA31" i="6"/>
  <c r="AA50" i="6"/>
  <c r="Z35" i="6"/>
  <c r="AA54" i="6"/>
  <c r="AA55" i="6"/>
  <c r="AA51" i="6"/>
  <c r="AA52" i="6"/>
  <c r="AA46" i="6"/>
  <c r="AA53" i="6"/>
  <c r="AA32" i="6"/>
  <c r="AB3" i="6"/>
  <c r="AB33" i="6"/>
  <c r="AB34" i="6"/>
  <c r="AC1" i="6"/>
  <c r="AC89" i="6" s="1"/>
  <c r="J82" i="15" s="1"/>
  <c r="AA41" i="6"/>
  <c r="AA47" i="6"/>
  <c r="AA42" i="6"/>
  <c r="HJ6" i="6"/>
  <c r="HI60" i="6"/>
  <c r="HI100" i="6" s="1"/>
  <c r="HI32" i="9" s="1"/>
  <c r="HI64" i="6"/>
  <c r="HU6" i="6"/>
  <c r="HT60" i="6"/>
  <c r="HT64" i="6"/>
  <c r="JB6" i="6"/>
  <c r="JA60" i="6"/>
  <c r="JA64" i="6"/>
  <c r="IF6" i="6"/>
  <c r="IE60" i="6"/>
  <c r="IE64" i="6"/>
  <c r="CB57" i="15" s="1"/>
  <c r="IQ6" i="6"/>
  <c r="IP60" i="6"/>
  <c r="IP64" i="6"/>
  <c r="DK3" i="8"/>
  <c r="DJ7" i="8"/>
  <c r="JN6" i="6"/>
  <c r="JM60" i="6"/>
  <c r="JM64" i="6"/>
  <c r="GX60" i="6"/>
  <c r="BQ53" i="15" s="1"/>
  <c r="GX64" i="6"/>
  <c r="S57" i="11" s="1"/>
  <c r="U67" i="12" l="1"/>
  <c r="B273" i="12"/>
  <c r="B75" i="18"/>
  <c r="I41" i="15"/>
  <c r="D41" i="11"/>
  <c r="C135" i="12" s="1"/>
  <c r="AA48" i="6"/>
  <c r="U96" i="12"/>
  <c r="C127" i="12"/>
  <c r="U98" i="12"/>
  <c r="U99" i="12"/>
  <c r="U71" i="12"/>
  <c r="AB19" i="6"/>
  <c r="AB27" i="6"/>
  <c r="AB21" i="6"/>
  <c r="AB15" i="6"/>
  <c r="AB16" i="6"/>
  <c r="AB17" i="6"/>
  <c r="AB45" i="6"/>
  <c r="AB25" i="6"/>
  <c r="AB22" i="6"/>
  <c r="AB18" i="6"/>
  <c r="AB24" i="6"/>
  <c r="AB13" i="6"/>
  <c r="AB20" i="6"/>
  <c r="AB23" i="6"/>
  <c r="AB14" i="6"/>
  <c r="AB26" i="6"/>
  <c r="C28" i="12"/>
  <c r="I28" i="15"/>
  <c r="AB49" i="6"/>
  <c r="JM100" i="6"/>
  <c r="IE100" i="6"/>
  <c r="CB53" i="15"/>
  <c r="GL32" i="9"/>
  <c r="BM93" i="15"/>
  <c r="IO32" i="9"/>
  <c r="HH32" i="9"/>
  <c r="HT100" i="6"/>
  <c r="AB54" i="6"/>
  <c r="JA100" i="6"/>
  <c r="BQ57" i="15"/>
  <c r="AB50" i="6"/>
  <c r="Z96" i="6"/>
  <c r="I56" i="15"/>
  <c r="D56" i="11"/>
  <c r="D89" i="11" s="1"/>
  <c r="C10" i="12" s="1"/>
  <c r="IP100" i="6"/>
  <c r="IP32" i="9" s="1"/>
  <c r="AA63" i="6"/>
  <c r="GX100" i="6"/>
  <c r="S53" i="11"/>
  <c r="S93" i="11" s="1"/>
  <c r="AB55" i="6"/>
  <c r="AB52" i="6"/>
  <c r="AB62" i="6"/>
  <c r="AB63" i="6" s="1"/>
  <c r="AB96" i="6" s="1"/>
  <c r="AB29" i="9" s="1"/>
  <c r="AB40" i="6"/>
  <c r="AB47" i="6"/>
  <c r="AB46" i="6"/>
  <c r="AB32" i="6"/>
  <c r="AA35" i="6"/>
  <c r="AB42" i="6"/>
  <c r="AB51" i="6"/>
  <c r="AB53" i="6"/>
  <c r="AB41" i="6"/>
  <c r="AB31" i="6"/>
  <c r="AB43" i="6"/>
  <c r="AC34" i="6"/>
  <c r="J27" i="15" s="1"/>
  <c r="AC3" i="6"/>
  <c r="AC33" i="6"/>
  <c r="J26" i="15" s="1"/>
  <c r="AD1" i="6"/>
  <c r="AD89" i="6" s="1"/>
  <c r="IR6" i="6"/>
  <c r="IQ60" i="6"/>
  <c r="IQ64" i="6"/>
  <c r="CF57" i="15" s="1"/>
  <c r="IG6" i="6"/>
  <c r="IF60" i="6"/>
  <c r="IF64" i="6"/>
  <c r="DL3" i="8"/>
  <c r="DK7" i="8"/>
  <c r="HV6" i="6"/>
  <c r="HU60" i="6"/>
  <c r="HU100" i="6" s="1"/>
  <c r="HU32" i="9" s="1"/>
  <c r="HU64" i="6"/>
  <c r="JC6" i="6"/>
  <c r="JB60" i="6"/>
  <c r="JB100" i="6" s="1"/>
  <c r="JB32" i="9" s="1"/>
  <c r="JB64" i="6"/>
  <c r="JO6" i="6"/>
  <c r="JN60" i="6"/>
  <c r="JN100" i="6" s="1"/>
  <c r="JN32" i="9" s="1"/>
  <c r="JN64" i="6"/>
  <c r="HJ60" i="6"/>
  <c r="BU53" i="15" s="1"/>
  <c r="HJ64" i="6"/>
  <c r="T57" i="11" s="1"/>
  <c r="B76" i="18" l="1"/>
  <c r="AB48" i="6"/>
  <c r="AC24" i="6"/>
  <c r="J17" i="15" s="1"/>
  <c r="AC13" i="6"/>
  <c r="J6" i="15" s="1"/>
  <c r="AC19" i="6"/>
  <c r="J12" i="15" s="1"/>
  <c r="AC14" i="6"/>
  <c r="J7" i="15" s="1"/>
  <c r="AC15" i="6"/>
  <c r="AC45" i="6"/>
  <c r="J38" i="15" s="1"/>
  <c r="AC21" i="6"/>
  <c r="J14" i="15" s="1"/>
  <c r="AC18" i="6"/>
  <c r="J11" i="15" s="1"/>
  <c r="AC16" i="6"/>
  <c r="J9" i="15" s="1"/>
  <c r="AC20" i="6"/>
  <c r="J13" i="15" s="1"/>
  <c r="AC23" i="6"/>
  <c r="J16" i="15" s="1"/>
  <c r="AC27" i="6"/>
  <c r="J20" i="15" s="1"/>
  <c r="AC25" i="6"/>
  <c r="J18" i="15" s="1"/>
  <c r="AC22" i="6"/>
  <c r="J15" i="15" s="1"/>
  <c r="AC26" i="6"/>
  <c r="J19" i="15" s="1"/>
  <c r="AC17" i="6"/>
  <c r="J10" i="15" s="1"/>
  <c r="AC49" i="6"/>
  <c r="J42" i="15" s="1"/>
  <c r="AC55" i="6"/>
  <c r="J48" i="15" s="1"/>
  <c r="IQ100" i="6"/>
  <c r="CF53" i="15"/>
  <c r="JA32" i="9"/>
  <c r="HT32" i="9"/>
  <c r="JM32" i="9"/>
  <c r="IF100" i="6"/>
  <c r="BU57" i="15"/>
  <c r="GX32" i="9"/>
  <c r="BQ93" i="15"/>
  <c r="IE32" i="9"/>
  <c r="CB93" i="15"/>
  <c r="AA96" i="6"/>
  <c r="Z29" i="9"/>
  <c r="I89" i="15"/>
  <c r="HJ100" i="6"/>
  <c r="T53" i="11"/>
  <c r="T93" i="11" s="1"/>
  <c r="AC31" i="6"/>
  <c r="J24" i="15" s="1"/>
  <c r="AB35" i="6"/>
  <c r="AC47" i="6"/>
  <c r="J40" i="15" s="1"/>
  <c r="AC62" i="6"/>
  <c r="AC63" i="6" s="1"/>
  <c r="AC96" i="6" s="1"/>
  <c r="AC29" i="9" s="1"/>
  <c r="AC40" i="6"/>
  <c r="J33" i="15" s="1"/>
  <c r="AC54" i="6"/>
  <c r="J47" i="15" s="1"/>
  <c r="AC51" i="6"/>
  <c r="J44" i="15" s="1"/>
  <c r="AC41" i="6"/>
  <c r="J34" i="15" s="1"/>
  <c r="AC50" i="6"/>
  <c r="J43" i="15" s="1"/>
  <c r="AC52" i="6"/>
  <c r="J45" i="15" s="1"/>
  <c r="AC42" i="6"/>
  <c r="J35" i="15" s="1"/>
  <c r="AE1" i="6"/>
  <c r="AE89" i="6" s="1"/>
  <c r="AD34" i="6"/>
  <c r="AD33" i="6"/>
  <c r="AD3" i="6"/>
  <c r="AD12" i="6" s="1"/>
  <c r="AC32" i="6"/>
  <c r="J25" i="15" s="1"/>
  <c r="AC43" i="6"/>
  <c r="J36" i="15" s="1"/>
  <c r="AC53" i="6"/>
  <c r="J46" i="15" s="1"/>
  <c r="AC46" i="6"/>
  <c r="J39" i="15" s="1"/>
  <c r="HV60" i="6"/>
  <c r="BY53" i="15" s="1"/>
  <c r="HV64" i="6"/>
  <c r="U57" i="11" s="1"/>
  <c r="JP6" i="6"/>
  <c r="JO60" i="6"/>
  <c r="JO64" i="6"/>
  <c r="CN57" i="15" s="1"/>
  <c r="JD6" i="6"/>
  <c r="JC60" i="6"/>
  <c r="JC64" i="6"/>
  <c r="CJ57" i="15" s="1"/>
  <c r="IS6" i="6"/>
  <c r="IR60" i="6"/>
  <c r="IR64" i="6"/>
  <c r="DM3" i="8"/>
  <c r="DL7" i="8"/>
  <c r="IH6" i="6"/>
  <c r="IG60" i="6"/>
  <c r="IG100" i="6" s="1"/>
  <c r="IG32" i="9" s="1"/>
  <c r="IG64" i="6"/>
  <c r="B77" i="18" l="1"/>
  <c r="J8" i="15"/>
  <c r="AC48" i="6"/>
  <c r="J41" i="15" s="1"/>
  <c r="AD24" i="6"/>
  <c r="AD45" i="6"/>
  <c r="AD13" i="6"/>
  <c r="AD15" i="6"/>
  <c r="AD22" i="6"/>
  <c r="AD14" i="6"/>
  <c r="AD27" i="6"/>
  <c r="AD25" i="6"/>
  <c r="AD21" i="6"/>
  <c r="AD20" i="6"/>
  <c r="AD19" i="6"/>
  <c r="AD26" i="6"/>
  <c r="AD18" i="6"/>
  <c r="AD17" i="6"/>
  <c r="AD23" i="6"/>
  <c r="AD16" i="6"/>
  <c r="AD49" i="6"/>
  <c r="JC100" i="6"/>
  <c r="CJ53" i="15"/>
  <c r="IR100" i="6"/>
  <c r="HJ32" i="9"/>
  <c r="BU93" i="15"/>
  <c r="JO100" i="6"/>
  <c r="CN53" i="15"/>
  <c r="IF32" i="9"/>
  <c r="IQ32" i="9"/>
  <c r="CF93" i="15"/>
  <c r="BY57" i="15"/>
  <c r="J55" i="15"/>
  <c r="J56" i="15"/>
  <c r="AA29" i="9"/>
  <c r="J89" i="15"/>
  <c r="J28" i="15"/>
  <c r="AC35" i="6"/>
  <c r="HV100" i="6"/>
  <c r="U53" i="11"/>
  <c r="U93" i="11" s="1"/>
  <c r="AD62" i="6"/>
  <c r="AD40" i="6"/>
  <c r="AD32" i="6"/>
  <c r="AD53" i="6"/>
  <c r="AD41" i="6"/>
  <c r="AD52" i="6"/>
  <c r="AD50" i="6"/>
  <c r="AD54" i="6"/>
  <c r="AD42" i="6"/>
  <c r="AD46" i="6"/>
  <c r="AD43" i="6"/>
  <c r="AD51" i="6"/>
  <c r="AD55" i="6"/>
  <c r="AD47" i="6"/>
  <c r="AE33" i="6"/>
  <c r="AF1" i="6"/>
  <c r="AF89" i="6" s="1"/>
  <c r="K82" i="15" s="1"/>
  <c r="AE34" i="6"/>
  <c r="AE3" i="6"/>
  <c r="AE12" i="6" s="1"/>
  <c r="AD31" i="6"/>
  <c r="JE6" i="6"/>
  <c r="JD60" i="6"/>
  <c r="JD64" i="6"/>
  <c r="DN3" i="8"/>
  <c r="DM7" i="8"/>
  <c r="IH60" i="6"/>
  <c r="CC53" i="15" s="1"/>
  <c r="IH64" i="6"/>
  <c r="IT6" i="6"/>
  <c r="IS60" i="6"/>
  <c r="IS100" i="6" s="1"/>
  <c r="IS32" i="9" s="1"/>
  <c r="IS64" i="6"/>
  <c r="JQ6" i="6"/>
  <c r="JP60" i="6"/>
  <c r="JP64" i="6"/>
  <c r="B78" i="18" l="1"/>
  <c r="AD48" i="6"/>
  <c r="AE24" i="6"/>
  <c r="AE45" i="6"/>
  <c r="AE19" i="6"/>
  <c r="AE15" i="6"/>
  <c r="AE14" i="6"/>
  <c r="AE16" i="6"/>
  <c r="AE22" i="6"/>
  <c r="AE13" i="6"/>
  <c r="AE20" i="6"/>
  <c r="AE27" i="6"/>
  <c r="AE18" i="6"/>
  <c r="AE21" i="6"/>
  <c r="AE26" i="6"/>
  <c r="AE25" i="6"/>
  <c r="AE17" i="6"/>
  <c r="AE23" i="6"/>
  <c r="AE49" i="6"/>
  <c r="JP100" i="6"/>
  <c r="V57" i="11"/>
  <c r="CC57" i="15"/>
  <c r="IR32" i="9"/>
  <c r="JD100" i="6"/>
  <c r="HV32" i="9"/>
  <c r="BY93" i="15"/>
  <c r="JO32" i="9"/>
  <c r="CN93" i="15"/>
  <c r="JC32" i="9"/>
  <c r="CJ93" i="15"/>
  <c r="AD63" i="6"/>
  <c r="AD96" i="6" s="1"/>
  <c r="IH100" i="6"/>
  <c r="V53" i="11"/>
  <c r="V93" i="11" s="1"/>
  <c r="AE62" i="6"/>
  <c r="AE63" i="6" s="1"/>
  <c r="AE40" i="6"/>
  <c r="AD35" i="6"/>
  <c r="AE52" i="6"/>
  <c r="AE41" i="6"/>
  <c r="AE32" i="6"/>
  <c r="AE51" i="6"/>
  <c r="AE53" i="6"/>
  <c r="AE55" i="6"/>
  <c r="AE46" i="6"/>
  <c r="AE54" i="6"/>
  <c r="AE43" i="6"/>
  <c r="AE42" i="6"/>
  <c r="AF33" i="6"/>
  <c r="K26" i="15" s="1"/>
  <c r="AF34" i="6"/>
  <c r="K27" i="15" s="1"/>
  <c r="AF3" i="6"/>
  <c r="AF12" i="6" s="1"/>
  <c r="AG1" i="6"/>
  <c r="AG89" i="6" s="1"/>
  <c r="AE47" i="6"/>
  <c r="AE50" i="6"/>
  <c r="AE31" i="6"/>
  <c r="IT60" i="6"/>
  <c r="CG53" i="15" s="1"/>
  <c r="IT64" i="6"/>
  <c r="JF6" i="6"/>
  <c r="JE60" i="6"/>
  <c r="JE100" i="6" s="1"/>
  <c r="JE32" i="9" s="1"/>
  <c r="JE64" i="6"/>
  <c r="JR6" i="6"/>
  <c r="JQ60" i="6"/>
  <c r="JQ100" i="6" s="1"/>
  <c r="JQ32" i="9" s="1"/>
  <c r="JQ64" i="6"/>
  <c r="DO3" i="8"/>
  <c r="DN7" i="8"/>
  <c r="B79" i="18" l="1"/>
  <c r="AE48" i="6"/>
  <c r="AF15" i="6"/>
  <c r="AF27" i="6"/>
  <c r="K20" i="15" s="1"/>
  <c r="AF26" i="6"/>
  <c r="K19" i="15" s="1"/>
  <c r="AF18" i="6"/>
  <c r="K11" i="15" s="1"/>
  <c r="AF21" i="6"/>
  <c r="K14" i="15" s="1"/>
  <c r="AF19" i="6"/>
  <c r="K12" i="15" s="1"/>
  <c r="AF16" i="6"/>
  <c r="K9" i="15" s="1"/>
  <c r="AF25" i="6"/>
  <c r="K18" i="15" s="1"/>
  <c r="AF22" i="6"/>
  <c r="K15" i="15" s="1"/>
  <c r="AF20" i="6"/>
  <c r="K13" i="15" s="1"/>
  <c r="AF24" i="6"/>
  <c r="K17" i="15" s="1"/>
  <c r="AF17" i="6"/>
  <c r="K10" i="15" s="1"/>
  <c r="AF14" i="6"/>
  <c r="K7" i="15" s="1"/>
  <c r="AF23" i="6"/>
  <c r="K16" i="15" s="1"/>
  <c r="AF45" i="6"/>
  <c r="K38" i="15" s="1"/>
  <c r="AF13" i="6"/>
  <c r="K6" i="15" s="1"/>
  <c r="AF49" i="6"/>
  <c r="K42" i="15" s="1"/>
  <c r="JD32" i="9"/>
  <c r="JP32" i="9"/>
  <c r="W57" i="11"/>
  <c r="CG57" i="15"/>
  <c r="IH32" i="9"/>
  <c r="CC93" i="15"/>
  <c r="AD29" i="9"/>
  <c r="IT100" i="6"/>
  <c r="AG15" i="1" s="1"/>
  <c r="W53" i="11"/>
  <c r="W93" i="11" s="1"/>
  <c r="AE96" i="6"/>
  <c r="AE29" i="9" s="1"/>
  <c r="AE35" i="6"/>
  <c r="AF62" i="6"/>
  <c r="AF63" i="6" s="1"/>
  <c r="AF96" i="6" s="1"/>
  <c r="AF29" i="9" s="1"/>
  <c r="AF40" i="6"/>
  <c r="K33" i="15" s="1"/>
  <c r="AF46" i="6"/>
  <c r="K39" i="15" s="1"/>
  <c r="AF53" i="6"/>
  <c r="K46" i="15" s="1"/>
  <c r="AF47" i="6"/>
  <c r="K40" i="15" s="1"/>
  <c r="AF52" i="6"/>
  <c r="K45" i="15" s="1"/>
  <c r="AF32" i="6"/>
  <c r="K25" i="15" s="1"/>
  <c r="AF51" i="6"/>
  <c r="K44" i="15" s="1"/>
  <c r="AF43" i="6"/>
  <c r="K36" i="15" s="1"/>
  <c r="AF50" i="6"/>
  <c r="K43" i="15" s="1"/>
  <c r="AF54" i="6"/>
  <c r="K47" i="15" s="1"/>
  <c r="AH1" i="6"/>
  <c r="AH89" i="6" s="1"/>
  <c r="AG33" i="6"/>
  <c r="AG34" i="6"/>
  <c r="AG3" i="6"/>
  <c r="AG12" i="6" s="1"/>
  <c r="AF55" i="6"/>
  <c r="K48" i="15" s="1"/>
  <c r="AF42" i="6"/>
  <c r="K35" i="15" s="1"/>
  <c r="AF41" i="6"/>
  <c r="K34" i="15" s="1"/>
  <c r="AF31" i="6"/>
  <c r="K24" i="15" s="1"/>
  <c r="JF60" i="6"/>
  <c r="CK53" i="15" s="1"/>
  <c r="JF64" i="6"/>
  <c r="X57" i="11" s="1"/>
  <c r="JR60" i="6"/>
  <c r="CO53" i="15" s="1"/>
  <c r="JR64" i="6"/>
  <c r="Y57" i="11" s="1"/>
  <c r="O15" i="1"/>
  <c r="N15" i="1"/>
  <c r="M15" i="1"/>
  <c r="R15" i="1"/>
  <c r="M3" i="1"/>
  <c r="P15" i="1"/>
  <c r="U15" i="1"/>
  <c r="T15" i="1"/>
  <c r="S15" i="1"/>
  <c r="V15" i="1"/>
  <c r="W15" i="1"/>
  <c r="X15" i="1"/>
  <c r="Z15" i="1"/>
  <c r="Y15" i="1"/>
  <c r="AA15" i="1"/>
  <c r="M8" i="1"/>
  <c r="AB15" i="1"/>
  <c r="AC15" i="1"/>
  <c r="AE15" i="1"/>
  <c r="AD15" i="1"/>
  <c r="AF15" i="1"/>
  <c r="DP3" i="8"/>
  <c r="DO7" i="8"/>
  <c r="B80" i="18" l="1"/>
  <c r="K8" i="15"/>
  <c r="AF48" i="6"/>
  <c r="K41" i="15" s="1"/>
  <c r="AG18" i="6"/>
  <c r="AG21" i="6"/>
  <c r="AG17" i="6"/>
  <c r="AG13" i="6"/>
  <c r="C42" i="1" s="1"/>
  <c r="AG25" i="6"/>
  <c r="AG22" i="6"/>
  <c r="AG27" i="6"/>
  <c r="AG15" i="6"/>
  <c r="AG45" i="6"/>
  <c r="AG16" i="6"/>
  <c r="AG24" i="6"/>
  <c r="AG20" i="6"/>
  <c r="AG19" i="6"/>
  <c r="AG14" i="6"/>
  <c r="AG23" i="6"/>
  <c r="AG26" i="6"/>
  <c r="AG49" i="6"/>
  <c r="AG51" i="6"/>
  <c r="IT32" i="9"/>
  <c r="CG93" i="15"/>
  <c r="CO57" i="15"/>
  <c r="CK57" i="15"/>
  <c r="K55" i="15"/>
  <c r="K89" i="15"/>
  <c r="K56" i="15"/>
  <c r="K28" i="15"/>
  <c r="JF100" i="6"/>
  <c r="CK93" i="15" s="1"/>
  <c r="X53" i="11"/>
  <c r="X93" i="11" s="1"/>
  <c r="JR100" i="6"/>
  <c r="Y53" i="11"/>
  <c r="Y93" i="11" s="1"/>
  <c r="Q15" i="1"/>
  <c r="AG62" i="6"/>
  <c r="AG40" i="6"/>
  <c r="AF35" i="6"/>
  <c r="AG41" i="6"/>
  <c r="AG42" i="6"/>
  <c r="AG54" i="6"/>
  <c r="AG46" i="6"/>
  <c r="AG47" i="6"/>
  <c r="AG55" i="6"/>
  <c r="AG53" i="6"/>
  <c r="AI1" i="6"/>
  <c r="AI89" i="6" s="1"/>
  <c r="L82" i="15" s="1"/>
  <c r="AH34" i="6"/>
  <c r="AH33" i="6"/>
  <c r="AH3" i="6"/>
  <c r="AH12" i="6" s="1"/>
  <c r="AG43" i="6"/>
  <c r="AG31" i="6"/>
  <c r="AG32" i="6"/>
  <c r="AG52" i="6"/>
  <c r="AG50" i="6"/>
  <c r="DQ3" i="8"/>
  <c r="DP7" i="8"/>
  <c r="B81" i="18" l="1"/>
  <c r="AG48" i="6"/>
  <c r="AH25" i="6"/>
  <c r="AH24" i="6"/>
  <c r="AH20" i="6"/>
  <c r="AH13" i="6"/>
  <c r="AH26" i="6"/>
  <c r="AH45" i="6"/>
  <c r="AH23" i="6"/>
  <c r="AH17" i="6"/>
  <c r="AH15" i="6"/>
  <c r="AH16" i="6"/>
  <c r="AH21" i="6"/>
  <c r="AH18" i="6"/>
  <c r="AH14" i="6"/>
  <c r="AH22" i="6"/>
  <c r="AH19" i="6"/>
  <c r="AH27" i="6"/>
  <c r="AH49" i="6"/>
  <c r="C50" i="1"/>
  <c r="AH15" i="1"/>
  <c r="JF32" i="9"/>
  <c r="AI15" i="1"/>
  <c r="CO93" i="15"/>
  <c r="AG63" i="6"/>
  <c r="AG96" i="6" s="1"/>
  <c r="C51" i="1"/>
  <c r="C45" i="1"/>
  <c r="C54" i="1"/>
  <c r="C47" i="1"/>
  <c r="C48" i="1"/>
  <c r="C44" i="1"/>
  <c r="C55" i="1"/>
  <c r="C52" i="1"/>
  <c r="C49" i="1"/>
  <c r="C43" i="1"/>
  <c r="C46" i="1"/>
  <c r="C53" i="1"/>
  <c r="JR32" i="9"/>
  <c r="AH62" i="6"/>
  <c r="AH63" i="6" s="1"/>
  <c r="AH96" i="6" s="1"/>
  <c r="AH29" i="9" s="1"/>
  <c r="AH40" i="6"/>
  <c r="AH52" i="6"/>
  <c r="AH54" i="6"/>
  <c r="AH55" i="6"/>
  <c r="AH51" i="6"/>
  <c r="AH41" i="6"/>
  <c r="AH47" i="6"/>
  <c r="AI34" i="6"/>
  <c r="L27" i="15" s="1"/>
  <c r="AI33" i="6"/>
  <c r="L26" i="15" s="1"/>
  <c r="AI3" i="6"/>
  <c r="AI12" i="6" s="1"/>
  <c r="AJ1" i="6"/>
  <c r="AJ89" i="6" s="1"/>
  <c r="AH42" i="6"/>
  <c r="AH31" i="6"/>
  <c r="AH53" i="6"/>
  <c r="AH43" i="6"/>
  <c r="AG35" i="6"/>
  <c r="AH46" i="6"/>
  <c r="AH50" i="6"/>
  <c r="AH32" i="6"/>
  <c r="DR3" i="8"/>
  <c r="DQ7" i="8"/>
  <c r="B82" i="18" l="1"/>
  <c r="AH48" i="6"/>
  <c r="AI25" i="6"/>
  <c r="L18" i="15" s="1"/>
  <c r="AI15" i="6"/>
  <c r="AI21" i="6"/>
  <c r="L14" i="15" s="1"/>
  <c r="AI16" i="6"/>
  <c r="L9" i="15" s="1"/>
  <c r="AI18" i="6"/>
  <c r="L11" i="15" s="1"/>
  <c r="AI23" i="6"/>
  <c r="L16" i="15" s="1"/>
  <c r="AI20" i="6"/>
  <c r="L13" i="15" s="1"/>
  <c r="AI26" i="6"/>
  <c r="L19" i="15" s="1"/>
  <c r="AI22" i="6"/>
  <c r="L15" i="15" s="1"/>
  <c r="AI24" i="6"/>
  <c r="L17" i="15" s="1"/>
  <c r="AI27" i="6"/>
  <c r="L20" i="15" s="1"/>
  <c r="AI45" i="6"/>
  <c r="L38" i="15" s="1"/>
  <c r="AI19" i="6"/>
  <c r="L12" i="15" s="1"/>
  <c r="AI13" i="6"/>
  <c r="L6" i="15" s="1"/>
  <c r="AI14" i="6"/>
  <c r="L7" i="15" s="1"/>
  <c r="AI17" i="6"/>
  <c r="L10" i="15" s="1"/>
  <c r="AI49" i="6"/>
  <c r="L42" i="15" s="1"/>
  <c r="AG29" i="9"/>
  <c r="AI62" i="6"/>
  <c r="AI63" i="6" s="1"/>
  <c r="AI96" i="6" s="1"/>
  <c r="AI29" i="9" s="1"/>
  <c r="AI40" i="6"/>
  <c r="L33" i="15" s="1"/>
  <c r="AI55" i="6"/>
  <c r="L48" i="15" s="1"/>
  <c r="AI54" i="6"/>
  <c r="L47" i="15" s="1"/>
  <c r="AI42" i="6"/>
  <c r="L35" i="15" s="1"/>
  <c r="AI52" i="6"/>
  <c r="L45" i="15" s="1"/>
  <c r="AI43" i="6"/>
  <c r="L36" i="15" s="1"/>
  <c r="AI41" i="6"/>
  <c r="L34" i="15" s="1"/>
  <c r="AH35" i="6"/>
  <c r="AK1" i="6"/>
  <c r="AK89" i="6" s="1"/>
  <c r="AJ34" i="6"/>
  <c r="AJ3" i="6"/>
  <c r="AJ12" i="6" s="1"/>
  <c r="AJ33" i="6"/>
  <c r="AI50" i="6"/>
  <c r="L43" i="15" s="1"/>
  <c r="AI46" i="6"/>
  <c r="L39" i="15" s="1"/>
  <c r="AI51" i="6"/>
  <c r="L44" i="15" s="1"/>
  <c r="AI47" i="6"/>
  <c r="L40" i="15" s="1"/>
  <c r="AI53" i="6"/>
  <c r="L46" i="15" s="1"/>
  <c r="AI31" i="6"/>
  <c r="L24" i="15" s="1"/>
  <c r="AI32" i="6"/>
  <c r="L25" i="15" s="1"/>
  <c r="DS3" i="8"/>
  <c r="DR7" i="8"/>
  <c r="B83" i="18" l="1"/>
  <c r="L8" i="15"/>
  <c r="AI48" i="6"/>
  <c r="L41" i="15" s="1"/>
  <c r="AJ24" i="6"/>
  <c r="AJ25" i="6"/>
  <c r="AJ20" i="6"/>
  <c r="AJ18" i="6"/>
  <c r="AJ14" i="6"/>
  <c r="AJ21" i="6"/>
  <c r="AJ17" i="6"/>
  <c r="AJ23" i="6"/>
  <c r="AJ13" i="6"/>
  <c r="AJ16" i="6"/>
  <c r="AJ22" i="6"/>
  <c r="AJ27" i="6"/>
  <c r="AJ15" i="6"/>
  <c r="AJ19" i="6"/>
  <c r="AJ26" i="6"/>
  <c r="AJ45" i="6"/>
  <c r="AJ49" i="6"/>
  <c r="AJ53" i="6"/>
  <c r="L89" i="15"/>
  <c r="L55" i="15"/>
  <c r="L56" i="15"/>
  <c r="L28" i="15"/>
  <c r="AJ62" i="6"/>
  <c r="AJ40" i="6"/>
  <c r="AJ52" i="6"/>
  <c r="AJ32" i="6"/>
  <c r="AJ51" i="6"/>
  <c r="AJ46" i="6"/>
  <c r="AJ31" i="6"/>
  <c r="AJ41" i="6"/>
  <c r="AJ43" i="6"/>
  <c r="AJ47" i="6"/>
  <c r="AI35" i="6"/>
  <c r="AJ55" i="6"/>
  <c r="AK3" i="6"/>
  <c r="AK12" i="6" s="1"/>
  <c r="AK33" i="6"/>
  <c r="AK34" i="6"/>
  <c r="AL1" i="6"/>
  <c r="AL89" i="6" s="1"/>
  <c r="AJ42" i="6"/>
  <c r="AJ54" i="6"/>
  <c r="AJ50" i="6"/>
  <c r="DT3" i="8"/>
  <c r="DS7" i="8"/>
  <c r="B84" i="18" l="1"/>
  <c r="AJ48" i="6"/>
  <c r="AK24" i="6"/>
  <c r="AK25" i="6"/>
  <c r="AK21" i="6"/>
  <c r="AK15" i="6"/>
  <c r="AK19" i="6"/>
  <c r="AK26" i="6"/>
  <c r="AK45" i="6"/>
  <c r="AK13" i="6"/>
  <c r="AK14" i="6"/>
  <c r="AK17" i="6"/>
  <c r="AK20" i="6"/>
  <c r="AK18" i="6"/>
  <c r="AK23" i="6"/>
  <c r="AK16" i="6"/>
  <c r="AK22" i="6"/>
  <c r="AK27" i="6"/>
  <c r="E82" i="11"/>
  <c r="AK49" i="6"/>
  <c r="AJ63" i="6"/>
  <c r="AJ96" i="6" s="1"/>
  <c r="M82" i="15"/>
  <c r="AJ35" i="6"/>
  <c r="AK62" i="6"/>
  <c r="AK63" i="6" s="1"/>
  <c r="AK96" i="6" s="1"/>
  <c r="AK29" i="9" s="1"/>
  <c r="AK40" i="6"/>
  <c r="AK41" i="6"/>
  <c r="AK43" i="6"/>
  <c r="AK47" i="6"/>
  <c r="AK31" i="6"/>
  <c r="AK55" i="6"/>
  <c r="AK51" i="6"/>
  <c r="AK42" i="6"/>
  <c r="AK32" i="6"/>
  <c r="AK50" i="6"/>
  <c r="AK46" i="6"/>
  <c r="AK52" i="6"/>
  <c r="AK54" i="6"/>
  <c r="AL34" i="6"/>
  <c r="E27" i="11" s="1"/>
  <c r="AM1" i="6"/>
  <c r="AM89" i="6" s="1"/>
  <c r="AL33" i="6"/>
  <c r="E26" i="11" s="1"/>
  <c r="AL3" i="6"/>
  <c r="AL12" i="6" s="1"/>
  <c r="AK53" i="6"/>
  <c r="DU3" i="8"/>
  <c r="DT7" i="8"/>
  <c r="B85" i="18" l="1"/>
  <c r="AK48" i="6"/>
  <c r="AL27" i="6"/>
  <c r="AL25" i="6"/>
  <c r="AL24" i="6"/>
  <c r="AL20" i="6"/>
  <c r="AL26" i="6"/>
  <c r="AL45" i="6"/>
  <c r="AL23" i="6"/>
  <c r="AL21" i="6"/>
  <c r="E14" i="11" s="1"/>
  <c r="V69" i="12" s="1"/>
  <c r="AL16" i="6"/>
  <c r="AL22" i="6"/>
  <c r="AL13" i="6"/>
  <c r="E6" i="11" s="1"/>
  <c r="AL17" i="6"/>
  <c r="AL19" i="6"/>
  <c r="AL18" i="6"/>
  <c r="AL15" i="6"/>
  <c r="AL14" i="6"/>
  <c r="AL49" i="6"/>
  <c r="AL53" i="6"/>
  <c r="AJ29" i="9"/>
  <c r="M26" i="15"/>
  <c r="M27" i="15"/>
  <c r="AL50" i="6"/>
  <c r="AL32" i="6"/>
  <c r="E25" i="11" s="1"/>
  <c r="AL31" i="6"/>
  <c r="AK35" i="6"/>
  <c r="AL51" i="6"/>
  <c r="AL41" i="6"/>
  <c r="AL55" i="6"/>
  <c r="AL54" i="6"/>
  <c r="AL62" i="6"/>
  <c r="M55" i="15" s="1"/>
  <c r="AL40" i="6"/>
  <c r="AL42" i="6"/>
  <c r="AL52" i="6"/>
  <c r="AL46" i="6"/>
  <c r="AL47" i="6"/>
  <c r="AL43" i="6"/>
  <c r="AN1" i="6"/>
  <c r="AN89" i="6" s="1"/>
  <c r="AM33" i="6"/>
  <c r="AM3" i="6"/>
  <c r="AM12" i="6" s="1"/>
  <c r="AM34" i="6"/>
  <c r="DV3" i="8"/>
  <c r="DU7" i="8"/>
  <c r="B86" i="18" l="1"/>
  <c r="AL48" i="6"/>
  <c r="E41" i="11" s="1"/>
  <c r="D135" i="12" s="1"/>
  <c r="M14" i="15"/>
  <c r="E38" i="11"/>
  <c r="D132" i="12" s="1"/>
  <c r="M38" i="15"/>
  <c r="AM20" i="6"/>
  <c r="AM27" i="6"/>
  <c r="AM23" i="6"/>
  <c r="AM17" i="6"/>
  <c r="AM18" i="6"/>
  <c r="AM45" i="6"/>
  <c r="AM15" i="6"/>
  <c r="AM25" i="6"/>
  <c r="AM21" i="6"/>
  <c r="AM22" i="6"/>
  <c r="AM26" i="6"/>
  <c r="AM24" i="6"/>
  <c r="AM13" i="6"/>
  <c r="AM19" i="6"/>
  <c r="AM16" i="6"/>
  <c r="AM14" i="6"/>
  <c r="E9" i="11"/>
  <c r="V70" i="12" s="1"/>
  <c r="E20" i="11"/>
  <c r="E13" i="11"/>
  <c r="V68" i="12" s="1"/>
  <c r="E8" i="11"/>
  <c r="E10" i="11"/>
  <c r="M24" i="15"/>
  <c r="E15" i="11"/>
  <c r="E17" i="11"/>
  <c r="E16" i="11"/>
  <c r="E11" i="11"/>
  <c r="V72" i="12" s="1"/>
  <c r="E12" i="11"/>
  <c r="E7" i="11"/>
  <c r="E18" i="11"/>
  <c r="E19" i="11"/>
  <c r="E40" i="11"/>
  <c r="D134" i="12" s="1"/>
  <c r="E33" i="11"/>
  <c r="E39" i="11"/>
  <c r="D133" i="12" s="1"/>
  <c r="E35" i="11"/>
  <c r="D129" i="12" s="1"/>
  <c r="E47" i="11"/>
  <c r="D141" i="12" s="1"/>
  <c r="E48" i="11"/>
  <c r="D142" i="12" s="1"/>
  <c r="E42" i="11"/>
  <c r="D136" i="12" s="1"/>
  <c r="E36" i="11"/>
  <c r="D130" i="12" s="1"/>
  <c r="M46" i="15"/>
  <c r="M6" i="15"/>
  <c r="M42" i="15"/>
  <c r="AM49" i="6"/>
  <c r="M15" i="15"/>
  <c r="E46" i="11"/>
  <c r="D140" i="12" s="1"/>
  <c r="M25" i="15"/>
  <c r="M40" i="15"/>
  <c r="E43" i="11"/>
  <c r="D137" i="12" s="1"/>
  <c r="M43" i="15"/>
  <c r="E45" i="11"/>
  <c r="D139" i="12" s="1"/>
  <c r="M45" i="15"/>
  <c r="M48" i="15"/>
  <c r="M36" i="15"/>
  <c r="E34" i="11"/>
  <c r="D128" i="12" s="1"/>
  <c r="M34" i="15"/>
  <c r="M39" i="15"/>
  <c r="M35" i="15"/>
  <c r="E44" i="11"/>
  <c r="D138" i="12" s="1"/>
  <c r="M44" i="15"/>
  <c r="M47" i="15"/>
  <c r="M33" i="15"/>
  <c r="M11" i="15"/>
  <c r="M17" i="15"/>
  <c r="M13" i="15"/>
  <c r="M12" i="15"/>
  <c r="M16" i="15"/>
  <c r="M8" i="15"/>
  <c r="M18" i="15"/>
  <c r="M7" i="15"/>
  <c r="M10" i="15"/>
  <c r="M19" i="15"/>
  <c r="M20" i="15"/>
  <c r="M9" i="15"/>
  <c r="AM52" i="6"/>
  <c r="AL63" i="6"/>
  <c r="E55" i="11"/>
  <c r="AL35" i="6"/>
  <c r="E24" i="11"/>
  <c r="E28" i="11" s="1"/>
  <c r="AM62" i="6"/>
  <c r="AM40" i="6"/>
  <c r="AM42" i="6"/>
  <c r="AM46" i="6"/>
  <c r="AM55" i="6"/>
  <c r="AM47" i="6"/>
  <c r="AM50" i="6"/>
  <c r="AM54" i="6"/>
  <c r="AM41" i="6"/>
  <c r="AM53" i="6"/>
  <c r="AM31" i="6"/>
  <c r="AM32" i="6"/>
  <c r="AN33" i="6"/>
  <c r="AO1" i="6"/>
  <c r="AO89" i="6" s="1"/>
  <c r="N82" i="15" s="1"/>
  <c r="AN34" i="6"/>
  <c r="AN3" i="6"/>
  <c r="AN12" i="6" s="1"/>
  <c r="AM51" i="6"/>
  <c r="AM43" i="6"/>
  <c r="DW3" i="8"/>
  <c r="DV7" i="8"/>
  <c r="V67" i="12" l="1"/>
  <c r="C273" i="12"/>
  <c r="B87" i="18"/>
  <c r="M41" i="15"/>
  <c r="AM48" i="6"/>
  <c r="V96" i="12"/>
  <c r="D127" i="12"/>
  <c r="V71" i="12"/>
  <c r="V99" i="12"/>
  <c r="V98" i="12"/>
  <c r="AN27" i="6"/>
  <c r="AN20" i="6"/>
  <c r="AN22" i="6"/>
  <c r="AN21" i="6"/>
  <c r="AN17" i="6"/>
  <c r="AN19" i="6"/>
  <c r="AN23" i="6"/>
  <c r="AN15" i="6"/>
  <c r="AN24" i="6"/>
  <c r="AN25" i="6"/>
  <c r="AN45" i="6"/>
  <c r="AN16" i="6"/>
  <c r="AN18" i="6"/>
  <c r="AN26" i="6"/>
  <c r="AN13" i="6"/>
  <c r="AN14" i="6"/>
  <c r="D28" i="12"/>
  <c r="M28" i="15"/>
  <c r="AN49" i="6"/>
  <c r="E56" i="11"/>
  <c r="E89" i="11" s="1"/>
  <c r="D10" i="12" s="1"/>
  <c r="M56" i="15"/>
  <c r="AL96" i="6"/>
  <c r="AM63" i="6"/>
  <c r="AN42" i="6"/>
  <c r="AN62" i="6"/>
  <c r="AN63" i="6" s="1"/>
  <c r="AN96" i="6" s="1"/>
  <c r="AN29" i="9" s="1"/>
  <c r="AN40" i="6"/>
  <c r="AN47" i="6"/>
  <c r="AN55" i="6"/>
  <c r="AN53" i="6"/>
  <c r="AN50" i="6"/>
  <c r="AN52" i="6"/>
  <c r="AN31" i="6"/>
  <c r="AM35" i="6"/>
  <c r="AN51" i="6"/>
  <c r="AN43" i="6"/>
  <c r="AO33" i="6"/>
  <c r="N26" i="15" s="1"/>
  <c r="AO3" i="6"/>
  <c r="AO12" i="6" s="1"/>
  <c r="AO34" i="6"/>
  <c r="N27" i="15" s="1"/>
  <c r="AP1" i="6"/>
  <c r="AP89" i="6" s="1"/>
  <c r="AN41" i="6"/>
  <c r="AN54" i="6"/>
  <c r="AN46" i="6"/>
  <c r="AN32" i="6"/>
  <c r="DX3" i="8"/>
  <c r="DW7" i="8"/>
  <c r="B88" i="18" l="1"/>
  <c r="AN48" i="6"/>
  <c r="AO27" i="6"/>
  <c r="N20" i="15" s="1"/>
  <c r="AO18" i="6"/>
  <c r="N11" i="15" s="1"/>
  <c r="AO16" i="6"/>
  <c r="N9" i="15" s="1"/>
  <c r="AO23" i="6"/>
  <c r="N16" i="15" s="1"/>
  <c r="AO26" i="6"/>
  <c r="N19" i="15" s="1"/>
  <c r="AO13" i="6"/>
  <c r="N6" i="15" s="1"/>
  <c r="AO14" i="6"/>
  <c r="N7" i="15" s="1"/>
  <c r="AO45" i="6"/>
  <c r="AO21" i="6"/>
  <c r="N14" i="15" s="1"/>
  <c r="AO25" i="6"/>
  <c r="N18" i="15" s="1"/>
  <c r="AO22" i="6"/>
  <c r="AO24" i="6"/>
  <c r="N17" i="15" s="1"/>
  <c r="AO19" i="6"/>
  <c r="N12" i="15" s="1"/>
  <c r="AO17" i="6"/>
  <c r="N10" i="15" s="1"/>
  <c r="AO15" i="6"/>
  <c r="AO20" i="6"/>
  <c r="N13" i="15" s="1"/>
  <c r="AO49" i="6"/>
  <c r="N42" i="15" s="1"/>
  <c r="AM96" i="6"/>
  <c r="AL29" i="9"/>
  <c r="M89" i="15"/>
  <c r="AO62" i="6"/>
  <c r="AO63" i="6" s="1"/>
  <c r="AO96" i="6" s="1"/>
  <c r="AO29" i="9" s="1"/>
  <c r="AO40" i="6"/>
  <c r="N33" i="15" s="1"/>
  <c r="AN35" i="6"/>
  <c r="AO55" i="6"/>
  <c r="N48" i="15" s="1"/>
  <c r="AO32" i="6"/>
  <c r="N25" i="15" s="1"/>
  <c r="AO42" i="6"/>
  <c r="N35" i="15" s="1"/>
  <c r="AO52" i="6"/>
  <c r="N45" i="15" s="1"/>
  <c r="AO53" i="6"/>
  <c r="N46" i="15" s="1"/>
  <c r="AO54" i="6"/>
  <c r="N47" i="15" s="1"/>
  <c r="AO50" i="6"/>
  <c r="N43" i="15" s="1"/>
  <c r="AO46" i="6"/>
  <c r="N39" i="15" s="1"/>
  <c r="AO43" i="6"/>
  <c r="N36" i="15" s="1"/>
  <c r="AO41" i="6"/>
  <c r="N34" i="15" s="1"/>
  <c r="AO31" i="6"/>
  <c r="N24" i="15" s="1"/>
  <c r="AO51" i="6"/>
  <c r="N44" i="15" s="1"/>
  <c r="AP3" i="6"/>
  <c r="AP12" i="6" s="1"/>
  <c r="AP34" i="6"/>
  <c r="AQ1" i="6"/>
  <c r="AQ89" i="6" s="1"/>
  <c r="AP33" i="6"/>
  <c r="AO47" i="6"/>
  <c r="N40" i="15" s="1"/>
  <c r="DY3" i="8"/>
  <c r="DX7" i="8"/>
  <c r="B89" i="18" l="1"/>
  <c r="N8" i="15"/>
  <c r="AO48" i="6"/>
  <c r="N41" i="15" s="1"/>
  <c r="N38" i="15"/>
  <c r="AP27" i="6"/>
  <c r="AP22" i="6"/>
  <c r="AP26" i="6"/>
  <c r="AP15" i="6"/>
  <c r="AP19" i="6"/>
  <c r="AP13" i="6"/>
  <c r="AP16" i="6"/>
  <c r="AP23" i="6"/>
  <c r="AP20" i="6"/>
  <c r="AP25" i="6"/>
  <c r="AP24" i="6"/>
  <c r="AP45" i="6"/>
  <c r="AP14" i="6"/>
  <c r="AP21" i="6"/>
  <c r="AP18" i="6"/>
  <c r="AP17" i="6"/>
  <c r="AP49" i="6"/>
  <c r="N15" i="15"/>
  <c r="N55" i="15"/>
  <c r="N56" i="15"/>
  <c r="AM29" i="9"/>
  <c r="N89" i="15"/>
  <c r="N28" i="15"/>
  <c r="AP51" i="6"/>
  <c r="AP55" i="6"/>
  <c r="AO35" i="6"/>
  <c r="AP31" i="6"/>
  <c r="AP62" i="6"/>
  <c r="AP40" i="6"/>
  <c r="AP53" i="6"/>
  <c r="AP47" i="6"/>
  <c r="AP46" i="6"/>
  <c r="AP50" i="6"/>
  <c r="AP32" i="6"/>
  <c r="AP52" i="6"/>
  <c r="AP43" i="6"/>
  <c r="AP42" i="6"/>
  <c r="AQ33" i="6"/>
  <c r="AQ34" i="6"/>
  <c r="AQ3" i="6"/>
  <c r="AQ12" i="6" s="1"/>
  <c r="AR1" i="6"/>
  <c r="AR89" i="6" s="1"/>
  <c r="O82" i="15" s="1"/>
  <c r="AP54" i="6"/>
  <c r="AP41" i="6"/>
  <c r="DZ3" i="8"/>
  <c r="DY7" i="8"/>
  <c r="B90" i="18" l="1"/>
  <c r="AP48" i="6"/>
  <c r="AQ26" i="6"/>
  <c r="AQ27" i="6"/>
  <c r="AQ15" i="6"/>
  <c r="AQ19" i="6"/>
  <c r="AQ18" i="6"/>
  <c r="AQ13" i="6"/>
  <c r="AQ45" i="6"/>
  <c r="AQ24" i="6"/>
  <c r="AQ17" i="6"/>
  <c r="AQ23" i="6"/>
  <c r="AQ25" i="6"/>
  <c r="AQ21" i="6"/>
  <c r="AQ20" i="6"/>
  <c r="AQ22" i="6"/>
  <c r="AQ14" i="6"/>
  <c r="AQ16" i="6"/>
  <c r="AQ49" i="6"/>
  <c r="AQ31" i="6"/>
  <c r="AP63" i="6"/>
  <c r="AP96" i="6" s="1"/>
  <c r="AP35" i="6"/>
  <c r="AQ62" i="6"/>
  <c r="AQ63" i="6" s="1"/>
  <c r="AQ96" i="6" s="1"/>
  <c r="AQ29" i="9" s="1"/>
  <c r="AQ40" i="6"/>
  <c r="AQ51" i="6"/>
  <c r="AQ41" i="6"/>
  <c r="AQ43" i="6"/>
  <c r="AQ50" i="6"/>
  <c r="AQ52" i="6"/>
  <c r="AQ42" i="6"/>
  <c r="AQ47" i="6"/>
  <c r="AQ46" i="6"/>
  <c r="AQ53" i="6"/>
  <c r="AQ32" i="6"/>
  <c r="AS1" i="6"/>
  <c r="AS89" i="6" s="1"/>
  <c r="AR3" i="6"/>
  <c r="AR12" i="6" s="1"/>
  <c r="AR34" i="6"/>
  <c r="O27" i="15" s="1"/>
  <c r="AR33" i="6"/>
  <c r="O26" i="15" s="1"/>
  <c r="AQ55" i="6"/>
  <c r="AQ54" i="6"/>
  <c r="EA3" i="8"/>
  <c r="DZ7" i="8"/>
  <c r="B91" i="18" l="1"/>
  <c r="AQ48" i="6"/>
  <c r="AR25" i="6"/>
  <c r="O18" i="15" s="1"/>
  <c r="AR20" i="6"/>
  <c r="O13" i="15" s="1"/>
  <c r="AR18" i="6"/>
  <c r="O11" i="15" s="1"/>
  <c r="AR22" i="6"/>
  <c r="O15" i="15" s="1"/>
  <c r="AR23" i="6"/>
  <c r="O16" i="15" s="1"/>
  <c r="AR13" i="6"/>
  <c r="O6" i="15" s="1"/>
  <c r="AR26" i="6"/>
  <c r="O19" i="15" s="1"/>
  <c r="AR17" i="6"/>
  <c r="O10" i="15" s="1"/>
  <c r="AR16" i="6"/>
  <c r="O9" i="15" s="1"/>
  <c r="AR27" i="6"/>
  <c r="O20" i="15" s="1"/>
  <c r="AR19" i="6"/>
  <c r="O12" i="15" s="1"/>
  <c r="AR45" i="6"/>
  <c r="O38" i="15" s="1"/>
  <c r="AR14" i="6"/>
  <c r="O7" i="15" s="1"/>
  <c r="AR21" i="6"/>
  <c r="O14" i="15" s="1"/>
  <c r="AR24" i="6"/>
  <c r="O17" i="15" s="1"/>
  <c r="AR15" i="6"/>
  <c r="AR49" i="6"/>
  <c r="O42" i="15" s="1"/>
  <c r="AQ35" i="6"/>
  <c r="AR42" i="6"/>
  <c r="O35" i="15" s="1"/>
  <c r="AP29" i="9"/>
  <c r="AR51" i="6"/>
  <c r="O44" i="15" s="1"/>
  <c r="AR32" i="6"/>
  <c r="O25" i="15" s="1"/>
  <c r="AR41" i="6"/>
  <c r="O34" i="15" s="1"/>
  <c r="AR53" i="6"/>
  <c r="O46" i="15" s="1"/>
  <c r="AR47" i="6"/>
  <c r="O40" i="15" s="1"/>
  <c r="AR62" i="6"/>
  <c r="AR63" i="6" s="1"/>
  <c r="AR96" i="6" s="1"/>
  <c r="AR29" i="9" s="1"/>
  <c r="AR40" i="6"/>
  <c r="O33" i="15" s="1"/>
  <c r="AR46" i="6"/>
  <c r="O39" i="15" s="1"/>
  <c r="AR31" i="6"/>
  <c r="AR52" i="6"/>
  <c r="O45" i="15" s="1"/>
  <c r="AR43" i="6"/>
  <c r="O36" i="15" s="1"/>
  <c r="AR50" i="6"/>
  <c r="O43" i="15" s="1"/>
  <c r="AR54" i="6"/>
  <c r="O47" i="15" s="1"/>
  <c r="AR55" i="6"/>
  <c r="O48" i="15" s="1"/>
  <c r="AS34" i="6"/>
  <c r="AS3" i="6"/>
  <c r="AS12" i="6" s="1"/>
  <c r="AT1" i="6"/>
  <c r="AT89" i="6" s="1"/>
  <c r="AS33" i="6"/>
  <c r="EB3" i="8"/>
  <c r="EA7" i="8"/>
  <c r="B92" i="18" l="1"/>
  <c r="O8" i="15"/>
  <c r="AR48" i="6"/>
  <c r="O41" i="15" s="1"/>
  <c r="AS16" i="6"/>
  <c r="AS15" i="6"/>
  <c r="AS45" i="6"/>
  <c r="AS18" i="6"/>
  <c r="AS25" i="6"/>
  <c r="AS24" i="6"/>
  <c r="AS27" i="6"/>
  <c r="AS21" i="6"/>
  <c r="AS13" i="6"/>
  <c r="AS23" i="6"/>
  <c r="AS20" i="6"/>
  <c r="AS26" i="6"/>
  <c r="AS14" i="6"/>
  <c r="AS17" i="6"/>
  <c r="AS22" i="6"/>
  <c r="AS19" i="6"/>
  <c r="AS49" i="6"/>
  <c r="O89" i="15"/>
  <c r="O55" i="15"/>
  <c r="O56" i="15"/>
  <c r="AR35" i="6"/>
  <c r="O24" i="15"/>
  <c r="O28" i="15" s="1"/>
  <c r="AS62" i="6"/>
  <c r="AS40" i="6"/>
  <c r="AS50" i="6"/>
  <c r="AS41" i="6"/>
  <c r="AS51" i="6"/>
  <c r="AS53" i="6"/>
  <c r="AS47" i="6"/>
  <c r="AS54" i="6"/>
  <c r="AS31" i="6"/>
  <c r="AS32" i="6"/>
  <c r="AS55" i="6"/>
  <c r="AS52" i="6"/>
  <c r="AS46" i="6"/>
  <c r="AS43" i="6"/>
  <c r="AS42" i="6"/>
  <c r="AT34" i="6"/>
  <c r="AT33" i="6"/>
  <c r="AU1" i="6"/>
  <c r="AU89" i="6" s="1"/>
  <c r="P82" i="15" s="1"/>
  <c r="AT3" i="6"/>
  <c r="AT12" i="6" s="1"/>
  <c r="EC3" i="8"/>
  <c r="EB7" i="8"/>
  <c r="B93" i="18" l="1"/>
  <c r="AS48" i="6"/>
  <c r="AT15" i="6"/>
  <c r="AT22" i="6"/>
  <c r="AT17" i="6"/>
  <c r="AT13" i="6"/>
  <c r="AT16" i="6"/>
  <c r="AT19" i="6"/>
  <c r="AT24" i="6"/>
  <c r="AT27" i="6"/>
  <c r="AT25" i="6"/>
  <c r="AT45" i="6"/>
  <c r="AT20" i="6"/>
  <c r="AT23" i="6"/>
  <c r="AT26" i="6"/>
  <c r="AT18" i="6"/>
  <c r="AT21" i="6"/>
  <c r="AT14" i="6"/>
  <c r="AT49" i="6"/>
  <c r="AS63" i="6"/>
  <c r="AS96" i="6" s="1"/>
  <c r="AT62" i="6"/>
  <c r="AT63" i="6" s="1"/>
  <c r="AT96" i="6" s="1"/>
  <c r="AT29" i="9" s="1"/>
  <c r="AT40" i="6"/>
  <c r="AS35" i="6"/>
  <c r="AT51" i="6"/>
  <c r="AT41" i="6"/>
  <c r="AT53" i="6"/>
  <c r="AT52" i="6"/>
  <c r="AT42" i="6"/>
  <c r="AT31" i="6"/>
  <c r="AT55" i="6"/>
  <c r="AV1" i="6"/>
  <c r="AV89" i="6" s="1"/>
  <c r="AU34" i="6"/>
  <c r="P27" i="15" s="1"/>
  <c r="AU3" i="6"/>
  <c r="AU12" i="6" s="1"/>
  <c r="AU33" i="6"/>
  <c r="P26" i="15" s="1"/>
  <c r="AT43" i="6"/>
  <c r="AT32" i="6"/>
  <c r="AT50" i="6"/>
  <c r="AT54" i="6"/>
  <c r="AT46" i="6"/>
  <c r="AT47" i="6"/>
  <c r="ED3" i="8"/>
  <c r="EC7" i="8"/>
  <c r="B94" i="18" l="1"/>
  <c r="AT48" i="6"/>
  <c r="AU14" i="6"/>
  <c r="P7" i="15" s="1"/>
  <c r="AU23" i="6"/>
  <c r="P16" i="15" s="1"/>
  <c r="AU17" i="6"/>
  <c r="P10" i="15" s="1"/>
  <c r="AU27" i="6"/>
  <c r="P20" i="15" s="1"/>
  <c r="AU26" i="6"/>
  <c r="P19" i="15" s="1"/>
  <c r="AU24" i="6"/>
  <c r="P17" i="15" s="1"/>
  <c r="AU25" i="6"/>
  <c r="P18" i="15" s="1"/>
  <c r="AU45" i="6"/>
  <c r="P38" i="15" s="1"/>
  <c r="AU18" i="6"/>
  <c r="P11" i="15" s="1"/>
  <c r="AU15" i="6"/>
  <c r="AU20" i="6"/>
  <c r="P13" i="15" s="1"/>
  <c r="AU16" i="6"/>
  <c r="P9" i="15" s="1"/>
  <c r="AU19" i="6"/>
  <c r="P12" i="15" s="1"/>
  <c r="AU13" i="6"/>
  <c r="P6" i="15" s="1"/>
  <c r="AU22" i="6"/>
  <c r="P15" i="15" s="1"/>
  <c r="AU21" i="6"/>
  <c r="P14" i="15" s="1"/>
  <c r="AU49" i="6"/>
  <c r="P42" i="15" s="1"/>
  <c r="AS29" i="9"/>
  <c r="AU47" i="6"/>
  <c r="P40" i="15" s="1"/>
  <c r="AU62" i="6"/>
  <c r="AU63" i="6" s="1"/>
  <c r="AU96" i="6" s="1"/>
  <c r="AU29" i="9" s="1"/>
  <c r="AU40" i="6"/>
  <c r="P33" i="15" s="1"/>
  <c r="AU42" i="6"/>
  <c r="P35" i="15" s="1"/>
  <c r="AU46" i="6"/>
  <c r="P39" i="15" s="1"/>
  <c r="AU55" i="6"/>
  <c r="P48" i="15" s="1"/>
  <c r="AU53" i="6"/>
  <c r="P46" i="15" s="1"/>
  <c r="AU31" i="6"/>
  <c r="P24" i="15" s="1"/>
  <c r="AU51" i="6"/>
  <c r="P44" i="15" s="1"/>
  <c r="AT35" i="6"/>
  <c r="AU43" i="6"/>
  <c r="P36" i="15" s="1"/>
  <c r="AU50" i="6"/>
  <c r="P43" i="15" s="1"/>
  <c r="AU52" i="6"/>
  <c r="P45" i="15" s="1"/>
  <c r="AU32" i="6"/>
  <c r="P25" i="15" s="1"/>
  <c r="AU41" i="6"/>
  <c r="P34" i="15" s="1"/>
  <c r="AU54" i="6"/>
  <c r="P47" i="15" s="1"/>
  <c r="AV34" i="6"/>
  <c r="AW1" i="6"/>
  <c r="AW89" i="6" s="1"/>
  <c r="AV3" i="6"/>
  <c r="AV12" i="6" s="1"/>
  <c r="AV33" i="6"/>
  <c r="EE3" i="8"/>
  <c r="ED7" i="8"/>
  <c r="B95" i="18" l="1"/>
  <c r="P8" i="15"/>
  <c r="AU48" i="6"/>
  <c r="P41" i="15" s="1"/>
  <c r="AV18" i="6"/>
  <c r="AV16" i="6"/>
  <c r="AV15" i="6"/>
  <c r="AV26" i="6"/>
  <c r="AV25" i="6"/>
  <c r="AV23" i="6"/>
  <c r="AV19" i="6"/>
  <c r="AV22" i="6"/>
  <c r="AV24" i="6"/>
  <c r="AV14" i="6"/>
  <c r="AV21" i="6"/>
  <c r="AV27" i="6"/>
  <c r="AV13" i="6"/>
  <c r="AV20" i="6"/>
  <c r="AV17" i="6"/>
  <c r="AV45" i="6"/>
  <c r="AV49" i="6"/>
  <c r="P89" i="15"/>
  <c r="P55" i="15"/>
  <c r="P56" i="15"/>
  <c r="P28" i="15"/>
  <c r="AV62" i="6"/>
  <c r="AV40" i="6"/>
  <c r="AV31" i="6"/>
  <c r="AV52" i="6"/>
  <c r="AV53" i="6"/>
  <c r="AV54" i="6"/>
  <c r="AV41" i="6"/>
  <c r="AU35" i="6"/>
  <c r="AV55" i="6"/>
  <c r="AV50" i="6"/>
  <c r="AV47" i="6"/>
  <c r="AV51" i="6"/>
  <c r="AV46" i="6"/>
  <c r="AW33" i="6"/>
  <c r="AW3" i="6"/>
  <c r="AW12" i="6" s="1"/>
  <c r="AW34" i="6"/>
  <c r="AX1" i="6"/>
  <c r="AX89" i="6" s="1"/>
  <c r="AV32" i="6"/>
  <c r="AV42" i="6"/>
  <c r="AV43" i="6"/>
  <c r="EF3" i="8"/>
  <c r="EE7" i="8"/>
  <c r="B96" i="18" l="1"/>
  <c r="AV48" i="6"/>
  <c r="AW26" i="6"/>
  <c r="AW14" i="6"/>
  <c r="AW13" i="6"/>
  <c r="AW22" i="6"/>
  <c r="AW45" i="6"/>
  <c r="AW16" i="6"/>
  <c r="AW18" i="6"/>
  <c r="AW17" i="6"/>
  <c r="AW21" i="6"/>
  <c r="AW25" i="6"/>
  <c r="AW27" i="6"/>
  <c r="AW15" i="6"/>
  <c r="AW24" i="6"/>
  <c r="AW19" i="6"/>
  <c r="AW23" i="6"/>
  <c r="AW20" i="6"/>
  <c r="AW49" i="6"/>
  <c r="AV63" i="6"/>
  <c r="AV96" i="6" s="1"/>
  <c r="F82" i="11"/>
  <c r="Q82" i="15"/>
  <c r="AW62" i="6"/>
  <c r="AW63" i="6" s="1"/>
  <c r="AW96" i="6" s="1"/>
  <c r="AW29" i="9" s="1"/>
  <c r="AW40" i="6"/>
  <c r="AV35" i="6"/>
  <c r="AW47" i="6"/>
  <c r="AW31" i="6"/>
  <c r="AW43" i="6"/>
  <c r="AW46" i="6"/>
  <c r="AY1" i="6"/>
  <c r="AY89" i="6" s="1"/>
  <c r="AX33" i="6"/>
  <c r="F26" i="11" s="1"/>
  <c r="AX3" i="6"/>
  <c r="AX12" i="6" s="1"/>
  <c r="AX34" i="6"/>
  <c r="F27" i="11" s="1"/>
  <c r="AW32" i="6"/>
  <c r="AW52" i="6"/>
  <c r="AW53" i="6"/>
  <c r="AW54" i="6"/>
  <c r="AW51" i="6"/>
  <c r="AW50" i="6"/>
  <c r="AW55" i="6"/>
  <c r="AW41" i="6"/>
  <c r="AW42" i="6"/>
  <c r="EG3" i="8"/>
  <c r="EF7" i="8"/>
  <c r="B97" i="18" l="1"/>
  <c r="AW48" i="6"/>
  <c r="AX26" i="6"/>
  <c r="AX15" i="6"/>
  <c r="AX14" i="6"/>
  <c r="AX16" i="6"/>
  <c r="AX22" i="6"/>
  <c r="AX13" i="6"/>
  <c r="F6" i="11" s="1"/>
  <c r="AX23" i="6"/>
  <c r="AX18" i="6"/>
  <c r="AX25" i="6"/>
  <c r="AX19" i="6"/>
  <c r="AX17" i="6"/>
  <c r="AX27" i="6"/>
  <c r="AX20" i="6"/>
  <c r="AX45" i="6"/>
  <c r="F38" i="11" s="1"/>
  <c r="E132" i="12" s="1"/>
  <c r="N150" i="12" s="1"/>
  <c r="AX21" i="6"/>
  <c r="F14" i="11" s="1"/>
  <c r="W69" i="12" s="1"/>
  <c r="AX24" i="6"/>
  <c r="AX49" i="6"/>
  <c r="AV29" i="9"/>
  <c r="Q27" i="15"/>
  <c r="Q26" i="15"/>
  <c r="AX62" i="6"/>
  <c r="Q55" i="15" s="1"/>
  <c r="AX40" i="6"/>
  <c r="AX53" i="6"/>
  <c r="AX55" i="6"/>
  <c r="AX46" i="6"/>
  <c r="AX51" i="6"/>
  <c r="AX32" i="6"/>
  <c r="F25" i="11" s="1"/>
  <c r="AX43" i="6"/>
  <c r="AX50" i="6"/>
  <c r="AX47" i="6"/>
  <c r="AX52" i="6"/>
  <c r="AX41" i="6"/>
  <c r="AX42" i="6"/>
  <c r="AX54" i="6"/>
  <c r="AW35" i="6"/>
  <c r="AY34" i="6"/>
  <c r="AY3" i="6"/>
  <c r="AY12" i="6" s="1"/>
  <c r="AZ1" i="6"/>
  <c r="AZ89" i="6" s="1"/>
  <c r="AY33" i="6"/>
  <c r="AX31" i="6"/>
  <c r="EH3" i="8"/>
  <c r="EG7" i="8"/>
  <c r="B98" i="18" l="1"/>
  <c r="AX48" i="6"/>
  <c r="Q14" i="15"/>
  <c r="AY26" i="6"/>
  <c r="AY15" i="6"/>
  <c r="AY21" i="6"/>
  <c r="AY17" i="6"/>
  <c r="AY24" i="6"/>
  <c r="AY45" i="6"/>
  <c r="AY14" i="6"/>
  <c r="AY20" i="6"/>
  <c r="AY18" i="6"/>
  <c r="AY16" i="6"/>
  <c r="AY19" i="6"/>
  <c r="AY27" i="6"/>
  <c r="AY13" i="6"/>
  <c r="AY25" i="6"/>
  <c r="AY23" i="6"/>
  <c r="AY22" i="6"/>
  <c r="Q38" i="15"/>
  <c r="F19" i="11"/>
  <c r="F20" i="11"/>
  <c r="F17" i="11"/>
  <c r="F12" i="11"/>
  <c r="F9" i="11"/>
  <c r="W70" i="12" s="1"/>
  <c r="F7" i="11"/>
  <c r="F15" i="11"/>
  <c r="F13" i="11"/>
  <c r="W68" i="12" s="1"/>
  <c r="F18" i="11"/>
  <c r="F24" i="11"/>
  <c r="F28" i="11" s="1"/>
  <c r="F16" i="11"/>
  <c r="F8" i="11"/>
  <c r="F11" i="11"/>
  <c r="W72" i="12" s="1"/>
  <c r="F10" i="11"/>
  <c r="F40" i="11"/>
  <c r="E134" i="12" s="1"/>
  <c r="N152" i="12" s="1"/>
  <c r="F47" i="11"/>
  <c r="E141" i="12" s="1"/>
  <c r="N159" i="12" s="1"/>
  <c r="F43" i="11"/>
  <c r="E137" i="12" s="1"/>
  <c r="N155" i="12" s="1"/>
  <c r="F39" i="11"/>
  <c r="E133" i="12" s="1"/>
  <c r="N151" i="12" s="1"/>
  <c r="F35" i="11"/>
  <c r="E129" i="12" s="1"/>
  <c r="N147" i="12" s="1"/>
  <c r="F36" i="11"/>
  <c r="E130" i="12" s="1"/>
  <c r="N148" i="12" s="1"/>
  <c r="F44" i="11"/>
  <c r="E138" i="12" s="1"/>
  <c r="N156" i="12" s="1"/>
  <c r="F48" i="11"/>
  <c r="E142" i="12" s="1"/>
  <c r="N160" i="12" s="1"/>
  <c r="F42" i="11"/>
  <c r="E136" i="12" s="1"/>
  <c r="N154" i="12" s="1"/>
  <c r="F45" i="11"/>
  <c r="E139" i="12" s="1"/>
  <c r="N157" i="12" s="1"/>
  <c r="F33" i="11"/>
  <c r="Q42" i="15"/>
  <c r="AY49" i="6"/>
  <c r="Q6" i="15"/>
  <c r="Q15" i="15"/>
  <c r="Q25" i="15"/>
  <c r="Q36" i="15"/>
  <c r="Q45" i="15"/>
  <c r="Q44" i="15"/>
  <c r="Q47" i="15"/>
  <c r="F46" i="11"/>
  <c r="E140" i="12" s="1"/>
  <c r="N158" i="12" s="1"/>
  <c r="Q46" i="15"/>
  <c r="Q43" i="15"/>
  <c r="Q48" i="15"/>
  <c r="F34" i="11"/>
  <c r="E128" i="12" s="1"/>
  <c r="N146" i="12" s="1"/>
  <c r="Q34" i="15"/>
  <c r="Q40" i="15"/>
  <c r="Q39" i="15"/>
  <c r="Q35" i="15"/>
  <c r="Q33" i="15"/>
  <c r="Q24" i="15"/>
  <c r="Q19" i="15"/>
  <c r="Q12" i="15"/>
  <c r="Q10" i="15"/>
  <c r="Q11" i="15"/>
  <c r="Q17" i="15"/>
  <c r="Q7" i="15"/>
  <c r="Q16" i="15"/>
  <c r="Q20" i="15"/>
  <c r="Q9" i="15"/>
  <c r="Q8" i="15"/>
  <c r="Q18" i="15"/>
  <c r="Q13" i="15"/>
  <c r="AX63" i="6"/>
  <c r="F55" i="11"/>
  <c r="AY62" i="6"/>
  <c r="AY40" i="6"/>
  <c r="AY31" i="6"/>
  <c r="AY50" i="6"/>
  <c r="AY54" i="6"/>
  <c r="AX35" i="6"/>
  <c r="AY42" i="6"/>
  <c r="AY43" i="6"/>
  <c r="AY46" i="6"/>
  <c r="AY32" i="6"/>
  <c r="AY52" i="6"/>
  <c r="AY47" i="6"/>
  <c r="AY41" i="6"/>
  <c r="AY51" i="6"/>
  <c r="AY53" i="6"/>
  <c r="AY55" i="6"/>
  <c r="AZ33" i="6"/>
  <c r="AZ34" i="6"/>
  <c r="AZ3" i="6"/>
  <c r="AZ12" i="6" s="1"/>
  <c r="BA1" i="6"/>
  <c r="BA89" i="6" s="1"/>
  <c r="R82" i="15" s="1"/>
  <c r="EI3" i="8"/>
  <c r="EH7" i="8"/>
  <c r="D273" i="12" l="1"/>
  <c r="B99" i="18"/>
  <c r="Q41" i="15"/>
  <c r="F41" i="11"/>
  <c r="E135" i="12" s="1"/>
  <c r="N153" i="12" s="1"/>
  <c r="AY48" i="6"/>
  <c r="W96" i="12"/>
  <c r="E127" i="12"/>
  <c r="N145" i="12" s="1"/>
  <c r="W99" i="12"/>
  <c r="W98" i="12"/>
  <c r="W71" i="12"/>
  <c r="K45" i="12"/>
  <c r="W67" i="12"/>
  <c r="K49" i="12"/>
  <c r="K48" i="12"/>
  <c r="AZ18" i="6"/>
  <c r="AZ26" i="6"/>
  <c r="AZ27" i="6"/>
  <c r="AZ15" i="6"/>
  <c r="AZ17" i="6"/>
  <c r="AZ13" i="6"/>
  <c r="AZ16" i="6"/>
  <c r="AZ21" i="6"/>
  <c r="AZ22" i="6"/>
  <c r="AZ19" i="6"/>
  <c r="AZ20" i="6"/>
  <c r="AZ24" i="6"/>
  <c r="AZ23" i="6"/>
  <c r="AZ45" i="6"/>
  <c r="AZ25" i="6"/>
  <c r="AZ14" i="6"/>
  <c r="Q28" i="15"/>
  <c r="E28" i="12"/>
  <c r="AZ49" i="6"/>
  <c r="AX96" i="6"/>
  <c r="Q56" i="15"/>
  <c r="F56" i="11"/>
  <c r="F89" i="11" s="1"/>
  <c r="E10" i="12" s="1"/>
  <c r="AY63" i="6"/>
  <c r="AY35" i="6"/>
  <c r="AZ62" i="6"/>
  <c r="AZ63" i="6" s="1"/>
  <c r="AZ96" i="6" s="1"/>
  <c r="AZ29" i="9" s="1"/>
  <c r="AZ40" i="6"/>
  <c r="AZ55" i="6"/>
  <c r="AZ50" i="6"/>
  <c r="AZ47" i="6"/>
  <c r="BA33" i="6"/>
  <c r="R26" i="15" s="1"/>
  <c r="BA34" i="6"/>
  <c r="R27" i="15" s="1"/>
  <c r="BB1" i="6"/>
  <c r="BB89" i="6" s="1"/>
  <c r="BA3" i="6"/>
  <c r="BA12" i="6" s="1"/>
  <c r="AZ52" i="6"/>
  <c r="AZ41" i="6"/>
  <c r="AZ31" i="6"/>
  <c r="AZ51" i="6"/>
  <c r="AZ54" i="6"/>
  <c r="AZ53" i="6"/>
  <c r="AZ46" i="6"/>
  <c r="AZ32" i="6"/>
  <c r="AZ42" i="6"/>
  <c r="AZ43" i="6"/>
  <c r="EJ3" i="8"/>
  <c r="EI7" i="8"/>
  <c r="B100" i="18" l="1"/>
  <c r="AZ48" i="6"/>
  <c r="BA25" i="6"/>
  <c r="R18" i="15" s="1"/>
  <c r="BA14" i="6"/>
  <c r="R7" i="15" s="1"/>
  <c r="BA27" i="6"/>
  <c r="R20" i="15" s="1"/>
  <c r="BA15" i="6"/>
  <c r="BA18" i="6"/>
  <c r="R11" i="15" s="1"/>
  <c r="BA17" i="6"/>
  <c r="R10" i="15" s="1"/>
  <c r="BA21" i="6"/>
  <c r="R14" i="15" s="1"/>
  <c r="BA13" i="6"/>
  <c r="BA45" i="6"/>
  <c r="BA16" i="6"/>
  <c r="R9" i="15" s="1"/>
  <c r="BA24" i="6"/>
  <c r="R17" i="15" s="1"/>
  <c r="BA19" i="6"/>
  <c r="R12" i="15" s="1"/>
  <c r="BA26" i="6"/>
  <c r="R19" i="15" s="1"/>
  <c r="BA22" i="6"/>
  <c r="BA23" i="6"/>
  <c r="R16" i="15" s="1"/>
  <c r="BA20" i="6"/>
  <c r="R13" i="15" s="1"/>
  <c r="BA49" i="6"/>
  <c r="R42" i="15" s="1"/>
  <c r="R6" i="15"/>
  <c r="AY96" i="6"/>
  <c r="AX29" i="9"/>
  <c r="Q89" i="15"/>
  <c r="BA62" i="6"/>
  <c r="BA63" i="6" s="1"/>
  <c r="BA96" i="6" s="1"/>
  <c r="BA29" i="9" s="1"/>
  <c r="BA40" i="6"/>
  <c r="R33" i="15" s="1"/>
  <c r="BA51" i="6"/>
  <c r="R44" i="15" s="1"/>
  <c r="BA41" i="6"/>
  <c r="R34" i="15" s="1"/>
  <c r="BA46" i="6"/>
  <c r="R39" i="15" s="1"/>
  <c r="BA52" i="6"/>
  <c r="R45" i="15" s="1"/>
  <c r="BA31" i="6"/>
  <c r="R24" i="15" s="1"/>
  <c r="BA47" i="6"/>
  <c r="R40" i="15" s="1"/>
  <c r="BA42" i="6"/>
  <c r="R35" i="15" s="1"/>
  <c r="BA32" i="6"/>
  <c r="R25" i="15" s="1"/>
  <c r="AZ35" i="6"/>
  <c r="BA43" i="6"/>
  <c r="R36" i="15" s="1"/>
  <c r="BA54" i="6"/>
  <c r="R47" i="15" s="1"/>
  <c r="BA53" i="6"/>
  <c r="R46" i="15" s="1"/>
  <c r="BA50" i="6"/>
  <c r="R43" i="15" s="1"/>
  <c r="BB3" i="6"/>
  <c r="BB33" i="6"/>
  <c r="BC1" i="6"/>
  <c r="BC89" i="6" s="1"/>
  <c r="BB34" i="6"/>
  <c r="BA55" i="6"/>
  <c r="R48" i="15" s="1"/>
  <c r="EK3" i="8"/>
  <c r="EJ7" i="8"/>
  <c r="BB51" i="6" l="1"/>
  <c r="BB12" i="6"/>
  <c r="B101" i="18"/>
  <c r="R8" i="15"/>
  <c r="BA48" i="6"/>
  <c r="R41" i="15" s="1"/>
  <c r="R38" i="15"/>
  <c r="BB26" i="6"/>
  <c r="BB18" i="6"/>
  <c r="BB21" i="6"/>
  <c r="BB20" i="6"/>
  <c r="BB15" i="6"/>
  <c r="BB25" i="6"/>
  <c r="BB45" i="6"/>
  <c r="BB16" i="6"/>
  <c r="BB17" i="6"/>
  <c r="BB13" i="6"/>
  <c r="BB27" i="6"/>
  <c r="BB14" i="6"/>
  <c r="BB22" i="6"/>
  <c r="BB23" i="6"/>
  <c r="BB24" i="6"/>
  <c r="BB19" i="6"/>
  <c r="BB49" i="6"/>
  <c r="R15" i="15"/>
  <c r="R55" i="15"/>
  <c r="R56" i="15"/>
  <c r="AY29" i="9"/>
  <c r="R89" i="15"/>
  <c r="R28" i="15"/>
  <c r="BB52" i="6"/>
  <c r="BB62" i="6"/>
  <c r="BB40" i="6"/>
  <c r="BB43" i="6"/>
  <c r="BA35" i="6"/>
  <c r="BB46" i="6"/>
  <c r="BB41" i="6"/>
  <c r="BB31" i="6"/>
  <c r="BB42" i="6"/>
  <c r="BB47" i="6"/>
  <c r="BB50" i="6"/>
  <c r="BB55" i="6"/>
  <c r="BB53" i="6"/>
  <c r="BB54" i="6"/>
  <c r="BB32" i="6"/>
  <c r="BC34" i="6"/>
  <c r="BC3" i="6"/>
  <c r="BC12" i="6" s="1"/>
  <c r="BC33" i="6"/>
  <c r="BD1" i="6"/>
  <c r="BD89" i="6" s="1"/>
  <c r="S82" i="15" s="1"/>
  <c r="EL3" i="8"/>
  <c r="EK7" i="8"/>
  <c r="B102" i="18" l="1"/>
  <c r="BB48" i="6"/>
  <c r="BC21" i="6"/>
  <c r="BC19" i="6"/>
  <c r="BC23" i="6"/>
  <c r="BC17" i="6"/>
  <c r="BC20" i="6"/>
  <c r="BC25" i="6"/>
  <c r="BC27" i="6"/>
  <c r="BC14" i="6"/>
  <c r="BC18" i="6"/>
  <c r="BC45" i="6"/>
  <c r="BC24" i="6"/>
  <c r="BC16" i="6"/>
  <c r="BC15" i="6"/>
  <c r="BC13" i="6"/>
  <c r="BC26" i="6"/>
  <c r="BC22" i="6"/>
  <c r="BC49" i="6"/>
  <c r="BB63" i="6"/>
  <c r="BB96" i="6" s="1"/>
  <c r="BC62" i="6"/>
  <c r="BC63" i="6" s="1"/>
  <c r="BC96" i="6" s="1"/>
  <c r="BC29" i="9" s="1"/>
  <c r="BC40" i="6"/>
  <c r="BC55" i="6"/>
  <c r="BC52" i="6"/>
  <c r="BC42" i="6"/>
  <c r="BC47" i="6"/>
  <c r="BC54" i="6"/>
  <c r="BC50" i="6"/>
  <c r="BB35" i="6"/>
  <c r="BC32" i="6"/>
  <c r="BC41" i="6"/>
  <c r="BC53" i="6"/>
  <c r="BD34" i="6"/>
  <c r="S27" i="15" s="1"/>
  <c r="BE1" i="6"/>
  <c r="BE89" i="6" s="1"/>
  <c r="BD3" i="6"/>
  <c r="BD12" i="6" s="1"/>
  <c r="BD33" i="6"/>
  <c r="S26" i="15" s="1"/>
  <c r="BC46" i="6"/>
  <c r="BC31" i="6"/>
  <c r="BC51" i="6"/>
  <c r="BC43" i="6"/>
  <c r="EM3" i="8"/>
  <c r="EL7" i="8"/>
  <c r="B103" i="18" l="1"/>
  <c r="BC48" i="6"/>
  <c r="BD21" i="6"/>
  <c r="S14" i="15" s="1"/>
  <c r="BD15" i="6"/>
  <c r="BD24" i="6"/>
  <c r="S17" i="15" s="1"/>
  <c r="BD27" i="6"/>
  <c r="S20" i="15" s="1"/>
  <c r="BD17" i="6"/>
  <c r="S10" i="15" s="1"/>
  <c r="BD25" i="6"/>
  <c r="S18" i="15" s="1"/>
  <c r="BD13" i="6"/>
  <c r="S6" i="15" s="1"/>
  <c r="BD45" i="6"/>
  <c r="S38" i="15" s="1"/>
  <c r="BD22" i="6"/>
  <c r="S15" i="15" s="1"/>
  <c r="BD19" i="6"/>
  <c r="S12" i="15" s="1"/>
  <c r="BD14" i="6"/>
  <c r="S7" i="15" s="1"/>
  <c r="BD23" i="6"/>
  <c r="S16" i="15" s="1"/>
  <c r="BD20" i="6"/>
  <c r="S13" i="15" s="1"/>
  <c r="BD26" i="6"/>
  <c r="S19" i="15" s="1"/>
  <c r="BD18" i="6"/>
  <c r="S11" i="15" s="1"/>
  <c r="BD16" i="6"/>
  <c r="S9" i="15" s="1"/>
  <c r="BD49" i="6"/>
  <c r="S42" i="15" s="1"/>
  <c r="BD50" i="6"/>
  <c r="S43" i="15" s="1"/>
  <c r="BB29" i="9"/>
  <c r="BD62" i="6"/>
  <c r="BD63" i="6" s="1"/>
  <c r="BD96" i="6" s="1"/>
  <c r="BD29" i="9" s="1"/>
  <c r="BD40" i="6"/>
  <c r="S33" i="15" s="1"/>
  <c r="BC35" i="6"/>
  <c r="BD46" i="6"/>
  <c r="S39" i="15" s="1"/>
  <c r="BD52" i="6"/>
  <c r="S45" i="15" s="1"/>
  <c r="BD54" i="6"/>
  <c r="S47" i="15" s="1"/>
  <c r="BD31" i="6"/>
  <c r="S24" i="15" s="1"/>
  <c r="BD41" i="6"/>
  <c r="S34" i="15" s="1"/>
  <c r="BD42" i="6"/>
  <c r="S35" i="15" s="1"/>
  <c r="BD43" i="6"/>
  <c r="S36" i="15" s="1"/>
  <c r="BE34" i="6"/>
  <c r="BE3" i="6"/>
  <c r="BE12" i="6" s="1"/>
  <c r="BF1" i="6"/>
  <c r="BF89" i="6" s="1"/>
  <c r="BE33" i="6"/>
  <c r="BD32" i="6"/>
  <c r="S25" i="15" s="1"/>
  <c r="BD55" i="6"/>
  <c r="S48" i="15" s="1"/>
  <c r="BD51" i="6"/>
  <c r="S44" i="15" s="1"/>
  <c r="BD53" i="6"/>
  <c r="S46" i="15" s="1"/>
  <c r="BD47" i="6"/>
  <c r="S40" i="15" s="1"/>
  <c r="EN3" i="8"/>
  <c r="EM7" i="8"/>
  <c r="B104" i="18" l="1"/>
  <c r="S8" i="15"/>
  <c r="BD48" i="6"/>
  <c r="S41" i="15" s="1"/>
  <c r="BE18" i="6"/>
  <c r="BE16" i="6"/>
  <c r="BE17" i="6"/>
  <c r="BE15" i="6"/>
  <c r="BE19" i="6"/>
  <c r="BE24" i="6"/>
  <c r="BE27" i="6"/>
  <c r="BE13" i="6"/>
  <c r="BE20" i="6"/>
  <c r="BE14" i="6"/>
  <c r="BE23" i="6"/>
  <c r="BE45" i="6"/>
  <c r="BE21" i="6"/>
  <c r="BE22" i="6"/>
  <c r="BE25" i="6"/>
  <c r="BE26" i="6"/>
  <c r="BE49" i="6"/>
  <c r="S89" i="15"/>
  <c r="S55" i="15"/>
  <c r="S56" i="15"/>
  <c r="S28" i="15"/>
  <c r="BE55" i="6"/>
  <c r="BE43" i="6"/>
  <c r="BE62" i="6"/>
  <c r="BE40" i="6"/>
  <c r="BE54" i="6"/>
  <c r="BE52" i="6"/>
  <c r="BD35" i="6"/>
  <c r="BE32" i="6"/>
  <c r="BE51" i="6"/>
  <c r="BE46" i="6"/>
  <c r="BE31" i="6"/>
  <c r="BE41" i="6"/>
  <c r="BE53" i="6"/>
  <c r="BE42" i="6"/>
  <c r="BE47" i="6"/>
  <c r="BF34" i="6"/>
  <c r="BG1" i="6"/>
  <c r="BG89" i="6" s="1"/>
  <c r="T82" i="15" s="1"/>
  <c r="BF33" i="6"/>
  <c r="BF3" i="6"/>
  <c r="BF12" i="6" s="1"/>
  <c r="BE50" i="6"/>
  <c r="EO3" i="8"/>
  <c r="EN7" i="8"/>
  <c r="B105" i="18" l="1"/>
  <c r="BE48" i="6"/>
  <c r="BF21" i="6"/>
  <c r="BF19" i="6"/>
  <c r="BF24" i="6"/>
  <c r="BF23" i="6"/>
  <c r="BF27" i="6"/>
  <c r="BF15" i="6"/>
  <c r="BF22" i="6"/>
  <c r="BF20" i="6"/>
  <c r="BF13" i="6"/>
  <c r="BF45" i="6"/>
  <c r="BF17" i="6"/>
  <c r="BF25" i="6"/>
  <c r="BF16" i="6"/>
  <c r="BF14" i="6"/>
  <c r="BF26" i="6"/>
  <c r="BF18" i="6"/>
  <c r="BF49" i="6"/>
  <c r="BE63" i="6"/>
  <c r="BE96" i="6" s="1"/>
  <c r="BF62" i="6"/>
  <c r="BF63" i="6" s="1"/>
  <c r="BF96" i="6" s="1"/>
  <c r="BF29" i="9" s="1"/>
  <c r="BF40" i="6"/>
  <c r="BE35" i="6"/>
  <c r="BF47" i="6"/>
  <c r="BF42" i="6"/>
  <c r="BF43" i="6"/>
  <c r="BF55" i="6"/>
  <c r="BF50" i="6"/>
  <c r="BF51" i="6"/>
  <c r="BF46" i="6"/>
  <c r="BF41" i="6"/>
  <c r="BH1" i="6"/>
  <c r="BH89" i="6" s="1"/>
  <c r="BG3" i="6"/>
  <c r="BG12" i="6" s="1"/>
  <c r="BG33" i="6"/>
  <c r="T26" i="15" s="1"/>
  <c r="BG34" i="6"/>
  <c r="T27" i="15" s="1"/>
  <c r="BF31" i="6"/>
  <c r="BF52" i="6"/>
  <c r="BF53" i="6"/>
  <c r="BF32" i="6"/>
  <c r="BF54" i="6"/>
  <c r="EP3" i="8"/>
  <c r="EO7" i="8"/>
  <c r="B106" i="18" l="1"/>
  <c r="BF48" i="6"/>
  <c r="BG27" i="6"/>
  <c r="T20" i="15" s="1"/>
  <c r="BG21" i="6"/>
  <c r="T14" i="15" s="1"/>
  <c r="BG18" i="6"/>
  <c r="T11" i="15" s="1"/>
  <c r="BG13" i="6"/>
  <c r="BG26" i="6"/>
  <c r="T19" i="15" s="1"/>
  <c r="BG24" i="6"/>
  <c r="T17" i="15" s="1"/>
  <c r="BG15" i="6"/>
  <c r="BG23" i="6"/>
  <c r="T16" i="15" s="1"/>
  <c r="BG22" i="6"/>
  <c r="T15" i="15" s="1"/>
  <c r="BG14" i="6"/>
  <c r="T7" i="15" s="1"/>
  <c r="BG45" i="6"/>
  <c r="T38" i="15" s="1"/>
  <c r="BG16" i="6"/>
  <c r="T9" i="15" s="1"/>
  <c r="BG17" i="6"/>
  <c r="T10" i="15" s="1"/>
  <c r="BG25" i="6"/>
  <c r="T18" i="15" s="1"/>
  <c r="BG20" i="6"/>
  <c r="T13" i="15" s="1"/>
  <c r="BG19" i="6"/>
  <c r="T12" i="15" s="1"/>
  <c r="BG49" i="6"/>
  <c r="T42" i="15" s="1"/>
  <c r="T6" i="15"/>
  <c r="BE29" i="9"/>
  <c r="BG62" i="6"/>
  <c r="BG63" i="6" s="1"/>
  <c r="BG96" i="6" s="1"/>
  <c r="BG29" i="9" s="1"/>
  <c r="BG40" i="6"/>
  <c r="T33" i="15" s="1"/>
  <c r="BG54" i="6"/>
  <c r="T47" i="15" s="1"/>
  <c r="BG53" i="6"/>
  <c r="T46" i="15" s="1"/>
  <c r="BG50" i="6"/>
  <c r="T43" i="15" s="1"/>
  <c r="BG31" i="6"/>
  <c r="T24" i="15" s="1"/>
  <c r="BG51" i="6"/>
  <c r="T44" i="15" s="1"/>
  <c r="BG47" i="6"/>
  <c r="T40" i="15" s="1"/>
  <c r="BF35" i="6"/>
  <c r="BG52" i="6"/>
  <c r="T45" i="15" s="1"/>
  <c r="BG55" i="6"/>
  <c r="T48" i="15" s="1"/>
  <c r="BG46" i="6"/>
  <c r="T39" i="15" s="1"/>
  <c r="BG42" i="6"/>
  <c r="T35" i="15" s="1"/>
  <c r="BH33" i="6"/>
  <c r="BH3" i="6"/>
  <c r="BH12" i="6" s="1"/>
  <c r="BI1" i="6"/>
  <c r="BI89" i="6" s="1"/>
  <c r="BH34" i="6"/>
  <c r="BG41" i="6"/>
  <c r="T34" i="15" s="1"/>
  <c r="BG43" i="6"/>
  <c r="T36" i="15" s="1"/>
  <c r="BG32" i="6"/>
  <c r="T25" i="15" s="1"/>
  <c r="EQ3" i="8"/>
  <c r="EP7" i="8"/>
  <c r="B107" i="18" l="1"/>
  <c r="T8" i="15"/>
  <c r="BG48" i="6"/>
  <c r="T41" i="15" s="1"/>
  <c r="BH18" i="6"/>
  <c r="BH27" i="6"/>
  <c r="BH26" i="6"/>
  <c r="BH20" i="6"/>
  <c r="BH23" i="6"/>
  <c r="BH45" i="6"/>
  <c r="BH25" i="6"/>
  <c r="BH19" i="6"/>
  <c r="BH13" i="6"/>
  <c r="BH21" i="6"/>
  <c r="BH22" i="6"/>
  <c r="BH17" i="6"/>
  <c r="BH24" i="6"/>
  <c r="BH15" i="6"/>
  <c r="BH16" i="6"/>
  <c r="BH14" i="6"/>
  <c r="BH49" i="6"/>
  <c r="T89" i="15"/>
  <c r="T56" i="15"/>
  <c r="T55" i="15"/>
  <c r="T28" i="15"/>
  <c r="BH62" i="6"/>
  <c r="BH40" i="6"/>
  <c r="BG35" i="6"/>
  <c r="BH47" i="6"/>
  <c r="BH52" i="6"/>
  <c r="BH54" i="6"/>
  <c r="BH53" i="6"/>
  <c r="BH43" i="6"/>
  <c r="BH42" i="6"/>
  <c r="BH51" i="6"/>
  <c r="BH41" i="6"/>
  <c r="BH46" i="6"/>
  <c r="BH50" i="6"/>
  <c r="BH32" i="6"/>
  <c r="BH55" i="6"/>
  <c r="BI33" i="6"/>
  <c r="BI3" i="6"/>
  <c r="BI12" i="6" s="1"/>
  <c r="BJ1" i="6"/>
  <c r="BJ89" i="6" s="1"/>
  <c r="BI34" i="6"/>
  <c r="BH31" i="6"/>
  <c r="ER3" i="8"/>
  <c r="EQ7" i="8"/>
  <c r="B108" i="18" l="1"/>
  <c r="BH48" i="6"/>
  <c r="BI27" i="6"/>
  <c r="BI18" i="6"/>
  <c r="BI22" i="6"/>
  <c r="BI17" i="6"/>
  <c r="BI26" i="6"/>
  <c r="BI14" i="6"/>
  <c r="BI23" i="6"/>
  <c r="BI24" i="6"/>
  <c r="BI16" i="6"/>
  <c r="BI21" i="6"/>
  <c r="BI25" i="6"/>
  <c r="BI45" i="6"/>
  <c r="BI15" i="6"/>
  <c r="BI19" i="6"/>
  <c r="BI20" i="6"/>
  <c r="BI13" i="6"/>
  <c r="G82" i="11"/>
  <c r="BI49" i="6"/>
  <c r="BI52" i="6"/>
  <c r="BH63" i="6"/>
  <c r="BH96" i="6" s="1"/>
  <c r="U82" i="15"/>
  <c r="BI62" i="6"/>
  <c r="BI63" i="6" s="1"/>
  <c r="BI96" i="6" s="1"/>
  <c r="BI29" i="9" s="1"/>
  <c r="BI40" i="6"/>
  <c r="BI32" i="6"/>
  <c r="BI51" i="6"/>
  <c r="BI43" i="6"/>
  <c r="BI31" i="6"/>
  <c r="BI55" i="6"/>
  <c r="BI41" i="6"/>
  <c r="BI50" i="6"/>
  <c r="BH35" i="6"/>
  <c r="BI47" i="6"/>
  <c r="BI46" i="6"/>
  <c r="BJ33" i="6"/>
  <c r="G26" i="11" s="1"/>
  <c r="BJ3" i="6"/>
  <c r="BJ12" i="6" s="1"/>
  <c r="BK1" i="6"/>
  <c r="BK89" i="6" s="1"/>
  <c r="BJ34" i="6"/>
  <c r="G27" i="11" s="1"/>
  <c r="BI42" i="6"/>
  <c r="BI54" i="6"/>
  <c r="BI53" i="6"/>
  <c r="ES3" i="8"/>
  <c r="ER7" i="8"/>
  <c r="B109" i="18" l="1"/>
  <c r="BI48" i="6"/>
  <c r="BJ27" i="6"/>
  <c r="BJ22" i="6"/>
  <c r="BJ23" i="6"/>
  <c r="BJ24" i="6"/>
  <c r="BJ14" i="6"/>
  <c r="BJ45" i="6"/>
  <c r="BJ18" i="6"/>
  <c r="BJ17" i="6"/>
  <c r="BJ21" i="6"/>
  <c r="G14" i="11" s="1"/>
  <c r="X69" i="12" s="1"/>
  <c r="BJ26" i="6"/>
  <c r="BJ15" i="6"/>
  <c r="BJ25" i="6"/>
  <c r="BJ19" i="6"/>
  <c r="BJ20" i="6"/>
  <c r="BJ13" i="6"/>
  <c r="G6" i="11" s="1"/>
  <c r="BJ16" i="6"/>
  <c r="BJ49" i="6"/>
  <c r="BH29" i="9"/>
  <c r="U27" i="15"/>
  <c r="U26" i="15"/>
  <c r="BI35" i="6"/>
  <c r="BJ62" i="6"/>
  <c r="U55" i="15" s="1"/>
  <c r="BJ40" i="6"/>
  <c r="BJ52" i="6"/>
  <c r="BJ31" i="6"/>
  <c r="BJ50" i="6"/>
  <c r="BJ54" i="6"/>
  <c r="BJ43" i="6"/>
  <c r="BJ51" i="6"/>
  <c r="BJ47" i="6"/>
  <c r="BJ32" i="6"/>
  <c r="G25" i="11" s="1"/>
  <c r="BJ41" i="6"/>
  <c r="BJ42" i="6"/>
  <c r="BJ55" i="6"/>
  <c r="BJ53" i="6"/>
  <c r="BJ46" i="6"/>
  <c r="BL1" i="6"/>
  <c r="BL89" i="6" s="1"/>
  <c r="BK3" i="6"/>
  <c r="BK12" i="6" s="1"/>
  <c r="BK34" i="6"/>
  <c r="BK33" i="6"/>
  <c r="ET3" i="8"/>
  <c r="ES7" i="8"/>
  <c r="B110" i="18" l="1"/>
  <c r="BJ48" i="6"/>
  <c r="U14" i="15"/>
  <c r="G38" i="11"/>
  <c r="F132" i="12" s="1"/>
  <c r="U38" i="15"/>
  <c r="BK27" i="6"/>
  <c r="BK15" i="6"/>
  <c r="BK20" i="6"/>
  <c r="BK16" i="6"/>
  <c r="BK21" i="6"/>
  <c r="BK13" i="6"/>
  <c r="BK25" i="6"/>
  <c r="BK18" i="6"/>
  <c r="BK26" i="6"/>
  <c r="BK23" i="6"/>
  <c r="BK45" i="6"/>
  <c r="BK22" i="6"/>
  <c r="BK14" i="6"/>
  <c r="BK19" i="6"/>
  <c r="BK24" i="6"/>
  <c r="BK17" i="6"/>
  <c r="G17" i="11"/>
  <c r="G16" i="11"/>
  <c r="G10" i="11"/>
  <c r="G7" i="11"/>
  <c r="G24" i="11"/>
  <c r="G28" i="11" s="1"/>
  <c r="G20" i="11"/>
  <c r="G11" i="11"/>
  <c r="X72" i="12" s="1"/>
  <c r="G15" i="11"/>
  <c r="G9" i="11"/>
  <c r="X70" i="12" s="1"/>
  <c r="G8" i="11"/>
  <c r="G13" i="11"/>
  <c r="X68" i="12" s="1"/>
  <c r="G12" i="11"/>
  <c r="G19" i="11"/>
  <c r="G39" i="11"/>
  <c r="F133" i="12" s="1"/>
  <c r="G48" i="11"/>
  <c r="F142" i="12" s="1"/>
  <c r="G44" i="11"/>
  <c r="F138" i="12" s="1"/>
  <c r="G43" i="11"/>
  <c r="F137" i="12" s="1"/>
  <c r="G46" i="11"/>
  <c r="F140" i="12" s="1"/>
  <c r="G33" i="11"/>
  <c r="G42" i="11"/>
  <c r="F136" i="12" s="1"/>
  <c r="G36" i="11"/>
  <c r="F130" i="12" s="1"/>
  <c r="G34" i="11"/>
  <c r="F128" i="12" s="1"/>
  <c r="U42" i="15"/>
  <c r="BK49" i="6"/>
  <c r="U6" i="15"/>
  <c r="U15" i="15"/>
  <c r="U25" i="15"/>
  <c r="U44" i="15"/>
  <c r="G47" i="11"/>
  <c r="F141" i="12" s="1"/>
  <c r="U47" i="15"/>
  <c r="U36" i="15"/>
  <c r="G40" i="11"/>
  <c r="F134" i="12" s="1"/>
  <c r="U40" i="15"/>
  <c r="U39" i="15"/>
  <c r="U34" i="15"/>
  <c r="G45" i="11"/>
  <c r="F139" i="12" s="1"/>
  <c r="U45" i="15"/>
  <c r="U43" i="15"/>
  <c r="G35" i="11"/>
  <c r="F129" i="12" s="1"/>
  <c r="U35" i="15"/>
  <c r="U48" i="15"/>
  <c r="U46" i="15"/>
  <c r="U33" i="15"/>
  <c r="U24" i="15"/>
  <c r="U17" i="15"/>
  <c r="U12" i="15"/>
  <c r="U10" i="15"/>
  <c r="U20" i="15"/>
  <c r="U19" i="15"/>
  <c r="U7" i="15"/>
  <c r="U11" i="15"/>
  <c r="U9" i="15"/>
  <c r="G18" i="11"/>
  <c r="U18" i="15"/>
  <c r="U13" i="15"/>
  <c r="U16" i="15"/>
  <c r="U8" i="15"/>
  <c r="BJ63" i="6"/>
  <c r="G55" i="11"/>
  <c r="BK62" i="6"/>
  <c r="BK40" i="6"/>
  <c r="BJ35" i="6"/>
  <c r="BK32" i="6"/>
  <c r="BK55" i="6"/>
  <c r="BK54" i="6"/>
  <c r="BK52" i="6"/>
  <c r="BK51" i="6"/>
  <c r="BK31" i="6"/>
  <c r="BK43" i="6"/>
  <c r="BK42" i="6"/>
  <c r="BK53" i="6"/>
  <c r="BK50" i="6"/>
  <c r="BK47" i="6"/>
  <c r="BL3" i="6"/>
  <c r="BL12" i="6" s="1"/>
  <c r="BL34" i="6"/>
  <c r="BL33" i="6"/>
  <c r="BM1" i="6"/>
  <c r="BM89" i="6" s="1"/>
  <c r="V82" i="15" s="1"/>
  <c r="BK46" i="6"/>
  <c r="BK41" i="6"/>
  <c r="EU3" i="8"/>
  <c r="ET7" i="8"/>
  <c r="X67" i="12" l="1"/>
  <c r="E273" i="12"/>
  <c r="B111" i="18"/>
  <c r="U41" i="15"/>
  <c r="G41" i="11"/>
  <c r="F135" i="12" s="1"/>
  <c r="BK48" i="6"/>
  <c r="X96" i="12"/>
  <c r="F127" i="12"/>
  <c r="X99" i="12"/>
  <c r="X98" i="12"/>
  <c r="X71" i="12"/>
  <c r="BL27" i="6"/>
  <c r="BL21" i="6"/>
  <c r="BL20" i="6"/>
  <c r="BL13" i="6"/>
  <c r="BL19" i="6"/>
  <c r="BL26" i="6"/>
  <c r="BL25" i="6"/>
  <c r="BL17" i="6"/>
  <c r="BL18" i="6"/>
  <c r="BL23" i="6"/>
  <c r="BL16" i="6"/>
  <c r="BL24" i="6"/>
  <c r="BL45" i="6"/>
  <c r="BL14" i="6"/>
  <c r="BL15" i="6"/>
  <c r="BL22" i="6"/>
  <c r="F28" i="12"/>
  <c r="BL49" i="6"/>
  <c r="BJ96" i="6"/>
  <c r="U56" i="15"/>
  <c r="U28" i="15"/>
  <c r="G56" i="11"/>
  <c r="G89" i="11" s="1"/>
  <c r="F10" i="12" s="1"/>
  <c r="BK63" i="6"/>
  <c r="BK35" i="6"/>
  <c r="BL62" i="6"/>
  <c r="BL63" i="6" s="1"/>
  <c r="BL96" i="6" s="1"/>
  <c r="BL29" i="9" s="1"/>
  <c r="BL40" i="6"/>
  <c r="BL54" i="6"/>
  <c r="BL50" i="6"/>
  <c r="BL52" i="6"/>
  <c r="BL53" i="6"/>
  <c r="BL51" i="6"/>
  <c r="BL43" i="6"/>
  <c r="BL55" i="6"/>
  <c r="BL46" i="6"/>
  <c r="BL31" i="6"/>
  <c r="BL32" i="6"/>
  <c r="BL41" i="6"/>
  <c r="BL47" i="6"/>
  <c r="BL42" i="6"/>
  <c r="BN1" i="6"/>
  <c r="BN89" i="6" s="1"/>
  <c r="BM3" i="6"/>
  <c r="BM12" i="6" s="1"/>
  <c r="BM34" i="6"/>
  <c r="V27" i="15" s="1"/>
  <c r="BM33" i="6"/>
  <c r="V26" i="15" s="1"/>
  <c r="EV3" i="8"/>
  <c r="EU7" i="8"/>
  <c r="B112" i="18" l="1"/>
  <c r="BL48" i="6"/>
  <c r="BM25" i="6"/>
  <c r="V18" i="15" s="1"/>
  <c r="BM23" i="6"/>
  <c r="V16" i="15" s="1"/>
  <c r="BM17" i="6"/>
  <c r="V10" i="15" s="1"/>
  <c r="BM18" i="6"/>
  <c r="V11" i="15" s="1"/>
  <c r="BM14" i="6"/>
  <c r="V7" i="15" s="1"/>
  <c r="BM15" i="6"/>
  <c r="BM45" i="6"/>
  <c r="V38" i="15" s="1"/>
  <c r="BM27" i="6"/>
  <c r="V20" i="15" s="1"/>
  <c r="BM21" i="6"/>
  <c r="V14" i="15" s="1"/>
  <c r="BM13" i="6"/>
  <c r="V6" i="15" s="1"/>
  <c r="BM20" i="6"/>
  <c r="V13" i="15" s="1"/>
  <c r="BM24" i="6"/>
  <c r="V17" i="15" s="1"/>
  <c r="BM26" i="6"/>
  <c r="V19" i="15" s="1"/>
  <c r="BM22" i="6"/>
  <c r="V15" i="15" s="1"/>
  <c r="BM16" i="6"/>
  <c r="V9" i="15" s="1"/>
  <c r="BM19" i="6"/>
  <c r="V12" i="15" s="1"/>
  <c r="BM49" i="6"/>
  <c r="V42" i="15" s="1"/>
  <c r="BK96" i="6"/>
  <c r="BJ29" i="9"/>
  <c r="U89" i="15"/>
  <c r="BM54" i="6"/>
  <c r="V47" i="15" s="1"/>
  <c r="BM52" i="6"/>
  <c r="V45" i="15" s="1"/>
  <c r="BM62" i="6"/>
  <c r="BM63" i="6" s="1"/>
  <c r="BM96" i="6" s="1"/>
  <c r="BM29" i="9" s="1"/>
  <c r="BM40" i="6"/>
  <c r="V33" i="15" s="1"/>
  <c r="BM32" i="6"/>
  <c r="V25" i="15" s="1"/>
  <c r="BM43" i="6"/>
  <c r="V36" i="15" s="1"/>
  <c r="BM41" i="6"/>
  <c r="V34" i="15" s="1"/>
  <c r="BL35" i="6"/>
  <c r="BM53" i="6"/>
  <c r="V46" i="15" s="1"/>
  <c r="BM46" i="6"/>
  <c r="V39" i="15" s="1"/>
  <c r="BM31" i="6"/>
  <c r="V24" i="15" s="1"/>
  <c r="BM47" i="6"/>
  <c r="V40" i="15" s="1"/>
  <c r="BM51" i="6"/>
  <c r="V44" i="15" s="1"/>
  <c r="BM50" i="6"/>
  <c r="V43" i="15" s="1"/>
  <c r="BM42" i="6"/>
  <c r="V35" i="15" s="1"/>
  <c r="BM55" i="6"/>
  <c r="V48" i="15" s="1"/>
  <c r="BO1" i="6"/>
  <c r="BO89" i="6" s="1"/>
  <c r="BN33" i="6"/>
  <c r="BN3" i="6"/>
  <c r="BN12" i="6" s="1"/>
  <c r="BN34" i="6"/>
  <c r="EW3" i="8"/>
  <c r="EV7" i="8"/>
  <c r="B113" i="18" l="1"/>
  <c r="B114" i="18" s="1"/>
  <c r="V8" i="15"/>
  <c r="BM48" i="6"/>
  <c r="V41" i="15" s="1"/>
  <c r="BN23" i="6"/>
  <c r="BN25" i="6"/>
  <c r="BN19" i="6"/>
  <c r="BN15" i="6"/>
  <c r="BN14" i="6"/>
  <c r="BN45" i="6"/>
  <c r="BN13" i="6"/>
  <c r="BN16" i="6"/>
  <c r="BN20" i="6"/>
  <c r="BN27" i="6"/>
  <c r="BN21" i="6"/>
  <c r="BN26" i="6"/>
  <c r="BN17" i="6"/>
  <c r="BN18" i="6"/>
  <c r="BN24" i="6"/>
  <c r="BN22" i="6"/>
  <c r="BN49" i="6"/>
  <c r="BN31" i="6"/>
  <c r="V55" i="15"/>
  <c r="V28" i="15"/>
  <c r="V56" i="15"/>
  <c r="BK29" i="9"/>
  <c r="V89" i="15"/>
  <c r="BM35" i="6"/>
  <c r="BN62" i="6"/>
  <c r="BN40" i="6"/>
  <c r="BN42" i="6"/>
  <c r="BN54" i="6"/>
  <c r="BN41" i="6"/>
  <c r="BN53" i="6"/>
  <c r="BN32" i="6"/>
  <c r="BN46" i="6"/>
  <c r="BN43" i="6"/>
  <c r="BN50" i="6"/>
  <c r="BN47" i="6"/>
  <c r="BN51" i="6"/>
  <c r="BN55" i="6"/>
  <c r="BN52" i="6"/>
  <c r="BO3" i="6"/>
  <c r="BO12" i="6" s="1"/>
  <c r="BO33" i="6"/>
  <c r="BP1" i="6"/>
  <c r="BP89" i="6" s="1"/>
  <c r="W82" i="15" s="1"/>
  <c r="BO34" i="6"/>
  <c r="EX3" i="8"/>
  <c r="EW7" i="8"/>
  <c r="BN48" i="6" l="1"/>
  <c r="BO23" i="6"/>
  <c r="BO25" i="6"/>
  <c r="BO14" i="6"/>
  <c r="BO16" i="6"/>
  <c r="BO22" i="6"/>
  <c r="BO19" i="6"/>
  <c r="BO13" i="6"/>
  <c r="BO18" i="6"/>
  <c r="BO24" i="6"/>
  <c r="BO27" i="6"/>
  <c r="BO21" i="6"/>
  <c r="BO45" i="6"/>
  <c r="BO20" i="6"/>
  <c r="BO26" i="6"/>
  <c r="BO17" i="6"/>
  <c r="BO15" i="6"/>
  <c r="BO49" i="6"/>
  <c r="BO31" i="6"/>
  <c r="BN63" i="6"/>
  <c r="BN96" i="6" s="1"/>
  <c r="BN35" i="6"/>
  <c r="BO51" i="6"/>
  <c r="BO47" i="6"/>
  <c r="BO52" i="6"/>
  <c r="BO62" i="6"/>
  <c r="BO63" i="6" s="1"/>
  <c r="BO96" i="6" s="1"/>
  <c r="BO29" i="9" s="1"/>
  <c r="BO40" i="6"/>
  <c r="BO42" i="6"/>
  <c r="BO53" i="6"/>
  <c r="BO41" i="6"/>
  <c r="BO50" i="6"/>
  <c r="BO43" i="6"/>
  <c r="BP33" i="6"/>
  <c r="W26" i="15" s="1"/>
  <c r="BP3" i="6"/>
  <c r="BP12" i="6" s="1"/>
  <c r="BP34" i="6"/>
  <c r="W27" i="15" s="1"/>
  <c r="BQ1" i="6"/>
  <c r="BQ89" i="6" s="1"/>
  <c r="BO55" i="6"/>
  <c r="BO54" i="6"/>
  <c r="BO32" i="6"/>
  <c r="BO46" i="6"/>
  <c r="EY3" i="8"/>
  <c r="EX7" i="8"/>
  <c r="BO48" i="6" l="1"/>
  <c r="BP23" i="6"/>
  <c r="W16" i="15" s="1"/>
  <c r="BP18" i="6"/>
  <c r="W11" i="15" s="1"/>
  <c r="BP17" i="6"/>
  <c r="W10" i="15" s="1"/>
  <c r="BP22" i="6"/>
  <c r="W15" i="15" s="1"/>
  <c r="BP15" i="6"/>
  <c r="BP21" i="6"/>
  <c r="W14" i="15" s="1"/>
  <c r="BP19" i="6"/>
  <c r="W12" i="15" s="1"/>
  <c r="BP26" i="6"/>
  <c r="W19" i="15" s="1"/>
  <c r="BP27" i="6"/>
  <c r="W20" i="15" s="1"/>
  <c r="BP16" i="6"/>
  <c r="W9" i="15" s="1"/>
  <c r="BP14" i="6"/>
  <c r="W7" i="15" s="1"/>
  <c r="BP25" i="6"/>
  <c r="W18" i="15" s="1"/>
  <c r="BP13" i="6"/>
  <c r="W6" i="15" s="1"/>
  <c r="BP45" i="6"/>
  <c r="W38" i="15" s="1"/>
  <c r="BP24" i="6"/>
  <c r="W17" i="15" s="1"/>
  <c r="BP20" i="6"/>
  <c r="W13" i="15" s="1"/>
  <c r="BP49" i="6"/>
  <c r="W42" i="15" s="1"/>
  <c r="BN29" i="9"/>
  <c r="BP51" i="6"/>
  <c r="W44" i="15" s="1"/>
  <c r="BP55" i="6"/>
  <c r="W48" i="15" s="1"/>
  <c r="BP46" i="6"/>
  <c r="W39" i="15" s="1"/>
  <c r="BP62" i="6"/>
  <c r="BP63" i="6" s="1"/>
  <c r="BP96" i="6" s="1"/>
  <c r="BP29" i="9" s="1"/>
  <c r="BP40" i="6"/>
  <c r="W33" i="15" s="1"/>
  <c r="BP41" i="6"/>
  <c r="W34" i="15" s="1"/>
  <c r="BP43" i="6"/>
  <c r="W36" i="15" s="1"/>
  <c r="BP47" i="6"/>
  <c r="W40" i="15" s="1"/>
  <c r="BP52" i="6"/>
  <c r="W45" i="15" s="1"/>
  <c r="BP42" i="6"/>
  <c r="W35" i="15" s="1"/>
  <c r="BP53" i="6"/>
  <c r="W46" i="15" s="1"/>
  <c r="BP32" i="6"/>
  <c r="W25" i="15" s="1"/>
  <c r="BP31" i="6"/>
  <c r="W24" i="15" s="1"/>
  <c r="BR1" i="6"/>
  <c r="BR89" i="6" s="1"/>
  <c r="BQ3" i="6"/>
  <c r="BQ12" i="6" s="1"/>
  <c r="BQ33" i="6"/>
  <c r="BQ34" i="6"/>
  <c r="BP54" i="6"/>
  <c r="W47" i="15" s="1"/>
  <c r="BO35" i="6"/>
  <c r="BP50" i="6"/>
  <c r="W43" i="15" s="1"/>
  <c r="EZ3" i="8"/>
  <c r="EY7" i="8"/>
  <c r="W8" i="15" l="1"/>
  <c r="BP48" i="6"/>
  <c r="W41" i="15" s="1"/>
  <c r="BQ23" i="6"/>
  <c r="BQ25" i="6"/>
  <c r="BQ15" i="6"/>
  <c r="BQ13" i="6"/>
  <c r="BQ22" i="6"/>
  <c r="BQ24" i="6"/>
  <c r="BQ19" i="6"/>
  <c r="BQ17" i="6"/>
  <c r="BQ21" i="6"/>
  <c r="BQ20" i="6"/>
  <c r="BQ26" i="6"/>
  <c r="BQ14" i="6"/>
  <c r="BQ27" i="6"/>
  <c r="BQ45" i="6"/>
  <c r="BQ16" i="6"/>
  <c r="BQ18" i="6"/>
  <c r="BQ49" i="6"/>
  <c r="W55" i="15"/>
  <c r="W89" i="15"/>
  <c r="W28" i="15"/>
  <c r="W56" i="15"/>
  <c r="BQ62" i="6"/>
  <c r="BQ40" i="6"/>
  <c r="BQ54" i="6"/>
  <c r="BQ53" i="6"/>
  <c r="BP35" i="6"/>
  <c r="BQ41" i="6"/>
  <c r="BQ51" i="6"/>
  <c r="BQ32" i="6"/>
  <c r="BQ55" i="6"/>
  <c r="BQ31" i="6"/>
  <c r="BQ50" i="6"/>
  <c r="BQ43" i="6"/>
  <c r="BR33" i="6"/>
  <c r="BR34" i="6"/>
  <c r="BR3" i="6"/>
  <c r="BR12" i="6" s="1"/>
  <c r="BS1" i="6"/>
  <c r="BS89" i="6" s="1"/>
  <c r="X82" i="15" s="1"/>
  <c r="BQ46" i="6"/>
  <c r="BQ42" i="6"/>
  <c r="BQ52" i="6"/>
  <c r="BQ47" i="6"/>
  <c r="FA3" i="8"/>
  <c r="EZ7" i="8"/>
  <c r="BQ48" i="6" l="1"/>
  <c r="BR25" i="6"/>
  <c r="BR20" i="6"/>
  <c r="BR16" i="6"/>
  <c r="BR18" i="6"/>
  <c r="BR19" i="6"/>
  <c r="BR45" i="6"/>
  <c r="BR27" i="6"/>
  <c r="BR15" i="6"/>
  <c r="BR24" i="6"/>
  <c r="BR17" i="6"/>
  <c r="BR21" i="6"/>
  <c r="BR26" i="6"/>
  <c r="BR23" i="6"/>
  <c r="BR14" i="6"/>
  <c r="BR13" i="6"/>
  <c r="BR22" i="6"/>
  <c r="BR49" i="6"/>
  <c r="BQ63" i="6"/>
  <c r="BQ96" i="6" s="1"/>
  <c r="BR62" i="6"/>
  <c r="BR63" i="6" s="1"/>
  <c r="BR96" i="6" s="1"/>
  <c r="BR29" i="9" s="1"/>
  <c r="BR40" i="6"/>
  <c r="BQ35" i="6"/>
  <c r="BR54" i="6"/>
  <c r="BR46" i="6"/>
  <c r="BR51" i="6"/>
  <c r="BR55" i="6"/>
  <c r="BR50" i="6"/>
  <c r="BR53" i="6"/>
  <c r="BR52" i="6"/>
  <c r="BR42" i="6"/>
  <c r="BR31" i="6"/>
  <c r="BR41" i="6"/>
  <c r="BR32" i="6"/>
  <c r="BR43" i="6"/>
  <c r="BS3" i="6"/>
  <c r="BS12" i="6" s="1"/>
  <c r="BT1" i="6"/>
  <c r="BT89" i="6" s="1"/>
  <c r="BS34" i="6"/>
  <c r="X27" i="15" s="1"/>
  <c r="BS33" i="6"/>
  <c r="X26" i="15" s="1"/>
  <c r="BR47" i="6"/>
  <c r="FB3" i="8"/>
  <c r="FA7" i="8"/>
  <c r="BR48" i="6" l="1"/>
  <c r="BS25" i="6"/>
  <c r="X18" i="15" s="1"/>
  <c r="BS13" i="6"/>
  <c r="BS19" i="6"/>
  <c r="X12" i="15" s="1"/>
  <c r="BS24" i="6"/>
  <c r="X17" i="15" s="1"/>
  <c r="BS26" i="6"/>
  <c r="X19" i="15" s="1"/>
  <c r="BS45" i="6"/>
  <c r="X38" i="15" s="1"/>
  <c r="BS21" i="6"/>
  <c r="X14" i="15" s="1"/>
  <c r="BS16" i="6"/>
  <c r="X9" i="15" s="1"/>
  <c r="BS27" i="6"/>
  <c r="X20" i="15" s="1"/>
  <c r="BS15" i="6"/>
  <c r="BS22" i="6"/>
  <c r="X15" i="15" s="1"/>
  <c r="BS17" i="6"/>
  <c r="X10" i="15" s="1"/>
  <c r="BS18" i="6"/>
  <c r="X11" i="15" s="1"/>
  <c r="BS23" i="6"/>
  <c r="X16" i="15" s="1"/>
  <c r="BS20" i="6"/>
  <c r="X13" i="15" s="1"/>
  <c r="BS14" i="6"/>
  <c r="X7" i="15" s="1"/>
  <c r="BS49" i="6"/>
  <c r="X42" i="15" s="1"/>
  <c r="X6" i="15"/>
  <c r="BQ29" i="9"/>
  <c r="BS62" i="6"/>
  <c r="BS63" i="6" s="1"/>
  <c r="BS96" i="6" s="1"/>
  <c r="BS29" i="9" s="1"/>
  <c r="BS40" i="6"/>
  <c r="X33" i="15" s="1"/>
  <c r="BS55" i="6"/>
  <c r="X48" i="15" s="1"/>
  <c r="BS41" i="6"/>
  <c r="X34" i="15" s="1"/>
  <c r="BS52" i="6"/>
  <c r="X45" i="15" s="1"/>
  <c r="BS32" i="6"/>
  <c r="X25" i="15" s="1"/>
  <c r="BS50" i="6"/>
  <c r="X43" i="15" s="1"/>
  <c r="BS43" i="6"/>
  <c r="X36" i="15" s="1"/>
  <c r="BU1" i="6"/>
  <c r="BU89" i="6" s="1"/>
  <c r="BT33" i="6"/>
  <c r="BT3" i="6"/>
  <c r="BT12" i="6" s="1"/>
  <c r="BT34" i="6"/>
  <c r="BS51" i="6"/>
  <c r="X44" i="15" s="1"/>
  <c r="BR35" i="6"/>
  <c r="BS53" i="6"/>
  <c r="X46" i="15" s="1"/>
  <c r="BS46" i="6"/>
  <c r="X39" i="15" s="1"/>
  <c r="BS42" i="6"/>
  <c r="X35" i="15" s="1"/>
  <c r="BS31" i="6"/>
  <c r="X24" i="15" s="1"/>
  <c r="BS47" i="6"/>
  <c r="X40" i="15" s="1"/>
  <c r="BS54" i="6"/>
  <c r="X47" i="15" s="1"/>
  <c r="FC3" i="8"/>
  <c r="FB7" i="8"/>
  <c r="X8" i="15" l="1"/>
  <c r="BS48" i="6"/>
  <c r="X41" i="15" s="1"/>
  <c r="BT45" i="6"/>
  <c r="BT22" i="6"/>
  <c r="BT24" i="6"/>
  <c r="BT25" i="6"/>
  <c r="BT21" i="6"/>
  <c r="BT19" i="6"/>
  <c r="BT16" i="6"/>
  <c r="BT18" i="6"/>
  <c r="BT27" i="6"/>
  <c r="BT20" i="6"/>
  <c r="BT23" i="6"/>
  <c r="BT14" i="6"/>
  <c r="BT26" i="6"/>
  <c r="BT17" i="6"/>
  <c r="BT15" i="6"/>
  <c r="BT13" i="6"/>
  <c r="BT49" i="6"/>
  <c r="X55" i="15"/>
  <c r="X89" i="15"/>
  <c r="X56" i="15"/>
  <c r="X28" i="15"/>
  <c r="BT62" i="6"/>
  <c r="BT40" i="6"/>
  <c r="BT32" i="6"/>
  <c r="BT42" i="6"/>
  <c r="BT31" i="6"/>
  <c r="BT43" i="6"/>
  <c r="BT52" i="6"/>
  <c r="BT50" i="6"/>
  <c r="BT55" i="6"/>
  <c r="BT51" i="6"/>
  <c r="BT46" i="6"/>
  <c r="BS35" i="6"/>
  <c r="BT54" i="6"/>
  <c r="BU33" i="6"/>
  <c r="BU34" i="6"/>
  <c r="BV1" i="6"/>
  <c r="BV89" i="6" s="1"/>
  <c r="BU3" i="6"/>
  <c r="BU12" i="6" s="1"/>
  <c r="BT47" i="6"/>
  <c r="BT53" i="6"/>
  <c r="BT41" i="6"/>
  <c r="FD3" i="8"/>
  <c r="FC7" i="8"/>
  <c r="BT48" i="6" l="1"/>
  <c r="BU22" i="6"/>
  <c r="BU16" i="6"/>
  <c r="BU27" i="6"/>
  <c r="BU18" i="6"/>
  <c r="BU13" i="6"/>
  <c r="BU45" i="6"/>
  <c r="BU25" i="6"/>
  <c r="BU19" i="6"/>
  <c r="BU14" i="6"/>
  <c r="BU26" i="6"/>
  <c r="BU20" i="6"/>
  <c r="BU15" i="6"/>
  <c r="BU23" i="6"/>
  <c r="BU24" i="6"/>
  <c r="BU21" i="6"/>
  <c r="BU17" i="6"/>
  <c r="H82" i="11"/>
  <c r="BU49" i="6"/>
  <c r="BU54" i="6"/>
  <c r="BT63" i="6"/>
  <c r="BT96" i="6" s="1"/>
  <c r="Y82" i="15"/>
  <c r="BU62" i="6"/>
  <c r="BU63" i="6" s="1"/>
  <c r="BU96" i="6" s="1"/>
  <c r="BU29" i="9" s="1"/>
  <c r="BU40" i="6"/>
  <c r="BU31" i="6"/>
  <c r="BT35" i="6"/>
  <c r="BU32" i="6"/>
  <c r="BU41" i="6"/>
  <c r="BU53" i="6"/>
  <c r="BU43" i="6"/>
  <c r="BU42" i="6"/>
  <c r="BU46" i="6"/>
  <c r="BV33" i="6"/>
  <c r="H26" i="11" s="1"/>
  <c r="BV3" i="6"/>
  <c r="BV12" i="6" s="1"/>
  <c r="BV34" i="6"/>
  <c r="H27" i="11" s="1"/>
  <c r="BW1" i="6"/>
  <c r="BW89" i="6" s="1"/>
  <c r="BU52" i="6"/>
  <c r="BU50" i="6"/>
  <c r="BU47" i="6"/>
  <c r="BU55" i="6"/>
  <c r="BU51" i="6"/>
  <c r="FE3" i="8"/>
  <c r="FD7" i="8"/>
  <c r="BU48" i="6" l="1"/>
  <c r="BV22" i="6"/>
  <c r="BV26" i="6"/>
  <c r="BV23" i="6"/>
  <c r="BV20" i="6"/>
  <c r="BV45" i="6"/>
  <c r="BV13" i="6"/>
  <c r="BV27" i="6"/>
  <c r="BV16" i="6"/>
  <c r="BV17" i="6"/>
  <c r="BV25" i="6"/>
  <c r="BV24" i="6"/>
  <c r="BV18" i="6"/>
  <c r="BV14" i="6"/>
  <c r="BV15" i="6"/>
  <c r="BV19" i="6"/>
  <c r="BV21" i="6"/>
  <c r="H14" i="11" s="1"/>
  <c r="Y69" i="12" s="1"/>
  <c r="BV49" i="6"/>
  <c r="H6" i="11"/>
  <c r="BT29" i="9"/>
  <c r="Y26" i="15"/>
  <c r="Y27" i="15"/>
  <c r="BV62" i="6"/>
  <c r="Y55" i="15" s="1"/>
  <c r="BV40" i="6"/>
  <c r="BU35" i="6"/>
  <c r="BV55" i="6"/>
  <c r="BV46" i="6"/>
  <c r="BV53" i="6"/>
  <c r="BV50" i="6"/>
  <c r="BV32" i="6"/>
  <c r="H25" i="11" s="1"/>
  <c r="BV52" i="6"/>
  <c r="BV51" i="6"/>
  <c r="BV31" i="6"/>
  <c r="BV43" i="6"/>
  <c r="BV41" i="6"/>
  <c r="BX1" i="6"/>
  <c r="BX89" i="6" s="1"/>
  <c r="BW33" i="6"/>
  <c r="BW34" i="6"/>
  <c r="BW3" i="6"/>
  <c r="BW12" i="6" s="1"/>
  <c r="BV54" i="6"/>
  <c r="BV47" i="6"/>
  <c r="BV42" i="6"/>
  <c r="FF3" i="8"/>
  <c r="FE7" i="8"/>
  <c r="BV48" i="6" l="1"/>
  <c r="BW26" i="6"/>
  <c r="BW22" i="6"/>
  <c r="BW20" i="6"/>
  <c r="BW15" i="6"/>
  <c r="BW25" i="6"/>
  <c r="BW14" i="6"/>
  <c r="BW19" i="6"/>
  <c r="BW27" i="6"/>
  <c r="BW23" i="6"/>
  <c r="BW45" i="6"/>
  <c r="BW18" i="6"/>
  <c r="BW24" i="6"/>
  <c r="BW21" i="6"/>
  <c r="BW16" i="6"/>
  <c r="BW17" i="6"/>
  <c r="BW13" i="6"/>
  <c r="H38" i="11"/>
  <c r="G132" i="12" s="1"/>
  <c r="Y38" i="15"/>
  <c r="Y14" i="15"/>
  <c r="H24" i="11"/>
  <c r="H28" i="11" s="1"/>
  <c r="H18" i="11"/>
  <c r="H10" i="11"/>
  <c r="H13" i="11"/>
  <c r="Y68" i="12" s="1"/>
  <c r="H17" i="11"/>
  <c r="H12" i="11"/>
  <c r="H15" i="11"/>
  <c r="H20" i="11"/>
  <c r="H9" i="11"/>
  <c r="Y70" i="12" s="1"/>
  <c r="H16" i="11"/>
  <c r="H8" i="11"/>
  <c r="H43" i="11"/>
  <c r="G137" i="12" s="1"/>
  <c r="H46" i="11"/>
  <c r="G140" i="12" s="1"/>
  <c r="H39" i="11"/>
  <c r="G133" i="12" s="1"/>
  <c r="H34" i="11"/>
  <c r="G128" i="12" s="1"/>
  <c r="H44" i="11"/>
  <c r="G138" i="12" s="1"/>
  <c r="H45" i="11"/>
  <c r="G139" i="12" s="1"/>
  <c r="H48" i="11"/>
  <c r="G142" i="12" s="1"/>
  <c r="H42" i="11"/>
  <c r="G136" i="12" s="1"/>
  <c r="H40" i="11"/>
  <c r="G134" i="12" s="1"/>
  <c r="H33" i="11"/>
  <c r="Y42" i="15"/>
  <c r="BW49" i="6"/>
  <c r="Y6" i="15"/>
  <c r="Y15" i="15"/>
  <c r="Y25" i="15"/>
  <c r="Y39" i="15"/>
  <c r="Y48" i="15"/>
  <c r="H47" i="11"/>
  <c r="G141" i="12" s="1"/>
  <c r="Y47" i="15"/>
  <c r="H36" i="11"/>
  <c r="G130" i="12" s="1"/>
  <c r="Y36" i="15"/>
  <c r="H35" i="11"/>
  <c r="G129" i="12" s="1"/>
  <c r="Y35" i="15"/>
  <c r="Y46" i="15"/>
  <c r="Y44" i="15"/>
  <c r="Y45" i="15"/>
  <c r="Y43" i="15"/>
  <c r="Y34" i="15"/>
  <c r="Y40" i="15"/>
  <c r="Y33" i="15"/>
  <c r="Y24" i="15"/>
  <c r="Y12" i="15"/>
  <c r="Y20" i="15"/>
  <c r="H11" i="11"/>
  <c r="Y72" i="12" s="1"/>
  <c r="Y11" i="15"/>
  <c r="Y10" i="15"/>
  <c r="Y16" i="15"/>
  <c r="Y17" i="15"/>
  <c r="Y13" i="15"/>
  <c r="H7" i="11"/>
  <c r="Y7" i="15"/>
  <c r="H19" i="11"/>
  <c r="Y19" i="15"/>
  <c r="Y8" i="15"/>
  <c r="Y9" i="15"/>
  <c r="Y18" i="15"/>
  <c r="BV63" i="6"/>
  <c r="H55" i="11"/>
  <c r="BW62" i="6"/>
  <c r="BW40" i="6"/>
  <c r="BW41" i="6"/>
  <c r="BW32" i="6"/>
  <c r="BW54" i="6"/>
  <c r="BW55" i="6"/>
  <c r="BW50" i="6"/>
  <c r="BW52" i="6"/>
  <c r="BW53" i="6"/>
  <c r="BV35" i="6"/>
  <c r="BW46" i="6"/>
  <c r="BW47" i="6"/>
  <c r="BX3" i="6"/>
  <c r="BX12" i="6" s="1"/>
  <c r="BY1" i="6"/>
  <c r="BY89" i="6" s="1"/>
  <c r="Z82" i="15" s="1"/>
  <c r="BX34" i="6"/>
  <c r="BX33" i="6"/>
  <c r="BW42" i="6"/>
  <c r="BW43" i="6"/>
  <c r="BW31" i="6"/>
  <c r="BW51" i="6"/>
  <c r="FG3" i="8"/>
  <c r="FF7" i="8"/>
  <c r="Y67" i="12" l="1"/>
  <c r="F273" i="12"/>
  <c r="Y41" i="15"/>
  <c r="H41" i="11"/>
  <c r="G135" i="12" s="1"/>
  <c r="BW48" i="6"/>
  <c r="Y96" i="12"/>
  <c r="G127" i="12"/>
  <c r="Y98" i="12"/>
  <c r="Y99" i="12"/>
  <c r="Y71" i="12"/>
  <c r="BX22" i="6"/>
  <c r="BX26" i="6"/>
  <c r="BX15" i="6"/>
  <c r="BX27" i="6"/>
  <c r="BX18" i="6"/>
  <c r="BX17" i="6"/>
  <c r="BX20" i="6"/>
  <c r="BX13" i="6"/>
  <c r="BX25" i="6"/>
  <c r="BX21" i="6"/>
  <c r="BX16" i="6"/>
  <c r="BX45" i="6"/>
  <c r="BX19" i="6"/>
  <c r="BX24" i="6"/>
  <c r="BX23" i="6"/>
  <c r="BX14" i="6"/>
  <c r="BX49" i="6"/>
  <c r="Y28" i="15"/>
  <c r="H56" i="11"/>
  <c r="H89" i="11" s="1"/>
  <c r="G10" i="12" s="1"/>
  <c r="Y56" i="15"/>
  <c r="G28" i="12"/>
  <c r="BV96" i="6"/>
  <c r="BW63" i="6"/>
  <c r="BW35" i="6"/>
  <c r="BX62" i="6"/>
  <c r="BX63" i="6" s="1"/>
  <c r="BX96" i="6" s="1"/>
  <c r="BX29" i="9" s="1"/>
  <c r="BX40" i="6"/>
  <c r="BX43" i="6"/>
  <c r="BX41" i="6"/>
  <c r="BX50" i="6"/>
  <c r="BX47" i="6"/>
  <c r="BX46" i="6"/>
  <c r="BX42" i="6"/>
  <c r="BY34" i="6"/>
  <c r="Z27" i="15" s="1"/>
  <c r="BY3" i="6"/>
  <c r="BY12" i="6" s="1"/>
  <c r="BZ1" i="6"/>
  <c r="BZ89" i="6" s="1"/>
  <c r="BY33" i="6"/>
  <c r="Z26" i="15" s="1"/>
  <c r="BX51" i="6"/>
  <c r="BX32" i="6"/>
  <c r="BX54" i="6"/>
  <c r="BX53" i="6"/>
  <c r="BX55" i="6"/>
  <c r="BX52" i="6"/>
  <c r="BX31" i="6"/>
  <c r="FH3" i="8"/>
  <c r="FG7" i="8"/>
  <c r="BX48" i="6" l="1"/>
  <c r="BY26" i="6"/>
  <c r="Z19" i="15" s="1"/>
  <c r="BY22" i="6"/>
  <c r="BY19" i="6"/>
  <c r="Z12" i="15" s="1"/>
  <c r="BY16" i="6"/>
  <c r="Z9" i="15" s="1"/>
  <c r="BY45" i="6"/>
  <c r="Z38" i="15" s="1"/>
  <c r="BY15" i="6"/>
  <c r="BY21" i="6"/>
  <c r="Z14" i="15" s="1"/>
  <c r="BY14" i="6"/>
  <c r="Z7" i="15" s="1"/>
  <c r="BY23" i="6"/>
  <c r="Z16" i="15" s="1"/>
  <c r="BY18" i="6"/>
  <c r="Z11" i="15" s="1"/>
  <c r="BY24" i="6"/>
  <c r="Z17" i="15" s="1"/>
  <c r="BY20" i="6"/>
  <c r="Z13" i="15" s="1"/>
  <c r="BY25" i="6"/>
  <c r="Z18" i="15" s="1"/>
  <c r="BY27" i="6"/>
  <c r="Z20" i="15" s="1"/>
  <c r="BY13" i="6"/>
  <c r="Z6" i="15" s="1"/>
  <c r="BY17" i="6"/>
  <c r="Z10" i="15" s="1"/>
  <c r="BY49" i="6"/>
  <c r="Z42" i="15" s="1"/>
  <c r="BV29" i="9"/>
  <c r="Y89" i="15"/>
  <c r="BW96" i="6"/>
  <c r="BY62" i="6"/>
  <c r="BY63" i="6" s="1"/>
  <c r="BY96" i="6" s="1"/>
  <c r="BY29" i="9" s="1"/>
  <c r="BY40" i="6"/>
  <c r="Z33" i="15" s="1"/>
  <c r="BY31" i="6"/>
  <c r="Z24" i="15" s="1"/>
  <c r="BY53" i="6"/>
  <c r="Z46" i="15" s="1"/>
  <c r="BY51" i="6"/>
  <c r="Z44" i="15" s="1"/>
  <c r="BY54" i="6"/>
  <c r="Z47" i="15" s="1"/>
  <c r="BY52" i="6"/>
  <c r="Z45" i="15" s="1"/>
  <c r="BY55" i="6"/>
  <c r="Z48" i="15" s="1"/>
  <c r="BY32" i="6"/>
  <c r="Z25" i="15" s="1"/>
  <c r="BZ34" i="6"/>
  <c r="CA1" i="6"/>
  <c r="CA89" i="6" s="1"/>
  <c r="BZ3" i="6"/>
  <c r="BZ12" i="6" s="1"/>
  <c r="BZ33" i="6"/>
  <c r="BY42" i="6"/>
  <c r="Z35" i="15" s="1"/>
  <c r="BY46" i="6"/>
  <c r="Z39" i="15" s="1"/>
  <c r="BY50" i="6"/>
  <c r="Z43" i="15" s="1"/>
  <c r="BY47" i="6"/>
  <c r="Z40" i="15" s="1"/>
  <c r="BX35" i="6"/>
  <c r="BY41" i="6"/>
  <c r="Z34" i="15" s="1"/>
  <c r="BY43" i="6"/>
  <c r="Z36" i="15" s="1"/>
  <c r="FI3" i="8"/>
  <c r="FH7" i="8"/>
  <c r="Z8" i="15" l="1"/>
  <c r="BY48" i="6"/>
  <c r="Z41" i="15" s="1"/>
  <c r="BZ26" i="6"/>
  <c r="BZ15" i="6"/>
  <c r="BZ22" i="6"/>
  <c r="BZ18" i="6"/>
  <c r="BZ16" i="6"/>
  <c r="BZ24" i="6"/>
  <c r="BZ14" i="6"/>
  <c r="BZ13" i="6"/>
  <c r="BZ45" i="6"/>
  <c r="BZ17" i="6"/>
  <c r="BZ23" i="6"/>
  <c r="BZ25" i="6"/>
  <c r="BZ19" i="6"/>
  <c r="BZ27" i="6"/>
  <c r="BZ21" i="6"/>
  <c r="BZ20" i="6"/>
  <c r="BZ49" i="6"/>
  <c r="Z15" i="15"/>
  <c r="Z55" i="15"/>
  <c r="BW29" i="9"/>
  <c r="Z89" i="15"/>
  <c r="Z56" i="15"/>
  <c r="Z28" i="15"/>
  <c r="BZ62" i="6"/>
  <c r="BZ40" i="6"/>
  <c r="BY35" i="6"/>
  <c r="BZ51" i="6"/>
  <c r="BZ50" i="6"/>
  <c r="BZ54" i="6"/>
  <c r="BZ31" i="6"/>
  <c r="BZ42" i="6"/>
  <c r="BZ32" i="6"/>
  <c r="BZ53" i="6"/>
  <c r="BZ55" i="6"/>
  <c r="CA3" i="6"/>
  <c r="CA12" i="6" s="1"/>
  <c r="CB1" i="6"/>
  <c r="CB89" i="6" s="1"/>
  <c r="AA82" i="15" s="1"/>
  <c r="CA34" i="6"/>
  <c r="CA33" i="6"/>
  <c r="BZ52" i="6"/>
  <c r="BZ47" i="6"/>
  <c r="BZ43" i="6"/>
  <c r="BZ41" i="6"/>
  <c r="BZ46" i="6"/>
  <c r="FJ3" i="8"/>
  <c r="FI7" i="8"/>
  <c r="BZ48" i="6" l="1"/>
  <c r="CA24" i="6"/>
  <c r="CA27" i="6"/>
  <c r="CA26" i="6"/>
  <c r="CA14" i="6"/>
  <c r="CA13" i="6"/>
  <c r="CA17" i="6"/>
  <c r="CA19" i="6"/>
  <c r="CA20" i="6"/>
  <c r="CA22" i="6"/>
  <c r="CA18" i="6"/>
  <c r="CA16" i="6"/>
  <c r="CA21" i="6"/>
  <c r="CA45" i="6"/>
  <c r="CA25" i="6"/>
  <c r="CA23" i="6"/>
  <c r="CA15" i="6"/>
  <c r="CA49" i="6"/>
  <c r="BZ63" i="6"/>
  <c r="BZ96" i="6" s="1"/>
  <c r="CA62" i="6"/>
  <c r="CA63" i="6" s="1"/>
  <c r="CA96" i="6" s="1"/>
  <c r="CA29" i="9" s="1"/>
  <c r="CA40" i="6"/>
  <c r="BZ35" i="6"/>
  <c r="CA52" i="6"/>
  <c r="CA51" i="6"/>
  <c r="CA32" i="6"/>
  <c r="CA50" i="6"/>
  <c r="CA31" i="6"/>
  <c r="CA42" i="6"/>
  <c r="CA46" i="6"/>
  <c r="CA43" i="6"/>
  <c r="CA55" i="6"/>
  <c r="CA47" i="6"/>
  <c r="CA54" i="6"/>
  <c r="CA41" i="6"/>
  <c r="CA53" i="6"/>
  <c r="CB33" i="6"/>
  <c r="AA26" i="15" s="1"/>
  <c r="CC1" i="6"/>
  <c r="CC89" i="6" s="1"/>
  <c r="CB3" i="6"/>
  <c r="CB12" i="6" s="1"/>
  <c r="CB34" i="6"/>
  <c r="AA27" i="15" s="1"/>
  <c r="FK3" i="8"/>
  <c r="FJ7" i="8"/>
  <c r="CA48" i="6" l="1"/>
  <c r="CB26" i="6"/>
  <c r="AA19" i="15" s="1"/>
  <c r="CB24" i="6"/>
  <c r="AA17" i="15" s="1"/>
  <c r="CB27" i="6"/>
  <c r="AA20" i="15" s="1"/>
  <c r="CB45" i="6"/>
  <c r="CB13" i="6"/>
  <c r="CB19" i="6"/>
  <c r="AA12" i="15" s="1"/>
  <c r="CB14" i="6"/>
  <c r="AA7" i="15" s="1"/>
  <c r="CB22" i="6"/>
  <c r="AA15" i="15" s="1"/>
  <c r="CB16" i="6"/>
  <c r="AA9" i="15" s="1"/>
  <c r="CB23" i="6"/>
  <c r="AA16" i="15" s="1"/>
  <c r="CB25" i="6"/>
  <c r="AA18" i="15" s="1"/>
  <c r="CB20" i="6"/>
  <c r="AA13" i="15" s="1"/>
  <c r="CB15" i="6"/>
  <c r="CB17" i="6"/>
  <c r="AA10" i="15" s="1"/>
  <c r="CB21" i="6"/>
  <c r="AA14" i="15" s="1"/>
  <c r="CB18" i="6"/>
  <c r="AA11" i="15" s="1"/>
  <c r="CB49" i="6"/>
  <c r="AA42" i="15" s="1"/>
  <c r="AA6" i="15"/>
  <c r="CB52" i="6"/>
  <c r="AA45" i="15" s="1"/>
  <c r="BZ29" i="9"/>
  <c r="CB53" i="6"/>
  <c r="AA46" i="15" s="1"/>
  <c r="CB41" i="6"/>
  <c r="AA34" i="15" s="1"/>
  <c r="CB62" i="6"/>
  <c r="CB63" i="6" s="1"/>
  <c r="CB96" i="6" s="1"/>
  <c r="CB29" i="9" s="1"/>
  <c r="CB40" i="6"/>
  <c r="AA33" i="15" s="1"/>
  <c r="CA35" i="6"/>
  <c r="CB46" i="6"/>
  <c r="AA39" i="15" s="1"/>
  <c r="CB42" i="6"/>
  <c r="AA35" i="15" s="1"/>
  <c r="CB32" i="6"/>
  <c r="AA25" i="15" s="1"/>
  <c r="CB50" i="6"/>
  <c r="AA43" i="15" s="1"/>
  <c r="CB47" i="6"/>
  <c r="AA40" i="15" s="1"/>
  <c r="CB43" i="6"/>
  <c r="AA36" i="15" s="1"/>
  <c r="CB55" i="6"/>
  <c r="AA48" i="15" s="1"/>
  <c r="CB54" i="6"/>
  <c r="AA47" i="15" s="1"/>
  <c r="CB31" i="6"/>
  <c r="AA24" i="15" s="1"/>
  <c r="CB51" i="6"/>
  <c r="AA44" i="15" s="1"/>
  <c r="CC33" i="6"/>
  <c r="CC34" i="6"/>
  <c r="CC3" i="6"/>
  <c r="CC12" i="6" s="1"/>
  <c r="CD1" i="6"/>
  <c r="CD89" i="6" s="1"/>
  <c r="FL3" i="8"/>
  <c r="FK7" i="8"/>
  <c r="AA8" i="15" l="1"/>
  <c r="CB48" i="6"/>
  <c r="AA41" i="15" s="1"/>
  <c r="CC27" i="6"/>
  <c r="CC24" i="6"/>
  <c r="CC15" i="6"/>
  <c r="CC23" i="6"/>
  <c r="CC16" i="6"/>
  <c r="CC14" i="6"/>
  <c r="CC13" i="6"/>
  <c r="CC17" i="6"/>
  <c r="CC45" i="6"/>
  <c r="CC25" i="6"/>
  <c r="CC19" i="6"/>
  <c r="CC22" i="6"/>
  <c r="CC18" i="6"/>
  <c r="CC26" i="6"/>
  <c r="CC21" i="6"/>
  <c r="CC20" i="6"/>
  <c r="AA38" i="15"/>
  <c r="CC49" i="6"/>
  <c r="CC51" i="6"/>
  <c r="AA55" i="15"/>
  <c r="AA89" i="15"/>
  <c r="AA56" i="15"/>
  <c r="AA28" i="15"/>
  <c r="CC55" i="6"/>
  <c r="CC62" i="6"/>
  <c r="CC40" i="6"/>
  <c r="CB35" i="6"/>
  <c r="CC43" i="6"/>
  <c r="CC41" i="6"/>
  <c r="CC54" i="6"/>
  <c r="CC50" i="6"/>
  <c r="CC42" i="6"/>
  <c r="CC31" i="6"/>
  <c r="CC32" i="6"/>
  <c r="CC47" i="6"/>
  <c r="CC52" i="6"/>
  <c r="CE1" i="6"/>
  <c r="CE89" i="6" s="1"/>
  <c r="AB82" i="15" s="1"/>
  <c r="CD3" i="6"/>
  <c r="CD12" i="6" s="1"/>
  <c r="CD33" i="6"/>
  <c r="CD34" i="6"/>
  <c r="CC46" i="6"/>
  <c r="CC53" i="6"/>
  <c r="FM3" i="8"/>
  <c r="FL7" i="8"/>
  <c r="CC48" i="6" l="1"/>
  <c r="CD24" i="6"/>
  <c r="CD27" i="6"/>
  <c r="CD13" i="6"/>
  <c r="CD17" i="6"/>
  <c r="CD22" i="6"/>
  <c r="CD15" i="6"/>
  <c r="CD16" i="6"/>
  <c r="CD21" i="6"/>
  <c r="CD23" i="6"/>
  <c r="CD19" i="6"/>
  <c r="CD14" i="6"/>
  <c r="CD25" i="6"/>
  <c r="CD20" i="6"/>
  <c r="CD18" i="6"/>
  <c r="CD26" i="6"/>
  <c r="CD45" i="6"/>
  <c r="CD49" i="6"/>
  <c r="CD41" i="6"/>
  <c r="CC63" i="6"/>
  <c r="CC96" i="6" s="1"/>
  <c r="CD62" i="6"/>
  <c r="CD63" i="6" s="1"/>
  <c r="CD96" i="6" s="1"/>
  <c r="CD29" i="9" s="1"/>
  <c r="CD40" i="6"/>
  <c r="CD50" i="6"/>
  <c r="CD31" i="6"/>
  <c r="CD55" i="6"/>
  <c r="CD53" i="6"/>
  <c r="CD52" i="6"/>
  <c r="CD54" i="6"/>
  <c r="CD47" i="6"/>
  <c r="CD32" i="6"/>
  <c r="CD46" i="6"/>
  <c r="CD43" i="6"/>
  <c r="CD51" i="6"/>
  <c r="CD42" i="6"/>
  <c r="CC35" i="6"/>
  <c r="CF1" i="6"/>
  <c r="CF89" i="6" s="1"/>
  <c r="CE33" i="6"/>
  <c r="AB26" i="15" s="1"/>
  <c r="CE34" i="6"/>
  <c r="AB27" i="15" s="1"/>
  <c r="CE3" i="6"/>
  <c r="CE12" i="6" s="1"/>
  <c r="FN3" i="8"/>
  <c r="FM7" i="8"/>
  <c r="CD48" i="6" l="1"/>
  <c r="CE27" i="6"/>
  <c r="AB20" i="15" s="1"/>
  <c r="CE19" i="6"/>
  <c r="AB12" i="15" s="1"/>
  <c r="CE24" i="6"/>
  <c r="AB17" i="15" s="1"/>
  <c r="CE18" i="6"/>
  <c r="AB11" i="15" s="1"/>
  <c r="CE22" i="6"/>
  <c r="CE13" i="6"/>
  <c r="AB6" i="15" s="1"/>
  <c r="CE23" i="6"/>
  <c r="AB16" i="15" s="1"/>
  <c r="CE17" i="6"/>
  <c r="AB10" i="15" s="1"/>
  <c r="CE16" i="6"/>
  <c r="AB9" i="15" s="1"/>
  <c r="CE21" i="6"/>
  <c r="AB14" i="15" s="1"/>
  <c r="CE15" i="6"/>
  <c r="CE25" i="6"/>
  <c r="AB18" i="15" s="1"/>
  <c r="CE20" i="6"/>
  <c r="AB13" i="15" s="1"/>
  <c r="CE45" i="6"/>
  <c r="AB38" i="15" s="1"/>
  <c r="CE14" i="6"/>
  <c r="AB7" i="15" s="1"/>
  <c r="CE26" i="6"/>
  <c r="AB19" i="15" s="1"/>
  <c r="CE49" i="6"/>
  <c r="AB42" i="15" s="1"/>
  <c r="CC29" i="9"/>
  <c r="CE62" i="6"/>
  <c r="CE63" i="6" s="1"/>
  <c r="CE96" i="6" s="1"/>
  <c r="CE29" i="9" s="1"/>
  <c r="CE40" i="6"/>
  <c r="AB33" i="15" s="1"/>
  <c r="CD35" i="6"/>
  <c r="CE47" i="6"/>
  <c r="AB40" i="15" s="1"/>
  <c r="CE42" i="6"/>
  <c r="AB35" i="15" s="1"/>
  <c r="CE43" i="6"/>
  <c r="AB36" i="15" s="1"/>
  <c r="CG1" i="6"/>
  <c r="CG89" i="6" s="1"/>
  <c r="CF3" i="6"/>
  <c r="CF12" i="6" s="1"/>
  <c r="CF34" i="6"/>
  <c r="CF33" i="6"/>
  <c r="CE54" i="6"/>
  <c r="AB47" i="15" s="1"/>
  <c r="CE50" i="6"/>
  <c r="AB43" i="15" s="1"/>
  <c r="CE32" i="6"/>
  <c r="AB25" i="15" s="1"/>
  <c r="CE55" i="6"/>
  <c r="AB48" i="15" s="1"/>
  <c r="CE52" i="6"/>
  <c r="AB45" i="15" s="1"/>
  <c r="CE31" i="6"/>
  <c r="AB24" i="15" s="1"/>
  <c r="CE41" i="6"/>
  <c r="AB34" i="15" s="1"/>
  <c r="CE53" i="6"/>
  <c r="AB46" i="15" s="1"/>
  <c r="CE46" i="6"/>
  <c r="AB39" i="15" s="1"/>
  <c r="CE51" i="6"/>
  <c r="AB44" i="15" s="1"/>
  <c r="FO3" i="8"/>
  <c r="FN7" i="8"/>
  <c r="AB8" i="15" l="1"/>
  <c r="CE48" i="6"/>
  <c r="AB41" i="15" s="1"/>
  <c r="CF24" i="6"/>
  <c r="CF27" i="6"/>
  <c r="CF13" i="6"/>
  <c r="CF22" i="6"/>
  <c r="CF26" i="6"/>
  <c r="CF19" i="6"/>
  <c r="CF45" i="6"/>
  <c r="CF17" i="6"/>
  <c r="CF20" i="6"/>
  <c r="CF14" i="6"/>
  <c r="CF18" i="6"/>
  <c r="CF25" i="6"/>
  <c r="CF16" i="6"/>
  <c r="CF15" i="6"/>
  <c r="CF21" i="6"/>
  <c r="CF23" i="6"/>
  <c r="CF49" i="6"/>
  <c r="AB15" i="15"/>
  <c r="AB89" i="15"/>
  <c r="AB55" i="15"/>
  <c r="AB56" i="15"/>
  <c r="AB28" i="15"/>
  <c r="CF62" i="6"/>
  <c r="CF40" i="6"/>
  <c r="CF53" i="6"/>
  <c r="CF46" i="6"/>
  <c r="CE35" i="6"/>
  <c r="CF47" i="6"/>
  <c r="CF31" i="6"/>
  <c r="CG34" i="6"/>
  <c r="CG3" i="6"/>
  <c r="CG12" i="6" s="1"/>
  <c r="CH1" i="6"/>
  <c r="CH89" i="6" s="1"/>
  <c r="CG33" i="6"/>
  <c r="CF54" i="6"/>
  <c r="CF41" i="6"/>
  <c r="CF43" i="6"/>
  <c r="CF52" i="6"/>
  <c r="CF32" i="6"/>
  <c r="CF51" i="6"/>
  <c r="CF42" i="6"/>
  <c r="CF50" i="6"/>
  <c r="CF55" i="6"/>
  <c r="FP3" i="8"/>
  <c r="FO7" i="8"/>
  <c r="CF48" i="6" l="1"/>
  <c r="CG14" i="6"/>
  <c r="CG25" i="6"/>
  <c r="CG15" i="6"/>
  <c r="CG45" i="6"/>
  <c r="CG27" i="6"/>
  <c r="CG21" i="6"/>
  <c r="CG26" i="6"/>
  <c r="CG22" i="6"/>
  <c r="CG24" i="6"/>
  <c r="CG20" i="6"/>
  <c r="CG23" i="6"/>
  <c r="CG18" i="6"/>
  <c r="CG16" i="6"/>
  <c r="CG13" i="6"/>
  <c r="CG17" i="6"/>
  <c r="CG19" i="6"/>
  <c r="I82" i="11"/>
  <c r="CG49" i="6"/>
  <c r="CF63" i="6"/>
  <c r="CF96" i="6" s="1"/>
  <c r="AC82" i="15"/>
  <c r="CG62" i="6"/>
  <c r="CG63" i="6" s="1"/>
  <c r="CG96" i="6" s="1"/>
  <c r="CG29" i="9" s="1"/>
  <c r="CG40" i="6"/>
  <c r="CG54" i="6"/>
  <c r="CF35" i="6"/>
  <c r="CG42" i="6"/>
  <c r="CG43" i="6"/>
  <c r="CG55" i="6"/>
  <c r="CG46" i="6"/>
  <c r="CG50" i="6"/>
  <c r="CG52" i="6"/>
  <c r="CG47" i="6"/>
  <c r="CG53" i="6"/>
  <c r="CG41" i="6"/>
  <c r="CG32" i="6"/>
  <c r="CG31" i="6"/>
  <c r="CG51" i="6"/>
  <c r="CI1" i="6"/>
  <c r="CI89" i="6" s="1"/>
  <c r="CH3" i="6"/>
  <c r="CH12" i="6" s="1"/>
  <c r="CH33" i="6"/>
  <c r="I26" i="11" s="1"/>
  <c r="CH34" i="6"/>
  <c r="I27" i="11" s="1"/>
  <c r="FQ3" i="8"/>
  <c r="FP7" i="8"/>
  <c r="CG48" i="6" l="1"/>
  <c r="CH22" i="6"/>
  <c r="CH15" i="6"/>
  <c r="CH25" i="6"/>
  <c r="CH26" i="6"/>
  <c r="CH27" i="6"/>
  <c r="CH18" i="6"/>
  <c r="CH14" i="6"/>
  <c r="CH16" i="6"/>
  <c r="CH21" i="6"/>
  <c r="I14" i="11" s="1"/>
  <c r="Z69" i="12" s="1"/>
  <c r="CH24" i="6"/>
  <c r="CH13" i="6"/>
  <c r="I6" i="11" s="1"/>
  <c r="CH45" i="6"/>
  <c r="I38" i="11" s="1"/>
  <c r="H132" i="12" s="1"/>
  <c r="CH17" i="6"/>
  <c r="CH20" i="6"/>
  <c r="CH23" i="6"/>
  <c r="CH19" i="6"/>
  <c r="CH49" i="6"/>
  <c r="CF29" i="9"/>
  <c r="AC27" i="15"/>
  <c r="AC26" i="15"/>
  <c r="CH62" i="6"/>
  <c r="AC55" i="15" s="1"/>
  <c r="CH40" i="6"/>
  <c r="CG35" i="6"/>
  <c r="CH55" i="6"/>
  <c r="CH42" i="6"/>
  <c r="CH47" i="6"/>
  <c r="CH51" i="6"/>
  <c r="CH54" i="6"/>
  <c r="CH31" i="6"/>
  <c r="CJ1" i="6"/>
  <c r="CJ89" i="6" s="1"/>
  <c r="CI34" i="6"/>
  <c r="CI3" i="6"/>
  <c r="CI12" i="6" s="1"/>
  <c r="CI33" i="6"/>
  <c r="CH32" i="6"/>
  <c r="I25" i="11" s="1"/>
  <c r="CH41" i="6"/>
  <c r="CH53" i="6"/>
  <c r="CH43" i="6"/>
  <c r="CH46" i="6"/>
  <c r="CH52" i="6"/>
  <c r="CH50" i="6"/>
  <c r="FR3" i="8"/>
  <c r="FQ7" i="8"/>
  <c r="CH48" i="6" l="1"/>
  <c r="AC14" i="15"/>
  <c r="CI19" i="6"/>
  <c r="CI17" i="6"/>
  <c r="CI25" i="6"/>
  <c r="CI21" i="6"/>
  <c r="CI14" i="6"/>
  <c r="CI20" i="6"/>
  <c r="CI23" i="6"/>
  <c r="CI27" i="6"/>
  <c r="CI18" i="6"/>
  <c r="CI13" i="6"/>
  <c r="CI45" i="6"/>
  <c r="CI15" i="6"/>
  <c r="CI26" i="6"/>
  <c r="CI24" i="6"/>
  <c r="CI22" i="6"/>
  <c r="CI16" i="6"/>
  <c r="AC38" i="15"/>
  <c r="I24" i="11"/>
  <c r="I28" i="11" s="1"/>
  <c r="I12" i="11"/>
  <c r="I7" i="11"/>
  <c r="Z67" i="12" s="1"/>
  <c r="I18" i="11"/>
  <c r="I8" i="11"/>
  <c r="I17" i="11"/>
  <c r="I9" i="11"/>
  <c r="Z70" i="12" s="1"/>
  <c r="I13" i="11"/>
  <c r="Z68" i="12" s="1"/>
  <c r="I11" i="11"/>
  <c r="Z72" i="12" s="1"/>
  <c r="I16" i="11"/>
  <c r="I19" i="11"/>
  <c r="I39" i="11"/>
  <c r="H133" i="12" s="1"/>
  <c r="I47" i="11"/>
  <c r="H141" i="12" s="1"/>
  <c r="I46" i="11"/>
  <c r="H140" i="12" s="1"/>
  <c r="I40" i="11"/>
  <c r="H134" i="12" s="1"/>
  <c r="I36" i="11"/>
  <c r="H130" i="12" s="1"/>
  <c r="I35" i="11"/>
  <c r="H129" i="12" s="1"/>
  <c r="I42" i="11"/>
  <c r="H136" i="12" s="1"/>
  <c r="I43" i="11"/>
  <c r="H137" i="12" s="1"/>
  <c r="I48" i="11"/>
  <c r="H142" i="12" s="1"/>
  <c r="I33" i="11"/>
  <c r="AC42" i="15"/>
  <c r="CI49" i="6"/>
  <c r="AC6" i="15"/>
  <c r="I15" i="11"/>
  <c r="AC15" i="15"/>
  <c r="AC25" i="15"/>
  <c r="AC39" i="15"/>
  <c r="AC35" i="15"/>
  <c r="AC47" i="15"/>
  <c r="AC36" i="15"/>
  <c r="I34" i="11"/>
  <c r="H128" i="12" s="1"/>
  <c r="AC34" i="15"/>
  <c r="AC40" i="15"/>
  <c r="AC43" i="15"/>
  <c r="I45" i="11"/>
  <c r="H139" i="12" s="1"/>
  <c r="AC45" i="15"/>
  <c r="I44" i="11"/>
  <c r="H138" i="12" s="1"/>
  <c r="AC44" i="15"/>
  <c r="AC48" i="15"/>
  <c r="AC46" i="15"/>
  <c r="AC33" i="15"/>
  <c r="AC24" i="15"/>
  <c r="AC12" i="15"/>
  <c r="AC16" i="15"/>
  <c r="I20" i="11"/>
  <c r="AC20" i="15"/>
  <c r="AC13" i="15"/>
  <c r="AC18" i="15"/>
  <c r="AC8" i="15"/>
  <c r="AC7" i="15"/>
  <c r="AC17" i="15"/>
  <c r="I10" i="11"/>
  <c r="AC10" i="15"/>
  <c r="AC9" i="15"/>
  <c r="AC19" i="15"/>
  <c r="AC11" i="15"/>
  <c r="CI43" i="6"/>
  <c r="CH63" i="6"/>
  <c r="I55" i="11"/>
  <c r="CI62" i="6"/>
  <c r="CI40" i="6"/>
  <c r="CI47" i="6"/>
  <c r="CI31" i="6"/>
  <c r="CI55" i="6"/>
  <c r="CI53" i="6"/>
  <c r="CI52" i="6"/>
  <c r="CI42" i="6"/>
  <c r="CI46" i="6"/>
  <c r="CI54" i="6"/>
  <c r="CI32" i="6"/>
  <c r="CI50" i="6"/>
  <c r="CI51" i="6"/>
  <c r="CI41" i="6"/>
  <c r="CJ34" i="6"/>
  <c r="CJ33" i="6"/>
  <c r="CK1" i="6"/>
  <c r="CK89" i="6" s="1"/>
  <c r="AD82" i="15" s="1"/>
  <c r="CJ3" i="6"/>
  <c r="CJ12" i="6" s="1"/>
  <c r="CH35" i="6"/>
  <c r="FS3" i="8"/>
  <c r="FR7" i="8"/>
  <c r="AC41" i="15" l="1"/>
  <c r="I41" i="11"/>
  <c r="H135" i="12" s="1"/>
  <c r="CI48" i="6"/>
  <c r="Z96" i="12"/>
  <c r="H127" i="12"/>
  <c r="Z99" i="12"/>
  <c r="Z98" i="12"/>
  <c r="Z71" i="12"/>
  <c r="CJ21" i="6"/>
  <c r="CJ18" i="6"/>
  <c r="CJ22" i="6"/>
  <c r="CJ15" i="6"/>
  <c r="CJ27" i="6"/>
  <c r="CJ26" i="6"/>
  <c r="CJ25" i="6"/>
  <c r="CJ24" i="6"/>
  <c r="CJ13" i="6"/>
  <c r="CJ19" i="6"/>
  <c r="CJ20" i="6"/>
  <c r="CJ14" i="6"/>
  <c r="CJ16" i="6"/>
  <c r="CJ45" i="6"/>
  <c r="CJ17" i="6"/>
  <c r="CJ23" i="6"/>
  <c r="H28" i="12"/>
  <c r="CJ49" i="6"/>
  <c r="AC28" i="15"/>
  <c r="CH96" i="6"/>
  <c r="AC56" i="15"/>
  <c r="I56" i="11"/>
  <c r="I89" i="11" s="1"/>
  <c r="H10" i="12" s="1"/>
  <c r="CI63" i="6"/>
  <c r="CJ46" i="6"/>
  <c r="CJ62" i="6"/>
  <c r="CJ63" i="6" s="1"/>
  <c r="CJ96" i="6" s="1"/>
  <c r="CJ29" i="9" s="1"/>
  <c r="CJ40" i="6"/>
  <c r="CI35" i="6"/>
  <c r="CJ43" i="6"/>
  <c r="CJ53" i="6"/>
  <c r="CJ51" i="6"/>
  <c r="CJ50" i="6"/>
  <c r="CJ41" i="6"/>
  <c r="CJ47" i="6"/>
  <c r="CJ32" i="6"/>
  <c r="CJ31" i="6"/>
  <c r="CJ52" i="6"/>
  <c r="CJ55" i="6"/>
  <c r="CK33" i="6"/>
  <c r="AD26" i="15" s="1"/>
  <c r="CK34" i="6"/>
  <c r="AD27" i="15" s="1"/>
  <c r="CK3" i="6"/>
  <c r="CK12" i="6" s="1"/>
  <c r="CL1" i="6"/>
  <c r="CL89" i="6" s="1"/>
  <c r="CJ54" i="6"/>
  <c r="CJ42" i="6"/>
  <c r="FT3" i="8"/>
  <c r="FS7" i="8"/>
  <c r="CJ48" i="6" l="1"/>
  <c r="CK19" i="6"/>
  <c r="AD12" i="15" s="1"/>
  <c r="CK13" i="6"/>
  <c r="AD6" i="15" s="1"/>
  <c r="CK16" i="6"/>
  <c r="AD9" i="15" s="1"/>
  <c r="CK23" i="6"/>
  <c r="AD16" i="15" s="1"/>
  <c r="CK17" i="6"/>
  <c r="AD10" i="15" s="1"/>
  <c r="CK45" i="6"/>
  <c r="CK18" i="6"/>
  <c r="AD11" i="15" s="1"/>
  <c r="CK22" i="6"/>
  <c r="CK20" i="6"/>
  <c r="AD13" i="15" s="1"/>
  <c r="CK27" i="6"/>
  <c r="AD20" i="15" s="1"/>
  <c r="CK24" i="6"/>
  <c r="AD17" i="15" s="1"/>
  <c r="CK15" i="6"/>
  <c r="CK26" i="6"/>
  <c r="AD19" i="15" s="1"/>
  <c r="CK25" i="6"/>
  <c r="AD18" i="15" s="1"/>
  <c r="CK21" i="6"/>
  <c r="AD14" i="15" s="1"/>
  <c r="CK14" i="6"/>
  <c r="AD7" i="15" s="1"/>
  <c r="CK49" i="6"/>
  <c r="AD42" i="15" s="1"/>
  <c r="CI96" i="6"/>
  <c r="CH29" i="9"/>
  <c r="AC89" i="15"/>
  <c r="CJ35" i="6"/>
  <c r="CK62" i="6"/>
  <c r="CK63" i="6" s="1"/>
  <c r="CK96" i="6" s="1"/>
  <c r="CK29" i="9" s="1"/>
  <c r="CK40" i="6"/>
  <c r="AD33" i="15" s="1"/>
  <c r="CK53" i="6"/>
  <c r="AD46" i="15" s="1"/>
  <c r="CK46" i="6"/>
  <c r="AD39" i="15" s="1"/>
  <c r="CK52" i="6"/>
  <c r="AD45" i="15" s="1"/>
  <c r="CK41" i="6"/>
  <c r="AD34" i="15" s="1"/>
  <c r="CK47" i="6"/>
  <c r="AD40" i="15" s="1"/>
  <c r="CK50" i="6"/>
  <c r="AD43" i="15" s="1"/>
  <c r="CK54" i="6"/>
  <c r="AD47" i="15" s="1"/>
  <c r="CM1" i="6"/>
  <c r="CM89" i="6" s="1"/>
  <c r="CL33" i="6"/>
  <c r="CL34" i="6"/>
  <c r="CL3" i="6"/>
  <c r="CL12" i="6" s="1"/>
  <c r="CK42" i="6"/>
  <c r="AD35" i="15" s="1"/>
  <c r="CK55" i="6"/>
  <c r="AD48" i="15" s="1"/>
  <c r="CK43" i="6"/>
  <c r="AD36" i="15" s="1"/>
  <c r="CK32" i="6"/>
  <c r="AD25" i="15" s="1"/>
  <c r="CK51" i="6"/>
  <c r="AD44" i="15" s="1"/>
  <c r="CK31" i="6"/>
  <c r="AD24" i="15" s="1"/>
  <c r="FU3" i="8"/>
  <c r="FT7" i="8"/>
  <c r="AD8" i="15" l="1"/>
  <c r="CK48" i="6"/>
  <c r="AD41" i="15" s="1"/>
  <c r="AD38" i="15"/>
  <c r="CL19" i="6"/>
  <c r="CL14" i="6"/>
  <c r="CL26" i="6"/>
  <c r="CL13" i="6"/>
  <c r="CL23" i="6"/>
  <c r="CL25" i="6"/>
  <c r="CL27" i="6"/>
  <c r="CL18" i="6"/>
  <c r="CL16" i="6"/>
  <c r="CL21" i="6"/>
  <c r="CL17" i="6"/>
  <c r="CL45" i="6"/>
  <c r="CL22" i="6"/>
  <c r="CL20" i="6"/>
  <c r="CL15" i="6"/>
  <c r="CL24" i="6"/>
  <c r="CL49" i="6"/>
  <c r="AD15" i="15"/>
  <c r="AD55" i="15"/>
  <c r="CI29" i="9"/>
  <c r="AD89" i="15"/>
  <c r="AD56" i="15"/>
  <c r="AD28" i="15"/>
  <c r="CL62" i="6"/>
  <c r="CL40" i="6"/>
  <c r="CL51" i="6"/>
  <c r="CL47" i="6"/>
  <c r="CL32" i="6"/>
  <c r="CL42" i="6"/>
  <c r="CL54" i="6"/>
  <c r="CL41" i="6"/>
  <c r="CL52" i="6"/>
  <c r="CL46" i="6"/>
  <c r="CN1" i="6"/>
  <c r="CN89" i="6" s="1"/>
  <c r="AE82" i="15" s="1"/>
  <c r="CM33" i="6"/>
  <c r="CM3" i="6"/>
  <c r="CM12" i="6" s="1"/>
  <c r="CM34" i="6"/>
  <c r="CK35" i="6"/>
  <c r="CL53" i="6"/>
  <c r="CL31" i="6"/>
  <c r="CL50" i="6"/>
  <c r="CL43" i="6"/>
  <c r="CL55" i="6"/>
  <c r="FV3" i="8"/>
  <c r="FU7" i="8"/>
  <c r="CL48" i="6" l="1"/>
  <c r="CM26" i="6"/>
  <c r="CM14" i="6"/>
  <c r="CM15" i="6"/>
  <c r="CM24" i="6"/>
  <c r="CM22" i="6"/>
  <c r="CM45" i="6"/>
  <c r="CM23" i="6"/>
  <c r="CM20" i="6"/>
  <c r="CM25" i="6"/>
  <c r="CM27" i="6"/>
  <c r="CM16" i="6"/>
  <c r="CM17" i="6"/>
  <c r="CM13" i="6"/>
  <c r="CM21" i="6"/>
  <c r="CM19" i="6"/>
  <c r="CM18" i="6"/>
  <c r="CM49" i="6"/>
  <c r="CL63" i="6"/>
  <c r="CL96" i="6" s="1"/>
  <c r="CM62" i="6"/>
  <c r="CM63" i="6" s="1"/>
  <c r="CM96" i="6" s="1"/>
  <c r="CM29" i="9" s="1"/>
  <c r="CM40" i="6"/>
  <c r="CM32" i="6"/>
  <c r="CL35" i="6"/>
  <c r="CM54" i="6"/>
  <c r="CM43" i="6"/>
  <c r="CM31" i="6"/>
  <c r="CM53" i="6"/>
  <c r="CM47" i="6"/>
  <c r="CM52" i="6"/>
  <c r="CM41" i="6"/>
  <c r="CM51" i="6"/>
  <c r="CM42" i="6"/>
  <c r="CM50" i="6"/>
  <c r="CM55" i="6"/>
  <c r="CM46" i="6"/>
  <c r="CO1" i="6"/>
  <c r="CO89" i="6" s="1"/>
  <c r="CN34" i="6"/>
  <c r="AE27" i="15" s="1"/>
  <c r="CN3" i="6"/>
  <c r="CN12" i="6" s="1"/>
  <c r="CN33" i="6"/>
  <c r="AE26" i="15" s="1"/>
  <c r="FW3" i="8"/>
  <c r="FV7" i="8"/>
  <c r="CM48" i="6" l="1"/>
  <c r="CN25" i="6"/>
  <c r="AE18" i="15" s="1"/>
  <c r="CN19" i="6"/>
  <c r="AE12" i="15" s="1"/>
  <c r="CN13" i="6"/>
  <c r="CN45" i="6"/>
  <c r="CN21" i="6"/>
  <c r="AE14" i="15" s="1"/>
  <c r="CN26" i="6"/>
  <c r="AE19" i="15" s="1"/>
  <c r="CN16" i="6"/>
  <c r="AE9" i="15" s="1"/>
  <c r="CN23" i="6"/>
  <c r="AE16" i="15" s="1"/>
  <c r="CN27" i="6"/>
  <c r="AE20" i="15" s="1"/>
  <c r="CN15" i="6"/>
  <c r="CN14" i="6"/>
  <c r="AE7" i="15" s="1"/>
  <c r="CN20" i="6"/>
  <c r="AE13" i="15" s="1"/>
  <c r="CN17" i="6"/>
  <c r="AE10" i="15" s="1"/>
  <c r="CN18" i="6"/>
  <c r="AE11" i="15" s="1"/>
  <c r="CN22" i="6"/>
  <c r="AE15" i="15" s="1"/>
  <c r="CN24" i="6"/>
  <c r="AE17" i="15" s="1"/>
  <c r="CN49" i="6"/>
  <c r="AE42" i="15" s="1"/>
  <c r="AE6" i="15"/>
  <c r="CL29" i="9"/>
  <c r="CN32" i="6"/>
  <c r="AE25" i="15" s="1"/>
  <c r="CN52" i="6"/>
  <c r="AE45" i="15" s="1"/>
  <c r="CN46" i="6"/>
  <c r="AE39" i="15" s="1"/>
  <c r="CN50" i="6"/>
  <c r="AE43" i="15" s="1"/>
  <c r="CN55" i="6"/>
  <c r="AE48" i="15" s="1"/>
  <c r="CN62" i="6"/>
  <c r="CN63" i="6" s="1"/>
  <c r="CN96" i="6" s="1"/>
  <c r="CN29" i="9" s="1"/>
  <c r="CN40" i="6"/>
  <c r="AE33" i="15" s="1"/>
  <c r="CN53" i="6"/>
  <c r="AE46" i="15" s="1"/>
  <c r="CN54" i="6"/>
  <c r="AE47" i="15" s="1"/>
  <c r="CN43" i="6"/>
  <c r="AE36" i="15" s="1"/>
  <c r="CN51" i="6"/>
  <c r="AE44" i="15" s="1"/>
  <c r="CN42" i="6"/>
  <c r="AE35" i="15" s="1"/>
  <c r="CN47" i="6"/>
  <c r="AE40" i="15" s="1"/>
  <c r="CN41" i="6"/>
  <c r="AE34" i="15" s="1"/>
  <c r="CN31" i="6"/>
  <c r="AE24" i="15" s="1"/>
  <c r="CO33" i="6"/>
  <c r="CO3" i="6"/>
  <c r="CO12" i="6" s="1"/>
  <c r="CO34" i="6"/>
  <c r="CP1" i="6"/>
  <c r="CP89" i="6" s="1"/>
  <c r="CM35" i="6"/>
  <c r="FX3" i="8"/>
  <c r="FW7" i="8"/>
  <c r="AE8" i="15" l="1"/>
  <c r="CN48" i="6"/>
  <c r="AE41" i="15" s="1"/>
  <c r="CO25" i="6"/>
  <c r="CO16" i="6"/>
  <c r="CO27" i="6"/>
  <c r="CO21" i="6"/>
  <c r="CO18" i="6"/>
  <c r="CO45" i="6"/>
  <c r="CO20" i="6"/>
  <c r="CO23" i="6"/>
  <c r="CO19" i="6"/>
  <c r="CO15" i="6"/>
  <c r="CO26" i="6"/>
  <c r="CO24" i="6"/>
  <c r="CO22" i="6"/>
  <c r="CO17" i="6"/>
  <c r="CO14" i="6"/>
  <c r="CO13" i="6"/>
  <c r="AE38" i="15"/>
  <c r="CO49" i="6"/>
  <c r="CO52" i="6"/>
  <c r="AE89" i="15"/>
  <c r="AE55" i="15"/>
  <c r="AE56" i="15"/>
  <c r="AE28" i="15"/>
  <c r="CN35" i="6"/>
  <c r="CO62" i="6"/>
  <c r="CO40" i="6"/>
  <c r="CO51" i="6"/>
  <c r="CO43" i="6"/>
  <c r="CO54" i="6"/>
  <c r="CO32" i="6"/>
  <c r="CO55" i="6"/>
  <c r="CO53" i="6"/>
  <c r="CO46" i="6"/>
  <c r="CQ1" i="6"/>
  <c r="CQ89" i="6" s="1"/>
  <c r="AF82" i="15" s="1"/>
  <c r="CP34" i="6"/>
  <c r="CP3" i="6"/>
  <c r="CP12" i="6" s="1"/>
  <c r="CP33" i="6"/>
  <c r="CO47" i="6"/>
  <c r="CO41" i="6"/>
  <c r="CO31" i="6"/>
  <c r="CO50" i="6"/>
  <c r="CO42" i="6"/>
  <c r="FY3" i="8"/>
  <c r="FX7" i="8"/>
  <c r="CO48" i="6" l="1"/>
  <c r="CP25" i="6"/>
  <c r="CP24" i="6"/>
  <c r="CP13" i="6"/>
  <c r="CP16" i="6"/>
  <c r="CP20" i="6"/>
  <c r="CP15" i="6"/>
  <c r="CP17" i="6"/>
  <c r="CP45" i="6"/>
  <c r="CP27" i="6"/>
  <c r="CP26" i="6"/>
  <c r="CP19" i="6"/>
  <c r="CP18" i="6"/>
  <c r="CP23" i="6"/>
  <c r="CP21" i="6"/>
  <c r="CP22" i="6"/>
  <c r="CP14" i="6"/>
  <c r="CP49" i="6"/>
  <c r="CP41" i="6"/>
  <c r="CO63" i="6"/>
  <c r="CO96" i="6" s="1"/>
  <c r="CP53" i="6"/>
  <c r="CP54" i="6"/>
  <c r="CP62" i="6"/>
  <c r="CP63" i="6" s="1"/>
  <c r="CP96" i="6" s="1"/>
  <c r="CP29" i="9" s="1"/>
  <c r="CP40" i="6"/>
  <c r="CP55" i="6"/>
  <c r="CO35" i="6"/>
  <c r="CP32" i="6"/>
  <c r="CP51" i="6"/>
  <c r="CP31" i="6"/>
  <c r="CP52" i="6"/>
  <c r="CP47" i="6"/>
  <c r="CP46" i="6"/>
  <c r="CP42" i="6"/>
  <c r="CP50" i="6"/>
  <c r="CP43" i="6"/>
  <c r="CQ3" i="6"/>
  <c r="CQ12" i="6" s="1"/>
  <c r="CQ33" i="6"/>
  <c r="AF26" i="15" s="1"/>
  <c r="CQ34" i="6"/>
  <c r="AF27" i="15" s="1"/>
  <c r="CR1" i="6"/>
  <c r="CR89" i="6" s="1"/>
  <c r="FZ3" i="8"/>
  <c r="FY7" i="8"/>
  <c r="CP48" i="6" l="1"/>
  <c r="CQ25" i="6"/>
  <c r="AF18" i="15" s="1"/>
  <c r="CQ13" i="6"/>
  <c r="CQ23" i="6"/>
  <c r="AF16" i="15" s="1"/>
  <c r="CQ16" i="6"/>
  <c r="AF9" i="15" s="1"/>
  <c r="CQ15" i="6"/>
  <c r="CQ21" i="6"/>
  <c r="AF14" i="15" s="1"/>
  <c r="CQ27" i="6"/>
  <c r="AF20" i="15" s="1"/>
  <c r="CQ22" i="6"/>
  <c r="AF15" i="15" s="1"/>
  <c r="CQ45" i="6"/>
  <c r="AF38" i="15" s="1"/>
  <c r="CQ18" i="6"/>
  <c r="AF11" i="15" s="1"/>
  <c r="CQ24" i="6"/>
  <c r="AF17" i="15" s="1"/>
  <c r="CQ26" i="6"/>
  <c r="AF19" i="15" s="1"/>
  <c r="CQ14" i="6"/>
  <c r="AF7" i="15" s="1"/>
  <c r="CQ20" i="6"/>
  <c r="AF13" i="15" s="1"/>
  <c r="CQ19" i="6"/>
  <c r="AF12" i="15" s="1"/>
  <c r="CQ17" i="6"/>
  <c r="AF10" i="15" s="1"/>
  <c r="CQ49" i="6"/>
  <c r="AF42" i="15" s="1"/>
  <c r="AF6" i="15"/>
  <c r="CQ43" i="6"/>
  <c r="AF36" i="15" s="1"/>
  <c r="CQ31" i="6"/>
  <c r="AF24" i="15" s="1"/>
  <c r="CO29" i="9"/>
  <c r="CQ47" i="6"/>
  <c r="AF40" i="15" s="1"/>
  <c r="CQ42" i="6"/>
  <c r="AF35" i="15" s="1"/>
  <c r="CQ53" i="6"/>
  <c r="AF46" i="15" s="1"/>
  <c r="CQ54" i="6"/>
  <c r="AF47" i="15" s="1"/>
  <c r="CQ41" i="6"/>
  <c r="AF34" i="15" s="1"/>
  <c r="CQ52" i="6"/>
  <c r="AF45" i="15" s="1"/>
  <c r="CQ55" i="6"/>
  <c r="AF48" i="15" s="1"/>
  <c r="CQ51" i="6"/>
  <c r="AF44" i="15" s="1"/>
  <c r="CQ46" i="6"/>
  <c r="AF39" i="15" s="1"/>
  <c r="CQ32" i="6"/>
  <c r="CQ50" i="6"/>
  <c r="AF43" i="15" s="1"/>
  <c r="CP35" i="6"/>
  <c r="CQ62" i="6"/>
  <c r="CQ63" i="6" s="1"/>
  <c r="CQ96" i="6" s="1"/>
  <c r="CQ29" i="9" s="1"/>
  <c r="CQ40" i="6"/>
  <c r="AF33" i="15" s="1"/>
  <c r="CR34" i="6"/>
  <c r="CR33" i="6"/>
  <c r="CS1" i="6"/>
  <c r="CS89" i="6" s="1"/>
  <c r="CR3" i="6"/>
  <c r="CR12" i="6" s="1"/>
  <c r="GA3" i="8"/>
  <c r="FZ7" i="8"/>
  <c r="AF8" i="15" l="1"/>
  <c r="CQ48" i="6"/>
  <c r="AF41" i="15" s="1"/>
  <c r="CR25" i="6"/>
  <c r="CR16" i="6"/>
  <c r="CR15" i="6"/>
  <c r="CR13" i="6"/>
  <c r="CR22" i="6"/>
  <c r="CR27" i="6"/>
  <c r="CR17" i="6"/>
  <c r="CR23" i="6"/>
  <c r="CR14" i="6"/>
  <c r="CR26" i="6"/>
  <c r="CR24" i="6"/>
  <c r="CR45" i="6"/>
  <c r="CR19" i="6"/>
  <c r="CR20" i="6"/>
  <c r="CR18" i="6"/>
  <c r="CR21" i="6"/>
  <c r="CR49" i="6"/>
  <c r="CQ35" i="6"/>
  <c r="AF55" i="15"/>
  <c r="AF89" i="15"/>
  <c r="AF56" i="15"/>
  <c r="AF25" i="15"/>
  <c r="AF28" i="15" s="1"/>
  <c r="CR62" i="6"/>
  <c r="CR40" i="6"/>
  <c r="CR55" i="6"/>
  <c r="CR31" i="6"/>
  <c r="CR32" i="6"/>
  <c r="CR53" i="6"/>
  <c r="CR42" i="6"/>
  <c r="CR54" i="6"/>
  <c r="CR50" i="6"/>
  <c r="CS34" i="6"/>
  <c r="CS3" i="6"/>
  <c r="CS12" i="6" s="1"/>
  <c r="CS33" i="6"/>
  <c r="CT1" i="6"/>
  <c r="CT89" i="6" s="1"/>
  <c r="CR43" i="6"/>
  <c r="CR51" i="6"/>
  <c r="CR41" i="6"/>
  <c r="CR46" i="6"/>
  <c r="CR47" i="6"/>
  <c r="CR52" i="6"/>
  <c r="GB3" i="8"/>
  <c r="GA7" i="8"/>
  <c r="CR48" i="6" l="1"/>
  <c r="CS25" i="6"/>
  <c r="CS27" i="6"/>
  <c r="CS18" i="6"/>
  <c r="CS17" i="6"/>
  <c r="CS19" i="6"/>
  <c r="CS16" i="6"/>
  <c r="CS22" i="6"/>
  <c r="CS20" i="6"/>
  <c r="CS24" i="6"/>
  <c r="CS15" i="6"/>
  <c r="CS26" i="6"/>
  <c r="CS21" i="6"/>
  <c r="CS45" i="6"/>
  <c r="CS23" i="6"/>
  <c r="CS14" i="6"/>
  <c r="CS13" i="6"/>
  <c r="J82" i="11"/>
  <c r="CS49" i="6"/>
  <c r="CS47" i="6"/>
  <c r="CR63" i="6"/>
  <c r="CR96" i="6" s="1"/>
  <c r="AG82" i="15"/>
  <c r="CS62" i="6"/>
  <c r="CS63" i="6" s="1"/>
  <c r="CS96" i="6" s="1"/>
  <c r="CS29" i="9" s="1"/>
  <c r="CS40" i="6"/>
  <c r="CS41" i="6"/>
  <c r="CS43" i="6"/>
  <c r="CS31" i="6"/>
  <c r="CS51" i="6"/>
  <c r="CS53" i="6"/>
  <c r="CS46" i="6"/>
  <c r="CS55" i="6"/>
  <c r="CS32" i="6"/>
  <c r="CS50" i="6"/>
  <c r="CR35" i="6"/>
  <c r="CS42" i="6"/>
  <c r="CS54" i="6"/>
  <c r="CT3" i="6"/>
  <c r="CT12" i="6" s="1"/>
  <c r="CU1" i="6"/>
  <c r="CU89" i="6" s="1"/>
  <c r="CT33" i="6"/>
  <c r="J26" i="11" s="1"/>
  <c r="CT34" i="6"/>
  <c r="J27" i="11" s="1"/>
  <c r="CS52" i="6"/>
  <c r="GC3" i="8"/>
  <c r="GB7" i="8"/>
  <c r="CS48" i="6" l="1"/>
  <c r="CT13" i="6"/>
  <c r="CT15" i="6"/>
  <c r="CT14" i="6"/>
  <c r="CT19" i="6"/>
  <c r="AG12" i="15" s="1"/>
  <c r="CT21" i="6"/>
  <c r="J14" i="11" s="1"/>
  <c r="AA69" i="12" s="1"/>
  <c r="CT27" i="6"/>
  <c r="CT16" i="6"/>
  <c r="CT25" i="6"/>
  <c r="CT24" i="6"/>
  <c r="CT18" i="6"/>
  <c r="CT17" i="6"/>
  <c r="CT20" i="6"/>
  <c r="CT45" i="6"/>
  <c r="CT23" i="6"/>
  <c r="CT26" i="6"/>
  <c r="CT22" i="6"/>
  <c r="CT49" i="6"/>
  <c r="J6" i="11"/>
  <c r="CR29" i="9"/>
  <c r="AG26" i="15"/>
  <c r="AG27" i="15"/>
  <c r="CT62" i="6"/>
  <c r="AG55" i="15" s="1"/>
  <c r="CT40" i="6"/>
  <c r="CT43" i="6"/>
  <c r="CS35" i="6"/>
  <c r="CT32" i="6"/>
  <c r="J25" i="11" s="1"/>
  <c r="CT41" i="6"/>
  <c r="CT53" i="6"/>
  <c r="CT51" i="6"/>
  <c r="CT50" i="6"/>
  <c r="CT47" i="6"/>
  <c r="CT42" i="6"/>
  <c r="CT54" i="6"/>
  <c r="CT52" i="6"/>
  <c r="CU33" i="6"/>
  <c r="CU34" i="6"/>
  <c r="CU3" i="6"/>
  <c r="CU12" i="6" s="1"/>
  <c r="CV1" i="6"/>
  <c r="CV89" i="6" s="1"/>
  <c r="CT46" i="6"/>
  <c r="CT31" i="6"/>
  <c r="CT55" i="6"/>
  <c r="GD3" i="8"/>
  <c r="GC7" i="8"/>
  <c r="CT48" i="6" l="1"/>
  <c r="AG14" i="15"/>
  <c r="J38" i="11"/>
  <c r="I132" i="12" s="1"/>
  <c r="AG38" i="15"/>
  <c r="J12" i="11"/>
  <c r="CU27" i="6"/>
  <c r="CU13" i="6"/>
  <c r="CU19" i="6"/>
  <c r="CU20" i="6"/>
  <c r="CU14" i="6"/>
  <c r="CU18" i="6"/>
  <c r="CU45" i="6"/>
  <c r="CU24" i="6"/>
  <c r="CU16" i="6"/>
  <c r="CU23" i="6"/>
  <c r="CU21" i="6"/>
  <c r="CU17" i="6"/>
  <c r="CU22" i="6"/>
  <c r="CU15" i="6"/>
  <c r="CU25" i="6"/>
  <c r="CU26" i="6"/>
  <c r="J24" i="11"/>
  <c r="J28" i="11" s="1"/>
  <c r="J9" i="11"/>
  <c r="AA70" i="12" s="1"/>
  <c r="J17" i="11"/>
  <c r="J8" i="11"/>
  <c r="J10" i="11"/>
  <c r="J16" i="11"/>
  <c r="J18" i="11"/>
  <c r="J15" i="11"/>
  <c r="J20" i="11"/>
  <c r="J13" i="11"/>
  <c r="AA68" i="12" s="1"/>
  <c r="J7" i="11"/>
  <c r="AA67" i="12" s="1"/>
  <c r="J11" i="11"/>
  <c r="AA72" i="12" s="1"/>
  <c r="J19" i="11"/>
  <c r="J36" i="11"/>
  <c r="I130" i="12" s="1"/>
  <c r="J43" i="11"/>
  <c r="I137" i="12" s="1"/>
  <c r="J34" i="11"/>
  <c r="I128" i="12" s="1"/>
  <c r="J33" i="11"/>
  <c r="J45" i="11"/>
  <c r="I139" i="12" s="1"/>
  <c r="J42" i="11"/>
  <c r="I136" i="12" s="1"/>
  <c r="J47" i="11"/>
  <c r="I141" i="12" s="1"/>
  <c r="J48" i="11"/>
  <c r="I142" i="12" s="1"/>
  <c r="J35" i="11"/>
  <c r="I129" i="12" s="1"/>
  <c r="AG42" i="15"/>
  <c r="CU49" i="6"/>
  <c r="AG6" i="15"/>
  <c r="AG15" i="15"/>
  <c r="AG25" i="15"/>
  <c r="AG34" i="15"/>
  <c r="AG43" i="15"/>
  <c r="J39" i="11"/>
  <c r="I133" i="12" s="1"/>
  <c r="AG39" i="15"/>
  <c r="J46" i="11"/>
  <c r="I140" i="12" s="1"/>
  <c r="AG46" i="15"/>
  <c r="AG48" i="15"/>
  <c r="AG36" i="15"/>
  <c r="J40" i="11"/>
  <c r="I134" i="12" s="1"/>
  <c r="AG40" i="15"/>
  <c r="AG45" i="15"/>
  <c r="AG35" i="15"/>
  <c r="J44" i="11"/>
  <c r="I138" i="12" s="1"/>
  <c r="AG44" i="15"/>
  <c r="AG47" i="15"/>
  <c r="AG33" i="15"/>
  <c r="AG24" i="15"/>
  <c r="AG18" i="15"/>
  <c r="AG17" i="15"/>
  <c r="AG7" i="15"/>
  <c r="AG13" i="15"/>
  <c r="AG16" i="15"/>
  <c r="AG10" i="15"/>
  <c r="AG8" i="15"/>
  <c r="AG20" i="15"/>
  <c r="AG9" i="15"/>
  <c r="AG19" i="15"/>
  <c r="AG11" i="15"/>
  <c r="CT63" i="6"/>
  <c r="J55" i="11"/>
  <c r="CU54" i="6"/>
  <c r="CU62" i="6"/>
  <c r="CU40" i="6"/>
  <c r="CU42" i="6"/>
  <c r="CT35" i="6"/>
  <c r="CU41" i="6"/>
  <c r="CU43" i="6"/>
  <c r="CU31" i="6"/>
  <c r="CU53" i="6"/>
  <c r="CU51" i="6"/>
  <c r="CU47" i="6"/>
  <c r="CU55" i="6"/>
  <c r="CU50" i="6"/>
  <c r="CU32" i="6"/>
  <c r="CV3" i="6"/>
  <c r="CV12" i="6" s="1"/>
  <c r="CV33" i="6"/>
  <c r="CV34" i="6"/>
  <c r="CW1" i="6"/>
  <c r="CW89" i="6" s="1"/>
  <c r="AH82" i="15" s="1"/>
  <c r="CU52" i="6"/>
  <c r="CU46" i="6"/>
  <c r="GE3" i="8"/>
  <c r="GD7" i="8"/>
  <c r="AG41" i="15" l="1"/>
  <c r="J41" i="11"/>
  <c r="I135" i="12" s="1"/>
  <c r="CU48" i="6"/>
  <c r="AA96" i="12"/>
  <c r="I127" i="12"/>
  <c r="AA98" i="12"/>
  <c r="AA99" i="12"/>
  <c r="AA71" i="12"/>
  <c r="CV27" i="6"/>
  <c r="CV21" i="6"/>
  <c r="CV17" i="6"/>
  <c r="CV16" i="6"/>
  <c r="CV19" i="6"/>
  <c r="CV22" i="6"/>
  <c r="CV18" i="6"/>
  <c r="CV26" i="6"/>
  <c r="CV14" i="6"/>
  <c r="CV13" i="6"/>
  <c r="CV25" i="6"/>
  <c r="CV45" i="6"/>
  <c r="CV24" i="6"/>
  <c r="CV20" i="6"/>
  <c r="CV23" i="6"/>
  <c r="CV15" i="6"/>
  <c r="I28" i="12"/>
  <c r="CV49" i="6"/>
  <c r="CT96" i="6"/>
  <c r="AG56" i="15"/>
  <c r="AG28" i="15"/>
  <c r="J56" i="11"/>
  <c r="J89" i="11" s="1"/>
  <c r="I10" i="12" s="1"/>
  <c r="CU63" i="6"/>
  <c r="CV62" i="6"/>
  <c r="CV63" i="6" s="1"/>
  <c r="CV96" i="6" s="1"/>
  <c r="CV29" i="9" s="1"/>
  <c r="CV40" i="6"/>
  <c r="CU35" i="6"/>
  <c r="CV46" i="6"/>
  <c r="CV43" i="6"/>
  <c r="CV55" i="6"/>
  <c r="CV31" i="6"/>
  <c r="CV53" i="6"/>
  <c r="CV54" i="6"/>
  <c r="CV47" i="6"/>
  <c r="CV32" i="6"/>
  <c r="CV51" i="6"/>
  <c r="CV52" i="6"/>
  <c r="CV42" i="6"/>
  <c r="CV50" i="6"/>
  <c r="CV41" i="6"/>
  <c r="CX1" i="6"/>
  <c r="CX89" i="6" s="1"/>
  <c r="CW33" i="6"/>
  <c r="AH26" i="15" s="1"/>
  <c r="CW34" i="6"/>
  <c r="AH27" i="15" s="1"/>
  <c r="CW3" i="6"/>
  <c r="CW12" i="6" s="1"/>
  <c r="GF3" i="8"/>
  <c r="GE7" i="8"/>
  <c r="CV48" i="6" l="1"/>
  <c r="CW26" i="6"/>
  <c r="AH19" i="15" s="1"/>
  <c r="CW27" i="6"/>
  <c r="AH20" i="15" s="1"/>
  <c r="CW25" i="6"/>
  <c r="AH18" i="15" s="1"/>
  <c r="CW21" i="6"/>
  <c r="AH14" i="15" s="1"/>
  <c r="CW15" i="6"/>
  <c r="CW18" i="6"/>
  <c r="AH11" i="15" s="1"/>
  <c r="CW17" i="6"/>
  <c r="AH10" i="15" s="1"/>
  <c r="CW14" i="6"/>
  <c r="AH7" i="15" s="1"/>
  <c r="CW19" i="6"/>
  <c r="AH12" i="15" s="1"/>
  <c r="CW23" i="6"/>
  <c r="AH16" i="15" s="1"/>
  <c r="CW13" i="6"/>
  <c r="AH6" i="15" s="1"/>
  <c r="CW22" i="6"/>
  <c r="CW45" i="6"/>
  <c r="AH38" i="15" s="1"/>
  <c r="CW24" i="6"/>
  <c r="AH17" i="15" s="1"/>
  <c r="CW20" i="6"/>
  <c r="AH13" i="15" s="1"/>
  <c r="CW16" i="6"/>
  <c r="CW49" i="6"/>
  <c r="CU96" i="6"/>
  <c r="CT29" i="9"/>
  <c r="AG89" i="15"/>
  <c r="CV35" i="6"/>
  <c r="CW62" i="6"/>
  <c r="CW63" i="6" s="1"/>
  <c r="CW96" i="6" s="1"/>
  <c r="CW29" i="9" s="1"/>
  <c r="CW40" i="6"/>
  <c r="AH33" i="15" s="1"/>
  <c r="CW50" i="6"/>
  <c r="AH43" i="15" s="1"/>
  <c r="CW46" i="6"/>
  <c r="AH39" i="15" s="1"/>
  <c r="CW51" i="6"/>
  <c r="AH44" i="15" s="1"/>
  <c r="CW43" i="6"/>
  <c r="AH36" i="15" s="1"/>
  <c r="CW52" i="6"/>
  <c r="CW54" i="6"/>
  <c r="AH47" i="15" s="1"/>
  <c r="CW32" i="6"/>
  <c r="AH25" i="15" s="1"/>
  <c r="CW53" i="6"/>
  <c r="AH46" i="15" s="1"/>
  <c r="CW55" i="6"/>
  <c r="AH48" i="15" s="1"/>
  <c r="CW47" i="6"/>
  <c r="AH40" i="15" s="1"/>
  <c r="CY1" i="6"/>
  <c r="CY89" i="6" s="1"/>
  <c r="CX33" i="6"/>
  <c r="CX3" i="6"/>
  <c r="CX12" i="6" s="1"/>
  <c r="CX34" i="6"/>
  <c r="CW41" i="6"/>
  <c r="AH34" i="15" s="1"/>
  <c r="CW31" i="6"/>
  <c r="AH24" i="15" s="1"/>
  <c r="CW42" i="6"/>
  <c r="AH35" i="15" s="1"/>
  <c r="GG3" i="8"/>
  <c r="GF7" i="8"/>
  <c r="AH8" i="15" l="1"/>
  <c r="CW48" i="6"/>
  <c r="AH41" i="15" s="1"/>
  <c r="CX27" i="6"/>
  <c r="CX26" i="6"/>
  <c r="CX13" i="6"/>
  <c r="CX18" i="6"/>
  <c r="CX24" i="6"/>
  <c r="CX23" i="6"/>
  <c r="CX22" i="6"/>
  <c r="CX45" i="6"/>
  <c r="CX15" i="6"/>
  <c r="CX21" i="6"/>
  <c r="CX16" i="6"/>
  <c r="CX19" i="6"/>
  <c r="CX17" i="6"/>
  <c r="CX25" i="6"/>
  <c r="CX20" i="6"/>
  <c r="CX14" i="6"/>
  <c r="AH9" i="15"/>
  <c r="AH45" i="15"/>
  <c r="AH42" i="15"/>
  <c r="CX49" i="6"/>
  <c r="AH15" i="15"/>
  <c r="AH56" i="15"/>
  <c r="AH55" i="15"/>
  <c r="CU29" i="9"/>
  <c r="AH89" i="15"/>
  <c r="AH28" i="15"/>
  <c r="CX62" i="6"/>
  <c r="CX40" i="6"/>
  <c r="CX52" i="6"/>
  <c r="CX42" i="6"/>
  <c r="CX31" i="6"/>
  <c r="CX54" i="6"/>
  <c r="CX41" i="6"/>
  <c r="CX46" i="6"/>
  <c r="CX32" i="6"/>
  <c r="CX50" i="6"/>
  <c r="CX43" i="6"/>
  <c r="CX55" i="6"/>
  <c r="CW35" i="6"/>
  <c r="CZ1" i="6"/>
  <c r="CZ89" i="6" s="1"/>
  <c r="AI82" i="15" s="1"/>
  <c r="CY3" i="6"/>
  <c r="CY12" i="6" s="1"/>
  <c r="CY33" i="6"/>
  <c r="CY34" i="6"/>
  <c r="CX47" i="6"/>
  <c r="CX53" i="6"/>
  <c r="CX51" i="6"/>
  <c r="GH3" i="8"/>
  <c r="GG7" i="8"/>
  <c r="CX48" i="6" l="1"/>
  <c r="CY27" i="6"/>
  <c r="CY26" i="6"/>
  <c r="CY15" i="6"/>
  <c r="CY45" i="6"/>
  <c r="CY21" i="6"/>
  <c r="CY13" i="6"/>
  <c r="CY24" i="6"/>
  <c r="CY18" i="6"/>
  <c r="CY23" i="6"/>
  <c r="CY19" i="6"/>
  <c r="CY22" i="6"/>
  <c r="CY25" i="6"/>
  <c r="CY17" i="6"/>
  <c r="CY20" i="6"/>
  <c r="CY14" i="6"/>
  <c r="CY16" i="6"/>
  <c r="CY49" i="6"/>
  <c r="CX63" i="6"/>
  <c r="CX96" i="6" s="1"/>
  <c r="CY62" i="6"/>
  <c r="CY63" i="6" s="1"/>
  <c r="CY96" i="6" s="1"/>
  <c r="CY29" i="9" s="1"/>
  <c r="CY40" i="6"/>
  <c r="CY51" i="6"/>
  <c r="CY53" i="6"/>
  <c r="CX35" i="6"/>
  <c r="CY55" i="6"/>
  <c r="CY46" i="6"/>
  <c r="CY52" i="6"/>
  <c r="CY47" i="6"/>
  <c r="CY43" i="6"/>
  <c r="CY31" i="6"/>
  <c r="CZ34" i="6"/>
  <c r="AI27" i="15" s="1"/>
  <c r="DA1" i="6"/>
  <c r="DA89" i="6" s="1"/>
  <c r="CZ3" i="6"/>
  <c r="CZ12" i="6" s="1"/>
  <c r="CZ33" i="6"/>
  <c r="AI26" i="15" s="1"/>
  <c r="CY42" i="6"/>
  <c r="CY32" i="6"/>
  <c r="CY54" i="6"/>
  <c r="CY41" i="6"/>
  <c r="CY50" i="6"/>
  <c r="GI3" i="8"/>
  <c r="GH7" i="8"/>
  <c r="CY48" i="6" l="1"/>
  <c r="CZ27" i="6"/>
  <c r="AI20" i="15" s="1"/>
  <c r="CZ24" i="6"/>
  <c r="AI17" i="15" s="1"/>
  <c r="CZ22" i="6"/>
  <c r="AI15" i="15" s="1"/>
  <c r="CZ19" i="6"/>
  <c r="AI12" i="15" s="1"/>
  <c r="CZ14" i="6"/>
  <c r="AI7" i="15" s="1"/>
  <c r="CZ25" i="6"/>
  <c r="AI18" i="15" s="1"/>
  <c r="CZ26" i="6"/>
  <c r="AI19" i="15" s="1"/>
  <c r="CZ17" i="6"/>
  <c r="AI10" i="15" s="1"/>
  <c r="CZ16" i="6"/>
  <c r="AI9" i="15" s="1"/>
  <c r="CZ45" i="6"/>
  <c r="AI38" i="15" s="1"/>
  <c r="CZ15" i="6"/>
  <c r="CZ13" i="6"/>
  <c r="CZ23" i="6"/>
  <c r="AI16" i="15" s="1"/>
  <c r="CZ20" i="6"/>
  <c r="AI13" i="15" s="1"/>
  <c r="CZ21" i="6"/>
  <c r="AI14" i="15" s="1"/>
  <c r="CZ18" i="6"/>
  <c r="AI11" i="15" s="1"/>
  <c r="CZ49" i="6"/>
  <c r="AI42" i="15" s="1"/>
  <c r="AI6" i="15"/>
  <c r="CZ53" i="6"/>
  <c r="AI46" i="15" s="1"/>
  <c r="CZ52" i="6"/>
  <c r="AI45" i="15" s="1"/>
  <c r="CZ31" i="6"/>
  <c r="AI24" i="15" s="1"/>
  <c r="CX29" i="9"/>
  <c r="CZ62" i="6"/>
  <c r="CZ63" i="6" s="1"/>
  <c r="CZ96" i="6" s="1"/>
  <c r="CZ29" i="9" s="1"/>
  <c r="CZ40" i="6"/>
  <c r="AI33" i="15" s="1"/>
  <c r="CZ41" i="6"/>
  <c r="AI34" i="15" s="1"/>
  <c r="CZ42" i="6"/>
  <c r="AI35" i="15" s="1"/>
  <c r="CZ51" i="6"/>
  <c r="AI44" i="15" s="1"/>
  <c r="CZ46" i="6"/>
  <c r="AI39" i="15" s="1"/>
  <c r="CZ54" i="6"/>
  <c r="AI47" i="15" s="1"/>
  <c r="CZ47" i="6"/>
  <c r="AI40" i="15" s="1"/>
  <c r="CY35" i="6"/>
  <c r="CZ32" i="6"/>
  <c r="CZ50" i="6"/>
  <c r="AI43" i="15" s="1"/>
  <c r="CZ43" i="6"/>
  <c r="AI36" i="15" s="1"/>
  <c r="DB1" i="6"/>
  <c r="DB89" i="6" s="1"/>
  <c r="DA33" i="6"/>
  <c r="DA3" i="6"/>
  <c r="DA12" i="6" s="1"/>
  <c r="DA34" i="6"/>
  <c r="CZ55" i="6"/>
  <c r="AI48" i="15" s="1"/>
  <c r="GJ3" i="8"/>
  <c r="GI7" i="8"/>
  <c r="AI8" i="15" l="1"/>
  <c r="CZ48" i="6"/>
  <c r="AI41" i="15" s="1"/>
  <c r="DA26" i="6"/>
  <c r="DA22" i="6"/>
  <c r="DA19" i="6"/>
  <c r="DA23" i="6"/>
  <c r="DA17" i="6"/>
  <c r="DA16" i="6"/>
  <c r="DA24" i="6"/>
  <c r="DA15" i="6"/>
  <c r="DA14" i="6"/>
  <c r="DA21" i="6"/>
  <c r="DA27" i="6"/>
  <c r="DA18" i="6"/>
  <c r="DA25" i="6"/>
  <c r="DA20" i="6"/>
  <c r="DA45" i="6"/>
  <c r="DA13" i="6"/>
  <c r="DA49" i="6"/>
  <c r="DA43" i="6"/>
  <c r="DA52" i="6"/>
  <c r="CZ35" i="6"/>
  <c r="AI55" i="15"/>
  <c r="AI89" i="15"/>
  <c r="AI56" i="15"/>
  <c r="AI25" i="15"/>
  <c r="AI28" i="15" s="1"/>
  <c r="DA62" i="6"/>
  <c r="DA40" i="6"/>
  <c r="DA42" i="6"/>
  <c r="DA50" i="6"/>
  <c r="DA54" i="6"/>
  <c r="DA46" i="6"/>
  <c r="DA31" i="6"/>
  <c r="DA51" i="6"/>
  <c r="DA41" i="6"/>
  <c r="DA53" i="6"/>
  <c r="DC1" i="6"/>
  <c r="DC89" i="6" s="1"/>
  <c r="AJ82" i="15" s="1"/>
  <c r="DB34" i="6"/>
  <c r="DB3" i="6"/>
  <c r="DB12" i="6" s="1"/>
  <c r="DB33" i="6"/>
  <c r="DA32" i="6"/>
  <c r="DA55" i="6"/>
  <c r="DA47" i="6"/>
  <c r="GK3" i="8"/>
  <c r="GJ7" i="8"/>
  <c r="DA48" i="6" l="1"/>
  <c r="DB14" i="6"/>
  <c r="DB13" i="6"/>
  <c r="DB15" i="6"/>
  <c r="DB22" i="6"/>
  <c r="DB16" i="6"/>
  <c r="DB45" i="6"/>
  <c r="DB20" i="6"/>
  <c r="DB26" i="6"/>
  <c r="DB25" i="6"/>
  <c r="DB27" i="6"/>
  <c r="DB17" i="6"/>
  <c r="DB23" i="6"/>
  <c r="DB21" i="6"/>
  <c r="DB24" i="6"/>
  <c r="DB18" i="6"/>
  <c r="DB19" i="6"/>
  <c r="DB49" i="6"/>
  <c r="DA63" i="6"/>
  <c r="DA96" i="6" s="1"/>
  <c r="DB62" i="6"/>
  <c r="DB63" i="6" s="1"/>
  <c r="DB96" i="6" s="1"/>
  <c r="DB29" i="9" s="1"/>
  <c r="DB40" i="6"/>
  <c r="DB43" i="6"/>
  <c r="DA35" i="6"/>
  <c r="DB55" i="6"/>
  <c r="DB32" i="6"/>
  <c r="DB46" i="6"/>
  <c r="DB53" i="6"/>
  <c r="DB50" i="6"/>
  <c r="DB42" i="6"/>
  <c r="DB51" i="6"/>
  <c r="DB41" i="6"/>
  <c r="DB54" i="6"/>
  <c r="DB47" i="6"/>
  <c r="DB31" i="6"/>
  <c r="DB52" i="6"/>
  <c r="DD1" i="6"/>
  <c r="DD89" i="6" s="1"/>
  <c r="DC3" i="6"/>
  <c r="DC12" i="6" s="1"/>
  <c r="DC33" i="6"/>
  <c r="AJ26" i="15" s="1"/>
  <c r="DC34" i="6"/>
  <c r="AJ27" i="15" s="1"/>
  <c r="GL3" i="8"/>
  <c r="GK7" i="8"/>
  <c r="DB48" i="6" l="1"/>
  <c r="DC15" i="6"/>
  <c r="DC13" i="6"/>
  <c r="DC22" i="6"/>
  <c r="AJ15" i="15" s="1"/>
  <c r="DC24" i="6"/>
  <c r="AJ17" i="15" s="1"/>
  <c r="DC27" i="6"/>
  <c r="AJ20" i="15" s="1"/>
  <c r="DC18" i="6"/>
  <c r="AJ11" i="15" s="1"/>
  <c r="DC21" i="6"/>
  <c r="AJ14" i="15" s="1"/>
  <c r="DC25" i="6"/>
  <c r="AJ18" i="15" s="1"/>
  <c r="DC16" i="6"/>
  <c r="AJ9" i="15" s="1"/>
  <c r="DC45" i="6"/>
  <c r="AJ38" i="15" s="1"/>
  <c r="DC20" i="6"/>
  <c r="AJ13" i="15" s="1"/>
  <c r="DC14" i="6"/>
  <c r="AJ7" i="15" s="1"/>
  <c r="DC23" i="6"/>
  <c r="AJ16" i="15" s="1"/>
  <c r="DC17" i="6"/>
  <c r="AJ10" i="15" s="1"/>
  <c r="DC26" i="6"/>
  <c r="AJ19" i="15" s="1"/>
  <c r="DC19" i="6"/>
  <c r="AJ12" i="15" s="1"/>
  <c r="DC49" i="6"/>
  <c r="AJ42" i="15" s="1"/>
  <c r="AJ6" i="15"/>
  <c r="DA29" i="9"/>
  <c r="DC62" i="6"/>
  <c r="DC63" i="6" s="1"/>
  <c r="DC40" i="6"/>
  <c r="AJ33" i="15" s="1"/>
  <c r="DB35" i="6"/>
  <c r="DC32" i="6"/>
  <c r="AJ25" i="15" s="1"/>
  <c r="DC46" i="6"/>
  <c r="AJ39" i="15" s="1"/>
  <c r="DC52" i="6"/>
  <c r="AJ45" i="15" s="1"/>
  <c r="DC51" i="6"/>
  <c r="AJ44" i="15" s="1"/>
  <c r="DC53" i="6"/>
  <c r="AJ46" i="15" s="1"/>
  <c r="DC55" i="6"/>
  <c r="AJ48" i="15" s="1"/>
  <c r="DC50" i="6"/>
  <c r="AJ43" i="15" s="1"/>
  <c r="DD3" i="6"/>
  <c r="DD12" i="6" s="1"/>
  <c r="DE1" i="6"/>
  <c r="DE89" i="6" s="1"/>
  <c r="DD33" i="6"/>
  <c r="DD34" i="6"/>
  <c r="DC31" i="6"/>
  <c r="AJ24" i="15" s="1"/>
  <c r="DC41" i="6"/>
  <c r="AJ34" i="15" s="1"/>
  <c r="DC54" i="6"/>
  <c r="AJ47" i="15" s="1"/>
  <c r="DC47" i="6"/>
  <c r="AJ40" i="15" s="1"/>
  <c r="DC42" i="6"/>
  <c r="AJ35" i="15" s="1"/>
  <c r="DC43" i="6"/>
  <c r="AJ36" i="15" s="1"/>
  <c r="GM3" i="8"/>
  <c r="GL7" i="8"/>
  <c r="AJ8" i="15" l="1"/>
  <c r="DC48" i="6"/>
  <c r="AJ41" i="15" s="1"/>
  <c r="DD45" i="6"/>
  <c r="DD18" i="6"/>
  <c r="DD22" i="6"/>
  <c r="DD15" i="6"/>
  <c r="DD27" i="6"/>
  <c r="DD17" i="6"/>
  <c r="DD26" i="6"/>
  <c r="DD23" i="6"/>
  <c r="DD25" i="6"/>
  <c r="DD21" i="6"/>
  <c r="DD24" i="6"/>
  <c r="DD16" i="6"/>
  <c r="DD20" i="6"/>
  <c r="DD13" i="6"/>
  <c r="DD14" i="6"/>
  <c r="DD19" i="6"/>
  <c r="DD55" i="6"/>
  <c r="DD49" i="6"/>
  <c r="DD51" i="6"/>
  <c r="AJ55" i="15"/>
  <c r="DC96" i="6"/>
  <c r="AJ56" i="15"/>
  <c r="AJ28" i="15"/>
  <c r="DC35" i="6"/>
  <c r="DD32" i="6"/>
  <c r="DD46" i="6"/>
  <c r="DD52" i="6"/>
  <c r="DD62" i="6"/>
  <c r="DD40" i="6"/>
  <c r="DD43" i="6"/>
  <c r="DD31" i="6"/>
  <c r="DD53" i="6"/>
  <c r="DD41" i="6"/>
  <c r="DD50" i="6"/>
  <c r="DD47" i="6"/>
  <c r="DD42" i="6"/>
  <c r="DF1" i="6"/>
  <c r="DF89" i="6" s="1"/>
  <c r="DE3" i="6"/>
  <c r="DE12" i="6" s="1"/>
  <c r="DE33" i="6"/>
  <c r="DE34" i="6"/>
  <c r="DD54" i="6"/>
  <c r="GN3" i="8"/>
  <c r="GM7" i="8"/>
  <c r="DD48" i="6" l="1"/>
  <c r="DE26" i="6"/>
  <c r="DE15" i="6"/>
  <c r="DE14" i="6"/>
  <c r="DE17" i="6"/>
  <c r="DE20" i="6"/>
  <c r="DE13" i="6"/>
  <c r="DE18" i="6"/>
  <c r="DE22" i="6"/>
  <c r="DE25" i="6"/>
  <c r="DE19" i="6"/>
  <c r="DE21" i="6"/>
  <c r="DE16" i="6"/>
  <c r="DE27" i="6"/>
  <c r="DE45" i="6"/>
  <c r="DE23" i="6"/>
  <c r="DE24" i="6"/>
  <c r="K82" i="11"/>
  <c r="DE49" i="6"/>
  <c r="DD63" i="6"/>
  <c r="DD96" i="6" s="1"/>
  <c r="DC29" i="9"/>
  <c r="AJ89" i="15"/>
  <c r="AK82" i="15"/>
  <c r="DD35" i="6"/>
  <c r="DE62" i="6"/>
  <c r="DE63" i="6" s="1"/>
  <c r="DE96" i="6" s="1"/>
  <c r="DE29" i="9" s="1"/>
  <c r="DE40" i="6"/>
  <c r="DE52" i="6"/>
  <c r="DE54" i="6"/>
  <c r="DE51" i="6"/>
  <c r="DE42" i="6"/>
  <c r="DE31" i="6"/>
  <c r="DE41" i="6"/>
  <c r="DE43" i="6"/>
  <c r="DE55" i="6"/>
  <c r="DE32" i="6"/>
  <c r="DE50" i="6"/>
  <c r="DE53" i="6"/>
  <c r="DE47" i="6"/>
  <c r="DE46" i="6"/>
  <c r="DF3" i="6"/>
  <c r="DF12" i="6" s="1"/>
  <c r="DF33" i="6"/>
  <c r="K26" i="11" s="1"/>
  <c r="DF34" i="6"/>
  <c r="K27" i="11" s="1"/>
  <c r="DG1" i="6"/>
  <c r="DG89" i="6" s="1"/>
  <c r="GO3" i="8"/>
  <c r="GN7" i="8"/>
  <c r="DE48" i="6" l="1"/>
  <c r="DF26" i="6"/>
  <c r="DF20" i="6"/>
  <c r="DF19" i="6"/>
  <c r="DF17" i="6"/>
  <c r="DF14" i="6"/>
  <c r="DF27" i="6"/>
  <c r="DF24" i="6"/>
  <c r="DF16" i="6"/>
  <c r="DF22" i="6"/>
  <c r="DF15" i="6"/>
  <c r="DF25" i="6"/>
  <c r="DF18" i="6"/>
  <c r="AK11" i="15" s="1"/>
  <c r="DF23" i="6"/>
  <c r="DF21" i="6"/>
  <c r="K14" i="11" s="1"/>
  <c r="AB69" i="12" s="1"/>
  <c r="DF13" i="6"/>
  <c r="K6" i="11" s="1"/>
  <c r="DF45" i="6"/>
  <c r="DF49" i="6"/>
  <c r="DD29" i="9"/>
  <c r="AK26" i="15"/>
  <c r="AK27" i="15"/>
  <c r="DF62" i="6"/>
  <c r="AK55" i="15" s="1"/>
  <c r="DF40" i="6"/>
  <c r="DF31" i="6"/>
  <c r="DE35" i="6"/>
  <c r="DF32" i="6"/>
  <c r="K25" i="11" s="1"/>
  <c r="DF47" i="6"/>
  <c r="DF54" i="6"/>
  <c r="DF46" i="6"/>
  <c r="DF53" i="6"/>
  <c r="DF43" i="6"/>
  <c r="DF52" i="6"/>
  <c r="DF55" i="6"/>
  <c r="DF42" i="6"/>
  <c r="DH1" i="6"/>
  <c r="DH89" i="6" s="1"/>
  <c r="DG34" i="6"/>
  <c r="DG3" i="6"/>
  <c r="DG12" i="6" s="1"/>
  <c r="DG33" i="6"/>
  <c r="DF51" i="6"/>
  <c r="DF41" i="6"/>
  <c r="DF50" i="6"/>
  <c r="GP3" i="8"/>
  <c r="GO7" i="8"/>
  <c r="DF48" i="6" l="1"/>
  <c r="AK14" i="15"/>
  <c r="DG26" i="6"/>
  <c r="DG18" i="6"/>
  <c r="DG17" i="6"/>
  <c r="DG21" i="6"/>
  <c r="DG45" i="6"/>
  <c r="DG14" i="6"/>
  <c r="DG20" i="6"/>
  <c r="DG27" i="6"/>
  <c r="DG16" i="6"/>
  <c r="DG22" i="6"/>
  <c r="DG15" i="6"/>
  <c r="DG24" i="6"/>
  <c r="DG25" i="6"/>
  <c r="DG23" i="6"/>
  <c r="DG13" i="6"/>
  <c r="DG19" i="6"/>
  <c r="K38" i="11"/>
  <c r="J132" i="12" s="1"/>
  <c r="AK38" i="15"/>
  <c r="K11" i="11"/>
  <c r="AB72" i="12" s="1"/>
  <c r="K12" i="11"/>
  <c r="K20" i="11"/>
  <c r="K16" i="11"/>
  <c r="K24" i="11"/>
  <c r="K28" i="11" s="1"/>
  <c r="K15" i="11"/>
  <c r="K19" i="11"/>
  <c r="K7" i="11"/>
  <c r="AB67" i="12" s="1"/>
  <c r="K17" i="11"/>
  <c r="K9" i="11"/>
  <c r="AB70" i="12" s="1"/>
  <c r="K10" i="11"/>
  <c r="K34" i="11"/>
  <c r="J128" i="12" s="1"/>
  <c r="K48" i="11"/>
  <c r="J142" i="12" s="1"/>
  <c r="K46" i="11"/>
  <c r="J140" i="12" s="1"/>
  <c r="K40" i="11"/>
  <c r="J134" i="12" s="1"/>
  <c r="K44" i="11"/>
  <c r="J138" i="12" s="1"/>
  <c r="K45" i="11"/>
  <c r="J139" i="12" s="1"/>
  <c r="K39" i="11"/>
  <c r="J133" i="12" s="1"/>
  <c r="K33" i="11"/>
  <c r="K47" i="11"/>
  <c r="J141" i="12" s="1"/>
  <c r="K42" i="11"/>
  <c r="J136" i="12" s="1"/>
  <c r="K35" i="11"/>
  <c r="J129" i="12" s="1"/>
  <c r="K36" i="11"/>
  <c r="J130" i="12" s="1"/>
  <c r="AK42" i="15"/>
  <c r="DG49" i="6"/>
  <c r="AK6" i="15"/>
  <c r="AK15" i="15"/>
  <c r="DG51" i="6"/>
  <c r="AK25" i="15"/>
  <c r="AK34" i="15"/>
  <c r="AK44" i="15"/>
  <c r="AK40" i="15"/>
  <c r="AK46" i="15"/>
  <c r="AK48" i="15"/>
  <c r="AK36" i="15"/>
  <c r="AK35" i="15"/>
  <c r="AK47" i="15"/>
  <c r="K43" i="11"/>
  <c r="J137" i="12" s="1"/>
  <c r="AK43" i="15"/>
  <c r="AK45" i="15"/>
  <c r="AK39" i="15"/>
  <c r="AK33" i="15"/>
  <c r="AK24" i="15"/>
  <c r="AK7" i="15"/>
  <c r="AK10" i="15"/>
  <c r="K8" i="11"/>
  <c r="AK8" i="15"/>
  <c r="AK19" i="15"/>
  <c r="AK12" i="15"/>
  <c r="K18" i="11"/>
  <c r="AK18" i="15"/>
  <c r="K13" i="11"/>
  <c r="AB68" i="12" s="1"/>
  <c r="AK13" i="15"/>
  <c r="AK20" i="15"/>
  <c r="AK9" i="15"/>
  <c r="AK17" i="15"/>
  <c r="AK16" i="15"/>
  <c r="DF63" i="6"/>
  <c r="K55" i="11"/>
  <c r="DF35" i="6"/>
  <c r="DG62" i="6"/>
  <c r="DG40" i="6"/>
  <c r="DG52" i="6"/>
  <c r="DG54" i="6"/>
  <c r="DG32" i="6"/>
  <c r="DG50" i="6"/>
  <c r="DG41" i="6"/>
  <c r="DG47" i="6"/>
  <c r="DG43" i="6"/>
  <c r="DG31" i="6"/>
  <c r="DG55" i="6"/>
  <c r="DG42" i="6"/>
  <c r="DG53" i="6"/>
  <c r="DG46" i="6"/>
  <c r="DH33" i="6"/>
  <c r="DI1" i="6"/>
  <c r="DI89" i="6" s="1"/>
  <c r="AL82" i="15" s="1"/>
  <c r="DH34" i="6"/>
  <c r="DH3" i="6"/>
  <c r="DH12" i="6" s="1"/>
  <c r="GQ3" i="8"/>
  <c r="GP7" i="8"/>
  <c r="AK41" i="15" l="1"/>
  <c r="K41" i="11"/>
  <c r="J135" i="12" s="1"/>
  <c r="DG48" i="6"/>
  <c r="AB96" i="12"/>
  <c r="J127" i="12"/>
  <c r="AB98" i="12"/>
  <c r="AB99" i="12"/>
  <c r="AB71" i="12"/>
  <c r="DH21" i="6"/>
  <c r="DH25" i="6"/>
  <c r="DH45" i="6"/>
  <c r="DH13" i="6"/>
  <c r="DH16" i="6"/>
  <c r="DH17" i="6"/>
  <c r="DH19" i="6"/>
  <c r="DH23" i="6"/>
  <c r="DH27" i="6"/>
  <c r="DH18" i="6"/>
  <c r="DH22" i="6"/>
  <c r="DH20" i="6"/>
  <c r="DH15" i="6"/>
  <c r="DH26" i="6"/>
  <c r="DH14" i="6"/>
  <c r="DH24" i="6"/>
  <c r="DH49" i="6"/>
  <c r="K56" i="11"/>
  <c r="K89" i="11" s="1"/>
  <c r="J10" i="12" s="1"/>
  <c r="AK56" i="15"/>
  <c r="AK28" i="15"/>
  <c r="J28" i="12"/>
  <c r="DF96" i="6"/>
  <c r="DG63" i="6"/>
  <c r="DH62" i="6"/>
  <c r="DH63" i="6" s="1"/>
  <c r="DH96" i="6" s="1"/>
  <c r="DH29" i="9" s="1"/>
  <c r="DH40" i="6"/>
  <c r="DG35" i="6"/>
  <c r="DH47" i="6"/>
  <c r="DH55" i="6"/>
  <c r="DH53" i="6"/>
  <c r="DH43" i="6"/>
  <c r="DH51" i="6"/>
  <c r="DH42" i="6"/>
  <c r="DH54" i="6"/>
  <c r="DH50" i="6"/>
  <c r="DH31" i="6"/>
  <c r="DH32" i="6"/>
  <c r="DH46" i="6"/>
  <c r="DH41" i="6"/>
  <c r="DH52" i="6"/>
  <c r="DJ1" i="6"/>
  <c r="DJ89" i="6" s="1"/>
  <c r="DI33" i="6"/>
  <c r="AL26" i="15" s="1"/>
  <c r="DI34" i="6"/>
  <c r="AL27" i="15" s="1"/>
  <c r="DI3" i="6"/>
  <c r="DI12" i="6" s="1"/>
  <c r="GR3" i="8"/>
  <c r="GQ7" i="8"/>
  <c r="DH48" i="6" l="1"/>
  <c r="DI20" i="6"/>
  <c r="AL13" i="15" s="1"/>
  <c r="DI27" i="6"/>
  <c r="AL20" i="15" s="1"/>
  <c r="DI16" i="6"/>
  <c r="AL9" i="15" s="1"/>
  <c r="DI25" i="6"/>
  <c r="AL18" i="15" s="1"/>
  <c r="DI18" i="6"/>
  <c r="AL11" i="15" s="1"/>
  <c r="DI15" i="6"/>
  <c r="DI17" i="6"/>
  <c r="AL10" i="15" s="1"/>
  <c r="DI24" i="6"/>
  <c r="AL17" i="15" s="1"/>
  <c r="DI21" i="6"/>
  <c r="AL14" i="15" s="1"/>
  <c r="DI23" i="6"/>
  <c r="AL16" i="15" s="1"/>
  <c r="DI26" i="6"/>
  <c r="AL19" i="15" s="1"/>
  <c r="DI45" i="6"/>
  <c r="DI14" i="6"/>
  <c r="AL7" i="15" s="1"/>
  <c r="DI13" i="6"/>
  <c r="AL6" i="15" s="1"/>
  <c r="DI19" i="6"/>
  <c r="AL12" i="15" s="1"/>
  <c r="DI22" i="6"/>
  <c r="AL15" i="15" s="1"/>
  <c r="DI49" i="6"/>
  <c r="AL42" i="15" s="1"/>
  <c r="DI54" i="6"/>
  <c r="AL47" i="15" s="1"/>
  <c r="DF29" i="9"/>
  <c r="AK89" i="15"/>
  <c r="DG96" i="6"/>
  <c r="DI41" i="6"/>
  <c r="AL34" i="15" s="1"/>
  <c r="DI46" i="6"/>
  <c r="AL39" i="15" s="1"/>
  <c r="DI62" i="6"/>
  <c r="DI63" i="6" s="1"/>
  <c r="DI96" i="6" s="1"/>
  <c r="DI29" i="9" s="1"/>
  <c r="DI40" i="6"/>
  <c r="AL33" i="15" s="1"/>
  <c r="DH35" i="6"/>
  <c r="DI47" i="6"/>
  <c r="AL40" i="15" s="1"/>
  <c r="DI52" i="6"/>
  <c r="AL45" i="15" s="1"/>
  <c r="DI53" i="6"/>
  <c r="AL46" i="15" s="1"/>
  <c r="DI55" i="6"/>
  <c r="AL48" i="15" s="1"/>
  <c r="DI42" i="6"/>
  <c r="AL35" i="15" s="1"/>
  <c r="DI50" i="6"/>
  <c r="AL43" i="15" s="1"/>
  <c r="DI51" i="6"/>
  <c r="AL44" i="15" s="1"/>
  <c r="DI32" i="6"/>
  <c r="AL25" i="15" s="1"/>
  <c r="DI31" i="6"/>
  <c r="AL24" i="15" s="1"/>
  <c r="DI43" i="6"/>
  <c r="AL36" i="15" s="1"/>
  <c r="DJ34" i="6"/>
  <c r="DJ33" i="6"/>
  <c r="DJ3" i="6"/>
  <c r="DJ12" i="6" s="1"/>
  <c r="DK1" i="6"/>
  <c r="DK89" i="6" s="1"/>
  <c r="GS3" i="8"/>
  <c r="GR7" i="8"/>
  <c r="AL8" i="15" l="1"/>
  <c r="DI48" i="6"/>
  <c r="AL41" i="15" s="1"/>
  <c r="DJ13" i="6"/>
  <c r="DJ20" i="6"/>
  <c r="DJ27" i="6"/>
  <c r="DJ25" i="6"/>
  <c r="DJ45" i="6"/>
  <c r="DJ23" i="6"/>
  <c r="DJ17" i="6"/>
  <c r="DJ16" i="6"/>
  <c r="DJ24" i="6"/>
  <c r="DJ22" i="6"/>
  <c r="DJ15" i="6"/>
  <c r="DJ18" i="6"/>
  <c r="DJ26" i="6"/>
  <c r="DJ21" i="6"/>
  <c r="DJ19" i="6"/>
  <c r="DJ14" i="6"/>
  <c r="AL38" i="15"/>
  <c r="DJ49" i="6"/>
  <c r="AL55" i="15"/>
  <c r="DG29" i="9"/>
  <c r="AL89" i="15"/>
  <c r="AL56" i="15"/>
  <c r="AL28" i="15"/>
  <c r="DJ62" i="6"/>
  <c r="DJ40" i="6"/>
  <c r="DI35" i="6"/>
  <c r="DJ46" i="6"/>
  <c r="DJ54" i="6"/>
  <c r="DJ53" i="6"/>
  <c r="DJ47" i="6"/>
  <c r="DJ41" i="6"/>
  <c r="DK3" i="6"/>
  <c r="DK12" i="6" s="1"/>
  <c r="DL1" i="6"/>
  <c r="DL89" i="6" s="1"/>
  <c r="AM82" i="15" s="1"/>
  <c r="DK34" i="6"/>
  <c r="DK33" i="6"/>
  <c r="DJ50" i="6"/>
  <c r="DJ52" i="6"/>
  <c r="DJ32" i="6"/>
  <c r="DJ31" i="6"/>
  <c r="DJ55" i="6"/>
  <c r="DJ51" i="6"/>
  <c r="DJ43" i="6"/>
  <c r="DJ42" i="6"/>
  <c r="GT3" i="8"/>
  <c r="GS7" i="8"/>
  <c r="DJ48" i="6" l="1"/>
  <c r="DK23" i="6"/>
  <c r="DK45" i="6"/>
  <c r="DK13" i="6"/>
  <c r="DK20" i="6"/>
  <c r="DK14" i="6"/>
  <c r="DK17" i="6"/>
  <c r="DK19" i="6"/>
  <c r="DK27" i="6"/>
  <c r="DK15" i="6"/>
  <c r="DK16" i="6"/>
  <c r="DK18" i="6"/>
  <c r="DK24" i="6"/>
  <c r="DK26" i="6"/>
  <c r="DK25" i="6"/>
  <c r="DK21" i="6"/>
  <c r="DK22" i="6"/>
  <c r="DK49" i="6"/>
  <c r="DJ63" i="6"/>
  <c r="DJ96" i="6" s="1"/>
  <c r="DK62" i="6"/>
  <c r="DK63" i="6" s="1"/>
  <c r="DK96" i="6" s="1"/>
  <c r="DK29" i="9" s="1"/>
  <c r="DK40" i="6"/>
  <c r="DK53" i="6"/>
  <c r="DK55" i="6"/>
  <c r="DK32" i="6"/>
  <c r="DK41" i="6"/>
  <c r="DK47" i="6"/>
  <c r="DK31" i="6"/>
  <c r="DK52" i="6"/>
  <c r="DK46" i="6"/>
  <c r="DK51" i="6"/>
  <c r="DK50" i="6"/>
  <c r="DK54" i="6"/>
  <c r="DK42" i="6"/>
  <c r="DK43" i="6"/>
  <c r="DJ35" i="6"/>
  <c r="DL34" i="6"/>
  <c r="AM27" i="15" s="1"/>
  <c r="DL33" i="6"/>
  <c r="AM26" i="15" s="1"/>
  <c r="DM1" i="6"/>
  <c r="DM89" i="6" s="1"/>
  <c r="DL3" i="6"/>
  <c r="DL12" i="6" s="1"/>
  <c r="GU3" i="8"/>
  <c r="GT7" i="8"/>
  <c r="DK48" i="6" l="1"/>
  <c r="DL23" i="6"/>
  <c r="AM16" i="15" s="1"/>
  <c r="DL20" i="6"/>
  <c r="AM13" i="15" s="1"/>
  <c r="DL14" i="6"/>
  <c r="AM7" i="15" s="1"/>
  <c r="DL16" i="6"/>
  <c r="AM9" i="15" s="1"/>
  <c r="DL27" i="6"/>
  <c r="AM20" i="15" s="1"/>
  <c r="DL15" i="6"/>
  <c r="DL18" i="6"/>
  <c r="AM11" i="15" s="1"/>
  <c r="DL13" i="6"/>
  <c r="AM6" i="15" s="1"/>
  <c r="DL17" i="6"/>
  <c r="AM10" i="15" s="1"/>
  <c r="DL25" i="6"/>
  <c r="AM18" i="15" s="1"/>
  <c r="DL45" i="6"/>
  <c r="AM38" i="15" s="1"/>
  <c r="DL24" i="6"/>
  <c r="AM17" i="15" s="1"/>
  <c r="DL21" i="6"/>
  <c r="AM14" i="15" s="1"/>
  <c r="DL26" i="6"/>
  <c r="AM19" i="15" s="1"/>
  <c r="DL19" i="6"/>
  <c r="AM12" i="15" s="1"/>
  <c r="DL22" i="6"/>
  <c r="AM15" i="15" s="1"/>
  <c r="DL49" i="6"/>
  <c r="AM42" i="15" s="1"/>
  <c r="DJ29" i="9"/>
  <c r="DL62" i="6"/>
  <c r="DL63" i="6" s="1"/>
  <c r="DL96" i="6" s="1"/>
  <c r="DL29" i="9" s="1"/>
  <c r="DL40" i="6"/>
  <c r="AM33" i="15" s="1"/>
  <c r="DK35" i="6"/>
  <c r="DL46" i="6"/>
  <c r="AM39" i="15" s="1"/>
  <c r="DL43" i="6"/>
  <c r="AM36" i="15" s="1"/>
  <c r="DL31" i="6"/>
  <c r="AM24" i="15" s="1"/>
  <c r="DL47" i="6"/>
  <c r="AM40" i="15" s="1"/>
  <c r="DL32" i="6"/>
  <c r="AM25" i="15" s="1"/>
  <c r="DL41" i="6"/>
  <c r="AM34" i="15" s="1"/>
  <c r="DL52" i="6"/>
  <c r="AM45" i="15" s="1"/>
  <c r="DL42" i="6"/>
  <c r="AM35" i="15" s="1"/>
  <c r="DL55" i="6"/>
  <c r="AM48" i="15" s="1"/>
  <c r="DL53" i="6"/>
  <c r="AM46" i="15" s="1"/>
  <c r="DL50" i="6"/>
  <c r="AM43" i="15" s="1"/>
  <c r="DL54" i="6"/>
  <c r="AM47" i="15" s="1"/>
  <c r="DM3" i="6"/>
  <c r="DM12" i="6" s="1"/>
  <c r="DN1" i="6"/>
  <c r="DM34" i="6"/>
  <c r="DM33" i="6"/>
  <c r="DL51" i="6"/>
  <c r="AM44" i="15" s="1"/>
  <c r="GV3" i="8"/>
  <c r="GU7" i="8"/>
  <c r="AM8" i="15" l="1"/>
  <c r="DL48" i="6"/>
  <c r="AM41" i="15" s="1"/>
  <c r="DM23" i="6"/>
  <c r="DM14" i="6"/>
  <c r="DM18" i="6"/>
  <c r="DM26" i="6"/>
  <c r="DM20" i="6"/>
  <c r="DM15" i="6"/>
  <c r="DM25" i="6"/>
  <c r="DM27" i="6"/>
  <c r="DM19" i="6"/>
  <c r="DM16" i="6"/>
  <c r="DM24" i="6"/>
  <c r="DM13" i="6"/>
  <c r="DM22" i="6"/>
  <c r="DM21" i="6"/>
  <c r="DM45" i="6"/>
  <c r="DM17" i="6"/>
  <c r="DM49" i="6"/>
  <c r="AM56" i="15"/>
  <c r="AM55" i="15"/>
  <c r="AM89" i="15"/>
  <c r="AM28" i="15"/>
  <c r="DM54" i="6"/>
  <c r="DM31" i="6"/>
  <c r="DM50" i="6"/>
  <c r="DM51" i="6"/>
  <c r="DM55" i="6"/>
  <c r="DM47" i="6"/>
  <c r="DM62" i="6"/>
  <c r="DM40" i="6"/>
  <c r="DM46" i="6"/>
  <c r="DM52" i="6"/>
  <c r="DM42" i="6"/>
  <c r="DM43" i="6"/>
  <c r="DL35" i="6"/>
  <c r="DM53" i="6"/>
  <c r="DN34" i="6"/>
  <c r="DN33" i="6"/>
  <c r="DN3" i="6"/>
  <c r="DN12" i="6" s="1"/>
  <c r="DO1" i="6"/>
  <c r="DM41" i="6"/>
  <c r="DM32" i="6"/>
  <c r="GW3" i="8"/>
  <c r="GV7" i="8"/>
  <c r="DM48" i="6" l="1"/>
  <c r="DN25" i="6"/>
  <c r="DN23" i="6"/>
  <c r="DN21" i="6"/>
  <c r="DN14" i="6"/>
  <c r="DN13" i="6"/>
  <c r="DN15" i="6"/>
  <c r="DN19" i="6"/>
  <c r="DN22" i="6"/>
  <c r="DN45" i="6"/>
  <c r="DN20" i="6"/>
  <c r="DN26" i="6"/>
  <c r="DN24" i="6"/>
  <c r="DN17" i="6"/>
  <c r="DN16" i="6"/>
  <c r="DN27" i="6"/>
  <c r="DN18" i="6"/>
  <c r="DN49" i="6"/>
  <c r="DN47" i="6"/>
  <c r="DM63" i="6"/>
  <c r="DM96" i="6" s="1"/>
  <c r="DM35" i="6"/>
  <c r="DN62" i="6"/>
  <c r="DN63" i="6" s="1"/>
  <c r="DN96" i="6" s="1"/>
  <c r="DN29" i="9" s="1"/>
  <c r="DN40" i="6"/>
  <c r="DN53" i="6"/>
  <c r="DN51" i="6"/>
  <c r="DN55" i="6"/>
  <c r="DN41" i="6"/>
  <c r="DN31" i="6"/>
  <c r="DN43" i="6"/>
  <c r="DO34" i="6"/>
  <c r="AN27" i="15" s="1"/>
  <c r="DO33" i="6"/>
  <c r="AN26" i="15" s="1"/>
  <c r="DP1" i="6"/>
  <c r="DO3" i="6"/>
  <c r="DO12" i="6" s="1"/>
  <c r="DN54" i="6"/>
  <c r="DN42" i="6"/>
  <c r="DN46" i="6"/>
  <c r="DN32" i="6"/>
  <c r="DN50" i="6"/>
  <c r="DN52" i="6"/>
  <c r="GX3" i="8"/>
  <c r="GW7" i="8"/>
  <c r="DN48" i="6" l="1"/>
  <c r="DO27" i="6"/>
  <c r="AN20" i="15" s="1"/>
  <c r="DO23" i="6"/>
  <c r="AN16" i="15" s="1"/>
  <c r="DO21" i="6"/>
  <c r="AN14" i="15" s="1"/>
  <c r="DO26" i="6"/>
  <c r="AN19" i="15" s="1"/>
  <c r="DO19" i="6"/>
  <c r="AN12" i="15" s="1"/>
  <c r="DO13" i="6"/>
  <c r="DO45" i="6"/>
  <c r="AN38" i="15" s="1"/>
  <c r="DO17" i="6"/>
  <c r="AN10" i="15" s="1"/>
  <c r="DO20" i="6"/>
  <c r="AN13" i="15" s="1"/>
  <c r="DO18" i="6"/>
  <c r="AN11" i="15" s="1"/>
  <c r="DO24" i="6"/>
  <c r="AN17" i="15" s="1"/>
  <c r="DO22" i="6"/>
  <c r="AN15" i="15" s="1"/>
  <c r="DO14" i="6"/>
  <c r="AN7" i="15" s="1"/>
  <c r="DO16" i="6"/>
  <c r="AN9" i="15" s="1"/>
  <c r="DO25" i="6"/>
  <c r="AN18" i="15" s="1"/>
  <c r="DO15" i="6"/>
  <c r="DO49" i="6"/>
  <c r="AN42" i="15" s="1"/>
  <c r="AN6" i="15"/>
  <c r="DM29" i="9"/>
  <c r="DO62" i="6"/>
  <c r="DO63" i="6" s="1"/>
  <c r="DO96" i="6" s="1"/>
  <c r="DO29" i="9" s="1"/>
  <c r="DO40" i="6"/>
  <c r="AN33" i="15" s="1"/>
  <c r="DN35" i="6"/>
  <c r="DO47" i="6"/>
  <c r="AN40" i="15" s="1"/>
  <c r="DO53" i="6"/>
  <c r="AN46" i="15" s="1"/>
  <c r="DO42" i="6"/>
  <c r="AN35" i="15" s="1"/>
  <c r="DQ1" i="6"/>
  <c r="DP3" i="6"/>
  <c r="DP12" i="6" s="1"/>
  <c r="DP33" i="6"/>
  <c r="DP34" i="6"/>
  <c r="DO31" i="6"/>
  <c r="AN24" i="15" s="1"/>
  <c r="DO32" i="6"/>
  <c r="AN25" i="15" s="1"/>
  <c r="DO43" i="6"/>
  <c r="AN36" i="15" s="1"/>
  <c r="DO50" i="6"/>
  <c r="AN43" i="15" s="1"/>
  <c r="DO55" i="6"/>
  <c r="AN48" i="15" s="1"/>
  <c r="DO46" i="6"/>
  <c r="AN39" i="15" s="1"/>
  <c r="DO54" i="6"/>
  <c r="AN47" i="15" s="1"/>
  <c r="DO41" i="6"/>
  <c r="AN34" i="15" s="1"/>
  <c r="DO52" i="6"/>
  <c r="AN45" i="15" s="1"/>
  <c r="DO51" i="6"/>
  <c r="AN44" i="15" s="1"/>
  <c r="GY3" i="8"/>
  <c r="GX7" i="8"/>
  <c r="AN8" i="15" l="1"/>
  <c r="DO48" i="6"/>
  <c r="AN41" i="15" s="1"/>
  <c r="DP27" i="6"/>
  <c r="DP23" i="6"/>
  <c r="DP16" i="6"/>
  <c r="DP13" i="6"/>
  <c r="DP26" i="6"/>
  <c r="DP19" i="6"/>
  <c r="DP14" i="6"/>
  <c r="DP21" i="6"/>
  <c r="DP22" i="6"/>
  <c r="DP24" i="6"/>
  <c r="DP18" i="6"/>
  <c r="DP25" i="6"/>
  <c r="DP45" i="6"/>
  <c r="DP17" i="6"/>
  <c r="DP15" i="6"/>
  <c r="DP20" i="6"/>
  <c r="DP49" i="6"/>
  <c r="DP53" i="6"/>
  <c r="AN55" i="15"/>
  <c r="AN56" i="15"/>
  <c r="AN89" i="15"/>
  <c r="AN28" i="15"/>
  <c r="DP62" i="6"/>
  <c r="DP40" i="6"/>
  <c r="DP52" i="6"/>
  <c r="DO35" i="6"/>
  <c r="DP54" i="6"/>
  <c r="DP46" i="6"/>
  <c r="DP43" i="6"/>
  <c r="DP31" i="6"/>
  <c r="DP51" i="6"/>
  <c r="DP50" i="6"/>
  <c r="DP47" i="6"/>
  <c r="DP32" i="6"/>
  <c r="DP42" i="6"/>
  <c r="DQ33" i="6"/>
  <c r="DR1" i="6"/>
  <c r="DQ34" i="6"/>
  <c r="DQ3" i="6"/>
  <c r="DQ12" i="6" s="1"/>
  <c r="DP41" i="6"/>
  <c r="DP55" i="6"/>
  <c r="GZ3" i="8"/>
  <c r="GY7" i="8"/>
  <c r="DP48" i="6" l="1"/>
  <c r="DQ21" i="6"/>
  <c r="DQ27" i="6"/>
  <c r="DQ15" i="6"/>
  <c r="DQ13" i="6"/>
  <c r="DQ23" i="6"/>
  <c r="DQ20" i="6"/>
  <c r="DQ16" i="6"/>
  <c r="DQ24" i="6"/>
  <c r="DQ26" i="6"/>
  <c r="DQ14" i="6"/>
  <c r="DQ25" i="6"/>
  <c r="DQ18" i="6"/>
  <c r="DQ19" i="6"/>
  <c r="DQ17" i="6"/>
  <c r="DQ45" i="6"/>
  <c r="DQ22" i="6"/>
  <c r="DQ49" i="6"/>
  <c r="DP63" i="6"/>
  <c r="DP96" i="6" s="1"/>
  <c r="DQ62" i="6"/>
  <c r="DQ63" i="6" s="1"/>
  <c r="DQ96" i="6" s="1"/>
  <c r="DQ29" i="9" s="1"/>
  <c r="DQ40" i="6"/>
  <c r="DP35" i="6"/>
  <c r="DQ46" i="6"/>
  <c r="DQ54" i="6"/>
  <c r="DQ52" i="6"/>
  <c r="DQ47" i="6"/>
  <c r="DQ42" i="6"/>
  <c r="DQ55" i="6"/>
  <c r="DQ53" i="6"/>
  <c r="DQ31" i="6"/>
  <c r="DQ50" i="6"/>
  <c r="DQ51" i="6"/>
  <c r="DR34" i="6"/>
  <c r="L27" i="11" s="1"/>
  <c r="DR3" i="6"/>
  <c r="DR12" i="6" s="1"/>
  <c r="DS1" i="6"/>
  <c r="DR33" i="6"/>
  <c r="L26" i="11" s="1"/>
  <c r="DQ41" i="6"/>
  <c r="DQ32" i="6"/>
  <c r="DQ43" i="6"/>
  <c r="HA3" i="8"/>
  <c r="GZ7" i="8"/>
  <c r="DQ48" i="6" l="1"/>
  <c r="DR24" i="6"/>
  <c r="DR27" i="6"/>
  <c r="DR21" i="6"/>
  <c r="L14" i="11" s="1"/>
  <c r="AC69" i="12" s="1"/>
  <c r="DR45" i="6"/>
  <c r="DR20" i="6"/>
  <c r="DR14" i="6"/>
  <c r="DR22" i="6"/>
  <c r="DR15" i="6"/>
  <c r="DR16" i="6"/>
  <c r="DR19" i="6"/>
  <c r="DR18" i="6"/>
  <c r="DR17" i="6"/>
  <c r="DR23" i="6"/>
  <c r="DR25" i="6"/>
  <c r="DR26" i="6"/>
  <c r="DR13" i="6"/>
  <c r="L6" i="11" s="1"/>
  <c r="DR49" i="6"/>
  <c r="DP29" i="9"/>
  <c r="AO27" i="15"/>
  <c r="AO26" i="15"/>
  <c r="DR62" i="6"/>
  <c r="AO55" i="15" s="1"/>
  <c r="DR40" i="6"/>
  <c r="DQ35" i="6"/>
  <c r="DR47" i="6"/>
  <c r="DR32" i="6"/>
  <c r="L25" i="11" s="1"/>
  <c r="DR55" i="6"/>
  <c r="DR54" i="6"/>
  <c r="DR50" i="6"/>
  <c r="DR46" i="6"/>
  <c r="DR41" i="6"/>
  <c r="DR53" i="6"/>
  <c r="DT1" i="6"/>
  <c r="DS33" i="6"/>
  <c r="DS34" i="6"/>
  <c r="DS3" i="6"/>
  <c r="DS12" i="6" s="1"/>
  <c r="DR42" i="6"/>
  <c r="DR52" i="6"/>
  <c r="DR43" i="6"/>
  <c r="DR51" i="6"/>
  <c r="DR31" i="6"/>
  <c r="HB3" i="8"/>
  <c r="HA7" i="8"/>
  <c r="DR48" i="6" l="1"/>
  <c r="AO14" i="15"/>
  <c r="DS27" i="6"/>
  <c r="DS21" i="6"/>
  <c r="DS18" i="6"/>
  <c r="DS23" i="6"/>
  <c r="DS17" i="6"/>
  <c r="DS16" i="6"/>
  <c r="DS13" i="6"/>
  <c r="DS22" i="6"/>
  <c r="DS26" i="6"/>
  <c r="DS19" i="6"/>
  <c r="DS24" i="6"/>
  <c r="DS45" i="6"/>
  <c r="DS15" i="6"/>
  <c r="DS20" i="6"/>
  <c r="DS14" i="6"/>
  <c r="DS25" i="6"/>
  <c r="L38" i="11"/>
  <c r="K132" i="12" s="1"/>
  <c r="AO38" i="15"/>
  <c r="L16" i="11"/>
  <c r="L8" i="11"/>
  <c r="AO12" i="15"/>
  <c r="L11" i="11"/>
  <c r="AC72" i="12" s="1"/>
  <c r="L7" i="11"/>
  <c r="AC67" i="12" s="1"/>
  <c r="L9" i="11"/>
  <c r="AC70" i="12" s="1"/>
  <c r="L15" i="11"/>
  <c r="L13" i="11"/>
  <c r="AC68" i="12" s="1"/>
  <c r="L18" i="11"/>
  <c r="L20" i="11"/>
  <c r="L24" i="11"/>
  <c r="L28" i="11" s="1"/>
  <c r="L17" i="11"/>
  <c r="L19" i="11"/>
  <c r="L10" i="11"/>
  <c r="L47" i="11"/>
  <c r="K141" i="12" s="1"/>
  <c r="L40" i="11"/>
  <c r="K134" i="12" s="1"/>
  <c r="L45" i="11"/>
  <c r="K139" i="12" s="1"/>
  <c r="L44" i="11"/>
  <c r="K138" i="12" s="1"/>
  <c r="L48" i="11"/>
  <c r="K142" i="12" s="1"/>
  <c r="L36" i="11"/>
  <c r="K130" i="12" s="1"/>
  <c r="L39" i="11"/>
  <c r="K133" i="12" s="1"/>
  <c r="L46" i="11"/>
  <c r="K140" i="12" s="1"/>
  <c r="L43" i="11"/>
  <c r="K137" i="12" s="1"/>
  <c r="L33" i="11"/>
  <c r="L42" i="11"/>
  <c r="K136" i="12" s="1"/>
  <c r="AO42" i="15"/>
  <c r="DS49" i="6"/>
  <c r="AO6" i="15"/>
  <c r="AO15" i="15"/>
  <c r="L12" i="11"/>
  <c r="AO25" i="15"/>
  <c r="AO44" i="15"/>
  <c r="AO47" i="15"/>
  <c r="AO36" i="15"/>
  <c r="AO43" i="15"/>
  <c r="L35" i="11"/>
  <c r="K129" i="12" s="1"/>
  <c r="AO35" i="15"/>
  <c r="AO46" i="15"/>
  <c r="AO40" i="15"/>
  <c r="L34" i="11"/>
  <c r="K128" i="12" s="1"/>
  <c r="AO34" i="15"/>
  <c r="AO45" i="15"/>
  <c r="AO39" i="15"/>
  <c r="AO48" i="15"/>
  <c r="AO33" i="15"/>
  <c r="AO24" i="15"/>
  <c r="AO7" i="15"/>
  <c r="AO9" i="15"/>
  <c r="AO18" i="15"/>
  <c r="AO19" i="15"/>
  <c r="AO13" i="15"/>
  <c r="AO10" i="15"/>
  <c r="AO8" i="15"/>
  <c r="AO11" i="15"/>
  <c r="AO17" i="15"/>
  <c r="AO16" i="15"/>
  <c r="AO20" i="15"/>
  <c r="DR63" i="6"/>
  <c r="L55" i="11"/>
  <c r="DR35" i="6"/>
  <c r="DS62" i="6"/>
  <c r="DS40" i="6"/>
  <c r="DS47" i="6"/>
  <c r="DS52" i="6"/>
  <c r="DS43" i="6"/>
  <c r="DS32" i="6"/>
  <c r="DS54" i="6"/>
  <c r="DS31" i="6"/>
  <c r="DS51" i="6"/>
  <c r="DS53" i="6"/>
  <c r="DS50" i="6"/>
  <c r="DS55" i="6"/>
  <c r="DS46" i="6"/>
  <c r="DS41" i="6"/>
  <c r="DT3" i="6"/>
  <c r="DT12" i="6" s="1"/>
  <c r="DT33" i="6"/>
  <c r="DU1" i="6"/>
  <c r="DT34" i="6"/>
  <c r="DS42" i="6"/>
  <c r="HC3" i="8"/>
  <c r="HB7" i="8"/>
  <c r="AO41" i="15" l="1"/>
  <c r="L41" i="11"/>
  <c r="K135" i="12" s="1"/>
  <c r="DS48" i="6"/>
  <c r="AC96" i="12"/>
  <c r="K127" i="12"/>
  <c r="AC71" i="12"/>
  <c r="AC98" i="12"/>
  <c r="AC99" i="12"/>
  <c r="DT27" i="6"/>
  <c r="DT24" i="6"/>
  <c r="DT21" i="6"/>
  <c r="DT25" i="6"/>
  <c r="DT14" i="6"/>
  <c r="DT23" i="6"/>
  <c r="DT19" i="6"/>
  <c r="DT26" i="6"/>
  <c r="DT13" i="6"/>
  <c r="DT22" i="6"/>
  <c r="DT16" i="6"/>
  <c r="DT20" i="6"/>
  <c r="DT45" i="6"/>
  <c r="DT17" i="6"/>
  <c r="DT18" i="6"/>
  <c r="DT15" i="6"/>
  <c r="DT49" i="6"/>
  <c r="K28" i="12"/>
  <c r="AO28" i="15"/>
  <c r="DR96" i="6"/>
  <c r="AO56" i="15"/>
  <c r="L56" i="11"/>
  <c r="L89" i="11" s="1"/>
  <c r="K10" i="12" s="1"/>
  <c r="DS63" i="6"/>
  <c r="DT62" i="6"/>
  <c r="DT63" i="6" s="1"/>
  <c r="DT96" i="6" s="1"/>
  <c r="DT29" i="9" s="1"/>
  <c r="DT40" i="6"/>
  <c r="DS35" i="6"/>
  <c r="DT54" i="6"/>
  <c r="DT55" i="6"/>
  <c r="DT46" i="6"/>
  <c r="DT50" i="6"/>
  <c r="DT47" i="6"/>
  <c r="DT41" i="6"/>
  <c r="DT31" i="6"/>
  <c r="DT52" i="6"/>
  <c r="DT53" i="6"/>
  <c r="DT32" i="6"/>
  <c r="DT42" i="6"/>
  <c r="DU3" i="6"/>
  <c r="DU12" i="6" s="1"/>
  <c r="DU34" i="6"/>
  <c r="AP27" i="15" s="1"/>
  <c r="DU33" i="6"/>
  <c r="AP26" i="15" s="1"/>
  <c r="DV1" i="6"/>
  <c r="DT51" i="6"/>
  <c r="DT43" i="6"/>
  <c r="HD3" i="8"/>
  <c r="HC7" i="8"/>
  <c r="DT48" i="6" l="1"/>
  <c r="DU13" i="6"/>
  <c r="DU25" i="6"/>
  <c r="AP18" i="15" s="1"/>
  <c r="DU24" i="6"/>
  <c r="AP17" i="15" s="1"/>
  <c r="DU14" i="6"/>
  <c r="AP7" i="15" s="1"/>
  <c r="DU26" i="6"/>
  <c r="AP19" i="15" s="1"/>
  <c r="DU15" i="6"/>
  <c r="DU21" i="6"/>
  <c r="AP14" i="15" s="1"/>
  <c r="DU19" i="6"/>
  <c r="AP12" i="15" s="1"/>
  <c r="DU22" i="6"/>
  <c r="AP15" i="15" s="1"/>
  <c r="DU23" i="6"/>
  <c r="AP16" i="15" s="1"/>
  <c r="DU20" i="6"/>
  <c r="AP13" i="15" s="1"/>
  <c r="DU45" i="6"/>
  <c r="DU18" i="6"/>
  <c r="AP11" i="15" s="1"/>
  <c r="DU27" i="6"/>
  <c r="AP20" i="15" s="1"/>
  <c r="DU17" i="6"/>
  <c r="AP10" i="15" s="1"/>
  <c r="DU16" i="6"/>
  <c r="AP9" i="15" s="1"/>
  <c r="DU49" i="6"/>
  <c r="AP42" i="15" s="1"/>
  <c r="AP6" i="15"/>
  <c r="DS96" i="6"/>
  <c r="DR29" i="9"/>
  <c r="AO89" i="15"/>
  <c r="DU62" i="6"/>
  <c r="DU63" i="6" s="1"/>
  <c r="DU96" i="6" s="1"/>
  <c r="DU29" i="9" s="1"/>
  <c r="DU40" i="6"/>
  <c r="AP33" i="15" s="1"/>
  <c r="DU51" i="6"/>
  <c r="AP44" i="15" s="1"/>
  <c r="DT35" i="6"/>
  <c r="DU47" i="6"/>
  <c r="AP40" i="15" s="1"/>
  <c r="DU54" i="6"/>
  <c r="AP47" i="15" s="1"/>
  <c r="DU55" i="6"/>
  <c r="AP48" i="15" s="1"/>
  <c r="DU32" i="6"/>
  <c r="AP25" i="15" s="1"/>
  <c r="DU31" i="6"/>
  <c r="AP24" i="15" s="1"/>
  <c r="DU43" i="6"/>
  <c r="AP36" i="15" s="1"/>
  <c r="DU50" i="6"/>
  <c r="AP43" i="15" s="1"/>
  <c r="DU46" i="6"/>
  <c r="AP39" i="15" s="1"/>
  <c r="DW1" i="6"/>
  <c r="DV33" i="6"/>
  <c r="DV34" i="6"/>
  <c r="DV3" i="6"/>
  <c r="DV12" i="6" s="1"/>
  <c r="DU42" i="6"/>
  <c r="AP35" i="15" s="1"/>
  <c r="DU53" i="6"/>
  <c r="AP46" i="15" s="1"/>
  <c r="DU52" i="6"/>
  <c r="AP45" i="15" s="1"/>
  <c r="DU41" i="6"/>
  <c r="AP34" i="15" s="1"/>
  <c r="HE3" i="8"/>
  <c r="HD7" i="8"/>
  <c r="AP8" i="15" l="1"/>
  <c r="DU48" i="6"/>
  <c r="AP41" i="15" s="1"/>
  <c r="AP38" i="15"/>
  <c r="DV24" i="6"/>
  <c r="DV25" i="6"/>
  <c r="DV20" i="6"/>
  <c r="DV13" i="6"/>
  <c r="DV18" i="6"/>
  <c r="DV15" i="6"/>
  <c r="DV27" i="6"/>
  <c r="DV26" i="6"/>
  <c r="DV21" i="6"/>
  <c r="DV16" i="6"/>
  <c r="DV17" i="6"/>
  <c r="DV19" i="6"/>
  <c r="DV22" i="6"/>
  <c r="DV23" i="6"/>
  <c r="DV45" i="6"/>
  <c r="DV14" i="6"/>
  <c r="DV49" i="6"/>
  <c r="AP55" i="15"/>
  <c r="AP56" i="15"/>
  <c r="DS29" i="9"/>
  <c r="AP89" i="15"/>
  <c r="AP28" i="15"/>
  <c r="DV62" i="6"/>
  <c r="DV40" i="6"/>
  <c r="DU35" i="6"/>
  <c r="DV42" i="6"/>
  <c r="DV32" i="6"/>
  <c r="DV54" i="6"/>
  <c r="DV51" i="6"/>
  <c r="DV31" i="6"/>
  <c r="DV46" i="6"/>
  <c r="DV43" i="6"/>
  <c r="DV53" i="6"/>
  <c r="DV47" i="6"/>
  <c r="DW33" i="6"/>
  <c r="DX1" i="6"/>
  <c r="DW3" i="6"/>
  <c r="DW12" i="6" s="1"/>
  <c r="DW34" i="6"/>
  <c r="DV52" i="6"/>
  <c r="DV55" i="6"/>
  <c r="DV50" i="6"/>
  <c r="DV41" i="6"/>
  <c r="HF3" i="8"/>
  <c r="HE7" i="8"/>
  <c r="DV48" i="6" l="1"/>
  <c r="DW22" i="6"/>
  <c r="DW25" i="6"/>
  <c r="DW24" i="6"/>
  <c r="DW18" i="6"/>
  <c r="DW45" i="6"/>
  <c r="DW15" i="6"/>
  <c r="DW20" i="6"/>
  <c r="DW13" i="6"/>
  <c r="DW16" i="6"/>
  <c r="DW27" i="6"/>
  <c r="DW19" i="6"/>
  <c r="DW21" i="6"/>
  <c r="DW17" i="6"/>
  <c r="DW23" i="6"/>
  <c r="DW14" i="6"/>
  <c r="DW26" i="6"/>
  <c r="DW49" i="6"/>
  <c r="DV63" i="6"/>
  <c r="DV96" i="6" s="1"/>
  <c r="DW62" i="6"/>
  <c r="DW63" i="6" s="1"/>
  <c r="DW96" i="6" s="1"/>
  <c r="DW29" i="9" s="1"/>
  <c r="DW40" i="6"/>
  <c r="DW54" i="6"/>
  <c r="DW31" i="6"/>
  <c r="DV35" i="6"/>
  <c r="DW42" i="6"/>
  <c r="DW43" i="6"/>
  <c r="DW41" i="6"/>
  <c r="DW50" i="6"/>
  <c r="DW53" i="6"/>
  <c r="DW55" i="6"/>
  <c r="DW51" i="6"/>
  <c r="DX33" i="6"/>
  <c r="AQ26" i="15" s="1"/>
  <c r="DX34" i="6"/>
  <c r="AQ27" i="15" s="1"/>
  <c r="DY1" i="6"/>
  <c r="DX3" i="6"/>
  <c r="DX12" i="6" s="1"/>
  <c r="DW52" i="6"/>
  <c r="DW46" i="6"/>
  <c r="DW32" i="6"/>
  <c r="DW47" i="6"/>
  <c r="HG3" i="8"/>
  <c r="HF7" i="8"/>
  <c r="DW48" i="6" l="1"/>
  <c r="DX24" i="6"/>
  <c r="AQ17" i="15" s="1"/>
  <c r="DX18" i="6"/>
  <c r="AQ11" i="15" s="1"/>
  <c r="DX15" i="6"/>
  <c r="DX20" i="6"/>
  <c r="AQ13" i="15" s="1"/>
  <c r="DX17" i="6"/>
  <c r="AQ10" i="15" s="1"/>
  <c r="DX14" i="6"/>
  <c r="AQ7" i="15" s="1"/>
  <c r="DX13" i="6"/>
  <c r="DX26" i="6"/>
  <c r="AQ19" i="15" s="1"/>
  <c r="DX25" i="6"/>
  <c r="AQ18" i="15" s="1"/>
  <c r="DX21" i="6"/>
  <c r="AQ14" i="15" s="1"/>
  <c r="DX45" i="6"/>
  <c r="AQ38" i="15" s="1"/>
  <c r="DX27" i="6"/>
  <c r="AQ20" i="15" s="1"/>
  <c r="DX16" i="6"/>
  <c r="AQ9" i="15" s="1"/>
  <c r="DX22" i="6"/>
  <c r="AQ15" i="15" s="1"/>
  <c r="DX23" i="6"/>
  <c r="AQ16" i="15" s="1"/>
  <c r="DX19" i="6"/>
  <c r="AQ12" i="15" s="1"/>
  <c r="DX49" i="6"/>
  <c r="AQ42" i="15" s="1"/>
  <c r="AQ6" i="15"/>
  <c r="DV29" i="9"/>
  <c r="DX52" i="6"/>
  <c r="AQ45" i="15" s="1"/>
  <c r="DX62" i="6"/>
  <c r="DX63" i="6" s="1"/>
  <c r="DX96" i="6" s="1"/>
  <c r="DX29" i="9" s="1"/>
  <c r="DX40" i="6"/>
  <c r="AQ33" i="15" s="1"/>
  <c r="DX54" i="6"/>
  <c r="AQ47" i="15" s="1"/>
  <c r="DW35" i="6"/>
  <c r="DX47" i="6"/>
  <c r="AQ40" i="15" s="1"/>
  <c r="DX50" i="6"/>
  <c r="AQ43" i="15" s="1"/>
  <c r="DX43" i="6"/>
  <c r="AQ36" i="15" s="1"/>
  <c r="DX51" i="6"/>
  <c r="AQ44" i="15" s="1"/>
  <c r="DX31" i="6"/>
  <c r="AQ24" i="15" s="1"/>
  <c r="DX41" i="6"/>
  <c r="AQ34" i="15" s="1"/>
  <c r="DX32" i="6"/>
  <c r="AQ25" i="15" s="1"/>
  <c r="DX46" i="6"/>
  <c r="AQ39" i="15" s="1"/>
  <c r="DX55" i="6"/>
  <c r="AQ48" i="15" s="1"/>
  <c r="DX53" i="6"/>
  <c r="AQ46" i="15" s="1"/>
  <c r="DX42" i="6"/>
  <c r="AQ35" i="15" s="1"/>
  <c r="DY3" i="6"/>
  <c r="DY12" i="6" s="1"/>
  <c r="DZ1" i="6"/>
  <c r="DY33" i="6"/>
  <c r="DY34" i="6"/>
  <c r="HH3" i="8"/>
  <c r="HG7" i="8"/>
  <c r="AQ8" i="15" l="1"/>
  <c r="DX48" i="6"/>
  <c r="AQ41" i="15" s="1"/>
  <c r="DY25" i="6"/>
  <c r="DY22" i="6"/>
  <c r="DY13" i="6"/>
  <c r="DY45" i="6"/>
  <c r="DY15" i="6"/>
  <c r="DY21" i="6"/>
  <c r="DY16" i="6"/>
  <c r="DY26" i="6"/>
  <c r="DY19" i="6"/>
  <c r="DY24" i="6"/>
  <c r="DY14" i="6"/>
  <c r="DY27" i="6"/>
  <c r="DY20" i="6"/>
  <c r="DY23" i="6"/>
  <c r="DY17" i="6"/>
  <c r="DY18" i="6"/>
  <c r="DY49" i="6"/>
  <c r="AQ55" i="15"/>
  <c r="AQ89" i="15"/>
  <c r="AQ56" i="15"/>
  <c r="AQ28" i="15"/>
  <c r="DY62" i="6"/>
  <c r="DY40" i="6"/>
  <c r="DX35" i="6"/>
  <c r="DY32" i="6"/>
  <c r="DY31" i="6"/>
  <c r="DY42" i="6"/>
  <c r="DY52" i="6"/>
  <c r="DY43" i="6"/>
  <c r="DY51" i="6"/>
  <c r="DY54" i="6"/>
  <c r="DY53" i="6"/>
  <c r="DY46" i="6"/>
  <c r="DY50" i="6"/>
  <c r="DY47" i="6"/>
  <c r="DZ3" i="6"/>
  <c r="DZ12" i="6" s="1"/>
  <c r="EA1" i="6"/>
  <c r="DZ33" i="6"/>
  <c r="DZ34" i="6"/>
  <c r="DY55" i="6"/>
  <c r="DY41" i="6"/>
  <c r="HI3" i="8"/>
  <c r="HH7" i="8"/>
  <c r="DY48" i="6" l="1"/>
  <c r="DZ14" i="6"/>
  <c r="DZ26" i="6"/>
  <c r="DZ15" i="6"/>
  <c r="DZ27" i="6"/>
  <c r="DZ23" i="6"/>
  <c r="DZ25" i="6"/>
  <c r="DZ19" i="6"/>
  <c r="DZ21" i="6"/>
  <c r="DZ22" i="6"/>
  <c r="DZ16" i="6"/>
  <c r="DZ17" i="6"/>
  <c r="DZ18" i="6"/>
  <c r="DZ24" i="6"/>
  <c r="DZ20" i="6"/>
  <c r="DZ45" i="6"/>
  <c r="DZ13" i="6"/>
  <c r="DZ49" i="6"/>
  <c r="DY63" i="6"/>
  <c r="DY96" i="6" s="1"/>
  <c r="DY35" i="6"/>
  <c r="DZ62" i="6"/>
  <c r="DZ63" i="6" s="1"/>
  <c r="DZ96" i="6" s="1"/>
  <c r="DZ29" i="9" s="1"/>
  <c r="DZ40" i="6"/>
  <c r="DZ32" i="6"/>
  <c r="DZ54" i="6"/>
  <c r="DZ41" i="6"/>
  <c r="DZ53" i="6"/>
  <c r="DZ50" i="6"/>
  <c r="DZ52" i="6"/>
  <c r="DZ42" i="6"/>
  <c r="DZ31" i="6"/>
  <c r="EA34" i="6"/>
  <c r="AR27" i="15" s="1"/>
  <c r="EA3" i="6"/>
  <c r="EA12" i="6" s="1"/>
  <c r="EB1" i="6"/>
  <c r="EA33" i="6"/>
  <c r="AR26" i="15" s="1"/>
  <c r="DZ46" i="6"/>
  <c r="DZ55" i="6"/>
  <c r="DZ47" i="6"/>
  <c r="DZ51" i="6"/>
  <c r="DZ43" i="6"/>
  <c r="HJ3" i="8"/>
  <c r="HI7" i="8"/>
  <c r="DZ48" i="6" l="1"/>
  <c r="EA22" i="6"/>
  <c r="AR15" i="15" s="1"/>
  <c r="EA26" i="6"/>
  <c r="AR19" i="15" s="1"/>
  <c r="EA20" i="6"/>
  <c r="AR13" i="15" s="1"/>
  <c r="EA13" i="6"/>
  <c r="EA17" i="6"/>
  <c r="AR10" i="15" s="1"/>
  <c r="EA45" i="6"/>
  <c r="AR38" i="15" s="1"/>
  <c r="EA25" i="6"/>
  <c r="AR18" i="15" s="1"/>
  <c r="EA27" i="6"/>
  <c r="AR20" i="15" s="1"/>
  <c r="EA16" i="6"/>
  <c r="AR9" i="15" s="1"/>
  <c r="EA23" i="6"/>
  <c r="AR16" i="15" s="1"/>
  <c r="EA24" i="6"/>
  <c r="AR17" i="15" s="1"/>
  <c r="EA14" i="6"/>
  <c r="AR7" i="15" s="1"/>
  <c r="EA21" i="6"/>
  <c r="AR14" i="15" s="1"/>
  <c r="EA15" i="6"/>
  <c r="EA18" i="6"/>
  <c r="AR11" i="15" s="1"/>
  <c r="EA19" i="6"/>
  <c r="AR12" i="15" s="1"/>
  <c r="EA49" i="6"/>
  <c r="AR42" i="15" s="1"/>
  <c r="AR6" i="15"/>
  <c r="DZ35" i="6"/>
  <c r="DY29" i="9"/>
  <c r="EA62" i="6"/>
  <c r="EA63" i="6" s="1"/>
  <c r="EA96" i="6" s="1"/>
  <c r="EA29" i="9" s="1"/>
  <c r="EA40" i="6"/>
  <c r="AR33" i="15" s="1"/>
  <c r="EA31" i="6"/>
  <c r="AR24" i="15" s="1"/>
  <c r="EA41" i="6"/>
  <c r="AR34" i="15" s="1"/>
  <c r="EA46" i="6"/>
  <c r="AR39" i="15" s="1"/>
  <c r="EA51" i="6"/>
  <c r="AR44" i="15" s="1"/>
  <c r="EA52" i="6"/>
  <c r="AR45" i="15" s="1"/>
  <c r="EA43" i="6"/>
  <c r="AR36" i="15" s="1"/>
  <c r="EA47" i="6"/>
  <c r="AR40" i="15" s="1"/>
  <c r="EA42" i="6"/>
  <c r="AR35" i="15" s="1"/>
  <c r="EA32" i="6"/>
  <c r="AR25" i="15" s="1"/>
  <c r="EA53" i="6"/>
  <c r="AR46" i="15" s="1"/>
  <c r="EB3" i="6"/>
  <c r="EB12" i="6" s="1"/>
  <c r="EB33" i="6"/>
  <c r="EB34" i="6"/>
  <c r="EC1" i="6"/>
  <c r="EA55" i="6"/>
  <c r="AR48" i="15" s="1"/>
  <c r="EA50" i="6"/>
  <c r="AR43" i="15" s="1"/>
  <c r="EA54" i="6"/>
  <c r="AR47" i="15" s="1"/>
  <c r="HK3" i="8"/>
  <c r="HJ7" i="8"/>
  <c r="AR8" i="15" l="1"/>
  <c r="EA48" i="6"/>
  <c r="AR41" i="15" s="1"/>
  <c r="EB26" i="6"/>
  <c r="EB22" i="6"/>
  <c r="EB16" i="6"/>
  <c r="EB18" i="6"/>
  <c r="EB19" i="6"/>
  <c r="EB45" i="6"/>
  <c r="EB15" i="6"/>
  <c r="EB25" i="6"/>
  <c r="EB23" i="6"/>
  <c r="EB27" i="6"/>
  <c r="EB21" i="6"/>
  <c r="EB13" i="6"/>
  <c r="EB24" i="6"/>
  <c r="EB20" i="6"/>
  <c r="EB17" i="6"/>
  <c r="EB14" i="6"/>
  <c r="EB49" i="6"/>
  <c r="AR55" i="15"/>
  <c r="AR89" i="15"/>
  <c r="AR56" i="15"/>
  <c r="AR28" i="15"/>
  <c r="EA35" i="6"/>
  <c r="EB62" i="6"/>
  <c r="EB40" i="6"/>
  <c r="EB32" i="6"/>
  <c r="EB43" i="6"/>
  <c r="EB47" i="6"/>
  <c r="EB52" i="6"/>
  <c r="EB41" i="6"/>
  <c r="EB54" i="6"/>
  <c r="EB31" i="6"/>
  <c r="EB42" i="6"/>
  <c r="EB46" i="6"/>
  <c r="EB50" i="6"/>
  <c r="EB51" i="6"/>
  <c r="EB53" i="6"/>
  <c r="EB55" i="6"/>
  <c r="EC34" i="6"/>
  <c r="EC3" i="6"/>
  <c r="EC12" i="6" s="1"/>
  <c r="ED1" i="6"/>
  <c r="EC33" i="6"/>
  <c r="HL3" i="8"/>
  <c r="HK7" i="8"/>
  <c r="EB48" i="6" l="1"/>
  <c r="EC22" i="6"/>
  <c r="EC27" i="6"/>
  <c r="EC24" i="6"/>
  <c r="EC21" i="6"/>
  <c r="EC14" i="6"/>
  <c r="EC16" i="6"/>
  <c r="EC15" i="6"/>
  <c r="EC26" i="6"/>
  <c r="EC25" i="6"/>
  <c r="EC18" i="6"/>
  <c r="EC17" i="6"/>
  <c r="EC23" i="6"/>
  <c r="EC45" i="6"/>
  <c r="EC13" i="6"/>
  <c r="EC20" i="6"/>
  <c r="EC19" i="6"/>
  <c r="EC49" i="6"/>
  <c r="EB63" i="6"/>
  <c r="EB96" i="6" s="1"/>
  <c r="EB35" i="6"/>
  <c r="EC62" i="6"/>
  <c r="EC63" i="6" s="1"/>
  <c r="EC96" i="6" s="1"/>
  <c r="EC29" i="9" s="1"/>
  <c r="EC40" i="6"/>
  <c r="EC47" i="6"/>
  <c r="EC32" i="6"/>
  <c r="EC53" i="6"/>
  <c r="EC41" i="6"/>
  <c r="EC54" i="6"/>
  <c r="EC51" i="6"/>
  <c r="EE1" i="6"/>
  <c r="ED3" i="6"/>
  <c r="ED12" i="6" s="1"/>
  <c r="ED33" i="6"/>
  <c r="M26" i="11" s="1"/>
  <c r="ED34" i="6"/>
  <c r="M27" i="11" s="1"/>
  <c r="EC55" i="6"/>
  <c r="EC31" i="6"/>
  <c r="EC50" i="6"/>
  <c r="EC52" i="6"/>
  <c r="EC46" i="6"/>
  <c r="EC43" i="6"/>
  <c r="EC42" i="6"/>
  <c r="HM3" i="8"/>
  <c r="HL7" i="8"/>
  <c r="EC48" i="6" l="1"/>
  <c r="ED22" i="6"/>
  <c r="ED26" i="6"/>
  <c r="ED24" i="6"/>
  <c r="ED19" i="6"/>
  <c r="ED27" i="6"/>
  <c r="ED20" i="6"/>
  <c r="ED18" i="6"/>
  <c r="ED45" i="6"/>
  <c r="ED25" i="6"/>
  <c r="ED15" i="6"/>
  <c r="ED21" i="6"/>
  <c r="M14" i="11" s="1"/>
  <c r="ED17" i="6"/>
  <c r="ED16" i="6"/>
  <c r="ED23" i="6"/>
  <c r="ED13" i="6"/>
  <c r="M6" i="11" s="1"/>
  <c r="ED14" i="6"/>
  <c r="ED49" i="6"/>
  <c r="ED47" i="6"/>
  <c r="EB29" i="9"/>
  <c r="AS27" i="15"/>
  <c r="AS26" i="15"/>
  <c r="ED55" i="6"/>
  <c r="ED54" i="6"/>
  <c r="ED53" i="6"/>
  <c r="ED52" i="6"/>
  <c r="ED41" i="6"/>
  <c r="ED31" i="6"/>
  <c r="ED43" i="6"/>
  <c r="ED62" i="6"/>
  <c r="AS55" i="15" s="1"/>
  <c r="ED40" i="6"/>
  <c r="ED50" i="6"/>
  <c r="ED42" i="6"/>
  <c r="ED32" i="6"/>
  <c r="M25" i="11" s="1"/>
  <c r="ED46" i="6"/>
  <c r="ED51" i="6"/>
  <c r="EE34" i="6"/>
  <c r="EE3" i="6"/>
  <c r="EE12" i="6" s="1"/>
  <c r="EE33" i="6"/>
  <c r="EF1" i="6"/>
  <c r="EC35" i="6"/>
  <c r="HN3" i="8"/>
  <c r="HM7" i="8"/>
  <c r="ED48" i="6" l="1"/>
  <c r="AS14" i="15"/>
  <c r="EE26" i="6"/>
  <c r="EE13" i="6"/>
  <c r="EE21" i="6"/>
  <c r="EE17" i="6"/>
  <c r="EE16" i="6"/>
  <c r="EE25" i="6"/>
  <c r="EE20" i="6"/>
  <c r="EE22" i="6"/>
  <c r="EE27" i="6"/>
  <c r="EE14" i="6"/>
  <c r="EE23" i="6"/>
  <c r="EE19" i="6"/>
  <c r="EE18" i="6"/>
  <c r="EE15" i="6"/>
  <c r="EE24" i="6"/>
  <c r="EE45" i="6"/>
  <c r="M38" i="11"/>
  <c r="L132" i="12" s="1"/>
  <c r="AS38" i="15"/>
  <c r="M17" i="11"/>
  <c r="M11" i="11"/>
  <c r="M7" i="11"/>
  <c r="M10" i="11"/>
  <c r="M16" i="11"/>
  <c r="M24" i="11"/>
  <c r="M28" i="11" s="1"/>
  <c r="M12" i="11"/>
  <c r="M20" i="11"/>
  <c r="M9" i="11"/>
  <c r="M19" i="11"/>
  <c r="M13" i="11"/>
  <c r="M18" i="11"/>
  <c r="M36" i="11"/>
  <c r="L130" i="12" s="1"/>
  <c r="AS40" i="15"/>
  <c r="M39" i="11"/>
  <c r="L133" i="12" s="1"/>
  <c r="M35" i="11"/>
  <c r="L129" i="12" s="1"/>
  <c r="M34" i="11"/>
  <c r="L128" i="12" s="1"/>
  <c r="M46" i="11"/>
  <c r="L140" i="12" s="1"/>
  <c r="M44" i="11"/>
  <c r="L138" i="12" s="1"/>
  <c r="M33" i="11"/>
  <c r="L127" i="12" s="1"/>
  <c r="M45" i="11"/>
  <c r="L139" i="12" s="1"/>
  <c r="M48" i="11"/>
  <c r="L142" i="12" s="1"/>
  <c r="M42" i="11"/>
  <c r="L136" i="12" s="1"/>
  <c r="AS42" i="15"/>
  <c r="EE49" i="6"/>
  <c r="AS6" i="15"/>
  <c r="M15" i="11"/>
  <c r="AS15" i="15"/>
  <c r="M40" i="11"/>
  <c r="L134" i="12" s="1"/>
  <c r="AS25" i="15"/>
  <c r="AS39" i="15"/>
  <c r="AS45" i="15"/>
  <c r="AS36" i="15"/>
  <c r="M47" i="11"/>
  <c r="L141" i="12" s="1"/>
  <c r="AS47" i="15"/>
  <c r="AS48" i="15"/>
  <c r="M43" i="11"/>
  <c r="L137" i="12" s="1"/>
  <c r="AS43" i="15"/>
  <c r="AS35" i="15"/>
  <c r="AS44" i="15"/>
  <c r="AS34" i="15"/>
  <c r="AS46" i="15"/>
  <c r="AS33" i="15"/>
  <c r="AS24" i="15"/>
  <c r="AS11" i="15"/>
  <c r="M8" i="11"/>
  <c r="AS8" i="15"/>
  <c r="AS10" i="15"/>
  <c r="AS20" i="15"/>
  <c r="AS9" i="15"/>
  <c r="AS12" i="15"/>
  <c r="AS13" i="15"/>
  <c r="AS18" i="15"/>
  <c r="AS19" i="15"/>
  <c r="AS17" i="15"/>
  <c r="AS16" i="15"/>
  <c r="AS7" i="15"/>
  <c r="ED63" i="6"/>
  <c r="M55" i="11"/>
  <c r="ED35" i="6"/>
  <c r="EE62" i="6"/>
  <c r="EE40" i="6"/>
  <c r="EE52" i="6"/>
  <c r="EE31" i="6"/>
  <c r="EE46" i="6"/>
  <c r="EE42" i="6"/>
  <c r="EE41" i="6"/>
  <c r="EE54" i="6"/>
  <c r="EF33" i="6"/>
  <c r="EG1" i="6"/>
  <c r="EF34" i="6"/>
  <c r="EF3" i="6"/>
  <c r="EF12" i="6" s="1"/>
  <c r="EE43" i="6"/>
  <c r="EE50" i="6"/>
  <c r="EE32" i="6"/>
  <c r="EE51" i="6"/>
  <c r="EE47" i="6"/>
  <c r="EE55" i="6"/>
  <c r="EE53" i="6"/>
  <c r="HO3" i="8"/>
  <c r="HN7" i="8"/>
  <c r="AS41" i="15" l="1"/>
  <c r="M41" i="11"/>
  <c r="L135" i="12" s="1"/>
  <c r="EE48" i="6"/>
  <c r="EF26" i="6"/>
  <c r="EF16" i="6"/>
  <c r="EF22" i="6"/>
  <c r="EF45" i="6"/>
  <c r="EF14" i="6"/>
  <c r="EF18" i="6"/>
  <c r="EF20" i="6"/>
  <c r="EF27" i="6"/>
  <c r="EF13" i="6"/>
  <c r="EF25" i="6"/>
  <c r="EF23" i="6"/>
  <c r="EF19" i="6"/>
  <c r="EF17" i="6"/>
  <c r="EF21" i="6"/>
  <c r="EF24" i="6"/>
  <c r="EF15" i="6"/>
  <c r="EF49" i="6"/>
  <c r="ED96" i="6"/>
  <c r="AS56" i="15"/>
  <c r="AS28" i="15"/>
  <c r="L28" i="12"/>
  <c r="M56" i="11"/>
  <c r="M89" i="11" s="1"/>
  <c r="L10" i="12" s="1"/>
  <c r="EE63" i="6"/>
  <c r="EF62" i="6"/>
  <c r="EF63" i="6" s="1"/>
  <c r="EF96" i="6" s="1"/>
  <c r="EF29" i="9" s="1"/>
  <c r="EF40" i="6"/>
  <c r="EF52" i="6"/>
  <c r="EE35" i="6"/>
  <c r="EF53" i="6"/>
  <c r="EF31" i="6"/>
  <c r="EF55" i="6"/>
  <c r="EF32" i="6"/>
  <c r="EF41" i="6"/>
  <c r="EF46" i="6"/>
  <c r="EF51" i="6"/>
  <c r="EG33" i="6"/>
  <c r="AT26" i="15" s="1"/>
  <c r="EG34" i="6"/>
  <c r="AT27" i="15" s="1"/>
  <c r="EG3" i="6"/>
  <c r="EG12" i="6" s="1"/>
  <c r="EH1" i="6"/>
  <c r="EF43" i="6"/>
  <c r="EF47" i="6"/>
  <c r="EF50" i="6"/>
  <c r="EF54" i="6"/>
  <c r="EF42" i="6"/>
  <c r="HP3" i="8"/>
  <c r="HO7" i="8"/>
  <c r="EF48" i="6" l="1"/>
  <c r="EG26" i="6"/>
  <c r="AT19" i="15" s="1"/>
  <c r="EG17" i="6"/>
  <c r="AT10" i="15" s="1"/>
  <c r="EG19" i="6"/>
  <c r="AT12" i="15" s="1"/>
  <c r="EG18" i="6"/>
  <c r="AT11" i="15" s="1"/>
  <c r="EG16" i="6"/>
  <c r="AT9" i="15" s="1"/>
  <c r="EG45" i="6"/>
  <c r="EG15" i="6"/>
  <c r="EG27" i="6"/>
  <c r="AT20" i="15" s="1"/>
  <c r="EG14" i="6"/>
  <c r="AT7" i="15" s="1"/>
  <c r="EG24" i="6"/>
  <c r="AT17" i="15" s="1"/>
  <c r="EG20" i="6"/>
  <c r="AT13" i="15" s="1"/>
  <c r="EG22" i="6"/>
  <c r="EG25" i="6"/>
  <c r="AT18" i="15" s="1"/>
  <c r="EG23" i="6"/>
  <c r="AT16" i="15" s="1"/>
  <c r="EG21" i="6"/>
  <c r="AT14" i="15" s="1"/>
  <c r="EG13" i="6"/>
  <c r="AT6" i="15" s="1"/>
  <c r="EG49" i="6"/>
  <c r="AT42" i="15" s="1"/>
  <c r="EG53" i="6"/>
  <c r="AT46" i="15" s="1"/>
  <c r="EE96" i="6"/>
  <c r="ED29" i="9"/>
  <c r="AS89" i="15"/>
  <c r="EG62" i="6"/>
  <c r="EG63" i="6" s="1"/>
  <c r="EG96" i="6" s="1"/>
  <c r="EG29" i="9" s="1"/>
  <c r="EG40" i="6"/>
  <c r="AT33" i="15" s="1"/>
  <c r="EG41" i="6"/>
  <c r="AT34" i="15" s="1"/>
  <c r="EG42" i="6"/>
  <c r="AT35" i="15" s="1"/>
  <c r="EG54" i="6"/>
  <c r="AT47" i="15" s="1"/>
  <c r="EG31" i="6"/>
  <c r="AT24" i="15" s="1"/>
  <c r="EG50" i="6"/>
  <c r="AT43" i="15" s="1"/>
  <c r="EG47" i="6"/>
  <c r="AT40" i="15" s="1"/>
  <c r="EG52" i="6"/>
  <c r="AT45" i="15" s="1"/>
  <c r="EH34" i="6"/>
  <c r="EH3" i="6"/>
  <c r="EH12" i="6" s="1"/>
  <c r="EH33" i="6"/>
  <c r="EI1" i="6"/>
  <c r="EG51" i="6"/>
  <c r="AT44" i="15" s="1"/>
  <c r="EG46" i="6"/>
  <c r="AT39" i="15" s="1"/>
  <c r="EG32" i="6"/>
  <c r="AT25" i="15" s="1"/>
  <c r="EG43" i="6"/>
  <c r="AT36" i="15" s="1"/>
  <c r="EF35" i="6"/>
  <c r="EG55" i="6"/>
  <c r="AT48" i="15" s="1"/>
  <c r="HQ3" i="8"/>
  <c r="HP7" i="8"/>
  <c r="AT8" i="15" l="1"/>
  <c r="EG48" i="6"/>
  <c r="AT41" i="15" s="1"/>
  <c r="EH26" i="6"/>
  <c r="EH25" i="6"/>
  <c r="EH18" i="6"/>
  <c r="EH45" i="6"/>
  <c r="EH13" i="6"/>
  <c r="EH16" i="6"/>
  <c r="EH19" i="6"/>
  <c r="EH21" i="6"/>
  <c r="EH17" i="6"/>
  <c r="EH24" i="6"/>
  <c r="EH15" i="6"/>
  <c r="EH14" i="6"/>
  <c r="EH27" i="6"/>
  <c r="EH23" i="6"/>
  <c r="EH22" i="6"/>
  <c r="EH20" i="6"/>
  <c r="AT38" i="15"/>
  <c r="EH49" i="6"/>
  <c r="AT15" i="15"/>
  <c r="AT55" i="15"/>
  <c r="AT56" i="15"/>
  <c r="EE29" i="9"/>
  <c r="AT89" i="15"/>
  <c r="AT28" i="15"/>
  <c r="EH62" i="6"/>
  <c r="EH40" i="6"/>
  <c r="EG35" i="6"/>
  <c r="EH46" i="6"/>
  <c r="EH54" i="6"/>
  <c r="EH41" i="6"/>
  <c r="EH43" i="6"/>
  <c r="EJ1" i="6"/>
  <c r="EI33" i="6"/>
  <c r="EI34" i="6"/>
  <c r="EI3" i="6"/>
  <c r="EI12" i="6" s="1"/>
  <c r="EH32" i="6"/>
  <c r="EH31" i="6"/>
  <c r="EH50" i="6"/>
  <c r="EH42" i="6"/>
  <c r="EH55" i="6"/>
  <c r="EH52" i="6"/>
  <c r="EH53" i="6"/>
  <c r="EH51" i="6"/>
  <c r="EH47" i="6"/>
  <c r="HR3" i="8"/>
  <c r="HQ7" i="8"/>
  <c r="EH48" i="6" l="1"/>
  <c r="EI27" i="6"/>
  <c r="EI13" i="6"/>
  <c r="EI20" i="6"/>
  <c r="EI23" i="6"/>
  <c r="EI21" i="6"/>
  <c r="EI24" i="6"/>
  <c r="EI17" i="6"/>
  <c r="EI19" i="6"/>
  <c r="EI45" i="6"/>
  <c r="EI18" i="6"/>
  <c r="EI14" i="6"/>
  <c r="EI26" i="6"/>
  <c r="EI25" i="6"/>
  <c r="EI15" i="6"/>
  <c r="EI22" i="6"/>
  <c r="EI16" i="6"/>
  <c r="EI49" i="6"/>
  <c r="EI50" i="6"/>
  <c r="EH63" i="6"/>
  <c r="EH96" i="6" s="1"/>
  <c r="EI55" i="6"/>
  <c r="EI31" i="6"/>
  <c r="EI32" i="6"/>
  <c r="EI62" i="6"/>
  <c r="EI63" i="6" s="1"/>
  <c r="EI96" i="6" s="1"/>
  <c r="EI29" i="9" s="1"/>
  <c r="EI40" i="6"/>
  <c r="EI52" i="6"/>
  <c r="EI54" i="6"/>
  <c r="EI47" i="6"/>
  <c r="EI53" i="6"/>
  <c r="EI46" i="6"/>
  <c r="EI42" i="6"/>
  <c r="EI51" i="6"/>
  <c r="EI43" i="6"/>
  <c r="EI41" i="6"/>
  <c r="EK1" i="6"/>
  <c r="EJ34" i="6"/>
  <c r="AU27" i="15" s="1"/>
  <c r="EJ33" i="6"/>
  <c r="AU26" i="15" s="1"/>
  <c r="EJ3" i="6"/>
  <c r="EJ12" i="6" s="1"/>
  <c r="EH35" i="6"/>
  <c r="HS3" i="8"/>
  <c r="HR7" i="8"/>
  <c r="EI48" i="6" l="1"/>
  <c r="EJ13" i="6"/>
  <c r="AU6" i="15" s="1"/>
  <c r="EJ27" i="6"/>
  <c r="AU20" i="15" s="1"/>
  <c r="EJ23" i="6"/>
  <c r="AU16" i="15" s="1"/>
  <c r="EJ24" i="6"/>
  <c r="AU17" i="15" s="1"/>
  <c r="EJ14" i="6"/>
  <c r="AU7" i="15" s="1"/>
  <c r="EJ18" i="6"/>
  <c r="AU11" i="15" s="1"/>
  <c r="EJ25" i="6"/>
  <c r="AU18" i="15" s="1"/>
  <c r="EJ20" i="6"/>
  <c r="AU13" i="15" s="1"/>
  <c r="EJ15" i="6"/>
  <c r="EJ19" i="6"/>
  <c r="AU12" i="15" s="1"/>
  <c r="EJ17" i="6"/>
  <c r="AU10" i="15" s="1"/>
  <c r="EJ26" i="6"/>
  <c r="AU19" i="15" s="1"/>
  <c r="EJ16" i="6"/>
  <c r="AU9" i="15" s="1"/>
  <c r="EJ22" i="6"/>
  <c r="AU15" i="15" s="1"/>
  <c r="EJ21" i="6"/>
  <c r="AU14" i="15" s="1"/>
  <c r="EJ45" i="6"/>
  <c r="AU38" i="15" s="1"/>
  <c r="EJ49" i="6"/>
  <c r="AU42" i="15" s="1"/>
  <c r="EJ54" i="6"/>
  <c r="AU47" i="15" s="1"/>
  <c r="EH29" i="9"/>
  <c r="EI35" i="6"/>
  <c r="EJ62" i="6"/>
  <c r="EJ63" i="6" s="1"/>
  <c r="EJ96" i="6" s="1"/>
  <c r="EJ29" i="9" s="1"/>
  <c r="EJ40" i="6"/>
  <c r="AU33" i="15" s="1"/>
  <c r="EJ42" i="6"/>
  <c r="AU35" i="15" s="1"/>
  <c r="EJ51" i="6"/>
  <c r="AU44" i="15" s="1"/>
  <c r="EJ43" i="6"/>
  <c r="AU36" i="15" s="1"/>
  <c r="EJ41" i="6"/>
  <c r="AU34" i="15" s="1"/>
  <c r="EJ52" i="6"/>
  <c r="AU45" i="15" s="1"/>
  <c r="EJ53" i="6"/>
  <c r="AU46" i="15" s="1"/>
  <c r="EJ31" i="6"/>
  <c r="AU24" i="15" s="1"/>
  <c r="EJ32" i="6"/>
  <c r="AU25" i="15" s="1"/>
  <c r="EJ47" i="6"/>
  <c r="AU40" i="15" s="1"/>
  <c r="EJ50" i="6"/>
  <c r="AU43" i="15" s="1"/>
  <c r="EJ46" i="6"/>
  <c r="AU39" i="15" s="1"/>
  <c r="EJ55" i="6"/>
  <c r="AU48" i="15" s="1"/>
  <c r="EK3" i="6"/>
  <c r="EK12" i="6" s="1"/>
  <c r="EK33" i="6"/>
  <c r="EL1" i="6"/>
  <c r="EK34" i="6"/>
  <c r="HT3" i="8"/>
  <c r="HS7" i="8"/>
  <c r="AU8" i="15" l="1"/>
  <c r="EJ48" i="6"/>
  <c r="AU41" i="15" s="1"/>
  <c r="EK27" i="6"/>
  <c r="EK21" i="6"/>
  <c r="EK23" i="6"/>
  <c r="EK45" i="6"/>
  <c r="EK19" i="6"/>
  <c r="EK15" i="6"/>
  <c r="EK17" i="6"/>
  <c r="EK22" i="6"/>
  <c r="EK24" i="6"/>
  <c r="EK18" i="6"/>
  <c r="EK14" i="6"/>
  <c r="EK25" i="6"/>
  <c r="EK20" i="6"/>
  <c r="EK26" i="6"/>
  <c r="EK16" i="6"/>
  <c r="EK13" i="6"/>
  <c r="EK49" i="6"/>
  <c r="EK32" i="6"/>
  <c r="AU55" i="15"/>
  <c r="AU89" i="15"/>
  <c r="AU56" i="15"/>
  <c r="AU28" i="15"/>
  <c r="EK54" i="6"/>
  <c r="EK52" i="6"/>
  <c r="EK62" i="6"/>
  <c r="EK40" i="6"/>
  <c r="EK55" i="6"/>
  <c r="EK47" i="6"/>
  <c r="EK31" i="6"/>
  <c r="EK50" i="6"/>
  <c r="EK41" i="6"/>
  <c r="EK53" i="6"/>
  <c r="EK43" i="6"/>
  <c r="EJ35" i="6"/>
  <c r="EK42" i="6"/>
  <c r="EK51" i="6"/>
  <c r="EK46" i="6"/>
  <c r="EL3" i="6"/>
  <c r="EL12" i="6" s="1"/>
  <c r="EL34" i="6"/>
  <c r="EL33" i="6"/>
  <c r="EM1" i="6"/>
  <c r="HU3" i="8"/>
  <c r="HT7" i="8"/>
  <c r="EK48" i="6" l="1"/>
  <c r="EL27" i="6"/>
  <c r="EL20" i="6"/>
  <c r="EL21" i="6"/>
  <c r="EL14" i="6"/>
  <c r="EL22" i="6"/>
  <c r="EL24" i="6"/>
  <c r="EL23" i="6"/>
  <c r="EL15" i="6"/>
  <c r="EL16" i="6"/>
  <c r="EL13" i="6"/>
  <c r="EL17" i="6"/>
  <c r="EL25" i="6"/>
  <c r="EL26" i="6"/>
  <c r="EL18" i="6"/>
  <c r="EL45" i="6"/>
  <c r="EL19" i="6"/>
  <c r="EL49" i="6"/>
  <c r="EK63" i="6"/>
  <c r="EK96" i="6" s="1"/>
  <c r="EK35" i="6"/>
  <c r="EL62" i="6"/>
  <c r="EL63" i="6" s="1"/>
  <c r="EL96" i="6" s="1"/>
  <c r="EL29" i="9" s="1"/>
  <c r="EL40" i="6"/>
  <c r="EL55" i="6"/>
  <c r="EL51" i="6"/>
  <c r="EL47" i="6"/>
  <c r="EL52" i="6"/>
  <c r="EL46" i="6"/>
  <c r="EL32" i="6"/>
  <c r="EL41" i="6"/>
  <c r="EN1" i="6"/>
  <c r="EM33" i="6"/>
  <c r="AV26" i="15" s="1"/>
  <c r="EM34" i="6"/>
  <c r="AV27" i="15" s="1"/>
  <c r="EM3" i="6"/>
  <c r="EM12" i="6" s="1"/>
  <c r="EL43" i="6"/>
  <c r="EL31" i="6"/>
  <c r="EL54" i="6"/>
  <c r="EL53" i="6"/>
  <c r="EL50" i="6"/>
  <c r="EL42" i="6"/>
  <c r="HV3" i="8"/>
  <c r="HU7" i="8"/>
  <c r="EL48" i="6" l="1"/>
  <c r="EM20" i="6"/>
  <c r="AV13" i="15" s="1"/>
  <c r="EM27" i="6"/>
  <c r="AV20" i="15" s="1"/>
  <c r="EM26" i="6"/>
  <c r="AV19" i="15" s="1"/>
  <c r="EM15" i="6"/>
  <c r="EM13" i="6"/>
  <c r="AV6" i="15" s="1"/>
  <c r="EM16" i="6"/>
  <c r="AV9" i="15" s="1"/>
  <c r="EM17" i="6"/>
  <c r="AV10" i="15" s="1"/>
  <c r="EM22" i="6"/>
  <c r="AV15" i="15" s="1"/>
  <c r="EM19" i="6"/>
  <c r="AV12" i="15" s="1"/>
  <c r="EM23" i="6"/>
  <c r="AV16" i="15" s="1"/>
  <c r="EM45" i="6"/>
  <c r="AV38" i="15" s="1"/>
  <c r="EM18" i="6"/>
  <c r="AV11" i="15" s="1"/>
  <c r="EM21" i="6"/>
  <c r="AV14" i="15" s="1"/>
  <c r="EM24" i="6"/>
  <c r="AV17" i="15" s="1"/>
  <c r="EM14" i="6"/>
  <c r="AV7" i="15" s="1"/>
  <c r="EM25" i="6"/>
  <c r="AV18" i="15" s="1"/>
  <c r="EM49" i="6"/>
  <c r="AV42" i="15" s="1"/>
  <c r="EK29" i="9"/>
  <c r="EM62" i="6"/>
  <c r="EM63" i="6" s="1"/>
  <c r="EM96" i="6" s="1"/>
  <c r="EM29" i="9" s="1"/>
  <c r="EM40" i="6"/>
  <c r="AV33" i="15" s="1"/>
  <c r="EL35" i="6"/>
  <c r="EM47" i="6"/>
  <c r="AV40" i="15" s="1"/>
  <c r="EM41" i="6"/>
  <c r="AV34" i="15" s="1"/>
  <c r="EM43" i="6"/>
  <c r="AV36" i="15" s="1"/>
  <c r="EM31" i="6"/>
  <c r="AV24" i="15" s="1"/>
  <c r="EM50" i="6"/>
  <c r="AV43" i="15" s="1"/>
  <c r="EM51" i="6"/>
  <c r="AV44" i="15" s="1"/>
  <c r="EM55" i="6"/>
  <c r="AV48" i="15" s="1"/>
  <c r="EN3" i="6"/>
  <c r="EN12" i="6" s="1"/>
  <c r="EN33" i="6"/>
  <c r="EO1" i="6"/>
  <c r="EN34" i="6"/>
  <c r="EM54" i="6"/>
  <c r="AV47" i="15" s="1"/>
  <c r="EM42" i="6"/>
  <c r="AV35" i="15" s="1"/>
  <c r="EM46" i="6"/>
  <c r="AV39" i="15" s="1"/>
  <c r="EM53" i="6"/>
  <c r="AV46" i="15" s="1"/>
  <c r="EM32" i="6"/>
  <c r="AV25" i="15" s="1"/>
  <c r="EM52" i="6"/>
  <c r="AV45" i="15" s="1"/>
  <c r="HW3" i="8"/>
  <c r="HV7" i="8"/>
  <c r="AV8" i="15" l="1"/>
  <c r="EM48" i="6"/>
  <c r="AV41" i="15" s="1"/>
  <c r="EN17" i="6"/>
  <c r="EN27" i="6"/>
  <c r="EN24" i="6"/>
  <c r="EN15" i="6"/>
  <c r="EN14" i="6"/>
  <c r="EN25" i="6"/>
  <c r="EN22" i="6"/>
  <c r="EN23" i="6"/>
  <c r="EN21" i="6"/>
  <c r="EN26" i="6"/>
  <c r="EN16" i="6"/>
  <c r="EN20" i="6"/>
  <c r="EN45" i="6"/>
  <c r="EN13" i="6"/>
  <c r="EN19" i="6"/>
  <c r="EN18" i="6"/>
  <c r="EN55" i="6"/>
  <c r="EN49" i="6"/>
  <c r="AV55" i="15"/>
  <c r="AV89" i="15"/>
  <c r="AV56" i="15"/>
  <c r="AV28" i="15"/>
  <c r="EN62" i="6"/>
  <c r="EN40" i="6"/>
  <c r="EN46" i="6"/>
  <c r="EN51" i="6"/>
  <c r="EN50" i="6"/>
  <c r="EN53" i="6"/>
  <c r="EN31" i="6"/>
  <c r="EN41" i="6"/>
  <c r="EN47" i="6"/>
  <c r="EM35" i="6"/>
  <c r="EN42" i="6"/>
  <c r="EN43" i="6"/>
  <c r="EN54" i="6"/>
  <c r="EO33" i="6"/>
  <c r="EP1" i="6"/>
  <c r="EO34" i="6"/>
  <c r="EO3" i="6"/>
  <c r="EO12" i="6" s="1"/>
  <c r="EN52" i="6"/>
  <c r="EN32" i="6"/>
  <c r="HX3" i="8"/>
  <c r="HW7" i="8"/>
  <c r="EN48" i="6" l="1"/>
  <c r="EO13" i="6"/>
  <c r="EO26" i="6"/>
  <c r="EO16" i="6"/>
  <c r="EO18" i="6"/>
  <c r="EO24" i="6"/>
  <c r="EO17" i="6"/>
  <c r="EO14" i="6"/>
  <c r="EO23" i="6"/>
  <c r="EO25" i="6"/>
  <c r="EO15" i="6"/>
  <c r="EO19" i="6"/>
  <c r="EO45" i="6"/>
  <c r="EO20" i="6"/>
  <c r="EO22" i="6"/>
  <c r="EO21" i="6"/>
  <c r="EO27" i="6"/>
  <c r="EO49" i="6"/>
  <c r="EN63" i="6"/>
  <c r="EN96" i="6" s="1"/>
  <c r="EO32" i="6"/>
  <c r="EO62" i="6"/>
  <c r="EO63" i="6" s="1"/>
  <c r="EO96" i="6" s="1"/>
  <c r="EO29" i="9" s="1"/>
  <c r="EO40" i="6"/>
  <c r="EO43" i="6"/>
  <c r="EO53" i="6"/>
  <c r="EO54" i="6"/>
  <c r="EO51" i="6"/>
  <c r="EO31" i="6"/>
  <c r="EO42" i="6"/>
  <c r="EO52" i="6"/>
  <c r="EO50" i="6"/>
  <c r="EO47" i="6"/>
  <c r="EO55" i="6"/>
  <c r="EO41" i="6"/>
  <c r="EO46" i="6"/>
  <c r="EP3" i="6"/>
  <c r="EP12" i="6" s="1"/>
  <c r="EQ1" i="6"/>
  <c r="EP34" i="6"/>
  <c r="N27" i="11" s="1"/>
  <c r="EP33" i="6"/>
  <c r="N26" i="11" s="1"/>
  <c r="EN35" i="6"/>
  <c r="HY3" i="8"/>
  <c r="HX7" i="8"/>
  <c r="EO48" i="6" l="1"/>
  <c r="EP19" i="6"/>
  <c r="EP18" i="6"/>
  <c r="EP15" i="6"/>
  <c r="EP25" i="6"/>
  <c r="EP45" i="6"/>
  <c r="EP26" i="6"/>
  <c r="EP13" i="6"/>
  <c r="N6" i="11" s="1"/>
  <c r="B193" i="12" s="1"/>
  <c r="EP14" i="6"/>
  <c r="EP23" i="6"/>
  <c r="EP17" i="6"/>
  <c r="EP24" i="6"/>
  <c r="EP16" i="6"/>
  <c r="EP21" i="6"/>
  <c r="N14" i="11" s="1"/>
  <c r="B186" i="12" s="1"/>
  <c r="EP20" i="6"/>
  <c r="EP22" i="6"/>
  <c r="EP27" i="6"/>
  <c r="EP49" i="6"/>
  <c r="EN29" i="9"/>
  <c r="AW26" i="15"/>
  <c r="AW27" i="15"/>
  <c r="EO35" i="6"/>
  <c r="EP62" i="6"/>
  <c r="AW55" i="15" s="1"/>
  <c r="EP40" i="6"/>
  <c r="EP46" i="6"/>
  <c r="EP43" i="6"/>
  <c r="EP50" i="6"/>
  <c r="EP52" i="6"/>
  <c r="EP31" i="6"/>
  <c r="EP47" i="6"/>
  <c r="EP51" i="6"/>
  <c r="EP55" i="6"/>
  <c r="EP53" i="6"/>
  <c r="ER1" i="6"/>
  <c r="EQ34" i="6"/>
  <c r="EQ3" i="6"/>
  <c r="EQ12" i="6" s="1"/>
  <c r="EQ33" i="6"/>
  <c r="EP42" i="6"/>
  <c r="EP32" i="6"/>
  <c r="N25" i="11" s="1"/>
  <c r="EP41" i="6"/>
  <c r="EP54" i="6"/>
  <c r="HZ3" i="8"/>
  <c r="HY7" i="8"/>
  <c r="EP48" i="6" l="1"/>
  <c r="AW14" i="15"/>
  <c r="EQ17" i="6"/>
  <c r="EQ15" i="6"/>
  <c r="EQ22" i="6"/>
  <c r="EQ18" i="6"/>
  <c r="EQ13" i="6"/>
  <c r="EQ14" i="6"/>
  <c r="EQ23" i="6"/>
  <c r="EQ24" i="6"/>
  <c r="EQ19" i="6"/>
  <c r="EQ25" i="6"/>
  <c r="EQ21" i="6"/>
  <c r="EQ16" i="6"/>
  <c r="EQ20" i="6"/>
  <c r="EQ45" i="6"/>
  <c r="EQ26" i="6"/>
  <c r="EQ27" i="6"/>
  <c r="N38" i="11"/>
  <c r="M132" i="12" s="1"/>
  <c r="AW38" i="15"/>
  <c r="N7" i="11"/>
  <c r="N17" i="11"/>
  <c r="B189" i="12" s="1"/>
  <c r="AW18" i="15"/>
  <c r="N16" i="11"/>
  <c r="B188" i="12" s="1"/>
  <c r="N24" i="11"/>
  <c r="N28" i="11" s="1"/>
  <c r="N13" i="11"/>
  <c r="B178" i="12" s="1"/>
  <c r="N15" i="11"/>
  <c r="B187" i="12" s="1"/>
  <c r="N12" i="11"/>
  <c r="B177" i="12" s="1"/>
  <c r="N19" i="11"/>
  <c r="B191" i="12" s="1"/>
  <c r="N8" i="11"/>
  <c r="B173" i="12" s="1"/>
  <c r="N10" i="11"/>
  <c r="B175" i="12" s="1"/>
  <c r="N11" i="11"/>
  <c r="B176" i="12" s="1"/>
  <c r="N35" i="11"/>
  <c r="M129" i="12" s="1"/>
  <c r="N44" i="11"/>
  <c r="M138" i="12" s="1"/>
  <c r="N39" i="11"/>
  <c r="M133" i="12" s="1"/>
  <c r="N48" i="11"/>
  <c r="M142" i="12" s="1"/>
  <c r="N33" i="11"/>
  <c r="M127" i="12" s="1"/>
  <c r="N47" i="11"/>
  <c r="M141" i="12" s="1"/>
  <c r="N46" i="11"/>
  <c r="M140" i="12" s="1"/>
  <c r="N45" i="11"/>
  <c r="M139" i="12" s="1"/>
  <c r="N43" i="11"/>
  <c r="M137" i="12" s="1"/>
  <c r="N40" i="11"/>
  <c r="M134" i="12" s="1"/>
  <c r="N42" i="11"/>
  <c r="M136" i="12" s="1"/>
  <c r="AW42" i="15"/>
  <c r="EQ49" i="6"/>
  <c r="AW6" i="15"/>
  <c r="AW15" i="15"/>
  <c r="N18" i="11"/>
  <c r="B190" i="12" s="1"/>
  <c r="AW25" i="15"/>
  <c r="AW45" i="15"/>
  <c r="AW39" i="15"/>
  <c r="AW44" i="15"/>
  <c r="N34" i="11"/>
  <c r="M128" i="12" s="1"/>
  <c r="AW34" i="15"/>
  <c r="N36" i="11"/>
  <c r="M130" i="12" s="1"/>
  <c r="AW36" i="15"/>
  <c r="AW48" i="15"/>
  <c r="AW35" i="15"/>
  <c r="AW47" i="15"/>
  <c r="AW46" i="15"/>
  <c r="AW43" i="15"/>
  <c r="AW40" i="15"/>
  <c r="AW33" i="15"/>
  <c r="AW24" i="15"/>
  <c r="AW16" i="15"/>
  <c r="AW10" i="15"/>
  <c r="N9" i="11"/>
  <c r="B174" i="12" s="1"/>
  <c r="AW9" i="15"/>
  <c r="AW12" i="15"/>
  <c r="AW8" i="15"/>
  <c r="AW11" i="15"/>
  <c r="AW7" i="15"/>
  <c r="N20" i="11"/>
  <c r="B192" i="12" s="1"/>
  <c r="AW20" i="15"/>
  <c r="AW19" i="15"/>
  <c r="AW13" i="15"/>
  <c r="AW17" i="15"/>
  <c r="EP63" i="6"/>
  <c r="N55" i="11"/>
  <c r="EQ62" i="6"/>
  <c r="EQ40" i="6"/>
  <c r="EQ46" i="6"/>
  <c r="EQ42" i="6"/>
  <c r="EQ47" i="6"/>
  <c r="EQ31" i="6"/>
  <c r="EQ55" i="6"/>
  <c r="EQ43" i="6"/>
  <c r="EQ54" i="6"/>
  <c r="EQ51" i="6"/>
  <c r="EQ41" i="6"/>
  <c r="EQ52" i="6"/>
  <c r="ER3" i="6"/>
  <c r="ER12" i="6" s="1"/>
  <c r="ES1" i="6"/>
  <c r="ER34" i="6"/>
  <c r="ER33" i="6"/>
  <c r="EQ32" i="6"/>
  <c r="EQ53" i="6"/>
  <c r="EP35" i="6"/>
  <c r="EQ50" i="6"/>
  <c r="IA3" i="8"/>
  <c r="HZ7" i="8"/>
  <c r="AW41" i="15" l="1"/>
  <c r="N41" i="11"/>
  <c r="M135" i="12" s="1"/>
  <c r="EQ48" i="6"/>
  <c r="ER20" i="6"/>
  <c r="ER19" i="6"/>
  <c r="ER24" i="6"/>
  <c r="ER18" i="6"/>
  <c r="ER15" i="6"/>
  <c r="ER23" i="6"/>
  <c r="ER22" i="6"/>
  <c r="ER26" i="6"/>
  <c r="ER13" i="6"/>
  <c r="ER25" i="6"/>
  <c r="ER21" i="6"/>
  <c r="ER45" i="6"/>
  <c r="ER27" i="6"/>
  <c r="ER17" i="6"/>
  <c r="ER14" i="6"/>
  <c r="ER16" i="6"/>
  <c r="AW28" i="15"/>
  <c r="B172" i="12"/>
  <c r="M28" i="12"/>
  <c r="ER49" i="6"/>
  <c r="EP96" i="6"/>
  <c r="AW56" i="15"/>
  <c r="N56" i="11"/>
  <c r="N89" i="11" s="1"/>
  <c r="M10" i="12" s="1"/>
  <c r="EQ63" i="6"/>
  <c r="ER62" i="6"/>
  <c r="ER63" i="6" s="1"/>
  <c r="ER96" i="6" s="1"/>
  <c r="ER29" i="9" s="1"/>
  <c r="ER40" i="6"/>
  <c r="EQ35" i="6"/>
  <c r="ER53" i="6"/>
  <c r="ER47" i="6"/>
  <c r="ER55" i="6"/>
  <c r="ER42" i="6"/>
  <c r="ER43" i="6"/>
  <c r="ER52" i="6"/>
  <c r="ER41" i="6"/>
  <c r="ER46" i="6"/>
  <c r="ER54" i="6"/>
  <c r="ER51" i="6"/>
  <c r="ER31" i="6"/>
  <c r="ER32" i="6"/>
  <c r="ER50" i="6"/>
  <c r="ES34" i="6"/>
  <c r="AX27" i="15" s="1"/>
  <c r="ES3" i="6"/>
  <c r="ES12" i="6" s="1"/>
  <c r="ET1" i="6"/>
  <c r="ES33" i="6"/>
  <c r="AX26" i="15" s="1"/>
  <c r="IB3" i="8"/>
  <c r="IA7" i="8"/>
  <c r="ER48" i="6" l="1"/>
  <c r="ES19" i="6"/>
  <c r="AX12" i="15" s="1"/>
  <c r="ES45" i="6"/>
  <c r="AX38" i="15" s="1"/>
  <c r="ES15" i="6"/>
  <c r="ES18" i="6"/>
  <c r="AX11" i="15" s="1"/>
  <c r="ES13" i="6"/>
  <c r="AX6" i="15" s="1"/>
  <c r="ES27" i="6"/>
  <c r="AX20" i="15" s="1"/>
  <c r="ES23" i="6"/>
  <c r="AX16" i="15" s="1"/>
  <c r="ES21" i="6"/>
  <c r="AX14" i="15" s="1"/>
  <c r="ES26" i="6"/>
  <c r="AX19" i="15" s="1"/>
  <c r="ES16" i="6"/>
  <c r="AX9" i="15" s="1"/>
  <c r="ES14" i="6"/>
  <c r="AX7" i="15" s="1"/>
  <c r="ES22" i="6"/>
  <c r="ES20" i="6"/>
  <c r="AX13" i="15" s="1"/>
  <c r="ES17" i="6"/>
  <c r="AX10" i="15" s="1"/>
  <c r="ES25" i="6"/>
  <c r="AX18" i="15" s="1"/>
  <c r="ES24" i="6"/>
  <c r="AX17" i="15" s="1"/>
  <c r="ES49" i="6"/>
  <c r="AX42" i="15" s="1"/>
  <c r="EQ96" i="6"/>
  <c r="EP29" i="9"/>
  <c r="AW89" i="15"/>
  <c r="ES43" i="6"/>
  <c r="AX36" i="15" s="1"/>
  <c r="ES52" i="6"/>
  <c r="AX45" i="15" s="1"/>
  <c r="ES46" i="6"/>
  <c r="AX39" i="15" s="1"/>
  <c r="ES41" i="6"/>
  <c r="AX34" i="15" s="1"/>
  <c r="ES32" i="6"/>
  <c r="AX25" i="15" s="1"/>
  <c r="ES47" i="6"/>
  <c r="AX40" i="15" s="1"/>
  <c r="ES51" i="6"/>
  <c r="AX44" i="15" s="1"/>
  <c r="ES55" i="6"/>
  <c r="AX48" i="15" s="1"/>
  <c r="ES62" i="6"/>
  <c r="AX55" i="15" s="1"/>
  <c r="ES40" i="6"/>
  <c r="AX33" i="15" s="1"/>
  <c r="ES50" i="6"/>
  <c r="AX43" i="15" s="1"/>
  <c r="ES54" i="6"/>
  <c r="AX47" i="15" s="1"/>
  <c r="ES42" i="6"/>
  <c r="AX35" i="15" s="1"/>
  <c r="ES53" i="6"/>
  <c r="AX46" i="15" s="1"/>
  <c r="ER35" i="6"/>
  <c r="ES31" i="6"/>
  <c r="EU1" i="6"/>
  <c r="ET33" i="6"/>
  <c r="ET34" i="6"/>
  <c r="ET3" i="6"/>
  <c r="ET12" i="6" s="1"/>
  <c r="IC3" i="8"/>
  <c r="IB7" i="8"/>
  <c r="AX8" i="15" l="1"/>
  <c r="ES48" i="6"/>
  <c r="AX41" i="15" s="1"/>
  <c r="ET25" i="6"/>
  <c r="ET19" i="6"/>
  <c r="ET23" i="6"/>
  <c r="ET20" i="6"/>
  <c r="ET26" i="6"/>
  <c r="ET27" i="6"/>
  <c r="ET45" i="6"/>
  <c r="ET14" i="6"/>
  <c r="ET21" i="6"/>
  <c r="ET17" i="6"/>
  <c r="ET22" i="6"/>
  <c r="ET15" i="6"/>
  <c r="ET24" i="6"/>
  <c r="ET13" i="6"/>
  <c r="ET16" i="6"/>
  <c r="ET18" i="6"/>
  <c r="ES35" i="6"/>
  <c r="ET49" i="6"/>
  <c r="AX15" i="15"/>
  <c r="EQ29" i="9"/>
  <c r="AX24" i="15"/>
  <c r="AX28" i="15" s="1"/>
  <c r="ES63" i="6"/>
  <c r="ET62" i="6"/>
  <c r="ET40" i="6"/>
  <c r="ET54" i="6"/>
  <c r="ET43" i="6"/>
  <c r="ET55" i="6"/>
  <c r="ET50" i="6"/>
  <c r="ET41" i="6"/>
  <c r="ET46" i="6"/>
  <c r="ET52" i="6"/>
  <c r="ET47" i="6"/>
  <c r="ET32" i="6"/>
  <c r="ET51" i="6"/>
  <c r="ET53" i="6"/>
  <c r="ET42" i="6"/>
  <c r="EU33" i="6"/>
  <c r="EU3" i="6"/>
  <c r="EU12" i="6" s="1"/>
  <c r="EU34" i="6"/>
  <c r="EV1" i="6"/>
  <c r="ET31" i="6"/>
  <c r="ID3" i="8"/>
  <c r="IC7" i="8"/>
  <c r="ET48" i="6" l="1"/>
  <c r="EU25" i="6"/>
  <c r="EU20" i="6"/>
  <c r="EU21" i="6"/>
  <c r="EU13" i="6"/>
  <c r="EU26" i="6"/>
  <c r="EU45" i="6"/>
  <c r="EU15" i="6"/>
  <c r="EU27" i="6"/>
  <c r="EU19" i="6"/>
  <c r="EU22" i="6"/>
  <c r="EU16" i="6"/>
  <c r="EU23" i="6"/>
  <c r="EU18" i="6"/>
  <c r="EU14" i="6"/>
  <c r="EU24" i="6"/>
  <c r="EU17" i="6"/>
  <c r="EU49" i="6"/>
  <c r="ET63" i="6"/>
  <c r="ET96" i="6" s="1"/>
  <c r="ES96" i="6"/>
  <c r="AX56" i="15"/>
  <c r="EU62" i="6"/>
  <c r="EU63" i="6" s="1"/>
  <c r="EU96" i="6" s="1"/>
  <c r="EU29" i="9" s="1"/>
  <c r="EU40" i="6"/>
  <c r="ET35" i="6"/>
  <c r="EU51" i="6"/>
  <c r="EU53" i="6"/>
  <c r="EU42" i="6"/>
  <c r="EU47" i="6"/>
  <c r="EU32" i="6"/>
  <c r="EU41" i="6"/>
  <c r="EU31" i="6"/>
  <c r="EU43" i="6"/>
  <c r="EU54" i="6"/>
  <c r="EU52" i="6"/>
  <c r="EU55" i="6"/>
  <c r="EU50" i="6"/>
  <c r="EU46" i="6"/>
  <c r="EW1" i="6"/>
  <c r="EV3" i="6"/>
  <c r="EV12" i="6" s="1"/>
  <c r="EV33" i="6"/>
  <c r="AY26" i="15" s="1"/>
  <c r="EV34" i="6"/>
  <c r="AY27" i="15" s="1"/>
  <c r="IE3" i="8"/>
  <c r="ID7" i="8"/>
  <c r="EU48" i="6" l="1"/>
  <c r="EV24" i="6"/>
  <c r="AY17" i="15" s="1"/>
  <c r="EV25" i="6"/>
  <c r="AY18" i="15" s="1"/>
  <c r="EV18" i="6"/>
  <c r="AY11" i="15" s="1"/>
  <c r="EV23" i="6"/>
  <c r="AY16" i="15" s="1"/>
  <c r="EV45" i="6"/>
  <c r="AY38" i="15" s="1"/>
  <c r="EV15" i="6"/>
  <c r="EV13" i="6"/>
  <c r="AY6" i="15" s="1"/>
  <c r="EV27" i="6"/>
  <c r="AY20" i="15" s="1"/>
  <c r="EV14" i="6"/>
  <c r="AY7" i="15" s="1"/>
  <c r="EV19" i="6"/>
  <c r="AY12" i="15" s="1"/>
  <c r="EV26" i="6"/>
  <c r="AY19" i="15" s="1"/>
  <c r="EV21" i="6"/>
  <c r="AY14" i="15" s="1"/>
  <c r="EV20" i="6"/>
  <c r="AY13" i="15" s="1"/>
  <c r="EV16" i="6"/>
  <c r="AY9" i="15" s="1"/>
  <c r="EV17" i="6"/>
  <c r="AY10" i="15" s="1"/>
  <c r="EV22" i="6"/>
  <c r="EV49" i="6"/>
  <c r="AY42" i="15" s="1"/>
  <c r="ES29" i="9"/>
  <c r="AX89" i="15"/>
  <c r="ET29" i="9"/>
  <c r="EV62" i="6"/>
  <c r="EV63" i="6" s="1"/>
  <c r="EV96" i="6" s="1"/>
  <c r="EV29" i="9" s="1"/>
  <c r="EV40" i="6"/>
  <c r="AY33" i="15" s="1"/>
  <c r="EU35" i="6"/>
  <c r="EV31" i="6"/>
  <c r="AY24" i="15" s="1"/>
  <c r="EV55" i="6"/>
  <c r="AY48" i="15" s="1"/>
  <c r="EV50" i="6"/>
  <c r="AY43" i="15" s="1"/>
  <c r="EV53" i="6"/>
  <c r="AY46" i="15" s="1"/>
  <c r="EV32" i="6"/>
  <c r="AY25" i="15" s="1"/>
  <c r="EV42" i="6"/>
  <c r="AY35" i="15" s="1"/>
  <c r="EV51" i="6"/>
  <c r="AY44" i="15" s="1"/>
  <c r="EV46" i="6"/>
  <c r="AY39" i="15" s="1"/>
  <c r="EV54" i="6"/>
  <c r="AY47" i="15" s="1"/>
  <c r="EV52" i="6"/>
  <c r="AY45" i="15" s="1"/>
  <c r="EV41" i="6"/>
  <c r="AY34" i="15" s="1"/>
  <c r="EV43" i="6"/>
  <c r="AY36" i="15" s="1"/>
  <c r="EV47" i="6"/>
  <c r="AY40" i="15" s="1"/>
  <c r="EX1" i="6"/>
  <c r="EW34" i="6"/>
  <c r="EW3" i="6"/>
  <c r="EW12" i="6" s="1"/>
  <c r="EW33" i="6"/>
  <c r="IF3" i="8"/>
  <c r="IE7" i="8"/>
  <c r="AY8" i="15" l="1"/>
  <c r="EV48" i="6"/>
  <c r="AY41" i="15" s="1"/>
  <c r="EW25" i="6"/>
  <c r="EW24" i="6"/>
  <c r="EW14" i="6"/>
  <c r="EW23" i="6"/>
  <c r="EW19" i="6"/>
  <c r="EW16" i="6"/>
  <c r="EW17" i="6"/>
  <c r="EW21" i="6"/>
  <c r="EW15" i="6"/>
  <c r="EW18" i="6"/>
  <c r="EW27" i="6"/>
  <c r="EW22" i="6"/>
  <c r="EW26" i="6"/>
  <c r="EW20" i="6"/>
  <c r="EW13" i="6"/>
  <c r="EW45" i="6"/>
  <c r="EW49" i="6"/>
  <c r="AY15" i="15"/>
  <c r="EW47" i="6"/>
  <c r="AY55" i="15"/>
  <c r="AY56" i="15"/>
  <c r="AY89" i="15"/>
  <c r="AY28" i="15"/>
  <c r="EW62" i="6"/>
  <c r="EW40" i="6"/>
  <c r="EW32" i="6"/>
  <c r="EV35" i="6"/>
  <c r="EW52" i="6"/>
  <c r="EW50" i="6"/>
  <c r="EW31" i="6"/>
  <c r="EW55" i="6"/>
  <c r="EW43" i="6"/>
  <c r="EW46" i="6"/>
  <c r="EW54" i="6"/>
  <c r="EW53" i="6"/>
  <c r="EW41" i="6"/>
  <c r="EW42" i="6"/>
  <c r="EW51" i="6"/>
  <c r="EY1" i="6"/>
  <c r="EX33" i="6"/>
  <c r="EX3" i="6"/>
  <c r="EX12" i="6" s="1"/>
  <c r="EX34" i="6"/>
  <c r="IG3" i="8"/>
  <c r="IF7" i="8"/>
  <c r="EW48" i="6" l="1"/>
  <c r="EX25" i="6"/>
  <c r="EX14" i="6"/>
  <c r="EX24" i="6"/>
  <c r="EX17" i="6"/>
  <c r="EX27" i="6"/>
  <c r="EX20" i="6"/>
  <c r="EX19" i="6"/>
  <c r="EX45" i="6"/>
  <c r="EX21" i="6"/>
  <c r="EX22" i="6"/>
  <c r="EX26" i="6"/>
  <c r="EX16" i="6"/>
  <c r="EX15" i="6"/>
  <c r="EX23" i="6"/>
  <c r="EX13" i="6"/>
  <c r="EX18" i="6"/>
  <c r="EX49" i="6"/>
  <c r="EW63" i="6"/>
  <c r="EW96" i="6" s="1"/>
  <c r="EW35" i="6"/>
  <c r="EX62" i="6"/>
  <c r="EX63" i="6" s="1"/>
  <c r="EX96" i="6" s="1"/>
  <c r="EX29" i="9" s="1"/>
  <c r="EX40" i="6"/>
  <c r="EX42" i="6"/>
  <c r="EX51" i="6"/>
  <c r="EX47" i="6"/>
  <c r="EX32" i="6"/>
  <c r="EX46" i="6"/>
  <c r="EX43" i="6"/>
  <c r="EX52" i="6"/>
  <c r="EX55" i="6"/>
  <c r="EY3" i="6"/>
  <c r="EY12" i="6" s="1"/>
  <c r="EY33" i="6"/>
  <c r="AZ26" i="15" s="1"/>
  <c r="EY34" i="6"/>
  <c r="AZ27" i="15" s="1"/>
  <c r="EZ1" i="6"/>
  <c r="EX53" i="6"/>
  <c r="EX54" i="6"/>
  <c r="EX31" i="6"/>
  <c r="EX50" i="6"/>
  <c r="EX41" i="6"/>
  <c r="IH3" i="8"/>
  <c r="IG7" i="8"/>
  <c r="EX48" i="6" l="1"/>
  <c r="EY25" i="6"/>
  <c r="AZ18" i="15" s="1"/>
  <c r="EY16" i="6"/>
  <c r="AZ9" i="15" s="1"/>
  <c r="EY45" i="6"/>
  <c r="AZ38" i="15" s="1"/>
  <c r="EY13" i="6"/>
  <c r="AZ6" i="15" s="1"/>
  <c r="EY14" i="6"/>
  <c r="AZ7" i="15" s="1"/>
  <c r="EY20" i="6"/>
  <c r="AZ13" i="15" s="1"/>
  <c r="EY23" i="6"/>
  <c r="AZ16" i="15" s="1"/>
  <c r="EY22" i="6"/>
  <c r="AZ15" i="15" s="1"/>
  <c r="EY21" i="6"/>
  <c r="AZ14" i="15" s="1"/>
  <c r="EY19" i="6"/>
  <c r="AZ12" i="15" s="1"/>
  <c r="EY26" i="6"/>
  <c r="AZ19" i="15" s="1"/>
  <c r="EY15" i="6"/>
  <c r="EY17" i="6"/>
  <c r="AZ10" i="15" s="1"/>
  <c r="EY18" i="6"/>
  <c r="AZ11" i="15" s="1"/>
  <c r="EY24" i="6"/>
  <c r="AZ17" i="15" s="1"/>
  <c r="EY27" i="6"/>
  <c r="AZ20" i="15" s="1"/>
  <c r="EY49" i="6"/>
  <c r="AZ42" i="15" s="1"/>
  <c r="EY46" i="6"/>
  <c r="AZ39" i="15" s="1"/>
  <c r="EY53" i="6"/>
  <c r="AZ46" i="15" s="1"/>
  <c r="EY50" i="6"/>
  <c r="AZ43" i="15" s="1"/>
  <c r="EW29" i="9"/>
  <c r="EY62" i="6"/>
  <c r="EY63" i="6" s="1"/>
  <c r="EY96" i="6" s="1"/>
  <c r="EY29" i="9" s="1"/>
  <c r="EY40" i="6"/>
  <c r="AZ33" i="15" s="1"/>
  <c r="EY47" i="6"/>
  <c r="AZ40" i="15" s="1"/>
  <c r="EY52" i="6"/>
  <c r="AZ45" i="15" s="1"/>
  <c r="EY54" i="6"/>
  <c r="AZ47" i="15" s="1"/>
  <c r="EY51" i="6"/>
  <c r="AZ44" i="15" s="1"/>
  <c r="EY43" i="6"/>
  <c r="AZ36" i="15" s="1"/>
  <c r="EY31" i="6"/>
  <c r="AZ24" i="15" s="1"/>
  <c r="EY42" i="6"/>
  <c r="AZ35" i="15" s="1"/>
  <c r="EY32" i="6"/>
  <c r="AZ25" i="15" s="1"/>
  <c r="EX35" i="6"/>
  <c r="EZ34" i="6"/>
  <c r="EZ3" i="6"/>
  <c r="EZ12" i="6" s="1"/>
  <c r="FA1" i="6"/>
  <c r="EZ33" i="6"/>
  <c r="EY41" i="6"/>
  <c r="AZ34" i="15" s="1"/>
  <c r="EY55" i="6"/>
  <c r="AZ48" i="15" s="1"/>
  <c r="II3" i="8"/>
  <c r="IH7" i="8"/>
  <c r="AZ8" i="15" l="1"/>
  <c r="EY48" i="6"/>
  <c r="AZ41" i="15" s="1"/>
  <c r="EZ23" i="6"/>
  <c r="EZ21" i="6"/>
  <c r="EZ20" i="6"/>
  <c r="EZ15" i="6"/>
  <c r="EZ22" i="6"/>
  <c r="EZ45" i="6"/>
  <c r="EZ16" i="6"/>
  <c r="EZ27" i="6"/>
  <c r="EZ13" i="6"/>
  <c r="EZ26" i="6"/>
  <c r="EZ18" i="6"/>
  <c r="EZ14" i="6"/>
  <c r="EZ25" i="6"/>
  <c r="EZ17" i="6"/>
  <c r="EZ19" i="6"/>
  <c r="EZ24" i="6"/>
  <c r="EZ49" i="6"/>
  <c r="AZ55" i="15"/>
  <c r="AZ89" i="15"/>
  <c r="AZ56" i="15"/>
  <c r="AZ28" i="15"/>
  <c r="EZ62" i="6"/>
  <c r="EZ40" i="6"/>
  <c r="EZ53" i="6"/>
  <c r="EZ43" i="6"/>
  <c r="EZ50" i="6"/>
  <c r="EZ55" i="6"/>
  <c r="EZ32" i="6"/>
  <c r="EZ51" i="6"/>
  <c r="EZ42" i="6"/>
  <c r="EZ31" i="6"/>
  <c r="EY35" i="6"/>
  <c r="EZ47" i="6"/>
  <c r="EZ46" i="6"/>
  <c r="EZ54" i="6"/>
  <c r="FB1" i="6"/>
  <c r="FA33" i="6"/>
  <c r="FA34" i="6"/>
  <c r="FA3" i="6"/>
  <c r="FA12" i="6" s="1"/>
  <c r="EZ52" i="6"/>
  <c r="EZ41" i="6"/>
  <c r="IJ3" i="8"/>
  <c r="II7" i="8"/>
  <c r="EZ48" i="6" l="1"/>
  <c r="FA14" i="6"/>
  <c r="FA15" i="6"/>
  <c r="FA13" i="6"/>
  <c r="FA16" i="6"/>
  <c r="FA45" i="6"/>
  <c r="FA18" i="6"/>
  <c r="FA21" i="6"/>
  <c r="FA25" i="6"/>
  <c r="FA19" i="6"/>
  <c r="FA17" i="6"/>
  <c r="FA24" i="6"/>
  <c r="FA27" i="6"/>
  <c r="FA23" i="6"/>
  <c r="FA20" i="6"/>
  <c r="FA26" i="6"/>
  <c r="FA22" i="6"/>
  <c r="FA49" i="6"/>
  <c r="EZ63" i="6"/>
  <c r="EZ96" i="6" s="1"/>
  <c r="FA62" i="6"/>
  <c r="FA63" i="6" s="1"/>
  <c r="FA96" i="6" s="1"/>
  <c r="FA29" i="9" s="1"/>
  <c r="FA40" i="6"/>
  <c r="EZ35" i="6"/>
  <c r="FA43" i="6"/>
  <c r="FA31" i="6"/>
  <c r="FA52" i="6"/>
  <c r="FA47" i="6"/>
  <c r="FA42" i="6"/>
  <c r="FA50" i="6"/>
  <c r="FA32" i="6"/>
  <c r="FA54" i="6"/>
  <c r="FA53" i="6"/>
  <c r="FA46" i="6"/>
  <c r="FA41" i="6"/>
  <c r="FA55" i="6"/>
  <c r="FB34" i="6"/>
  <c r="O27" i="11" s="1"/>
  <c r="FB33" i="6"/>
  <c r="O26" i="11" s="1"/>
  <c r="FC1" i="6"/>
  <c r="FB3" i="6"/>
  <c r="FB12" i="6" s="1"/>
  <c r="FA51" i="6"/>
  <c r="IK3" i="8"/>
  <c r="IJ7" i="8"/>
  <c r="FA48" i="6" l="1"/>
  <c r="FB26" i="6"/>
  <c r="FB16" i="6"/>
  <c r="FB18" i="6"/>
  <c r="FB45" i="6"/>
  <c r="FB20" i="6"/>
  <c r="FB13" i="6"/>
  <c r="O6" i="11" s="1"/>
  <c r="B60" i="12" s="1"/>
  <c r="FB14" i="6"/>
  <c r="FB23" i="6"/>
  <c r="FB27" i="6"/>
  <c r="FB25" i="6"/>
  <c r="FB22" i="6"/>
  <c r="FB15" i="6"/>
  <c r="FB19" i="6"/>
  <c r="FB21" i="6"/>
  <c r="O14" i="11" s="1"/>
  <c r="B53" i="12" s="1"/>
  <c r="K47" i="12" s="1"/>
  <c r="FB24" i="6"/>
  <c r="FB17" i="6"/>
  <c r="FB49" i="6"/>
  <c r="FB43" i="6"/>
  <c r="EZ29" i="9"/>
  <c r="BA26" i="15"/>
  <c r="BA27" i="15"/>
  <c r="FB62" i="6"/>
  <c r="BA55" i="15" s="1"/>
  <c r="FB40" i="6"/>
  <c r="FA35" i="6"/>
  <c r="FB52" i="6"/>
  <c r="FB54" i="6"/>
  <c r="FB31" i="6"/>
  <c r="FB55" i="6"/>
  <c r="FB51" i="6"/>
  <c r="FB41" i="6"/>
  <c r="FB47" i="6"/>
  <c r="FB32" i="6"/>
  <c r="O25" i="11" s="1"/>
  <c r="FB53" i="6"/>
  <c r="FB50" i="6"/>
  <c r="FB42" i="6"/>
  <c r="FB46" i="6"/>
  <c r="FC33" i="6"/>
  <c r="FC34" i="6"/>
  <c r="FC3" i="6"/>
  <c r="FC12" i="6" s="1"/>
  <c r="FD1" i="6"/>
  <c r="IL3" i="8"/>
  <c r="IK7" i="8"/>
  <c r="FB48" i="6" l="1"/>
  <c r="BA14" i="15"/>
  <c r="O38" i="11"/>
  <c r="N132" i="12" s="1"/>
  <c r="BA38" i="15"/>
  <c r="FC27" i="6"/>
  <c r="FC26" i="6"/>
  <c r="FC45" i="6"/>
  <c r="FC22" i="6"/>
  <c r="FC21" i="6"/>
  <c r="FC18" i="6"/>
  <c r="FC13" i="6"/>
  <c r="FC19" i="6"/>
  <c r="FC20" i="6"/>
  <c r="FC17" i="6"/>
  <c r="FC16" i="6"/>
  <c r="FC23" i="6"/>
  <c r="FC24" i="6"/>
  <c r="FC15" i="6"/>
  <c r="FC25" i="6"/>
  <c r="FC14" i="6"/>
  <c r="O12" i="11"/>
  <c r="B51" i="12" s="1"/>
  <c r="O19" i="11"/>
  <c r="B58" i="12" s="1"/>
  <c r="O13" i="11"/>
  <c r="B52" i="12" s="1"/>
  <c r="K46" i="12" s="1"/>
  <c r="O24" i="11"/>
  <c r="O28" i="11" s="1"/>
  <c r="O9" i="11"/>
  <c r="B48" i="12" s="1"/>
  <c r="O15" i="11"/>
  <c r="B54" i="12" s="1"/>
  <c r="O20" i="11"/>
  <c r="B59" i="12" s="1"/>
  <c r="O18" i="11"/>
  <c r="B57" i="12" s="1"/>
  <c r="O17" i="11"/>
  <c r="B56" i="12" s="1"/>
  <c r="O7" i="11"/>
  <c r="B46" i="12" s="1"/>
  <c r="O11" i="11"/>
  <c r="B50" i="12" s="1"/>
  <c r="O10" i="11"/>
  <c r="B49" i="12" s="1"/>
  <c r="O40" i="11"/>
  <c r="N134" i="12" s="1"/>
  <c r="O45" i="11"/>
  <c r="N139" i="12" s="1"/>
  <c r="BA36" i="15"/>
  <c r="O39" i="11"/>
  <c r="N133" i="12" s="1"/>
  <c r="O48" i="11"/>
  <c r="N142" i="12" s="1"/>
  <c r="O35" i="11"/>
  <c r="N129" i="12" s="1"/>
  <c r="O43" i="11"/>
  <c r="N137" i="12" s="1"/>
  <c r="O34" i="11"/>
  <c r="N128" i="12" s="1"/>
  <c r="O47" i="11"/>
  <c r="N141" i="12" s="1"/>
  <c r="O44" i="11"/>
  <c r="N138" i="12" s="1"/>
  <c r="O33" i="11"/>
  <c r="N127" i="12" s="1"/>
  <c r="O42" i="11"/>
  <c r="N136" i="12" s="1"/>
  <c r="BA42" i="15"/>
  <c r="FC49" i="6"/>
  <c r="BA6" i="15"/>
  <c r="BA15" i="15"/>
  <c r="O36" i="11"/>
  <c r="N130" i="12" s="1"/>
  <c r="FC55" i="6"/>
  <c r="BA25" i="15"/>
  <c r="BA47" i="15"/>
  <c r="BA35" i="15"/>
  <c r="BA40" i="15"/>
  <c r="BA44" i="15"/>
  <c r="BA43" i="15"/>
  <c r="BA39" i="15"/>
  <c r="O46" i="11"/>
  <c r="N140" i="12" s="1"/>
  <c r="BA46" i="15"/>
  <c r="BA48" i="15"/>
  <c r="BA45" i="15"/>
  <c r="BA34" i="15"/>
  <c r="BA33" i="15"/>
  <c r="BA24" i="15"/>
  <c r="BA7" i="15"/>
  <c r="BA10" i="15"/>
  <c r="BA18" i="15"/>
  <c r="BA19" i="15"/>
  <c r="O8" i="11"/>
  <c r="B47" i="12" s="1"/>
  <c r="BA8" i="15"/>
  <c r="O16" i="11"/>
  <c r="B55" i="12" s="1"/>
  <c r="BA16" i="15"/>
  <c r="BA13" i="15"/>
  <c r="BA11" i="15"/>
  <c r="BA9" i="15"/>
  <c r="BA17" i="15"/>
  <c r="BA20" i="15"/>
  <c r="BA12" i="15"/>
  <c r="FC41" i="6"/>
  <c r="FB63" i="6"/>
  <c r="O55" i="11"/>
  <c r="FC62" i="6"/>
  <c r="FC40" i="6"/>
  <c r="FC32" i="6"/>
  <c r="FC50" i="6"/>
  <c r="FC31" i="6"/>
  <c r="FB35" i="6"/>
  <c r="FC52" i="6"/>
  <c r="FC46" i="6"/>
  <c r="FC51" i="6"/>
  <c r="FC54" i="6"/>
  <c r="FC47" i="6"/>
  <c r="FC42" i="6"/>
  <c r="FC53" i="6"/>
  <c r="FE1" i="6"/>
  <c r="FD34" i="6"/>
  <c r="FD33" i="6"/>
  <c r="FD3" i="6"/>
  <c r="FD12" i="6" s="1"/>
  <c r="FC43" i="6"/>
  <c r="IM3" i="8"/>
  <c r="IL7" i="8"/>
  <c r="BA41" i="15" l="1"/>
  <c r="O41" i="11"/>
  <c r="N135" i="12" s="1"/>
  <c r="FC48" i="6"/>
  <c r="FD26" i="6"/>
  <c r="FD27" i="6"/>
  <c r="FD17" i="6"/>
  <c r="FD18" i="6"/>
  <c r="FD15" i="6"/>
  <c r="FD16" i="6"/>
  <c r="FD14" i="6"/>
  <c r="FD21" i="6"/>
  <c r="FD25" i="6"/>
  <c r="FD24" i="6"/>
  <c r="FD13" i="6"/>
  <c r="FD22" i="6"/>
  <c r="FD19" i="6"/>
  <c r="FD20" i="6"/>
  <c r="FD45" i="6"/>
  <c r="FD23" i="6"/>
  <c r="FD49" i="6"/>
  <c r="FB96" i="6"/>
  <c r="BA56" i="15"/>
  <c r="BA28" i="15"/>
  <c r="N28" i="12"/>
  <c r="FC63" i="6"/>
  <c r="O56" i="11"/>
  <c r="O89" i="11" s="1"/>
  <c r="N10" i="12" s="1"/>
  <c r="FC35" i="6"/>
  <c r="FD62" i="6"/>
  <c r="FD63" i="6" s="1"/>
  <c r="FD96" i="6" s="1"/>
  <c r="FD29" i="9" s="1"/>
  <c r="FD40" i="6"/>
  <c r="FD52" i="6"/>
  <c r="FD43" i="6"/>
  <c r="FD32" i="6"/>
  <c r="FD47" i="6"/>
  <c r="FD46" i="6"/>
  <c r="FD41" i="6"/>
  <c r="FD53" i="6"/>
  <c r="FD50" i="6"/>
  <c r="FD54" i="6"/>
  <c r="FD51" i="6"/>
  <c r="FD42" i="6"/>
  <c r="FD31" i="6"/>
  <c r="FD55" i="6"/>
  <c r="FE33" i="6"/>
  <c r="BB26" i="15" s="1"/>
  <c r="FE34" i="6"/>
  <c r="BB27" i="15" s="1"/>
  <c r="FE3" i="6"/>
  <c r="FE12" i="6" s="1"/>
  <c r="FF1" i="6"/>
  <c r="IN3" i="8"/>
  <c r="IM7" i="8"/>
  <c r="FD48" i="6" l="1"/>
  <c r="FE26" i="6"/>
  <c r="BB19" i="15" s="1"/>
  <c r="FE27" i="6"/>
  <c r="BB20" i="15" s="1"/>
  <c r="FE21" i="6"/>
  <c r="BB14" i="15" s="1"/>
  <c r="FE15" i="6"/>
  <c r="FE45" i="6"/>
  <c r="BB38" i="15" s="1"/>
  <c r="FE20" i="6"/>
  <c r="BB13" i="15" s="1"/>
  <c r="FE13" i="6"/>
  <c r="BB6" i="15" s="1"/>
  <c r="FE19" i="6"/>
  <c r="BB12" i="15" s="1"/>
  <c r="FE17" i="6"/>
  <c r="BB10" i="15" s="1"/>
  <c r="FE16" i="6"/>
  <c r="BB9" i="15" s="1"/>
  <c r="FE18" i="6"/>
  <c r="BB11" i="15" s="1"/>
  <c r="FE23" i="6"/>
  <c r="BB16" i="15" s="1"/>
  <c r="FE24" i="6"/>
  <c r="BB17" i="15" s="1"/>
  <c r="FE14" i="6"/>
  <c r="BB7" i="15" s="1"/>
  <c r="FE22" i="6"/>
  <c r="BB15" i="15" s="1"/>
  <c r="FE25" i="6"/>
  <c r="BB18" i="15" s="1"/>
  <c r="FE49" i="6"/>
  <c r="BB42" i="15" s="1"/>
  <c r="FC96" i="6"/>
  <c r="FB29" i="9"/>
  <c r="BA89" i="15"/>
  <c r="FE62" i="6"/>
  <c r="FE63" i="6" s="1"/>
  <c r="FE96" i="6" s="1"/>
  <c r="FE29" i="9" s="1"/>
  <c r="FE40" i="6"/>
  <c r="BB33" i="15" s="1"/>
  <c r="FE53" i="6"/>
  <c r="BB46" i="15" s="1"/>
  <c r="FE41" i="6"/>
  <c r="BB34" i="15" s="1"/>
  <c r="FE32" i="6"/>
  <c r="BB25" i="15" s="1"/>
  <c r="FE50" i="6"/>
  <c r="BB43" i="15" s="1"/>
  <c r="FE31" i="6"/>
  <c r="BB24" i="15" s="1"/>
  <c r="FE51" i="6"/>
  <c r="BB44" i="15" s="1"/>
  <c r="FE43" i="6"/>
  <c r="BB36" i="15" s="1"/>
  <c r="FE46" i="6"/>
  <c r="BB39" i="15" s="1"/>
  <c r="FE54" i="6"/>
  <c r="BB47" i="15" s="1"/>
  <c r="FE55" i="6"/>
  <c r="BB48" i="15" s="1"/>
  <c r="FE42" i="6"/>
  <c r="BB35" i="15" s="1"/>
  <c r="FE52" i="6"/>
  <c r="BB45" i="15" s="1"/>
  <c r="FE47" i="6"/>
  <c r="BB40" i="15" s="1"/>
  <c r="FF33" i="6"/>
  <c r="FG1" i="6"/>
  <c r="FF3" i="6"/>
  <c r="FF12" i="6" s="1"/>
  <c r="FF34" i="6"/>
  <c r="FD35" i="6"/>
  <c r="IO3" i="8"/>
  <c r="IN7" i="8"/>
  <c r="BB8" i="15" l="1"/>
  <c r="FE48" i="6"/>
  <c r="BB41" i="15" s="1"/>
  <c r="FF24" i="6"/>
  <c r="FF27" i="6"/>
  <c r="FF26" i="6"/>
  <c r="FF20" i="6"/>
  <c r="FF15" i="6"/>
  <c r="FF18" i="6"/>
  <c r="FF19" i="6"/>
  <c r="FF22" i="6"/>
  <c r="FF14" i="6"/>
  <c r="FF13" i="6"/>
  <c r="FF25" i="6"/>
  <c r="FF21" i="6"/>
  <c r="FF45" i="6"/>
  <c r="FF17" i="6"/>
  <c r="FF23" i="6"/>
  <c r="FF16" i="6"/>
  <c r="FF49" i="6"/>
  <c r="BB55" i="15"/>
  <c r="BB56" i="15"/>
  <c r="FC29" i="9"/>
  <c r="BB89" i="15"/>
  <c r="BB28" i="15"/>
  <c r="FF62" i="6"/>
  <c r="FF40" i="6"/>
  <c r="FE35" i="6"/>
  <c r="FF42" i="6"/>
  <c r="FF53" i="6"/>
  <c r="FF50" i="6"/>
  <c r="FF32" i="6"/>
  <c r="FF46" i="6"/>
  <c r="FF41" i="6"/>
  <c r="FF43" i="6"/>
  <c r="FF54" i="6"/>
  <c r="FF52" i="6"/>
  <c r="FH1" i="6"/>
  <c r="FG33" i="6"/>
  <c r="FG34" i="6"/>
  <c r="FG3" i="6"/>
  <c r="FG12" i="6" s="1"/>
  <c r="FF47" i="6"/>
  <c r="FF31" i="6"/>
  <c r="FF55" i="6"/>
  <c r="FF51" i="6"/>
  <c r="IP3" i="8"/>
  <c r="IO7" i="8"/>
  <c r="FF48" i="6" l="1"/>
  <c r="FG26" i="6"/>
  <c r="FG27" i="6"/>
  <c r="FG15" i="6"/>
  <c r="FG18" i="6"/>
  <c r="FG23" i="6"/>
  <c r="FG20" i="6"/>
  <c r="FG16" i="6"/>
  <c r="FG17" i="6"/>
  <c r="FG45" i="6"/>
  <c r="FG24" i="6"/>
  <c r="FG25" i="6"/>
  <c r="FG21" i="6"/>
  <c r="FG22" i="6"/>
  <c r="FG13" i="6"/>
  <c r="FG14" i="6"/>
  <c r="FG19" i="6"/>
  <c r="FG49" i="6"/>
  <c r="FF63" i="6"/>
  <c r="FF96" i="6" s="1"/>
  <c r="FG62" i="6"/>
  <c r="FG63" i="6" s="1"/>
  <c r="FG96" i="6" s="1"/>
  <c r="FG29" i="9" s="1"/>
  <c r="FG40" i="6"/>
  <c r="FG50" i="6"/>
  <c r="FF35" i="6"/>
  <c r="FG52" i="6"/>
  <c r="FG46" i="6"/>
  <c r="FG47" i="6"/>
  <c r="FG53" i="6"/>
  <c r="FG32" i="6"/>
  <c r="FG51" i="6"/>
  <c r="FG54" i="6"/>
  <c r="FG55" i="6"/>
  <c r="FH34" i="6"/>
  <c r="BC27" i="15" s="1"/>
  <c r="FI1" i="6"/>
  <c r="FH33" i="6"/>
  <c r="BC26" i="15" s="1"/>
  <c r="FH3" i="6"/>
  <c r="FH12" i="6" s="1"/>
  <c r="FG43" i="6"/>
  <c r="FG41" i="6"/>
  <c r="FG42" i="6"/>
  <c r="FG31" i="6"/>
  <c r="IQ3" i="8"/>
  <c r="IP7" i="8"/>
  <c r="FG48" i="6" l="1"/>
  <c r="FH27" i="6"/>
  <c r="BC20" i="15" s="1"/>
  <c r="FH24" i="6"/>
  <c r="BC17" i="15" s="1"/>
  <c r="FH45" i="6"/>
  <c r="BC38" i="15" s="1"/>
  <c r="FH23" i="6"/>
  <c r="BC16" i="15" s="1"/>
  <c r="FH17" i="6"/>
  <c r="BC10" i="15" s="1"/>
  <c r="FH20" i="6"/>
  <c r="BC13" i="15" s="1"/>
  <c r="FH18" i="6"/>
  <c r="BC11" i="15" s="1"/>
  <c r="FH26" i="6"/>
  <c r="BC19" i="15" s="1"/>
  <c r="FH16" i="6"/>
  <c r="BC9" i="15" s="1"/>
  <c r="FH13" i="6"/>
  <c r="BC6" i="15" s="1"/>
  <c r="FH14" i="6"/>
  <c r="BC7" i="15" s="1"/>
  <c r="FH19" i="6"/>
  <c r="BC12" i="15" s="1"/>
  <c r="FH21" i="6"/>
  <c r="BC14" i="15" s="1"/>
  <c r="FH25" i="6"/>
  <c r="BC18" i="15" s="1"/>
  <c r="FH15" i="6"/>
  <c r="FH22" i="6"/>
  <c r="BC15" i="15" s="1"/>
  <c r="FH49" i="6"/>
  <c r="BC42" i="15" s="1"/>
  <c r="FF29" i="9"/>
  <c r="FG35" i="6"/>
  <c r="FH62" i="6"/>
  <c r="FH40" i="6"/>
  <c r="BC33" i="15" s="1"/>
  <c r="FH42" i="6"/>
  <c r="BC35" i="15" s="1"/>
  <c r="FH41" i="6"/>
  <c r="BC34" i="15" s="1"/>
  <c r="FH50" i="6"/>
  <c r="BC43" i="15" s="1"/>
  <c r="FH53" i="6"/>
  <c r="BC46" i="15" s="1"/>
  <c r="FH54" i="6"/>
  <c r="BC47" i="15" s="1"/>
  <c r="FI33" i="6"/>
  <c r="FI3" i="6"/>
  <c r="FI12" i="6" s="1"/>
  <c r="FI34" i="6"/>
  <c r="FJ1" i="6"/>
  <c r="FH52" i="6"/>
  <c r="BC45" i="15" s="1"/>
  <c r="FH46" i="6"/>
  <c r="BC39" i="15" s="1"/>
  <c r="FH47" i="6"/>
  <c r="BC40" i="15" s="1"/>
  <c r="FH51" i="6"/>
  <c r="BC44" i="15" s="1"/>
  <c r="FH43" i="6"/>
  <c r="BC36" i="15" s="1"/>
  <c r="FH55" i="6"/>
  <c r="BC48" i="15" s="1"/>
  <c r="FH31" i="6"/>
  <c r="BC24" i="15" s="1"/>
  <c r="FH32" i="6"/>
  <c r="BC25" i="15" s="1"/>
  <c r="IR3" i="8"/>
  <c r="IQ7" i="8"/>
  <c r="BC8" i="15" l="1"/>
  <c r="FH48" i="6"/>
  <c r="BC41" i="15" s="1"/>
  <c r="FI24" i="6"/>
  <c r="FI16" i="6"/>
  <c r="FI21" i="6"/>
  <c r="FI26" i="6"/>
  <c r="FI17" i="6"/>
  <c r="FI25" i="6"/>
  <c r="FI23" i="6"/>
  <c r="FI22" i="6"/>
  <c r="FI14" i="6"/>
  <c r="FI18" i="6"/>
  <c r="FI15" i="6"/>
  <c r="FI13" i="6"/>
  <c r="FI19" i="6"/>
  <c r="FI45" i="6"/>
  <c r="FI27" i="6"/>
  <c r="FI20" i="6"/>
  <c r="FI49" i="6"/>
  <c r="FI51" i="6"/>
  <c r="FH63" i="6"/>
  <c r="FH96" i="6" s="1"/>
  <c r="FH29" i="9" s="1"/>
  <c r="BC55" i="15"/>
  <c r="BC28" i="15"/>
  <c r="FI62" i="6"/>
  <c r="FI40" i="6"/>
  <c r="FI46" i="6"/>
  <c r="FI47" i="6"/>
  <c r="FI43" i="6"/>
  <c r="FI32" i="6"/>
  <c r="FI50" i="6"/>
  <c r="FI52" i="6"/>
  <c r="FI54" i="6"/>
  <c r="FI53" i="6"/>
  <c r="FI42" i="6"/>
  <c r="FI55" i="6"/>
  <c r="FJ3" i="6"/>
  <c r="FJ12" i="6" s="1"/>
  <c r="FJ34" i="6"/>
  <c r="FK1" i="6"/>
  <c r="FJ33" i="6"/>
  <c r="FH35" i="6"/>
  <c r="FI31" i="6"/>
  <c r="FI41" i="6"/>
  <c r="IS3" i="8"/>
  <c r="IR7" i="8"/>
  <c r="FI48" i="6" l="1"/>
  <c r="FJ21" i="6"/>
  <c r="FJ24" i="6"/>
  <c r="FJ22" i="6"/>
  <c r="FJ19" i="6"/>
  <c r="FJ14" i="6"/>
  <c r="FJ15" i="6"/>
  <c r="FJ16" i="6"/>
  <c r="FJ25" i="6"/>
  <c r="FJ26" i="6"/>
  <c r="FJ20" i="6"/>
  <c r="FJ23" i="6"/>
  <c r="FJ13" i="6"/>
  <c r="FJ18" i="6"/>
  <c r="FJ45" i="6"/>
  <c r="FJ17" i="6"/>
  <c r="FJ27" i="6"/>
  <c r="FJ49" i="6"/>
  <c r="BC56" i="15"/>
  <c r="BC89" i="15"/>
  <c r="FI63" i="6"/>
  <c r="FI96" i="6" s="1"/>
  <c r="FI35" i="6"/>
  <c r="FJ62" i="6"/>
  <c r="FJ63" i="6" s="1"/>
  <c r="FJ96" i="6" s="1"/>
  <c r="FJ29" i="9" s="1"/>
  <c r="FJ40" i="6"/>
  <c r="FJ47" i="6"/>
  <c r="FJ53" i="6"/>
  <c r="FJ46" i="6"/>
  <c r="FJ31" i="6"/>
  <c r="FJ51" i="6"/>
  <c r="FJ42" i="6"/>
  <c r="FJ52" i="6"/>
  <c r="FL1" i="6"/>
  <c r="FK33" i="6"/>
  <c r="BD26" i="15" s="1"/>
  <c r="FK3" i="6"/>
  <c r="FK12" i="6" s="1"/>
  <c r="FK34" i="6"/>
  <c r="BD27" i="15" s="1"/>
  <c r="FJ41" i="6"/>
  <c r="FJ54" i="6"/>
  <c r="FJ55" i="6"/>
  <c r="FJ43" i="6"/>
  <c r="FJ32" i="6"/>
  <c r="FJ50" i="6"/>
  <c r="IT3" i="8"/>
  <c r="IS7" i="8"/>
  <c r="FJ48" i="6" l="1"/>
  <c r="FK21" i="6"/>
  <c r="BD14" i="15" s="1"/>
  <c r="FK18" i="6"/>
  <c r="BD11" i="15" s="1"/>
  <c r="FK14" i="6"/>
  <c r="BD7" i="15" s="1"/>
  <c r="FK17" i="6"/>
  <c r="BD10" i="15" s="1"/>
  <c r="FK24" i="6"/>
  <c r="BD17" i="15" s="1"/>
  <c r="FK16" i="6"/>
  <c r="BD9" i="15" s="1"/>
  <c r="FK15" i="6"/>
  <c r="FK45" i="6"/>
  <c r="BD38" i="15" s="1"/>
  <c r="FK25" i="6"/>
  <c r="BD18" i="15" s="1"/>
  <c r="FK20" i="6"/>
  <c r="BD13" i="15" s="1"/>
  <c r="FK23" i="6"/>
  <c r="BD16" i="15" s="1"/>
  <c r="FK19" i="6"/>
  <c r="BD12" i="15" s="1"/>
  <c r="FK27" i="6"/>
  <c r="BD20" i="15" s="1"/>
  <c r="FK22" i="6"/>
  <c r="BD15" i="15" s="1"/>
  <c r="FK26" i="6"/>
  <c r="BD19" i="15" s="1"/>
  <c r="FK13" i="6"/>
  <c r="BD6" i="15" s="1"/>
  <c r="FK49" i="6"/>
  <c r="BD42" i="15" s="1"/>
  <c r="FI29" i="9"/>
  <c r="FK62" i="6"/>
  <c r="FK63" i="6" s="1"/>
  <c r="FK96" i="6" s="1"/>
  <c r="FK29" i="9" s="1"/>
  <c r="FK40" i="6"/>
  <c r="BD33" i="15" s="1"/>
  <c r="FK43" i="6"/>
  <c r="BD36" i="15" s="1"/>
  <c r="FK52" i="6"/>
  <c r="BD45" i="15" s="1"/>
  <c r="FK53" i="6"/>
  <c r="BD46" i="15" s="1"/>
  <c r="FK42" i="6"/>
  <c r="BD35" i="15" s="1"/>
  <c r="FK31" i="6"/>
  <c r="BD24" i="15" s="1"/>
  <c r="FK51" i="6"/>
  <c r="BD44" i="15" s="1"/>
  <c r="FK54" i="6"/>
  <c r="BD47" i="15" s="1"/>
  <c r="FK55" i="6"/>
  <c r="BD48" i="15" s="1"/>
  <c r="FJ35" i="6"/>
  <c r="FK41" i="6"/>
  <c r="BD34" i="15" s="1"/>
  <c r="FK46" i="6"/>
  <c r="BD39" i="15" s="1"/>
  <c r="FK47" i="6"/>
  <c r="BD40" i="15" s="1"/>
  <c r="FL34" i="6"/>
  <c r="FM1" i="6"/>
  <c r="FL3" i="6"/>
  <c r="FL12" i="6" s="1"/>
  <c r="FL33" i="6"/>
  <c r="FK32" i="6"/>
  <c r="BD25" i="15" s="1"/>
  <c r="FK50" i="6"/>
  <c r="BD43" i="15" s="1"/>
  <c r="IU3" i="8"/>
  <c r="IT7" i="8"/>
  <c r="BD8" i="15" l="1"/>
  <c r="FK48" i="6"/>
  <c r="BD41" i="15" s="1"/>
  <c r="FL16" i="6"/>
  <c r="FL13" i="6"/>
  <c r="FL22" i="6"/>
  <c r="FL18" i="6"/>
  <c r="FL14" i="6"/>
  <c r="FL17" i="6"/>
  <c r="FL15" i="6"/>
  <c r="FL21" i="6"/>
  <c r="FL25" i="6"/>
  <c r="FL19" i="6"/>
  <c r="FL26" i="6"/>
  <c r="FL24" i="6"/>
  <c r="FL45" i="6"/>
  <c r="FL20" i="6"/>
  <c r="FL23" i="6"/>
  <c r="FL27" i="6"/>
  <c r="FL49" i="6"/>
  <c r="BD55" i="15"/>
  <c r="BD89" i="15"/>
  <c r="BD56" i="15"/>
  <c r="BD28" i="15"/>
  <c r="FL32" i="6"/>
  <c r="FL62" i="6"/>
  <c r="FL40" i="6"/>
  <c r="FK35" i="6"/>
  <c r="FL46" i="6"/>
  <c r="FL50" i="6"/>
  <c r="FL55" i="6"/>
  <c r="FL53" i="6"/>
  <c r="FL31" i="6"/>
  <c r="FL52" i="6"/>
  <c r="FL54" i="6"/>
  <c r="FL41" i="6"/>
  <c r="FL42" i="6"/>
  <c r="FL47" i="6"/>
  <c r="FL51" i="6"/>
  <c r="FM3" i="6"/>
  <c r="FM12" i="6" s="1"/>
  <c r="FM33" i="6"/>
  <c r="FM34" i="6"/>
  <c r="FN1" i="6"/>
  <c r="FL43" i="6"/>
  <c r="IV3" i="8"/>
  <c r="IU7" i="8"/>
  <c r="FL48" i="6" l="1"/>
  <c r="FM21" i="6"/>
  <c r="FM45" i="6"/>
  <c r="FM13" i="6"/>
  <c r="FM22" i="6"/>
  <c r="FM27" i="6"/>
  <c r="FM19" i="6"/>
  <c r="FM20" i="6"/>
  <c r="FM17" i="6"/>
  <c r="FM18" i="6"/>
  <c r="FM16" i="6"/>
  <c r="FM15" i="6"/>
  <c r="FM24" i="6"/>
  <c r="FM14" i="6"/>
  <c r="FM26" i="6"/>
  <c r="FM25" i="6"/>
  <c r="FM23" i="6"/>
  <c r="FM49" i="6"/>
  <c r="FL63" i="6"/>
  <c r="FL96" i="6" s="1"/>
  <c r="FL35" i="6"/>
  <c r="FM42" i="6"/>
  <c r="FM54" i="6"/>
  <c r="FM52" i="6"/>
  <c r="FM50" i="6"/>
  <c r="FM55" i="6"/>
  <c r="FM51" i="6"/>
  <c r="FM53" i="6"/>
  <c r="FM32" i="6"/>
  <c r="FM43" i="6"/>
  <c r="FM31" i="6"/>
  <c r="FM62" i="6"/>
  <c r="FM63" i="6" s="1"/>
  <c r="FM96" i="6" s="1"/>
  <c r="FM29" i="9" s="1"/>
  <c r="FM40" i="6"/>
  <c r="FM41" i="6"/>
  <c r="FM47" i="6"/>
  <c r="FM46" i="6"/>
  <c r="FO1" i="6"/>
  <c r="FN33" i="6"/>
  <c r="P26" i="11" s="1"/>
  <c r="FN34" i="6"/>
  <c r="P27" i="11" s="1"/>
  <c r="FN3" i="6"/>
  <c r="FN12" i="6" s="1"/>
  <c r="IW3" i="8"/>
  <c r="IV7" i="8"/>
  <c r="FM48" i="6" l="1"/>
  <c r="FN14" i="6"/>
  <c r="FN23" i="6"/>
  <c r="FN25" i="6"/>
  <c r="FN19" i="6"/>
  <c r="FN27" i="6"/>
  <c r="FN24" i="6"/>
  <c r="FN16" i="6"/>
  <c r="FN21" i="6"/>
  <c r="P14" i="11" s="1"/>
  <c r="FN18" i="6"/>
  <c r="FN15" i="6"/>
  <c r="FN13" i="6"/>
  <c r="FN45" i="6"/>
  <c r="FN22" i="6"/>
  <c r="FN26" i="6"/>
  <c r="FN20" i="6"/>
  <c r="FN17" i="6"/>
  <c r="FN49" i="6"/>
  <c r="P6" i="11"/>
  <c r="FL29" i="9"/>
  <c r="BE26" i="15"/>
  <c r="BE27" i="15"/>
  <c r="FM35" i="6"/>
  <c r="FN62" i="6"/>
  <c r="BE55" i="15" s="1"/>
  <c r="FN40" i="6"/>
  <c r="FN31" i="6"/>
  <c r="FN41" i="6"/>
  <c r="FN43" i="6"/>
  <c r="FN46" i="6"/>
  <c r="FN54" i="6"/>
  <c r="FN32" i="6"/>
  <c r="P25" i="11" s="1"/>
  <c r="FN55" i="6"/>
  <c r="FN47" i="6"/>
  <c r="FN42" i="6"/>
  <c r="FN50" i="6"/>
  <c r="FN53" i="6"/>
  <c r="FN52" i="6"/>
  <c r="FO34" i="6"/>
  <c r="FO3" i="6"/>
  <c r="FO12" i="6" s="1"/>
  <c r="FO33" i="6"/>
  <c r="FP1" i="6"/>
  <c r="FN51" i="6"/>
  <c r="IX3" i="8"/>
  <c r="IW7" i="8"/>
  <c r="FN48" i="6" l="1"/>
  <c r="BE14" i="15"/>
  <c r="FO14" i="6"/>
  <c r="FO16" i="6"/>
  <c r="FO18" i="6"/>
  <c r="FO19" i="6"/>
  <c r="FO25" i="6"/>
  <c r="FO15" i="6"/>
  <c r="FO27" i="6"/>
  <c r="FO17" i="6"/>
  <c r="FO23" i="6"/>
  <c r="FO45" i="6"/>
  <c r="FO24" i="6"/>
  <c r="FO20" i="6"/>
  <c r="FO22" i="6"/>
  <c r="FO13" i="6"/>
  <c r="FO26" i="6"/>
  <c r="FO21" i="6"/>
  <c r="P38" i="11"/>
  <c r="O132" i="12" s="1"/>
  <c r="BE38" i="15"/>
  <c r="P11" i="11"/>
  <c r="P16" i="11"/>
  <c r="P24" i="11"/>
  <c r="P28" i="11" s="1"/>
  <c r="P8" i="11"/>
  <c r="P7" i="11"/>
  <c r="P17" i="11"/>
  <c r="P20" i="11"/>
  <c r="P12" i="11"/>
  <c r="P39" i="11"/>
  <c r="O133" i="12" s="1"/>
  <c r="P45" i="11"/>
  <c r="O139" i="12" s="1"/>
  <c r="P35" i="11"/>
  <c r="O129" i="12" s="1"/>
  <c r="P43" i="11"/>
  <c r="O137" i="12" s="1"/>
  <c r="P44" i="11"/>
  <c r="O138" i="12" s="1"/>
  <c r="P36" i="11"/>
  <c r="O130" i="12" s="1"/>
  <c r="P47" i="11"/>
  <c r="O141" i="12" s="1"/>
  <c r="P40" i="11"/>
  <c r="O134" i="12" s="1"/>
  <c r="P34" i="11"/>
  <c r="O128" i="12" s="1"/>
  <c r="P33" i="11"/>
  <c r="O127" i="12" s="1"/>
  <c r="P42" i="11"/>
  <c r="O136" i="12" s="1"/>
  <c r="FO49" i="6"/>
  <c r="BE42" i="15"/>
  <c r="BE6" i="15"/>
  <c r="P15" i="11"/>
  <c r="BE15" i="15"/>
  <c r="BE25" i="15"/>
  <c r="BE44" i="15"/>
  <c r="BE43" i="15"/>
  <c r="BE36" i="15"/>
  <c r="BE34" i="15"/>
  <c r="P46" i="11"/>
  <c r="O140" i="12" s="1"/>
  <c r="BE46" i="15"/>
  <c r="BE39" i="15"/>
  <c r="BE47" i="15"/>
  <c r="P48" i="11"/>
  <c r="O142" i="12" s="1"/>
  <c r="BE48" i="15"/>
  <c r="BE45" i="15"/>
  <c r="BE35" i="15"/>
  <c r="BE40" i="15"/>
  <c r="BE33" i="15"/>
  <c r="BE24" i="15"/>
  <c r="P13" i="11"/>
  <c r="BE13" i="15"/>
  <c r="BE11" i="15"/>
  <c r="P9" i="11"/>
  <c r="BE9" i="15"/>
  <c r="P18" i="11"/>
  <c r="BE18" i="15"/>
  <c r="P10" i="11"/>
  <c r="BE10" i="15"/>
  <c r="BE12" i="15"/>
  <c r="BE20" i="15"/>
  <c r="P19" i="11"/>
  <c r="BE19" i="15"/>
  <c r="BE7" i="15"/>
  <c r="BE16" i="15"/>
  <c r="BE8" i="15"/>
  <c r="BE17" i="15"/>
  <c r="FN63" i="6"/>
  <c r="P55" i="11"/>
  <c r="FO62" i="6"/>
  <c r="FO40" i="6"/>
  <c r="FN35" i="6"/>
  <c r="FO47" i="6"/>
  <c r="FO46" i="6"/>
  <c r="FO54" i="6"/>
  <c r="FO32" i="6"/>
  <c r="FO31" i="6"/>
  <c r="FO52" i="6"/>
  <c r="FO51" i="6"/>
  <c r="FO41" i="6"/>
  <c r="FO53" i="6"/>
  <c r="FO55" i="6"/>
  <c r="FO42" i="6"/>
  <c r="FO43" i="6"/>
  <c r="FP34" i="6"/>
  <c r="FQ1" i="6"/>
  <c r="FP3" i="6"/>
  <c r="FP12" i="6" s="1"/>
  <c r="FP33" i="6"/>
  <c r="FO50" i="6"/>
  <c r="IY3" i="8"/>
  <c r="IX7" i="8"/>
  <c r="BE41" i="15" l="1"/>
  <c r="P41" i="11"/>
  <c r="O135" i="12" s="1"/>
  <c r="FO48" i="6"/>
  <c r="FP20" i="6"/>
  <c r="FP25" i="6"/>
  <c r="FP23" i="6"/>
  <c r="FP14" i="6"/>
  <c r="FP13" i="6"/>
  <c r="FP21" i="6"/>
  <c r="FP15" i="6"/>
  <c r="FP45" i="6"/>
  <c r="FP16" i="6"/>
  <c r="FP19" i="6"/>
  <c r="FP17" i="6"/>
  <c r="FP27" i="6"/>
  <c r="FP22" i="6"/>
  <c r="FP26" i="6"/>
  <c r="FP24" i="6"/>
  <c r="FP18" i="6"/>
  <c r="FP49" i="6"/>
  <c r="BE28" i="15"/>
  <c r="FN96" i="6"/>
  <c r="BE56" i="15"/>
  <c r="O28" i="12"/>
  <c r="P56" i="11"/>
  <c r="P89" i="11" s="1"/>
  <c r="O10" i="12" s="1"/>
  <c r="FO63" i="6"/>
  <c r="FP62" i="6"/>
  <c r="FP63" i="6" s="1"/>
  <c r="FP96" i="6" s="1"/>
  <c r="FP29" i="9" s="1"/>
  <c r="FP40" i="6"/>
  <c r="FP52" i="6"/>
  <c r="FP54" i="6"/>
  <c r="FP43" i="6"/>
  <c r="FP46" i="6"/>
  <c r="FP51" i="6"/>
  <c r="FP32" i="6"/>
  <c r="FP47" i="6"/>
  <c r="FP55" i="6"/>
  <c r="FO35" i="6"/>
  <c r="FP41" i="6"/>
  <c r="FP42" i="6"/>
  <c r="FP53" i="6"/>
  <c r="FP50" i="6"/>
  <c r="FQ33" i="6"/>
  <c r="BF26" i="15" s="1"/>
  <c r="FQ3" i="6"/>
  <c r="FQ12" i="6" s="1"/>
  <c r="FQ34" i="6"/>
  <c r="BF27" i="15" s="1"/>
  <c r="FR1" i="6"/>
  <c r="FP31" i="6"/>
  <c r="IZ3" i="8"/>
  <c r="IY7" i="8"/>
  <c r="FP48" i="6" l="1"/>
  <c r="FQ23" i="6"/>
  <c r="BF16" i="15" s="1"/>
  <c r="FQ24" i="6"/>
  <c r="BF17" i="15" s="1"/>
  <c r="FQ26" i="6"/>
  <c r="BF19" i="15" s="1"/>
  <c r="FQ16" i="6"/>
  <c r="BF9" i="15" s="1"/>
  <c r="FQ17" i="6"/>
  <c r="BF10" i="15" s="1"/>
  <c r="FQ13" i="6"/>
  <c r="BF6" i="15" s="1"/>
  <c r="FQ15" i="6"/>
  <c r="FQ27" i="6"/>
  <c r="BF20" i="15" s="1"/>
  <c r="FQ45" i="6"/>
  <c r="FQ18" i="6"/>
  <c r="BF11" i="15" s="1"/>
  <c r="FQ19" i="6"/>
  <c r="BF12" i="15" s="1"/>
  <c r="FQ22" i="6"/>
  <c r="FQ21" i="6"/>
  <c r="BF14" i="15" s="1"/>
  <c r="FQ14" i="6"/>
  <c r="BF7" i="15" s="1"/>
  <c r="FQ25" i="6"/>
  <c r="BF18" i="15" s="1"/>
  <c r="FQ20" i="6"/>
  <c r="BF13" i="15" s="1"/>
  <c r="FQ49" i="6"/>
  <c r="BF42" i="15" s="1"/>
  <c r="FO96" i="6"/>
  <c r="FN29" i="9"/>
  <c r="BE89" i="15"/>
  <c r="FQ62" i="6"/>
  <c r="FQ63" i="6" s="1"/>
  <c r="FQ96" i="6" s="1"/>
  <c r="FQ29" i="9" s="1"/>
  <c r="FQ40" i="6"/>
  <c r="BF33" i="15" s="1"/>
  <c r="FQ46" i="6"/>
  <c r="BF39" i="15" s="1"/>
  <c r="FQ55" i="6"/>
  <c r="BF48" i="15" s="1"/>
  <c r="FQ54" i="6"/>
  <c r="BF47" i="15" s="1"/>
  <c r="FQ47" i="6"/>
  <c r="BF40" i="15" s="1"/>
  <c r="FQ50" i="6"/>
  <c r="BF43" i="15" s="1"/>
  <c r="FP35" i="6"/>
  <c r="FQ51" i="6"/>
  <c r="BF44" i="15" s="1"/>
  <c r="FQ41" i="6"/>
  <c r="BF34" i="15" s="1"/>
  <c r="FQ32" i="6"/>
  <c r="BF25" i="15" s="1"/>
  <c r="FQ52" i="6"/>
  <c r="BF45" i="15" s="1"/>
  <c r="FQ53" i="6"/>
  <c r="BF46" i="15" s="1"/>
  <c r="FQ43" i="6"/>
  <c r="BF36" i="15" s="1"/>
  <c r="FQ31" i="6"/>
  <c r="BF24" i="15" s="1"/>
  <c r="FR34" i="6"/>
  <c r="FR33" i="6"/>
  <c r="FS1" i="6"/>
  <c r="FR3" i="6"/>
  <c r="FR12" i="6" s="1"/>
  <c r="FQ42" i="6"/>
  <c r="BF35" i="15" s="1"/>
  <c r="JA3" i="8"/>
  <c r="IZ7" i="8"/>
  <c r="BF8" i="15" l="1"/>
  <c r="FQ48" i="6"/>
  <c r="BF41" i="15" s="1"/>
  <c r="FR23" i="6"/>
  <c r="FR14" i="6"/>
  <c r="FR24" i="6"/>
  <c r="FR27" i="6"/>
  <c r="FR20" i="6"/>
  <c r="FR45" i="6"/>
  <c r="FR17" i="6"/>
  <c r="FR22" i="6"/>
  <c r="FR18" i="6"/>
  <c r="FR13" i="6"/>
  <c r="FR16" i="6"/>
  <c r="FR26" i="6"/>
  <c r="FR25" i="6"/>
  <c r="FR15" i="6"/>
  <c r="FR21" i="6"/>
  <c r="FR19" i="6"/>
  <c r="BF38" i="15"/>
  <c r="FR49" i="6"/>
  <c r="BF15" i="15"/>
  <c r="BF55" i="15"/>
  <c r="BF56" i="15"/>
  <c r="FO29" i="9"/>
  <c r="BF89" i="15"/>
  <c r="BF28" i="15"/>
  <c r="FR47" i="6"/>
  <c r="FR54" i="6"/>
  <c r="FR55" i="6"/>
  <c r="FR52" i="6"/>
  <c r="FR46" i="6"/>
  <c r="FR62" i="6"/>
  <c r="FR40" i="6"/>
  <c r="FR43" i="6"/>
  <c r="FR42" i="6"/>
  <c r="FR53" i="6"/>
  <c r="FR50" i="6"/>
  <c r="FQ35" i="6"/>
  <c r="FR31" i="6"/>
  <c r="FR51" i="6"/>
  <c r="FR41" i="6"/>
  <c r="FR32" i="6"/>
  <c r="FS34" i="6"/>
  <c r="FS3" i="6"/>
  <c r="FS12" i="6" s="1"/>
  <c r="FS33" i="6"/>
  <c r="FT1" i="6"/>
  <c r="JB3" i="8"/>
  <c r="JA7" i="8"/>
  <c r="FR48" i="6" l="1"/>
  <c r="FS22" i="6"/>
  <c r="FS14" i="6"/>
  <c r="FS23" i="6"/>
  <c r="FS26" i="6"/>
  <c r="FS13" i="6"/>
  <c r="FS25" i="6"/>
  <c r="FS17" i="6"/>
  <c r="FS16" i="6"/>
  <c r="FS24" i="6"/>
  <c r="FS19" i="6"/>
  <c r="FS20" i="6"/>
  <c r="FS27" i="6"/>
  <c r="FS21" i="6"/>
  <c r="FS18" i="6"/>
  <c r="FS45" i="6"/>
  <c r="FS15" i="6"/>
  <c r="FS49" i="6"/>
  <c r="FR63" i="6"/>
  <c r="FR96" i="6" s="1"/>
  <c r="FS62" i="6"/>
  <c r="FS63" i="6" s="1"/>
  <c r="FS96" i="6" s="1"/>
  <c r="FS29" i="9" s="1"/>
  <c r="FS40" i="6"/>
  <c r="FS50" i="6"/>
  <c r="FS52" i="6"/>
  <c r="FS51" i="6"/>
  <c r="FS31" i="6"/>
  <c r="FS43" i="6"/>
  <c r="FR35" i="6"/>
  <c r="FS53" i="6"/>
  <c r="FS32" i="6"/>
  <c r="FS55" i="6"/>
  <c r="FS46" i="6"/>
  <c r="FS41" i="6"/>
  <c r="FS54" i="6"/>
  <c r="FT34" i="6"/>
  <c r="BG27" i="15" s="1"/>
  <c r="FT3" i="6"/>
  <c r="FT12" i="6" s="1"/>
  <c r="FU1" i="6"/>
  <c r="FT33" i="6"/>
  <c r="BG26" i="15" s="1"/>
  <c r="FS42" i="6"/>
  <c r="FS47" i="6"/>
  <c r="JC3" i="8"/>
  <c r="JB7" i="8"/>
  <c r="FS48" i="6" l="1"/>
  <c r="FT25" i="6"/>
  <c r="BG18" i="15" s="1"/>
  <c r="FT23" i="6"/>
  <c r="BG16" i="15" s="1"/>
  <c r="FT27" i="6"/>
  <c r="BG20" i="15" s="1"/>
  <c r="FT22" i="6"/>
  <c r="BG15" i="15" s="1"/>
  <c r="FT19" i="6"/>
  <c r="BG12" i="15" s="1"/>
  <c r="FT15" i="6"/>
  <c r="FT26" i="6"/>
  <c r="BG19" i="15" s="1"/>
  <c r="FT21" i="6"/>
  <c r="BG14" i="15" s="1"/>
  <c r="FT13" i="6"/>
  <c r="FT16" i="6"/>
  <c r="BG9" i="15" s="1"/>
  <c r="FT20" i="6"/>
  <c r="BG13" i="15" s="1"/>
  <c r="FT17" i="6"/>
  <c r="BG10" i="15" s="1"/>
  <c r="FT18" i="6"/>
  <c r="BG11" i="15" s="1"/>
  <c r="FT45" i="6"/>
  <c r="BG38" i="15" s="1"/>
  <c r="FT14" i="6"/>
  <c r="BG7" i="15" s="1"/>
  <c r="FT24" i="6"/>
  <c r="BG17" i="15" s="1"/>
  <c r="FT49" i="6"/>
  <c r="BG42" i="15" s="1"/>
  <c r="BG6" i="15"/>
  <c r="FR29" i="9"/>
  <c r="FT62" i="6"/>
  <c r="FT63" i="6" s="1"/>
  <c r="FT96" i="6" s="1"/>
  <c r="FT29" i="9" s="1"/>
  <c r="FT40" i="6"/>
  <c r="BG33" i="15" s="1"/>
  <c r="FS35" i="6"/>
  <c r="FT42" i="6"/>
  <c r="BG35" i="15" s="1"/>
  <c r="FT53" i="6"/>
  <c r="BG46" i="15" s="1"/>
  <c r="FU3" i="6"/>
  <c r="FU12" i="6" s="1"/>
  <c r="FV1" i="6"/>
  <c r="FU34" i="6"/>
  <c r="FU33" i="6"/>
  <c r="FT31" i="6"/>
  <c r="BG24" i="15" s="1"/>
  <c r="FT51" i="6"/>
  <c r="BG44" i="15" s="1"/>
  <c r="FT55" i="6"/>
  <c r="BG48" i="15" s="1"/>
  <c r="FT43" i="6"/>
  <c r="BG36" i="15" s="1"/>
  <c r="FT46" i="6"/>
  <c r="BG39" i="15" s="1"/>
  <c r="FT52" i="6"/>
  <c r="BG45" i="15" s="1"/>
  <c r="FT47" i="6"/>
  <c r="BG40" i="15" s="1"/>
  <c r="FT50" i="6"/>
  <c r="BG43" i="15" s="1"/>
  <c r="FT41" i="6"/>
  <c r="BG34" i="15" s="1"/>
  <c r="FT32" i="6"/>
  <c r="BG25" i="15" s="1"/>
  <c r="FT54" i="6"/>
  <c r="BG47" i="15" s="1"/>
  <c r="JD3" i="8"/>
  <c r="JC7" i="8"/>
  <c r="BG8" i="15" l="1"/>
  <c r="FT48" i="6"/>
  <c r="BG41" i="15" s="1"/>
  <c r="FU25" i="6"/>
  <c r="FU18" i="6"/>
  <c r="FU19" i="6"/>
  <c r="FU16" i="6"/>
  <c r="FU45" i="6"/>
  <c r="FU20" i="6"/>
  <c r="FU13" i="6"/>
  <c r="FU27" i="6"/>
  <c r="FU21" i="6"/>
  <c r="FU22" i="6"/>
  <c r="FU14" i="6"/>
  <c r="FU15" i="6"/>
  <c r="FU26" i="6"/>
  <c r="FU24" i="6"/>
  <c r="FU23" i="6"/>
  <c r="FU17" i="6"/>
  <c r="FU49" i="6"/>
  <c r="BG55" i="15"/>
  <c r="BG56" i="15"/>
  <c r="BG89" i="15"/>
  <c r="BG28" i="15"/>
  <c r="FU62" i="6"/>
  <c r="FU40" i="6"/>
  <c r="FU43" i="6"/>
  <c r="FU51" i="6"/>
  <c r="FU47" i="6"/>
  <c r="FU55" i="6"/>
  <c r="FU31" i="6"/>
  <c r="FU50" i="6"/>
  <c r="FU52" i="6"/>
  <c r="FU53" i="6"/>
  <c r="FU54" i="6"/>
  <c r="FU46" i="6"/>
  <c r="FU41" i="6"/>
  <c r="FU42" i="6"/>
  <c r="FT35" i="6"/>
  <c r="FU32" i="6"/>
  <c r="FV3" i="6"/>
  <c r="FV12" i="6" s="1"/>
  <c r="FW1" i="6"/>
  <c r="FV34" i="6"/>
  <c r="FV33" i="6"/>
  <c r="JE3" i="8"/>
  <c r="JD7" i="8"/>
  <c r="FU48" i="6" l="1"/>
  <c r="FV25" i="6"/>
  <c r="FV13" i="6"/>
  <c r="FV14" i="6"/>
  <c r="FV17" i="6"/>
  <c r="FV45" i="6"/>
  <c r="FV16" i="6"/>
  <c r="FV19" i="6"/>
  <c r="FV21" i="6"/>
  <c r="FV15" i="6"/>
  <c r="FV26" i="6"/>
  <c r="FV22" i="6"/>
  <c r="FV23" i="6"/>
  <c r="FV24" i="6"/>
  <c r="FV20" i="6"/>
  <c r="FV18" i="6"/>
  <c r="FV27" i="6"/>
  <c r="FV49" i="6"/>
  <c r="FU63" i="6"/>
  <c r="FU96" i="6" s="1"/>
  <c r="FV50" i="6"/>
  <c r="FV62" i="6"/>
  <c r="FV63" i="6" s="1"/>
  <c r="FV96" i="6" s="1"/>
  <c r="FV29" i="9" s="1"/>
  <c r="FV40" i="6"/>
  <c r="FV47" i="6"/>
  <c r="FV53" i="6"/>
  <c r="FV55" i="6"/>
  <c r="FV43" i="6"/>
  <c r="FV41" i="6"/>
  <c r="FV31" i="6"/>
  <c r="FV52" i="6"/>
  <c r="FV42" i="6"/>
  <c r="FU35" i="6"/>
  <c r="FV46" i="6"/>
  <c r="FV51" i="6"/>
  <c r="FV32" i="6"/>
  <c r="FV54" i="6"/>
  <c r="FX1" i="6"/>
  <c r="FW33" i="6"/>
  <c r="BH26" i="15" s="1"/>
  <c r="FW34" i="6"/>
  <c r="BH27" i="15" s="1"/>
  <c r="FW3" i="6"/>
  <c r="FW12" i="6" s="1"/>
  <c r="JF3" i="8"/>
  <c r="JE7" i="8"/>
  <c r="FV48" i="6" l="1"/>
  <c r="FW27" i="6"/>
  <c r="BH20" i="15" s="1"/>
  <c r="FW45" i="6"/>
  <c r="BH38" i="15" s="1"/>
  <c r="FW17" i="6"/>
  <c r="BH10" i="15" s="1"/>
  <c r="FW14" i="6"/>
  <c r="BH7" i="15" s="1"/>
  <c r="FW16" i="6"/>
  <c r="BH9" i="15" s="1"/>
  <c r="FW13" i="6"/>
  <c r="BH6" i="15" s="1"/>
  <c r="FW18" i="6"/>
  <c r="BH11" i="15" s="1"/>
  <c r="FW22" i="6"/>
  <c r="BH15" i="15" s="1"/>
  <c r="FW21" i="6"/>
  <c r="BH14" i="15" s="1"/>
  <c r="FW26" i="6"/>
  <c r="BH19" i="15" s="1"/>
  <c r="FW15" i="6"/>
  <c r="FW20" i="6"/>
  <c r="BH13" i="15" s="1"/>
  <c r="FW23" i="6"/>
  <c r="BH16" i="15" s="1"/>
  <c r="FW25" i="6"/>
  <c r="BH18" i="15" s="1"/>
  <c r="FW19" i="6"/>
  <c r="BH12" i="15" s="1"/>
  <c r="FW24" i="6"/>
  <c r="BH17" i="15" s="1"/>
  <c r="FW49" i="6"/>
  <c r="BH42" i="15" s="1"/>
  <c r="FU29" i="9"/>
  <c r="FW51" i="6"/>
  <c r="BH44" i="15" s="1"/>
  <c r="FW31" i="6"/>
  <c r="BH24" i="15" s="1"/>
  <c r="FW54" i="6"/>
  <c r="BH47" i="15" s="1"/>
  <c r="FW47" i="6"/>
  <c r="BH40" i="15" s="1"/>
  <c r="FW62" i="6"/>
  <c r="FW63" i="6" s="1"/>
  <c r="FW96" i="6" s="1"/>
  <c r="FW29" i="9" s="1"/>
  <c r="FW40" i="6"/>
  <c r="BH33" i="15" s="1"/>
  <c r="FW41" i="6"/>
  <c r="BH34" i="15" s="1"/>
  <c r="FV35" i="6"/>
  <c r="FW50" i="6"/>
  <c r="BH43" i="15" s="1"/>
  <c r="FW52" i="6"/>
  <c r="BH45" i="15" s="1"/>
  <c r="FW32" i="6"/>
  <c r="BH25" i="15" s="1"/>
  <c r="FW55" i="6"/>
  <c r="BH48" i="15" s="1"/>
  <c r="FW43" i="6"/>
  <c r="BH36" i="15" s="1"/>
  <c r="FW53" i="6"/>
  <c r="BH46" i="15" s="1"/>
  <c r="FW46" i="6"/>
  <c r="BH39" i="15" s="1"/>
  <c r="FW42" i="6"/>
  <c r="BH35" i="15" s="1"/>
  <c r="FX3" i="6"/>
  <c r="FX12" i="6" s="1"/>
  <c r="FY1" i="6"/>
  <c r="FX33" i="6"/>
  <c r="FX34" i="6"/>
  <c r="JG3" i="8"/>
  <c r="JF7" i="8"/>
  <c r="BH8" i="15" l="1"/>
  <c r="FW48" i="6"/>
  <c r="BH41" i="15" s="1"/>
  <c r="FX27" i="6"/>
  <c r="FX45" i="6"/>
  <c r="FX21" i="6"/>
  <c r="FX26" i="6"/>
  <c r="FX20" i="6"/>
  <c r="FX14" i="6"/>
  <c r="FX17" i="6"/>
  <c r="FX24" i="6"/>
  <c r="FX15" i="6"/>
  <c r="FX18" i="6"/>
  <c r="FX19" i="6"/>
  <c r="FX22" i="6"/>
  <c r="FX13" i="6"/>
  <c r="FX16" i="6"/>
  <c r="FX25" i="6"/>
  <c r="FX23" i="6"/>
  <c r="FX49" i="6"/>
  <c r="BH55" i="15"/>
  <c r="BH89" i="15"/>
  <c r="BH56" i="15"/>
  <c r="BH28" i="15"/>
  <c r="FW35" i="6"/>
  <c r="FX62" i="6"/>
  <c r="FX40" i="6"/>
  <c r="FX47" i="6"/>
  <c r="FX55" i="6"/>
  <c r="FX51" i="6"/>
  <c r="FX54" i="6"/>
  <c r="FX53" i="6"/>
  <c r="FX43" i="6"/>
  <c r="FX31" i="6"/>
  <c r="FX52" i="6"/>
  <c r="FX46" i="6"/>
  <c r="FX41" i="6"/>
  <c r="FX50" i="6"/>
  <c r="FX42" i="6"/>
  <c r="FX32" i="6"/>
  <c r="FY33" i="6"/>
  <c r="FY34" i="6"/>
  <c r="FZ1" i="6"/>
  <c r="FY3" i="6"/>
  <c r="FY12" i="6" s="1"/>
  <c r="JH3" i="8"/>
  <c r="JG7" i="8"/>
  <c r="FX48" i="6" l="1"/>
  <c r="FY27" i="6"/>
  <c r="FY19" i="6"/>
  <c r="FY18" i="6"/>
  <c r="FY23" i="6"/>
  <c r="FY15" i="6"/>
  <c r="FY13" i="6"/>
  <c r="FY45" i="6"/>
  <c r="FY21" i="6"/>
  <c r="FY17" i="6"/>
  <c r="FY22" i="6"/>
  <c r="FY26" i="6"/>
  <c r="FY20" i="6"/>
  <c r="FY14" i="6"/>
  <c r="FY25" i="6"/>
  <c r="FY16" i="6"/>
  <c r="FY24" i="6"/>
  <c r="FY49" i="6"/>
  <c r="FX63" i="6"/>
  <c r="FX96" i="6" s="1"/>
  <c r="FY32" i="6"/>
  <c r="FY41" i="6"/>
  <c r="FY54" i="6"/>
  <c r="FY62" i="6"/>
  <c r="FY63" i="6" s="1"/>
  <c r="FY96" i="6" s="1"/>
  <c r="FY29" i="9" s="1"/>
  <c r="FY40" i="6"/>
  <c r="FX35" i="6"/>
  <c r="FY50" i="6"/>
  <c r="FY31" i="6"/>
  <c r="FY51" i="6"/>
  <c r="FY47" i="6"/>
  <c r="FY43" i="6"/>
  <c r="FY55" i="6"/>
  <c r="FY52" i="6"/>
  <c r="FY42" i="6"/>
  <c r="FY46" i="6"/>
  <c r="FZ34" i="6"/>
  <c r="Q27" i="11" s="1"/>
  <c r="FZ3" i="6"/>
  <c r="FZ12" i="6" s="1"/>
  <c r="GA1" i="6"/>
  <c r="FZ33" i="6"/>
  <c r="Q26" i="11" s="1"/>
  <c r="FY53" i="6"/>
  <c r="JI3" i="8"/>
  <c r="JH7" i="8"/>
  <c r="FY48" i="6" l="1"/>
  <c r="FZ27" i="6"/>
  <c r="FZ23" i="6"/>
  <c r="FZ18" i="6"/>
  <c r="FZ22" i="6"/>
  <c r="FZ15" i="6"/>
  <c r="FZ20" i="6"/>
  <c r="FZ13" i="6"/>
  <c r="Q6" i="11" s="1"/>
  <c r="FZ21" i="6"/>
  <c r="Q14" i="11" s="1"/>
  <c r="FZ24" i="6"/>
  <c r="FZ16" i="6"/>
  <c r="FZ45" i="6"/>
  <c r="Q38" i="11" s="1"/>
  <c r="P132" i="12" s="1"/>
  <c r="FZ17" i="6"/>
  <c r="FZ25" i="6"/>
  <c r="FZ26" i="6"/>
  <c r="FZ19" i="6"/>
  <c r="FZ14" i="6"/>
  <c r="FZ49" i="6"/>
  <c r="FX29" i="9"/>
  <c r="BI27" i="15"/>
  <c r="BI26" i="15"/>
  <c r="FY35" i="6"/>
  <c r="FZ62" i="6"/>
  <c r="BI55" i="15" s="1"/>
  <c r="FZ40" i="6"/>
  <c r="FZ51" i="6"/>
  <c r="FZ32" i="6"/>
  <c r="Q25" i="11" s="1"/>
  <c r="FZ52" i="6"/>
  <c r="FZ53" i="6"/>
  <c r="FZ31" i="6"/>
  <c r="FZ54" i="6"/>
  <c r="FZ47" i="6"/>
  <c r="FZ43" i="6"/>
  <c r="FZ55" i="6"/>
  <c r="FZ41" i="6"/>
  <c r="FZ50" i="6"/>
  <c r="FZ46" i="6"/>
  <c r="FZ42" i="6"/>
  <c r="GB1" i="6"/>
  <c r="GA33" i="6"/>
  <c r="GA3" i="6"/>
  <c r="GA12" i="6" s="1"/>
  <c r="GA34" i="6"/>
  <c r="JJ3" i="8"/>
  <c r="JI7" i="8"/>
  <c r="FZ48" i="6" l="1"/>
  <c r="BI14" i="15"/>
  <c r="GA26" i="6"/>
  <c r="GA27" i="6"/>
  <c r="GA20" i="6"/>
  <c r="GA19" i="6"/>
  <c r="GA18" i="6"/>
  <c r="GA21" i="6"/>
  <c r="GA45" i="6"/>
  <c r="GA16" i="6"/>
  <c r="GA17" i="6"/>
  <c r="GA15" i="6"/>
  <c r="GA13" i="6"/>
  <c r="GA22" i="6"/>
  <c r="GA23" i="6"/>
  <c r="GA24" i="6"/>
  <c r="GA25" i="6"/>
  <c r="GA14" i="6"/>
  <c r="BI38" i="15"/>
  <c r="Q17" i="11"/>
  <c r="Q10" i="11"/>
  <c r="Q9" i="11"/>
  <c r="Q12" i="11"/>
  <c r="BI24" i="15"/>
  <c r="Q18" i="11"/>
  <c r="BI8" i="15"/>
  <c r="Q16" i="11"/>
  <c r="Q13" i="11"/>
  <c r="Q11" i="11"/>
  <c r="Q35" i="11"/>
  <c r="P129" i="12" s="1"/>
  <c r="Q43" i="11"/>
  <c r="P137" i="12" s="1"/>
  <c r="Q47" i="11"/>
  <c r="P141" i="12" s="1"/>
  <c r="Q44" i="11"/>
  <c r="P138" i="12" s="1"/>
  <c r="Q39" i="11"/>
  <c r="P133" i="12" s="1"/>
  <c r="Q34" i="11"/>
  <c r="P128" i="12" s="1"/>
  <c r="Q48" i="11"/>
  <c r="P142" i="12" s="1"/>
  <c r="Q46" i="11"/>
  <c r="P140" i="12" s="1"/>
  <c r="Q33" i="11"/>
  <c r="P127" i="12" s="1"/>
  <c r="Q36" i="11"/>
  <c r="P130" i="12" s="1"/>
  <c r="Q45" i="11"/>
  <c r="P139" i="12" s="1"/>
  <c r="Q42" i="11"/>
  <c r="P136" i="12" s="1"/>
  <c r="BI42" i="15"/>
  <c r="GA49" i="6"/>
  <c r="BI6" i="15"/>
  <c r="Q15" i="11"/>
  <c r="BI15" i="15"/>
  <c r="Q8" i="11"/>
  <c r="BI25" i="15"/>
  <c r="BI43" i="15"/>
  <c r="BI34" i="15"/>
  <c r="BI44" i="15"/>
  <c r="BI45" i="15"/>
  <c r="Q40" i="11"/>
  <c r="P134" i="12" s="1"/>
  <c r="BI40" i="15"/>
  <c r="BI35" i="15"/>
  <c r="BI36" i="15"/>
  <c r="BI47" i="15"/>
  <c r="BI46" i="15"/>
  <c r="BI39" i="15"/>
  <c r="BI48" i="15"/>
  <c r="BI33" i="15"/>
  <c r="Q7" i="11"/>
  <c r="BI7" i="15"/>
  <c r="BI10" i="15"/>
  <c r="BI13" i="15"/>
  <c r="BI12" i="15"/>
  <c r="BI11" i="15"/>
  <c r="BI9" i="15"/>
  <c r="BI16" i="15"/>
  <c r="Q19" i="11"/>
  <c r="BI19" i="15"/>
  <c r="Q20" i="11"/>
  <c r="BI20" i="15"/>
  <c r="BI18" i="15"/>
  <c r="BI17" i="15"/>
  <c r="FZ63" i="6"/>
  <c r="Q55" i="11"/>
  <c r="FZ35" i="6"/>
  <c r="Q24" i="11"/>
  <c r="Q28" i="11" s="1"/>
  <c r="GA62" i="6"/>
  <c r="GA40" i="6"/>
  <c r="GA31" i="6"/>
  <c r="GA53" i="6"/>
  <c r="GA50" i="6"/>
  <c r="GA55" i="6"/>
  <c r="GA54" i="6"/>
  <c r="GA47" i="6"/>
  <c r="GA43" i="6"/>
  <c r="GC1" i="6"/>
  <c r="GB33" i="6"/>
  <c r="GB3" i="6"/>
  <c r="GB12" i="6" s="1"/>
  <c r="GB34" i="6"/>
  <c r="GA32" i="6"/>
  <c r="GA41" i="6"/>
  <c r="GA46" i="6"/>
  <c r="GA42" i="6"/>
  <c r="GA52" i="6"/>
  <c r="GA51" i="6"/>
  <c r="JK3" i="8"/>
  <c r="JJ7" i="8"/>
  <c r="BI41" i="15" l="1"/>
  <c r="Q41" i="11"/>
  <c r="P135" i="12" s="1"/>
  <c r="GA48" i="6"/>
  <c r="GB27" i="6"/>
  <c r="GB25" i="6"/>
  <c r="GB45" i="6"/>
  <c r="GB15" i="6"/>
  <c r="GB24" i="6"/>
  <c r="GB19" i="6"/>
  <c r="GB21" i="6"/>
  <c r="GB23" i="6"/>
  <c r="GB18" i="6"/>
  <c r="GB14" i="6"/>
  <c r="GB26" i="6"/>
  <c r="GB13" i="6"/>
  <c r="GB17" i="6"/>
  <c r="GB22" i="6"/>
  <c r="GB20" i="6"/>
  <c r="GB16" i="6"/>
  <c r="BI28" i="15"/>
  <c r="GB49" i="6"/>
  <c r="P28" i="12"/>
  <c r="FZ96" i="6"/>
  <c r="BI56" i="15"/>
  <c r="Q56" i="11"/>
  <c r="Q89" i="11" s="1"/>
  <c r="P10" i="12" s="1"/>
  <c r="GA63" i="6"/>
  <c r="GB62" i="6"/>
  <c r="GB63" i="6" s="1"/>
  <c r="GB96" i="6" s="1"/>
  <c r="GB29" i="9" s="1"/>
  <c r="GB40" i="6"/>
  <c r="GA35" i="6"/>
  <c r="GB55" i="6"/>
  <c r="GB31" i="6"/>
  <c r="GB47" i="6"/>
  <c r="GB41" i="6"/>
  <c r="GB43" i="6"/>
  <c r="GB54" i="6"/>
  <c r="GB51" i="6"/>
  <c r="GC3" i="6"/>
  <c r="GC12" i="6" s="1"/>
  <c r="GC33" i="6"/>
  <c r="BJ26" i="15" s="1"/>
  <c r="GD1" i="6"/>
  <c r="GC34" i="6"/>
  <c r="BJ27" i="15" s="1"/>
  <c r="GB46" i="6"/>
  <c r="GB53" i="6"/>
  <c r="GB50" i="6"/>
  <c r="GB32" i="6"/>
  <c r="GB42" i="6"/>
  <c r="GB52" i="6"/>
  <c r="JL3" i="8"/>
  <c r="JK7" i="8"/>
  <c r="GB48" i="6" l="1"/>
  <c r="GC25" i="6"/>
  <c r="BJ18" i="15" s="1"/>
  <c r="GC21" i="6"/>
  <c r="BJ14" i="15" s="1"/>
  <c r="GC23" i="6"/>
  <c r="BJ16" i="15" s="1"/>
  <c r="GC14" i="6"/>
  <c r="BJ7" i="15" s="1"/>
  <c r="GC26" i="6"/>
  <c r="BJ19" i="15" s="1"/>
  <c r="GC16" i="6"/>
  <c r="BJ9" i="15" s="1"/>
  <c r="GC17" i="6"/>
  <c r="BJ10" i="15" s="1"/>
  <c r="GC13" i="6"/>
  <c r="BJ6" i="15" s="1"/>
  <c r="GC19" i="6"/>
  <c r="BJ12" i="15" s="1"/>
  <c r="GC18" i="6"/>
  <c r="BJ11" i="15" s="1"/>
  <c r="GC15" i="6"/>
  <c r="GC27" i="6"/>
  <c r="BJ20" i="15" s="1"/>
  <c r="GC20" i="6"/>
  <c r="BJ13" i="15" s="1"/>
  <c r="GC24" i="6"/>
  <c r="BJ17" i="15" s="1"/>
  <c r="GC45" i="6"/>
  <c r="GC22" i="6"/>
  <c r="GC52" i="6"/>
  <c r="BJ45" i="15" s="1"/>
  <c r="GC49" i="6"/>
  <c r="BJ42" i="15" s="1"/>
  <c r="GA96" i="6"/>
  <c r="FZ29" i="9"/>
  <c r="BI89" i="15"/>
  <c r="GC62" i="6"/>
  <c r="GC63" i="6" s="1"/>
  <c r="GC96" i="6" s="1"/>
  <c r="GC29" i="9" s="1"/>
  <c r="GC40" i="6"/>
  <c r="BJ33" i="15" s="1"/>
  <c r="GC46" i="6"/>
  <c r="BJ39" i="15" s="1"/>
  <c r="GC51" i="6"/>
  <c r="BJ44" i="15" s="1"/>
  <c r="GB35" i="6"/>
  <c r="GC42" i="6"/>
  <c r="BJ35" i="15" s="1"/>
  <c r="GC32" i="6"/>
  <c r="BJ25" i="15" s="1"/>
  <c r="GC50" i="6"/>
  <c r="BJ43" i="15" s="1"/>
  <c r="GC53" i="6"/>
  <c r="BJ46" i="15" s="1"/>
  <c r="GC47" i="6"/>
  <c r="BJ40" i="15" s="1"/>
  <c r="GC54" i="6"/>
  <c r="BJ47" i="15" s="1"/>
  <c r="GD33" i="6"/>
  <c r="GD3" i="6"/>
  <c r="GD12" i="6" s="1"/>
  <c r="GE1" i="6"/>
  <c r="GD34" i="6"/>
  <c r="GC55" i="6"/>
  <c r="BJ48" i="15" s="1"/>
  <c r="GC43" i="6"/>
  <c r="BJ36" i="15" s="1"/>
  <c r="GC41" i="6"/>
  <c r="BJ34" i="15" s="1"/>
  <c r="GC31" i="6"/>
  <c r="BJ24" i="15" s="1"/>
  <c r="JM3" i="8"/>
  <c r="JL7" i="8"/>
  <c r="GC48" i="6" l="1"/>
  <c r="BJ41" i="15" s="1"/>
  <c r="BJ38" i="15"/>
  <c r="GD25" i="6"/>
  <c r="GD14" i="6"/>
  <c r="GD45" i="6"/>
  <c r="GD15" i="6"/>
  <c r="GD13" i="6"/>
  <c r="GD16" i="6"/>
  <c r="GD20" i="6"/>
  <c r="GD21" i="6"/>
  <c r="GD23" i="6"/>
  <c r="GD26" i="6"/>
  <c r="GD17" i="6"/>
  <c r="GD24" i="6"/>
  <c r="GD27" i="6"/>
  <c r="GD19" i="6"/>
  <c r="GD22" i="6"/>
  <c r="GD18" i="6"/>
  <c r="BJ15" i="15"/>
  <c r="BJ8" i="15"/>
  <c r="GD49" i="6"/>
  <c r="BJ55" i="15"/>
  <c r="BJ56" i="15"/>
  <c r="GA29" i="9"/>
  <c r="BJ89" i="15"/>
  <c r="BJ28" i="15"/>
  <c r="GD41" i="6"/>
  <c r="GC35" i="6"/>
  <c r="GD62" i="6"/>
  <c r="GD40" i="6"/>
  <c r="GD47" i="6"/>
  <c r="GD51" i="6"/>
  <c r="GD43" i="6"/>
  <c r="GD50" i="6"/>
  <c r="GE34" i="6"/>
  <c r="GE33" i="6"/>
  <c r="GE3" i="6"/>
  <c r="GE12" i="6" s="1"/>
  <c r="GF1" i="6"/>
  <c r="GD46" i="6"/>
  <c r="GD31" i="6"/>
  <c r="GD52" i="6"/>
  <c r="GD53" i="6"/>
  <c r="GD42" i="6"/>
  <c r="GD55" i="6"/>
  <c r="GD32" i="6"/>
  <c r="GD54" i="6"/>
  <c r="JN3" i="8"/>
  <c r="JM7" i="8"/>
  <c r="GD48" i="6" l="1"/>
  <c r="GE21" i="6"/>
  <c r="GE15" i="6"/>
  <c r="GE18" i="6"/>
  <c r="GE45" i="6"/>
  <c r="GE14" i="6"/>
  <c r="GE23" i="6"/>
  <c r="GE19" i="6"/>
  <c r="GE17" i="6"/>
  <c r="GE13" i="6"/>
  <c r="GE20" i="6"/>
  <c r="GE25" i="6"/>
  <c r="GE27" i="6"/>
  <c r="GE22" i="6"/>
  <c r="GE26" i="6"/>
  <c r="GE24" i="6"/>
  <c r="GE16" i="6"/>
  <c r="GE49" i="6"/>
  <c r="GD63" i="6"/>
  <c r="GD96" i="6" s="1"/>
  <c r="GE42" i="6"/>
  <c r="GE62" i="6"/>
  <c r="GE63" i="6" s="1"/>
  <c r="GE96" i="6" s="1"/>
  <c r="GE29" i="9" s="1"/>
  <c r="GE40" i="6"/>
  <c r="GE54" i="6"/>
  <c r="GE55" i="6"/>
  <c r="GE53" i="6"/>
  <c r="GE46" i="6"/>
  <c r="GE51" i="6"/>
  <c r="GE31" i="6"/>
  <c r="GE43" i="6"/>
  <c r="GE32" i="6"/>
  <c r="GE50" i="6"/>
  <c r="GE52" i="6"/>
  <c r="GE41" i="6"/>
  <c r="GE47" i="6"/>
  <c r="GF33" i="6"/>
  <c r="BK26" i="15" s="1"/>
  <c r="GG1" i="6"/>
  <c r="GF3" i="6"/>
  <c r="GF12" i="6" s="1"/>
  <c r="GF34" i="6"/>
  <c r="BK27" i="15" s="1"/>
  <c r="GD35" i="6"/>
  <c r="JO3" i="8"/>
  <c r="JN7" i="8"/>
  <c r="GE48" i="6" l="1"/>
  <c r="GF21" i="6"/>
  <c r="BK14" i="15" s="1"/>
  <c r="GF20" i="6"/>
  <c r="BK13" i="15" s="1"/>
  <c r="GF45" i="6"/>
  <c r="GF13" i="6"/>
  <c r="BK6" i="15" s="1"/>
  <c r="GF18" i="6"/>
  <c r="BK11" i="15" s="1"/>
  <c r="GF23" i="6"/>
  <c r="BK16" i="15" s="1"/>
  <c r="GF24" i="6"/>
  <c r="BK17" i="15" s="1"/>
  <c r="GF15" i="6"/>
  <c r="GF26" i="6"/>
  <c r="BK19" i="15" s="1"/>
  <c r="GF22" i="6"/>
  <c r="BK15" i="15" s="1"/>
  <c r="GF25" i="6"/>
  <c r="BK18" i="15" s="1"/>
  <c r="GF17" i="6"/>
  <c r="BK10" i="15" s="1"/>
  <c r="GF19" i="6"/>
  <c r="BK12" i="15" s="1"/>
  <c r="GF27" i="6"/>
  <c r="BK20" i="15" s="1"/>
  <c r="GF14" i="6"/>
  <c r="BK7" i="15" s="1"/>
  <c r="GF16" i="6"/>
  <c r="BK9" i="15" s="1"/>
  <c r="GF49" i="6"/>
  <c r="BK42" i="15" s="1"/>
  <c r="GD29" i="9"/>
  <c r="GF54" i="6"/>
  <c r="BK47" i="15" s="1"/>
  <c r="GF52" i="6"/>
  <c r="BK45" i="15" s="1"/>
  <c r="GF41" i="6"/>
  <c r="BK34" i="15" s="1"/>
  <c r="GF31" i="6"/>
  <c r="BK24" i="15" s="1"/>
  <c r="GF62" i="6"/>
  <c r="GF40" i="6"/>
  <c r="BK33" i="15" s="1"/>
  <c r="GF32" i="6"/>
  <c r="BK25" i="15" s="1"/>
  <c r="GF51" i="6"/>
  <c r="BK44" i="15" s="1"/>
  <c r="GF42" i="6"/>
  <c r="BK35" i="15" s="1"/>
  <c r="GF53" i="6"/>
  <c r="BK46" i="15" s="1"/>
  <c r="GF55" i="6"/>
  <c r="BK48" i="15" s="1"/>
  <c r="GF50" i="6"/>
  <c r="BK43" i="15" s="1"/>
  <c r="GE35" i="6"/>
  <c r="GF47" i="6"/>
  <c r="BK40" i="15" s="1"/>
  <c r="GF43" i="6"/>
  <c r="BK36" i="15" s="1"/>
  <c r="GG34" i="6"/>
  <c r="GG33" i="6"/>
  <c r="GH1" i="6"/>
  <c r="GG3" i="6"/>
  <c r="GG12" i="6" s="1"/>
  <c r="GF46" i="6"/>
  <c r="BK39" i="15" s="1"/>
  <c r="JP3" i="8"/>
  <c r="JO7" i="8"/>
  <c r="BK8" i="15" l="1"/>
  <c r="GF48" i="6"/>
  <c r="BK41" i="15" s="1"/>
  <c r="GG26" i="6"/>
  <c r="GG15" i="6"/>
  <c r="GG27" i="6"/>
  <c r="GG13" i="6"/>
  <c r="GG18" i="6"/>
  <c r="GG20" i="6"/>
  <c r="GG21" i="6"/>
  <c r="GG24" i="6"/>
  <c r="GG19" i="6"/>
  <c r="GG16" i="6"/>
  <c r="GG23" i="6"/>
  <c r="GG22" i="6"/>
  <c r="GG17" i="6"/>
  <c r="GG45" i="6"/>
  <c r="GG25" i="6"/>
  <c r="GG14" i="6"/>
  <c r="BK38" i="15"/>
  <c r="GG49" i="6"/>
  <c r="GF63" i="6"/>
  <c r="GF96" i="6" s="1"/>
  <c r="GF29" i="9" s="1"/>
  <c r="BK55" i="15"/>
  <c r="BK28" i="15"/>
  <c r="GF35" i="6"/>
  <c r="GG55" i="6"/>
  <c r="GG47" i="6"/>
  <c r="GG62" i="6"/>
  <c r="GG40" i="6"/>
  <c r="GG51" i="6"/>
  <c r="GG32" i="6"/>
  <c r="GG31" i="6"/>
  <c r="GG50" i="6"/>
  <c r="GG52" i="6"/>
  <c r="GG42" i="6"/>
  <c r="GG53" i="6"/>
  <c r="GG46" i="6"/>
  <c r="GG41" i="6"/>
  <c r="GG43" i="6"/>
  <c r="GH3" i="6"/>
  <c r="GH12" i="6" s="1"/>
  <c r="GH33" i="6"/>
  <c r="GI1" i="6"/>
  <c r="GH34" i="6"/>
  <c r="GG54" i="6"/>
  <c r="JQ3" i="8"/>
  <c r="JP7" i="8"/>
  <c r="GG48" i="6" l="1"/>
  <c r="GH24" i="6"/>
  <c r="GH22" i="6"/>
  <c r="GH26" i="6"/>
  <c r="GH27" i="6"/>
  <c r="GH45" i="6"/>
  <c r="GH17" i="6"/>
  <c r="GH15" i="6"/>
  <c r="GH21" i="6"/>
  <c r="GH18" i="6"/>
  <c r="GH19" i="6"/>
  <c r="GH23" i="6"/>
  <c r="GH13" i="6"/>
  <c r="GH16" i="6"/>
  <c r="GH25" i="6"/>
  <c r="GH14" i="6"/>
  <c r="GH20" i="6"/>
  <c r="GH49" i="6"/>
  <c r="BK89" i="15"/>
  <c r="BK56" i="15"/>
  <c r="GG63" i="6"/>
  <c r="GG96" i="6" s="1"/>
  <c r="GG35" i="6"/>
  <c r="GH62" i="6"/>
  <c r="GH63" i="6" s="1"/>
  <c r="GH96" i="6" s="1"/>
  <c r="GH29" i="9" s="1"/>
  <c r="GH40" i="6"/>
  <c r="GH55" i="6"/>
  <c r="GH47" i="6"/>
  <c r="GH51" i="6"/>
  <c r="GH41" i="6"/>
  <c r="GH54" i="6"/>
  <c r="GH52" i="6"/>
  <c r="GH32" i="6"/>
  <c r="GH42" i="6"/>
  <c r="GI33" i="6"/>
  <c r="BL26" i="15" s="1"/>
  <c r="GI34" i="6"/>
  <c r="BL27" i="15" s="1"/>
  <c r="GI3" i="6"/>
  <c r="GI12" i="6" s="1"/>
  <c r="GJ1" i="6"/>
  <c r="GH53" i="6"/>
  <c r="GH43" i="6"/>
  <c r="GH46" i="6"/>
  <c r="GH31" i="6"/>
  <c r="GH50" i="6"/>
  <c r="JR3" i="8"/>
  <c r="JQ7" i="8"/>
  <c r="GH48" i="6" l="1"/>
  <c r="GI26" i="6"/>
  <c r="BL19" i="15" s="1"/>
  <c r="GI24" i="6"/>
  <c r="BL17" i="15" s="1"/>
  <c r="GI20" i="6"/>
  <c r="BL13" i="15" s="1"/>
  <c r="GI16" i="6"/>
  <c r="BL9" i="15" s="1"/>
  <c r="GI19" i="6"/>
  <c r="BL12" i="15" s="1"/>
  <c r="GI14" i="6"/>
  <c r="BL7" i="15" s="1"/>
  <c r="GI27" i="6"/>
  <c r="BL20" i="15" s="1"/>
  <c r="GI15" i="6"/>
  <c r="GI18" i="6"/>
  <c r="BL11" i="15" s="1"/>
  <c r="GI17" i="6"/>
  <c r="BL10" i="15" s="1"/>
  <c r="GI21" i="6"/>
  <c r="BL14" i="15" s="1"/>
  <c r="GI45" i="6"/>
  <c r="BL38" i="15" s="1"/>
  <c r="GI13" i="6"/>
  <c r="BL6" i="15" s="1"/>
  <c r="GI25" i="6"/>
  <c r="BL18" i="15" s="1"/>
  <c r="GI22" i="6"/>
  <c r="BL15" i="15" s="1"/>
  <c r="GI23" i="6"/>
  <c r="BL16" i="15" s="1"/>
  <c r="GI49" i="6"/>
  <c r="BL42" i="15" s="1"/>
  <c r="GG29" i="9"/>
  <c r="GI62" i="6"/>
  <c r="GI63" i="6" s="1"/>
  <c r="GI96" i="6" s="1"/>
  <c r="GI29" i="9" s="1"/>
  <c r="GI40" i="6"/>
  <c r="BL33" i="15" s="1"/>
  <c r="GI31" i="6"/>
  <c r="BL24" i="15" s="1"/>
  <c r="GI54" i="6"/>
  <c r="BL47" i="15" s="1"/>
  <c r="GI32" i="6"/>
  <c r="BL25" i="15" s="1"/>
  <c r="GI55" i="6"/>
  <c r="BL48" i="15" s="1"/>
  <c r="GI50" i="6"/>
  <c r="BL43" i="15" s="1"/>
  <c r="GI53" i="6"/>
  <c r="BL46" i="15" s="1"/>
  <c r="GI52" i="6"/>
  <c r="BL45" i="15" s="1"/>
  <c r="GI41" i="6"/>
  <c r="BL34" i="15" s="1"/>
  <c r="GI43" i="6"/>
  <c r="BL36" i="15" s="1"/>
  <c r="GI47" i="6"/>
  <c r="BL40" i="15" s="1"/>
  <c r="GI46" i="6"/>
  <c r="BL39" i="15" s="1"/>
  <c r="GH35" i="6"/>
  <c r="GI42" i="6"/>
  <c r="BL35" i="15" s="1"/>
  <c r="GI51" i="6"/>
  <c r="BL44" i="15" s="1"/>
  <c r="GJ3" i="6"/>
  <c r="GJ12" i="6" s="1"/>
  <c r="GJ33" i="6"/>
  <c r="GJ34" i="6"/>
  <c r="GK1" i="6"/>
  <c r="JS3" i="8"/>
  <c r="JR7" i="8"/>
  <c r="BL8" i="15" l="1"/>
  <c r="GI48" i="6"/>
  <c r="BL41" i="15" s="1"/>
  <c r="GJ26" i="6"/>
  <c r="GJ24" i="6"/>
  <c r="GJ20" i="6"/>
  <c r="GJ16" i="6"/>
  <c r="GJ23" i="6"/>
  <c r="GJ17" i="6"/>
  <c r="GJ45" i="6"/>
  <c r="GJ25" i="6"/>
  <c r="GJ27" i="6"/>
  <c r="GJ14" i="6"/>
  <c r="GJ15" i="6"/>
  <c r="GJ21" i="6"/>
  <c r="GJ19" i="6"/>
  <c r="GJ22" i="6"/>
  <c r="GJ18" i="6"/>
  <c r="GJ13" i="6"/>
  <c r="GJ49" i="6"/>
  <c r="BL55" i="15"/>
  <c r="BL56" i="15"/>
  <c r="BL89" i="15"/>
  <c r="BL28" i="15"/>
  <c r="GI35" i="6"/>
  <c r="GJ62" i="6"/>
  <c r="GJ40" i="6"/>
  <c r="GJ55" i="6"/>
  <c r="GJ54" i="6"/>
  <c r="GJ32" i="6"/>
  <c r="GJ51" i="6"/>
  <c r="GJ46" i="6"/>
  <c r="GJ47" i="6"/>
  <c r="GJ52" i="6"/>
  <c r="GJ31" i="6"/>
  <c r="GJ43" i="6"/>
  <c r="GJ42" i="6"/>
  <c r="GJ53" i="6"/>
  <c r="GJ50" i="6"/>
  <c r="GJ41" i="6"/>
  <c r="GL1" i="6"/>
  <c r="GK34" i="6"/>
  <c r="GK33" i="6"/>
  <c r="GK3" i="6"/>
  <c r="GK12" i="6" s="1"/>
  <c r="JT3" i="8"/>
  <c r="JS7" i="8"/>
  <c r="GJ48" i="6" l="1"/>
  <c r="GK22" i="6"/>
  <c r="GK26" i="6"/>
  <c r="GK24" i="6"/>
  <c r="GK20" i="6"/>
  <c r="GK25" i="6"/>
  <c r="GK16" i="6"/>
  <c r="GK13" i="6"/>
  <c r="GK17" i="6"/>
  <c r="GK23" i="6"/>
  <c r="GK27" i="6"/>
  <c r="GK19" i="6"/>
  <c r="GK21" i="6"/>
  <c r="GK18" i="6"/>
  <c r="GK45" i="6"/>
  <c r="GK14" i="6"/>
  <c r="GK15" i="6"/>
  <c r="GK49" i="6"/>
  <c r="GJ63" i="6"/>
  <c r="GJ96" i="6" s="1"/>
  <c r="GK62" i="6"/>
  <c r="GK63" i="6" s="1"/>
  <c r="GK96" i="6" s="1"/>
  <c r="GK29" i="9" s="1"/>
  <c r="GK40" i="6"/>
  <c r="GJ35" i="6"/>
  <c r="GK46" i="6"/>
  <c r="GK53" i="6"/>
  <c r="GK54" i="6"/>
  <c r="GK41" i="6"/>
  <c r="GK51" i="6"/>
  <c r="GK31" i="6"/>
  <c r="GK52" i="6"/>
  <c r="GK47" i="6"/>
  <c r="GK42" i="6"/>
  <c r="GM1" i="6"/>
  <c r="GL3" i="6"/>
  <c r="GL12" i="6" s="1"/>
  <c r="GL33" i="6"/>
  <c r="R26" i="11" s="1"/>
  <c r="GL34" i="6"/>
  <c r="R27" i="11" s="1"/>
  <c r="GK55" i="6"/>
  <c r="GK50" i="6"/>
  <c r="GK43" i="6"/>
  <c r="GK32" i="6"/>
  <c r="JT14" i="8"/>
  <c r="JT22" i="8"/>
  <c r="G22" i="8"/>
  <c r="M22" i="8"/>
  <c r="N22" i="8"/>
  <c r="Q14" i="8"/>
  <c r="P14" i="8"/>
  <c r="F14" i="8"/>
  <c r="K14" i="8"/>
  <c r="JT7" i="8"/>
  <c r="K22" i="8"/>
  <c r="Q22" i="8"/>
  <c r="R22" i="8"/>
  <c r="P22" i="8"/>
  <c r="J14" i="8"/>
  <c r="O14" i="8"/>
  <c r="O22" i="8"/>
  <c r="E22" i="8"/>
  <c r="F22" i="8"/>
  <c r="L22" i="8"/>
  <c r="I14" i="8"/>
  <c r="E14" i="8"/>
  <c r="H14" i="8"/>
  <c r="N14" i="8"/>
  <c r="S14" i="8"/>
  <c r="S22" i="8"/>
  <c r="I22" i="8"/>
  <c r="J22" i="8"/>
  <c r="H22" i="8"/>
  <c r="L14" i="8"/>
  <c r="R14" i="8"/>
  <c r="G14" i="8"/>
  <c r="M14" i="8"/>
  <c r="GU22" i="8"/>
  <c r="GV22" i="8"/>
  <c r="GW22" i="8"/>
  <c r="GX22" i="8"/>
  <c r="GY22" i="8"/>
  <c r="GZ22" i="8"/>
  <c r="HA22" i="8"/>
  <c r="HB22" i="8"/>
  <c r="HC22" i="8"/>
  <c r="HD22" i="8"/>
  <c r="HE22" i="8"/>
  <c r="HF22" i="8"/>
  <c r="HG22" i="8"/>
  <c r="HH22" i="8"/>
  <c r="HI22" i="8"/>
  <c r="HJ22" i="8"/>
  <c r="HK22" i="8"/>
  <c r="HL22" i="8"/>
  <c r="HM22" i="8"/>
  <c r="HN22" i="8"/>
  <c r="HO22" i="8"/>
  <c r="HP22" i="8"/>
  <c r="HQ22" i="8"/>
  <c r="HR22" i="8"/>
  <c r="HS22" i="8"/>
  <c r="HT22" i="8"/>
  <c r="HU22" i="8"/>
  <c r="HV22" i="8"/>
  <c r="HW22" i="8"/>
  <c r="HX22" i="8"/>
  <c r="HY22" i="8"/>
  <c r="HZ22" i="8"/>
  <c r="IA22" i="8"/>
  <c r="IB22" i="8"/>
  <c r="IC22" i="8"/>
  <c r="ID22" i="8"/>
  <c r="IE22" i="8"/>
  <c r="IF22" i="8"/>
  <c r="IG22" i="8"/>
  <c r="IH22" i="8"/>
  <c r="II22" i="8"/>
  <c r="IJ22" i="8"/>
  <c r="IK22" i="8"/>
  <c r="IL22" i="8"/>
  <c r="IM22" i="8"/>
  <c r="IN22" i="8"/>
  <c r="IO22" i="8"/>
  <c r="IP22" i="8"/>
  <c r="IQ22" i="8"/>
  <c r="IR22" i="8"/>
  <c r="IS22" i="8"/>
  <c r="IT22" i="8"/>
  <c r="IU22" i="8"/>
  <c r="IV22" i="8"/>
  <c r="IW22" i="8"/>
  <c r="IX22" i="8"/>
  <c r="IY22" i="8"/>
  <c r="IZ22" i="8"/>
  <c r="JA22" i="8"/>
  <c r="JB22" i="8"/>
  <c r="JC14" i="8"/>
  <c r="JC22" i="8"/>
  <c r="JD22" i="8"/>
  <c r="JD14" i="8"/>
  <c r="JE14" i="8"/>
  <c r="JE22" i="8"/>
  <c r="JF22" i="8"/>
  <c r="JF14" i="8"/>
  <c r="JG14" i="8"/>
  <c r="JG22" i="8"/>
  <c r="JH22" i="8"/>
  <c r="JH14" i="8"/>
  <c r="JI22" i="8"/>
  <c r="JI14" i="8"/>
  <c r="JJ22" i="8"/>
  <c r="JJ14" i="8"/>
  <c r="JK22" i="8"/>
  <c r="JK14" i="8"/>
  <c r="JL14" i="8"/>
  <c r="JL22" i="8"/>
  <c r="JM14" i="8"/>
  <c r="JM22" i="8"/>
  <c r="JN22" i="8"/>
  <c r="JN14" i="8"/>
  <c r="JO14" i="8"/>
  <c r="JO22" i="8"/>
  <c r="JP22" i="8"/>
  <c r="JP14" i="8"/>
  <c r="JQ14" i="8"/>
  <c r="JQ22" i="8"/>
  <c r="JR14" i="8"/>
  <c r="JR22" i="8"/>
  <c r="JS22" i="8"/>
  <c r="JS14" i="8"/>
  <c r="GK48" i="6" l="1"/>
  <c r="GL22" i="6"/>
  <c r="GL27" i="6"/>
  <c r="GL14" i="6"/>
  <c r="GL24" i="6"/>
  <c r="GL19" i="6"/>
  <c r="GL16" i="6"/>
  <c r="GL45" i="6"/>
  <c r="R38" i="11" s="1"/>
  <c r="Q132" i="12" s="1"/>
  <c r="GL18" i="6"/>
  <c r="GL26" i="6"/>
  <c r="GL25" i="6"/>
  <c r="GL21" i="6"/>
  <c r="R14" i="11" s="1"/>
  <c r="GL13" i="6"/>
  <c r="R6" i="11" s="1"/>
  <c r="GL15" i="6"/>
  <c r="GL17" i="6"/>
  <c r="GL23" i="6"/>
  <c r="GL20" i="6"/>
  <c r="GL49" i="6"/>
  <c r="GL51" i="6"/>
  <c r="GJ29" i="9"/>
  <c r="BM26" i="15"/>
  <c r="BM27" i="15"/>
  <c r="JS29" i="8"/>
  <c r="GL62" i="6"/>
  <c r="BM55" i="15" s="1"/>
  <c r="GL40" i="6"/>
  <c r="GL55" i="6"/>
  <c r="GL50" i="6"/>
  <c r="GL43" i="6"/>
  <c r="GL41" i="6"/>
  <c r="GL32" i="6"/>
  <c r="R25" i="11" s="1"/>
  <c r="GL46" i="6"/>
  <c r="GL53" i="6"/>
  <c r="GL52" i="6"/>
  <c r="GL31" i="6"/>
  <c r="GL42" i="6"/>
  <c r="GL47" i="6"/>
  <c r="GL54" i="6"/>
  <c r="GM3" i="6"/>
  <c r="GM12" i="6" s="1"/>
  <c r="GN1" i="6"/>
  <c r="GM33" i="6"/>
  <c r="GM34" i="6"/>
  <c r="GK35" i="6"/>
  <c r="JR17" i="8"/>
  <c r="JR29" i="8"/>
  <c r="JP25" i="8"/>
  <c r="JN25" i="8"/>
  <c r="JL17" i="8"/>
  <c r="JL29" i="8"/>
  <c r="JJ25" i="8"/>
  <c r="JH25" i="8"/>
  <c r="JF25" i="8"/>
  <c r="JD25" i="8"/>
  <c r="IZ25" i="8"/>
  <c r="IV25" i="8"/>
  <c r="IT25" i="8"/>
  <c r="IR25" i="8"/>
  <c r="IP25" i="8"/>
  <c r="IN25" i="8"/>
  <c r="IF25" i="8"/>
  <c r="ID25" i="8"/>
  <c r="HZ25" i="8"/>
  <c r="HX25" i="8"/>
  <c r="HT25" i="8"/>
  <c r="HN25" i="8"/>
  <c r="HL25" i="8"/>
  <c r="GZ25" i="8"/>
  <c r="GX25" i="8"/>
  <c r="GV25" i="8"/>
  <c r="L17" i="8"/>
  <c r="H25" i="8"/>
  <c r="S25" i="8"/>
  <c r="S17" i="8"/>
  <c r="E17" i="8"/>
  <c r="E29" i="8"/>
  <c r="R25" i="8"/>
  <c r="JT29" i="8"/>
  <c r="F17" i="8"/>
  <c r="Q17" i="8"/>
  <c r="G25" i="8"/>
  <c r="JS17" i="8"/>
  <c r="JQ25" i="8"/>
  <c r="JO25" i="8"/>
  <c r="JM25" i="8"/>
  <c r="JK17" i="8"/>
  <c r="JK29" i="8"/>
  <c r="JI17" i="8"/>
  <c r="JI29" i="8"/>
  <c r="JG25" i="8"/>
  <c r="JE25" i="8"/>
  <c r="JC25" i="8"/>
  <c r="JA25" i="8"/>
  <c r="IY25" i="8"/>
  <c r="IW25" i="8"/>
  <c r="IU25" i="8"/>
  <c r="IQ25" i="8"/>
  <c r="IO25" i="8"/>
  <c r="IM25" i="8"/>
  <c r="IK25" i="8"/>
  <c r="IG25" i="8"/>
  <c r="IC25" i="8"/>
  <c r="HS25" i="8"/>
  <c r="HQ25" i="8"/>
  <c r="HK25" i="8"/>
  <c r="HI25" i="8"/>
  <c r="HC25" i="8"/>
  <c r="HA25" i="8"/>
  <c r="GW25" i="8"/>
  <c r="GU25" i="8"/>
  <c r="J25" i="8"/>
  <c r="N17" i="8"/>
  <c r="E25" i="8"/>
  <c r="O17" i="8"/>
  <c r="Q25" i="8"/>
  <c r="P17" i="8"/>
  <c r="N25" i="8"/>
  <c r="JS25" i="8"/>
  <c r="JQ17" i="8"/>
  <c r="JQ29" i="8"/>
  <c r="JO17" i="8"/>
  <c r="JO29" i="8"/>
  <c r="JM17" i="8"/>
  <c r="JM29" i="8"/>
  <c r="JK25" i="8"/>
  <c r="JI25" i="8"/>
  <c r="JG17" i="8"/>
  <c r="JG29" i="8"/>
  <c r="JE17" i="8"/>
  <c r="JE29" i="8"/>
  <c r="JC17" i="8"/>
  <c r="JC29" i="8"/>
  <c r="IS25" i="8"/>
  <c r="II25" i="8"/>
  <c r="IE25" i="8"/>
  <c r="IA25" i="8"/>
  <c r="HY25" i="8"/>
  <c r="HW25" i="8"/>
  <c r="HU25" i="8"/>
  <c r="HO25" i="8"/>
  <c r="HM25" i="8"/>
  <c r="HG25" i="8"/>
  <c r="HE25" i="8"/>
  <c r="GY25" i="8"/>
  <c r="G17" i="8"/>
  <c r="O25" i="8"/>
  <c r="J17" i="8"/>
  <c r="P25" i="8"/>
  <c r="K25" i="8"/>
  <c r="K17" i="8"/>
  <c r="M25" i="8"/>
  <c r="JR25" i="8"/>
  <c r="JP17" i="8"/>
  <c r="JP29" i="8"/>
  <c r="JN17" i="8"/>
  <c r="JN29" i="8"/>
  <c r="JL25" i="8"/>
  <c r="JJ17" i="8"/>
  <c r="JJ29" i="8"/>
  <c r="JH17" i="8"/>
  <c r="JH29" i="8"/>
  <c r="JF17" i="8"/>
  <c r="JF29" i="8"/>
  <c r="JD17" i="8"/>
  <c r="JD29" i="8"/>
  <c r="JB25" i="8"/>
  <c r="IX25" i="8"/>
  <c r="IL25" i="8"/>
  <c r="IJ25" i="8"/>
  <c r="IH25" i="8"/>
  <c r="IB25" i="8"/>
  <c r="HV25" i="8"/>
  <c r="HR25" i="8"/>
  <c r="HP25" i="8"/>
  <c r="HJ25" i="8"/>
  <c r="HH25" i="8"/>
  <c r="HF25" i="8"/>
  <c r="HD25" i="8"/>
  <c r="HB25" i="8"/>
  <c r="M17" i="8"/>
  <c r="R17" i="8"/>
  <c r="I25" i="8"/>
  <c r="H17" i="8"/>
  <c r="I17" i="8"/>
  <c r="L25" i="8"/>
  <c r="F25" i="8"/>
  <c r="JT25" i="8"/>
  <c r="JT17" i="8"/>
  <c r="GL48" i="6" l="1"/>
  <c r="BM14" i="15"/>
  <c r="GM22" i="6"/>
  <c r="GM17" i="6"/>
  <c r="GM14" i="6"/>
  <c r="GM13" i="6"/>
  <c r="GM24" i="6"/>
  <c r="GM20" i="6"/>
  <c r="GM27" i="6"/>
  <c r="GM26" i="6"/>
  <c r="GM25" i="6"/>
  <c r="GM19" i="6"/>
  <c r="GM18" i="6"/>
  <c r="GM16" i="6"/>
  <c r="GM23" i="6"/>
  <c r="GM21" i="6"/>
  <c r="GM45" i="6"/>
  <c r="GM15" i="6"/>
  <c r="BM38" i="15"/>
  <c r="Z6" i="33"/>
  <c r="Z4" i="33"/>
  <c r="Y4" i="33"/>
  <c r="Y6" i="33"/>
  <c r="R8" i="11"/>
  <c r="R24" i="11"/>
  <c r="R28" i="11" s="1"/>
  <c r="R9" i="11"/>
  <c r="R20" i="11"/>
  <c r="R18" i="11"/>
  <c r="R12" i="11"/>
  <c r="R15" i="11"/>
  <c r="R19" i="11"/>
  <c r="R11" i="11"/>
  <c r="R7" i="11"/>
  <c r="R16" i="11"/>
  <c r="R13" i="11"/>
  <c r="R40" i="11"/>
  <c r="Q134" i="12" s="1"/>
  <c r="R48" i="11"/>
  <c r="Q142" i="12" s="1"/>
  <c r="BM44" i="15"/>
  <c r="R46" i="11"/>
  <c r="Q140" i="12" s="1"/>
  <c r="R34" i="11"/>
  <c r="Q128" i="12" s="1"/>
  <c r="R47" i="11"/>
  <c r="Q141" i="12" s="1"/>
  <c r="R35" i="11"/>
  <c r="Q129" i="12" s="1"/>
  <c r="R39" i="11"/>
  <c r="Q133" i="12" s="1"/>
  <c r="R36" i="11"/>
  <c r="Q130" i="12" s="1"/>
  <c r="R45" i="11"/>
  <c r="Q139" i="12" s="1"/>
  <c r="R43" i="11"/>
  <c r="Q137" i="12" s="1"/>
  <c r="R42" i="11"/>
  <c r="Q136" i="12" s="1"/>
  <c r="BM42" i="15"/>
  <c r="GM49" i="6"/>
  <c r="BM6" i="15"/>
  <c r="BM15" i="15"/>
  <c r="R44" i="11"/>
  <c r="Q138" i="12" s="1"/>
  <c r="BM25" i="15"/>
  <c r="BM40" i="15"/>
  <c r="BM35" i="15"/>
  <c r="BM43" i="15"/>
  <c r="BM39" i="15"/>
  <c r="BM46" i="15"/>
  <c r="BM36" i="15"/>
  <c r="BM34" i="15"/>
  <c r="BM45" i="15"/>
  <c r="BM47" i="15"/>
  <c r="BM48" i="15"/>
  <c r="R33" i="11"/>
  <c r="Q127" i="12" s="1"/>
  <c r="BM33" i="15"/>
  <c r="BM24" i="15"/>
  <c r="BM13" i="15"/>
  <c r="BM11" i="15"/>
  <c r="R10" i="11"/>
  <c r="BM10" i="15"/>
  <c r="BM20" i="15"/>
  <c r="BM9" i="15"/>
  <c r="R17" i="11"/>
  <c r="BM17" i="15"/>
  <c r="BM8" i="15"/>
  <c r="BM19" i="15"/>
  <c r="BM18" i="15"/>
  <c r="BM7" i="15"/>
  <c r="BM16" i="15"/>
  <c r="BM12" i="15"/>
  <c r="GL63" i="6"/>
  <c r="R55" i="11"/>
  <c r="GM62" i="6"/>
  <c r="GM40" i="6"/>
  <c r="GL35" i="6"/>
  <c r="GM55" i="6"/>
  <c r="GM43" i="6"/>
  <c r="GM32" i="6"/>
  <c r="GM41" i="6"/>
  <c r="GM31" i="6"/>
  <c r="GM50" i="6"/>
  <c r="GM53" i="6"/>
  <c r="GM47" i="6"/>
  <c r="GM42" i="6"/>
  <c r="GM54" i="6"/>
  <c r="GM46" i="6"/>
  <c r="GM52" i="6"/>
  <c r="GN3" i="6"/>
  <c r="GN12" i="6" s="1"/>
  <c r="GN34" i="6"/>
  <c r="GO1" i="6"/>
  <c r="GN33" i="6"/>
  <c r="GM51" i="6"/>
  <c r="BM41" i="15" l="1"/>
  <c r="R41" i="11"/>
  <c r="Q135" i="12" s="1"/>
  <c r="GM48" i="6"/>
  <c r="GN13" i="6"/>
  <c r="GN18" i="6"/>
  <c r="GN45" i="6"/>
  <c r="GN27" i="6"/>
  <c r="GN21" i="6"/>
  <c r="GN19" i="6"/>
  <c r="GN26" i="6"/>
  <c r="GN17" i="6"/>
  <c r="GN14" i="6"/>
  <c r="GN20" i="6"/>
  <c r="GN25" i="6"/>
  <c r="GN15" i="6"/>
  <c r="GN16" i="6"/>
  <c r="GN23" i="6"/>
  <c r="GN22" i="6"/>
  <c r="GN24" i="6"/>
  <c r="Q28" i="12"/>
  <c r="GN49" i="6"/>
  <c r="GL96" i="6"/>
  <c r="BM56" i="15"/>
  <c r="BM28" i="15"/>
  <c r="R56" i="11"/>
  <c r="R89" i="11" s="1"/>
  <c r="Q10" i="12" s="1"/>
  <c r="GM63" i="6"/>
  <c r="GN62" i="6"/>
  <c r="GN63" i="6" s="1"/>
  <c r="GN96" i="6" s="1"/>
  <c r="GN29" i="9" s="1"/>
  <c r="GN40" i="6"/>
  <c r="GN32" i="6"/>
  <c r="GN53" i="6"/>
  <c r="GM35" i="6"/>
  <c r="GN55" i="6"/>
  <c r="GN31" i="6"/>
  <c r="GN47" i="6"/>
  <c r="GN54" i="6"/>
  <c r="GN50" i="6"/>
  <c r="GN46" i="6"/>
  <c r="GN43" i="6"/>
  <c r="GN51" i="6"/>
  <c r="GN41" i="6"/>
  <c r="GO33" i="6"/>
  <c r="BN26" i="15" s="1"/>
  <c r="GO34" i="6"/>
  <c r="BN27" i="15" s="1"/>
  <c r="GP1" i="6"/>
  <c r="GO3" i="6"/>
  <c r="GO12" i="6" s="1"/>
  <c r="GN52" i="6"/>
  <c r="GN42" i="6"/>
  <c r="GN48" i="6" l="1"/>
  <c r="GO20" i="6"/>
  <c r="BN13" i="15" s="1"/>
  <c r="GO45" i="6"/>
  <c r="BN38" i="15" s="1"/>
  <c r="GO18" i="6"/>
  <c r="BN11" i="15" s="1"/>
  <c r="GO25" i="6"/>
  <c r="BN18" i="15" s="1"/>
  <c r="GO14" i="6"/>
  <c r="BN7" i="15" s="1"/>
  <c r="GO23" i="6"/>
  <c r="BN16" i="15" s="1"/>
  <c r="GO13" i="6"/>
  <c r="GO22" i="6"/>
  <c r="BN15" i="15" s="1"/>
  <c r="GO21" i="6"/>
  <c r="BN14" i="15" s="1"/>
  <c r="GO17" i="6"/>
  <c r="BN10" i="15" s="1"/>
  <c r="GO16" i="6"/>
  <c r="BN9" i="15" s="1"/>
  <c r="GO26" i="6"/>
  <c r="BN19" i="15" s="1"/>
  <c r="GO24" i="6"/>
  <c r="BN17" i="15" s="1"/>
  <c r="GO27" i="6"/>
  <c r="BN20" i="15" s="1"/>
  <c r="GO19" i="6"/>
  <c r="BN12" i="15" s="1"/>
  <c r="GO15" i="6"/>
  <c r="GO49" i="6"/>
  <c r="BN42" i="15" s="1"/>
  <c r="BN6" i="15"/>
  <c r="GM96" i="6"/>
  <c r="GL29" i="9"/>
  <c r="BM89" i="15"/>
  <c r="GO62" i="6"/>
  <c r="GO63" i="6" s="1"/>
  <c r="GO96" i="6" s="1"/>
  <c r="GO29" i="9" s="1"/>
  <c r="GO40" i="6"/>
  <c r="BN33" i="15" s="1"/>
  <c r="GN35" i="6"/>
  <c r="GO50" i="6"/>
  <c r="BN43" i="15" s="1"/>
  <c r="GO54" i="6"/>
  <c r="BN47" i="15" s="1"/>
  <c r="GO42" i="6"/>
  <c r="BN35" i="15" s="1"/>
  <c r="GO46" i="6"/>
  <c r="BN39" i="15" s="1"/>
  <c r="GO47" i="6"/>
  <c r="BN40" i="15" s="1"/>
  <c r="GO32" i="6"/>
  <c r="BN25" i="15" s="1"/>
  <c r="GO53" i="6"/>
  <c r="BN46" i="15" s="1"/>
  <c r="GO52" i="6"/>
  <c r="BN45" i="15" s="1"/>
  <c r="GO43" i="6"/>
  <c r="BN36" i="15" s="1"/>
  <c r="GO41" i="6"/>
  <c r="BN34" i="15" s="1"/>
  <c r="GO55" i="6"/>
  <c r="BN48" i="15" s="1"/>
  <c r="GO51" i="6"/>
  <c r="BN44" i="15" s="1"/>
  <c r="GP34" i="6"/>
  <c r="GP3" i="6"/>
  <c r="GP12" i="6" s="1"/>
  <c r="GP33" i="6"/>
  <c r="GQ1" i="6"/>
  <c r="GO31" i="6"/>
  <c r="BN24" i="15" s="1"/>
  <c r="BN8" i="15" l="1"/>
  <c r="GO48" i="6"/>
  <c r="BN41" i="15" s="1"/>
  <c r="GP20" i="6"/>
  <c r="GP17" i="6"/>
  <c r="GP45" i="6"/>
  <c r="GP18" i="6"/>
  <c r="GP15" i="6"/>
  <c r="GP13" i="6"/>
  <c r="GP26" i="6"/>
  <c r="GP24" i="6"/>
  <c r="GP22" i="6"/>
  <c r="GP23" i="6"/>
  <c r="GP14" i="6"/>
  <c r="GP25" i="6"/>
  <c r="GP21" i="6"/>
  <c r="GP19" i="6"/>
  <c r="GP16" i="6"/>
  <c r="GP27" i="6"/>
  <c r="GP49" i="6"/>
  <c r="GP54" i="6"/>
  <c r="BN55" i="15"/>
  <c r="BN56" i="15"/>
  <c r="GM29" i="9"/>
  <c r="BN89" i="15"/>
  <c r="BN28" i="15"/>
  <c r="GP42" i="6"/>
  <c r="GP47" i="6"/>
  <c r="GP55" i="6"/>
  <c r="GP62" i="6"/>
  <c r="GP40" i="6"/>
  <c r="GP50" i="6"/>
  <c r="GP31" i="6"/>
  <c r="GO35" i="6"/>
  <c r="GP43" i="6"/>
  <c r="GP46" i="6"/>
  <c r="GP41" i="6"/>
  <c r="GQ34" i="6"/>
  <c r="GQ3" i="6"/>
  <c r="GQ12" i="6" s="1"/>
  <c r="GR1" i="6"/>
  <c r="GQ33" i="6"/>
  <c r="GP32" i="6"/>
  <c r="GP52" i="6"/>
  <c r="GP51" i="6"/>
  <c r="GP53" i="6"/>
  <c r="GP48" i="6" l="1"/>
  <c r="GQ27" i="6"/>
  <c r="GQ20" i="6"/>
  <c r="GQ24" i="6"/>
  <c r="GQ21" i="6"/>
  <c r="GQ16" i="6"/>
  <c r="GQ13" i="6"/>
  <c r="GQ17" i="6"/>
  <c r="GQ15" i="6"/>
  <c r="GQ23" i="6"/>
  <c r="GQ45" i="6"/>
  <c r="GQ18" i="6"/>
  <c r="GQ26" i="6"/>
  <c r="GQ19" i="6"/>
  <c r="GQ14" i="6"/>
  <c r="GQ25" i="6"/>
  <c r="GQ22" i="6"/>
  <c r="GQ49" i="6"/>
  <c r="GP63" i="6"/>
  <c r="GP96" i="6" s="1"/>
  <c r="GQ62" i="6"/>
  <c r="GQ63" i="6" s="1"/>
  <c r="GQ96" i="6" s="1"/>
  <c r="GQ29" i="9" s="1"/>
  <c r="GQ40" i="6"/>
  <c r="GP35" i="6"/>
  <c r="GQ47" i="6"/>
  <c r="GQ52" i="6"/>
  <c r="GQ43" i="6"/>
  <c r="GQ54" i="6"/>
  <c r="GQ53" i="6"/>
  <c r="GQ46" i="6"/>
  <c r="GQ41" i="6"/>
  <c r="GS1" i="6"/>
  <c r="GR34" i="6"/>
  <c r="BO27" i="15" s="1"/>
  <c r="GR3" i="6"/>
  <c r="GR12" i="6" s="1"/>
  <c r="GR33" i="6"/>
  <c r="BO26" i="15" s="1"/>
  <c r="GQ50" i="6"/>
  <c r="GQ32" i="6"/>
  <c r="GQ51" i="6"/>
  <c r="GQ42" i="6"/>
  <c r="GQ31" i="6"/>
  <c r="GQ55" i="6"/>
  <c r="GQ48" i="6" l="1"/>
  <c r="GR27" i="6"/>
  <c r="BO20" i="15" s="1"/>
  <c r="GR24" i="6"/>
  <c r="BO17" i="15" s="1"/>
  <c r="GR26" i="6"/>
  <c r="BO19" i="15" s="1"/>
  <c r="GR17" i="6"/>
  <c r="BO10" i="15" s="1"/>
  <c r="GR20" i="6"/>
  <c r="BO13" i="15" s="1"/>
  <c r="GR23" i="6"/>
  <c r="BO16" i="15" s="1"/>
  <c r="GR15" i="6"/>
  <c r="GR13" i="6"/>
  <c r="BO6" i="15" s="1"/>
  <c r="GR14" i="6"/>
  <c r="BO7" i="15" s="1"/>
  <c r="GR16" i="6"/>
  <c r="BO9" i="15" s="1"/>
  <c r="GR21" i="6"/>
  <c r="BO14" i="15" s="1"/>
  <c r="GR19" i="6"/>
  <c r="BO12" i="15" s="1"/>
  <c r="GR22" i="6"/>
  <c r="BO15" i="15" s="1"/>
  <c r="GR25" i="6"/>
  <c r="BO18" i="15" s="1"/>
  <c r="GR18" i="6"/>
  <c r="BO11" i="15" s="1"/>
  <c r="GR45" i="6"/>
  <c r="GR49" i="6"/>
  <c r="BO42" i="15" s="1"/>
  <c r="GP29" i="9"/>
  <c r="GR62" i="6"/>
  <c r="GR63" i="6" s="1"/>
  <c r="GR96" i="6" s="1"/>
  <c r="GR29" i="9" s="1"/>
  <c r="GR40" i="6"/>
  <c r="BO33" i="15" s="1"/>
  <c r="GR43" i="6"/>
  <c r="BO36" i="15" s="1"/>
  <c r="GR54" i="6"/>
  <c r="BO47" i="15" s="1"/>
  <c r="GR46" i="6"/>
  <c r="BO39" i="15" s="1"/>
  <c r="GR52" i="6"/>
  <c r="BO45" i="15" s="1"/>
  <c r="GR47" i="6"/>
  <c r="BO40" i="15" s="1"/>
  <c r="GR41" i="6"/>
  <c r="BO34" i="15" s="1"/>
  <c r="GR42" i="6"/>
  <c r="BO35" i="15" s="1"/>
  <c r="GR31" i="6"/>
  <c r="BO24" i="15" s="1"/>
  <c r="GR32" i="6"/>
  <c r="BO25" i="15" s="1"/>
  <c r="GR55" i="6"/>
  <c r="BO48" i="15" s="1"/>
  <c r="GR51" i="6"/>
  <c r="BO44" i="15" s="1"/>
  <c r="GR50" i="6"/>
  <c r="BO43" i="15" s="1"/>
  <c r="GQ35" i="6"/>
  <c r="GR53" i="6"/>
  <c r="BO46" i="15" s="1"/>
  <c r="GS34" i="6"/>
  <c r="GS3" i="6"/>
  <c r="GS12" i="6" s="1"/>
  <c r="GS33" i="6"/>
  <c r="GT1" i="6"/>
  <c r="BO8" i="15" l="1"/>
  <c r="GR48" i="6"/>
  <c r="BO41" i="15" s="1"/>
  <c r="BO38" i="15"/>
  <c r="GS27" i="6"/>
  <c r="GS23" i="6"/>
  <c r="GS13" i="6"/>
  <c r="GS19" i="6"/>
  <c r="GS20" i="6"/>
  <c r="GS26" i="6"/>
  <c r="GS15" i="6"/>
  <c r="GS22" i="6"/>
  <c r="GS18" i="6"/>
  <c r="GS45" i="6"/>
  <c r="GS17" i="6"/>
  <c r="GS21" i="6"/>
  <c r="GS16" i="6"/>
  <c r="GS14" i="6"/>
  <c r="GS24" i="6"/>
  <c r="GS25" i="6"/>
  <c r="GS49" i="6"/>
  <c r="GS54" i="6"/>
  <c r="BO55" i="15"/>
  <c r="BO89" i="15"/>
  <c r="BO56" i="15"/>
  <c r="BO28" i="15"/>
  <c r="GS55" i="6"/>
  <c r="GS50" i="6"/>
  <c r="GS46" i="6"/>
  <c r="GS43" i="6"/>
  <c r="GS62" i="6"/>
  <c r="GS40" i="6"/>
  <c r="GS42" i="6"/>
  <c r="GS41" i="6"/>
  <c r="GS52" i="6"/>
  <c r="GR35" i="6"/>
  <c r="GS47" i="6"/>
  <c r="GS53" i="6"/>
  <c r="GS51" i="6"/>
  <c r="GS31" i="6"/>
  <c r="GS32" i="6"/>
  <c r="GU1" i="6"/>
  <c r="GT34" i="6"/>
  <c r="GT33" i="6"/>
  <c r="GT3" i="6"/>
  <c r="GT12" i="6" s="1"/>
  <c r="GS48" i="6" l="1"/>
  <c r="GT27" i="6"/>
  <c r="GT45" i="6"/>
  <c r="GT18" i="6"/>
  <c r="GT13" i="6"/>
  <c r="GT20" i="6"/>
  <c r="GT23" i="6"/>
  <c r="GT26" i="6"/>
  <c r="GT25" i="6"/>
  <c r="GT19" i="6"/>
  <c r="GT22" i="6"/>
  <c r="GT16" i="6"/>
  <c r="GT24" i="6"/>
  <c r="GT15" i="6"/>
  <c r="GT21" i="6"/>
  <c r="GT17" i="6"/>
  <c r="GT14" i="6"/>
  <c r="GT49" i="6"/>
  <c r="GS63" i="6"/>
  <c r="GS96" i="6" s="1"/>
  <c r="GT62" i="6"/>
  <c r="GT63" i="6" s="1"/>
  <c r="GT96" i="6" s="1"/>
  <c r="GT29" i="9" s="1"/>
  <c r="GT40" i="6"/>
  <c r="GT46" i="6"/>
  <c r="GT31" i="6"/>
  <c r="GT32" i="6"/>
  <c r="GS35" i="6"/>
  <c r="GT54" i="6"/>
  <c r="GT51" i="6"/>
  <c r="GT41" i="6"/>
  <c r="GU34" i="6"/>
  <c r="BP27" i="15" s="1"/>
  <c r="GU3" i="6"/>
  <c r="GU12" i="6" s="1"/>
  <c r="GU33" i="6"/>
  <c r="BP26" i="15" s="1"/>
  <c r="GV1" i="6"/>
  <c r="GT55" i="6"/>
  <c r="GT53" i="6"/>
  <c r="GT52" i="6"/>
  <c r="GT47" i="6"/>
  <c r="GT42" i="6"/>
  <c r="GT50" i="6"/>
  <c r="GT43" i="6"/>
  <c r="GT48" i="6" l="1"/>
  <c r="GU17" i="6"/>
  <c r="BP10" i="15" s="1"/>
  <c r="GU27" i="6"/>
  <c r="BP20" i="15" s="1"/>
  <c r="GU22" i="6"/>
  <c r="BP15" i="15" s="1"/>
  <c r="GU18" i="6"/>
  <c r="BP11" i="15" s="1"/>
  <c r="GU21" i="6"/>
  <c r="BP14" i="15" s="1"/>
  <c r="GU23" i="6"/>
  <c r="BP16" i="15" s="1"/>
  <c r="GU13" i="6"/>
  <c r="GU16" i="6"/>
  <c r="BP9" i="15" s="1"/>
  <c r="GU45" i="6"/>
  <c r="BP38" i="15" s="1"/>
  <c r="GU26" i="6"/>
  <c r="BP19" i="15" s="1"/>
  <c r="GU20" i="6"/>
  <c r="BP13" i="15" s="1"/>
  <c r="GU19" i="6"/>
  <c r="BP12" i="15" s="1"/>
  <c r="GU15" i="6"/>
  <c r="GU24" i="6"/>
  <c r="BP17" i="15" s="1"/>
  <c r="GU14" i="6"/>
  <c r="BP7" i="15" s="1"/>
  <c r="GU25" i="6"/>
  <c r="BP18" i="15" s="1"/>
  <c r="GU49" i="6"/>
  <c r="BP42" i="15" s="1"/>
  <c r="BP6" i="15"/>
  <c r="GS29" i="9"/>
  <c r="GU62" i="6"/>
  <c r="GU63" i="6" s="1"/>
  <c r="GU96" i="6" s="1"/>
  <c r="GU29" i="9" s="1"/>
  <c r="GU40" i="6"/>
  <c r="BP33" i="15" s="1"/>
  <c r="GU54" i="6"/>
  <c r="BP47" i="15" s="1"/>
  <c r="GU53" i="6"/>
  <c r="BP46" i="15" s="1"/>
  <c r="GU55" i="6"/>
  <c r="BP48" i="15" s="1"/>
  <c r="GT35" i="6"/>
  <c r="GU31" i="6"/>
  <c r="BP24" i="15" s="1"/>
  <c r="GU52" i="6"/>
  <c r="BP45" i="15" s="1"/>
  <c r="GU47" i="6"/>
  <c r="BP40" i="15" s="1"/>
  <c r="GU32" i="6"/>
  <c r="BP25" i="15" s="1"/>
  <c r="GU43" i="6"/>
  <c r="BP36" i="15" s="1"/>
  <c r="GW1" i="6"/>
  <c r="GV3" i="6"/>
  <c r="GV12" i="6" s="1"/>
  <c r="GV34" i="6"/>
  <c r="GV33" i="6"/>
  <c r="GU41" i="6"/>
  <c r="BP34" i="15" s="1"/>
  <c r="GU42" i="6"/>
  <c r="BP35" i="15" s="1"/>
  <c r="GU51" i="6"/>
  <c r="BP44" i="15" s="1"/>
  <c r="GU50" i="6"/>
  <c r="BP43" i="15" s="1"/>
  <c r="GU46" i="6"/>
  <c r="BP39" i="15" s="1"/>
  <c r="BP8" i="15" l="1"/>
  <c r="GU48" i="6"/>
  <c r="BP41" i="15" s="1"/>
  <c r="GV27" i="6"/>
  <c r="GV14" i="6"/>
  <c r="GV17" i="6"/>
  <c r="GV45" i="6"/>
  <c r="GV22" i="6"/>
  <c r="GV16" i="6"/>
  <c r="GV18" i="6"/>
  <c r="GV19" i="6"/>
  <c r="GV20" i="6"/>
  <c r="GV24" i="6"/>
  <c r="GV26" i="6"/>
  <c r="GV21" i="6"/>
  <c r="GV15" i="6"/>
  <c r="GV23" i="6"/>
  <c r="GV13" i="6"/>
  <c r="GV25" i="6"/>
  <c r="GV49" i="6"/>
  <c r="GV47" i="6"/>
  <c r="BP55" i="15"/>
  <c r="BP89" i="15"/>
  <c r="BP56" i="15"/>
  <c r="BP28" i="15"/>
  <c r="GV62" i="6"/>
  <c r="GV40" i="6"/>
  <c r="GV53" i="6"/>
  <c r="GV54" i="6"/>
  <c r="GV42" i="6"/>
  <c r="GV50" i="6"/>
  <c r="GV55" i="6"/>
  <c r="GV51" i="6"/>
  <c r="GU35" i="6"/>
  <c r="GV52" i="6"/>
  <c r="GV31" i="6"/>
  <c r="GV41" i="6"/>
  <c r="GV43" i="6"/>
  <c r="GV46" i="6"/>
  <c r="GV32" i="6"/>
  <c r="GW33" i="6"/>
  <c r="GW34" i="6"/>
  <c r="GW3" i="6"/>
  <c r="GW12" i="6" s="1"/>
  <c r="GX1" i="6"/>
  <c r="GV48" i="6" l="1"/>
  <c r="GW14" i="6"/>
  <c r="GW18" i="6"/>
  <c r="GW19" i="6"/>
  <c r="GW25" i="6"/>
  <c r="GW22" i="6"/>
  <c r="GW13" i="6"/>
  <c r="GW17" i="6"/>
  <c r="GW26" i="6"/>
  <c r="GW21" i="6"/>
  <c r="GW24" i="6"/>
  <c r="GW23" i="6"/>
  <c r="GW27" i="6"/>
  <c r="GW45" i="6"/>
  <c r="GW20" i="6"/>
  <c r="GW16" i="6"/>
  <c r="GW15" i="6"/>
  <c r="GW49" i="6"/>
  <c r="GW51" i="6"/>
  <c r="GV63" i="6"/>
  <c r="GV96" i="6" s="1"/>
  <c r="GW62" i="6"/>
  <c r="GW63" i="6" s="1"/>
  <c r="GW96" i="6" s="1"/>
  <c r="GW29" i="9" s="1"/>
  <c r="GW40" i="6"/>
  <c r="GW31" i="6"/>
  <c r="GW55" i="6"/>
  <c r="GW43" i="6"/>
  <c r="GW47" i="6"/>
  <c r="GW46" i="6"/>
  <c r="GW41" i="6"/>
  <c r="GW32" i="6"/>
  <c r="GV35" i="6"/>
  <c r="GY1" i="6"/>
  <c r="GX34" i="6"/>
  <c r="S27" i="11" s="1"/>
  <c r="GX33" i="6"/>
  <c r="GX3" i="6"/>
  <c r="GX12" i="6" s="1"/>
  <c r="GW54" i="6"/>
  <c r="GW50" i="6"/>
  <c r="GW42" i="6"/>
  <c r="GW52" i="6"/>
  <c r="GW53" i="6"/>
  <c r="GW48" i="6" l="1"/>
  <c r="GX23" i="6"/>
  <c r="GX18" i="6"/>
  <c r="GX25" i="6"/>
  <c r="GX14" i="6"/>
  <c r="GX13" i="6"/>
  <c r="S6" i="11" s="1"/>
  <c r="GX15" i="6"/>
  <c r="GX20" i="6"/>
  <c r="GX26" i="6"/>
  <c r="GX24" i="6"/>
  <c r="GX19" i="6"/>
  <c r="GX17" i="6"/>
  <c r="GX22" i="6"/>
  <c r="GX45" i="6"/>
  <c r="S38" i="11" s="1"/>
  <c r="R132" i="12" s="1"/>
  <c r="GX27" i="6"/>
  <c r="GX16" i="6"/>
  <c r="GX21" i="6"/>
  <c r="S14" i="11" s="1"/>
  <c r="GX49" i="6"/>
  <c r="GV29" i="9"/>
  <c r="S26" i="11"/>
  <c r="BQ26" i="15"/>
  <c r="BQ27" i="15"/>
  <c r="GX62" i="6"/>
  <c r="BQ55" i="15" s="1"/>
  <c r="GX40" i="6"/>
  <c r="GW35" i="6"/>
  <c r="GX53" i="6"/>
  <c r="GX47" i="6"/>
  <c r="GX31" i="6"/>
  <c r="GX32" i="6"/>
  <c r="S25" i="11" s="1"/>
  <c r="GX55" i="6"/>
  <c r="GX41" i="6"/>
  <c r="GX52" i="6"/>
  <c r="GX42" i="6"/>
  <c r="GX51" i="6"/>
  <c r="GX43" i="6"/>
  <c r="GX46" i="6"/>
  <c r="GX50" i="6"/>
  <c r="GX54" i="6"/>
  <c r="GY3" i="6"/>
  <c r="GY12" i="6" s="1"/>
  <c r="GZ1" i="6"/>
  <c r="GY34" i="6"/>
  <c r="GY33" i="6"/>
  <c r="GX48" i="6" l="1"/>
  <c r="BQ14" i="15"/>
  <c r="GY25" i="6"/>
  <c r="GY19" i="6"/>
  <c r="GY17" i="6"/>
  <c r="GY21" i="6"/>
  <c r="GY45" i="6"/>
  <c r="GY20" i="6"/>
  <c r="GY18" i="6"/>
  <c r="GY15" i="6"/>
  <c r="GY22" i="6"/>
  <c r="GY16" i="6"/>
  <c r="GY23" i="6"/>
  <c r="GY13" i="6"/>
  <c r="GY24" i="6"/>
  <c r="GY27" i="6"/>
  <c r="GY26" i="6"/>
  <c r="GY14" i="6"/>
  <c r="BQ38" i="15"/>
  <c r="S16" i="11"/>
  <c r="S9" i="11"/>
  <c r="S12" i="11"/>
  <c r="S17" i="11"/>
  <c r="S15" i="11"/>
  <c r="S11" i="11"/>
  <c r="S18" i="11"/>
  <c r="S8" i="11"/>
  <c r="S24" i="11"/>
  <c r="S28" i="11" s="1"/>
  <c r="S19" i="11"/>
  <c r="S20" i="11"/>
  <c r="S7" i="11"/>
  <c r="S10" i="11"/>
  <c r="S34" i="11"/>
  <c r="R128" i="12" s="1"/>
  <c r="S36" i="11"/>
  <c r="R130" i="12" s="1"/>
  <c r="S43" i="11"/>
  <c r="R137" i="12" s="1"/>
  <c r="S35" i="11"/>
  <c r="R129" i="12" s="1"/>
  <c r="S46" i="11"/>
  <c r="R140" i="12" s="1"/>
  <c r="S47" i="11"/>
  <c r="R141" i="12" s="1"/>
  <c r="S45" i="11"/>
  <c r="R139" i="12" s="1"/>
  <c r="S39" i="11"/>
  <c r="R133" i="12" s="1"/>
  <c r="S48" i="11"/>
  <c r="R142" i="12" s="1"/>
  <c r="S40" i="11"/>
  <c r="R134" i="12" s="1"/>
  <c r="S33" i="11"/>
  <c r="R127" i="12" s="1"/>
  <c r="S42" i="11"/>
  <c r="R136" i="12" s="1"/>
  <c r="BQ42" i="15"/>
  <c r="GY49" i="6"/>
  <c r="BQ6" i="15"/>
  <c r="BQ15" i="15"/>
  <c r="GY47" i="6"/>
  <c r="BQ25" i="15"/>
  <c r="BQ43" i="15"/>
  <c r="BQ36" i="15"/>
  <c r="BQ40" i="15"/>
  <c r="BQ46" i="15"/>
  <c r="BQ35" i="15"/>
  <c r="BQ39" i="15"/>
  <c r="BQ34" i="15"/>
  <c r="S44" i="11"/>
  <c r="R138" i="12" s="1"/>
  <c r="BQ44" i="15"/>
  <c r="BQ48" i="15"/>
  <c r="BQ47" i="15"/>
  <c r="BQ45" i="15"/>
  <c r="BQ33" i="15"/>
  <c r="BQ24" i="15"/>
  <c r="BQ10" i="15"/>
  <c r="S13" i="11"/>
  <c r="BQ13" i="15"/>
  <c r="BQ11" i="15"/>
  <c r="BQ16" i="15"/>
  <c r="BQ12" i="15"/>
  <c r="BQ17" i="15"/>
  <c r="BQ7" i="15"/>
  <c r="BQ19" i="15"/>
  <c r="BQ18" i="15"/>
  <c r="BQ9" i="15"/>
  <c r="BQ20" i="15"/>
  <c r="BQ8" i="15"/>
  <c r="GX63" i="6"/>
  <c r="S55" i="11"/>
  <c r="GY62" i="6"/>
  <c r="GY40" i="6"/>
  <c r="GY51" i="6"/>
  <c r="GX35" i="6"/>
  <c r="GY42" i="6"/>
  <c r="GY53" i="6"/>
  <c r="GY46" i="6"/>
  <c r="GY50" i="6"/>
  <c r="GY32" i="6"/>
  <c r="GY55" i="6"/>
  <c r="GY31" i="6"/>
  <c r="GY54" i="6"/>
  <c r="GY43" i="6"/>
  <c r="GY41" i="6"/>
  <c r="GZ34" i="6"/>
  <c r="GZ33" i="6"/>
  <c r="HA1" i="6"/>
  <c r="GZ3" i="6"/>
  <c r="GZ12" i="6" s="1"/>
  <c r="GY52" i="6"/>
  <c r="BQ41" i="15" l="1"/>
  <c r="S41" i="11"/>
  <c r="R135" i="12" s="1"/>
  <c r="GY48" i="6"/>
  <c r="GZ45" i="6"/>
  <c r="GZ22" i="6"/>
  <c r="GZ14" i="6"/>
  <c r="GZ18" i="6"/>
  <c r="GZ21" i="6"/>
  <c r="GZ15" i="6"/>
  <c r="GZ17" i="6"/>
  <c r="GZ19" i="6"/>
  <c r="GZ26" i="6"/>
  <c r="GZ16" i="6"/>
  <c r="GZ23" i="6"/>
  <c r="GZ13" i="6"/>
  <c r="GZ24" i="6"/>
  <c r="GZ20" i="6"/>
  <c r="GZ27" i="6"/>
  <c r="GZ25" i="6"/>
  <c r="GZ49" i="6"/>
  <c r="GX96" i="6"/>
  <c r="BQ56" i="15"/>
  <c r="BQ28" i="15"/>
  <c r="R28" i="12"/>
  <c r="S56" i="11"/>
  <c r="S89" i="11" s="1"/>
  <c r="R10" i="12" s="1"/>
  <c r="GY63" i="6"/>
  <c r="GZ62" i="6"/>
  <c r="GZ63" i="6" s="1"/>
  <c r="GZ96" i="6" s="1"/>
  <c r="GZ29" i="9" s="1"/>
  <c r="GZ40" i="6"/>
  <c r="GZ53" i="6"/>
  <c r="GY35" i="6"/>
  <c r="GZ43" i="6"/>
  <c r="GZ41" i="6"/>
  <c r="GZ54" i="6"/>
  <c r="GZ32" i="6"/>
  <c r="GZ42" i="6"/>
  <c r="GZ55" i="6"/>
  <c r="GZ47" i="6"/>
  <c r="GZ50" i="6"/>
  <c r="GZ51" i="6"/>
  <c r="GZ46" i="6"/>
  <c r="GZ52" i="6"/>
  <c r="GZ31" i="6"/>
  <c r="HA34" i="6"/>
  <c r="BR27" i="15" s="1"/>
  <c r="HA3" i="6"/>
  <c r="HA12" i="6" s="1"/>
  <c r="HB1" i="6"/>
  <c r="HA33" i="6"/>
  <c r="BR26" i="15" s="1"/>
  <c r="GZ48" i="6" l="1"/>
  <c r="HA25" i="6"/>
  <c r="BR18" i="15" s="1"/>
  <c r="HA16" i="6"/>
  <c r="BR9" i="15" s="1"/>
  <c r="HA20" i="6"/>
  <c r="BR13" i="15" s="1"/>
  <c r="HA14" i="6"/>
  <c r="BR7" i="15" s="1"/>
  <c r="HA27" i="6"/>
  <c r="BR20" i="15" s="1"/>
  <c r="HA13" i="6"/>
  <c r="BR6" i="15" s="1"/>
  <c r="HA45" i="6"/>
  <c r="HA19" i="6"/>
  <c r="BR12" i="15" s="1"/>
  <c r="HA24" i="6"/>
  <c r="BR17" i="15" s="1"/>
  <c r="HA23" i="6"/>
  <c r="BR16" i="15" s="1"/>
  <c r="HA17" i="6"/>
  <c r="BR10" i="15" s="1"/>
  <c r="HA26" i="6"/>
  <c r="BR19" i="15" s="1"/>
  <c r="HA18" i="6"/>
  <c r="BR11" i="15" s="1"/>
  <c r="HA15" i="6"/>
  <c r="HA22" i="6"/>
  <c r="HA21" i="6"/>
  <c r="BR14" i="15" s="1"/>
  <c r="HA49" i="6"/>
  <c r="BR42" i="15" s="1"/>
  <c r="GY96" i="6"/>
  <c r="GX29" i="9"/>
  <c r="BQ89" i="15"/>
  <c r="HA62" i="6"/>
  <c r="HA63" i="6" s="1"/>
  <c r="HA96" i="6" s="1"/>
  <c r="HA29" i="9" s="1"/>
  <c r="HA40" i="6"/>
  <c r="BR33" i="15" s="1"/>
  <c r="GZ35" i="6"/>
  <c r="HA50" i="6"/>
  <c r="BR43" i="15" s="1"/>
  <c r="HA52" i="6"/>
  <c r="BR45" i="15" s="1"/>
  <c r="HA55" i="6"/>
  <c r="BR48" i="15" s="1"/>
  <c r="HA31" i="6"/>
  <c r="BR24" i="15" s="1"/>
  <c r="HA46" i="6"/>
  <c r="BR39" i="15" s="1"/>
  <c r="HA41" i="6"/>
  <c r="BR34" i="15" s="1"/>
  <c r="HA42" i="6"/>
  <c r="BR35" i="15" s="1"/>
  <c r="HA32" i="6"/>
  <c r="BR25" i="15" s="1"/>
  <c r="HA43" i="6"/>
  <c r="BR36" i="15" s="1"/>
  <c r="HA47" i="6"/>
  <c r="BR40" i="15" s="1"/>
  <c r="HA54" i="6"/>
  <c r="BR47" i="15" s="1"/>
  <c r="HC1" i="6"/>
  <c r="HB33" i="6"/>
  <c r="HB34" i="6"/>
  <c r="HB3" i="6"/>
  <c r="HB12" i="6" s="1"/>
  <c r="HA51" i="6"/>
  <c r="BR44" i="15" s="1"/>
  <c r="HA53" i="6"/>
  <c r="BR46" i="15" s="1"/>
  <c r="BR8" i="15" l="1"/>
  <c r="HA48" i="6"/>
  <c r="BR41" i="15" s="1"/>
  <c r="BR38" i="15"/>
  <c r="HB17" i="6"/>
  <c r="HB25" i="6"/>
  <c r="HB14" i="6"/>
  <c r="HB27" i="6"/>
  <c r="HB24" i="6"/>
  <c r="HB45" i="6"/>
  <c r="HB26" i="6"/>
  <c r="HB22" i="6"/>
  <c r="HB21" i="6"/>
  <c r="HB15" i="6"/>
  <c r="HB13" i="6"/>
  <c r="HB23" i="6"/>
  <c r="HB18" i="6"/>
  <c r="HB19" i="6"/>
  <c r="HB16" i="6"/>
  <c r="HB20" i="6"/>
  <c r="HB49" i="6"/>
  <c r="BR15" i="15"/>
  <c r="BR55" i="15"/>
  <c r="BR56" i="15"/>
  <c r="GY29" i="9"/>
  <c r="BR89" i="15"/>
  <c r="BR28" i="15"/>
  <c r="HB62" i="6"/>
  <c r="HB40" i="6"/>
  <c r="HA35" i="6"/>
  <c r="HB50" i="6"/>
  <c r="HB42" i="6"/>
  <c r="HB53" i="6"/>
  <c r="HB55" i="6"/>
  <c r="HB47" i="6"/>
  <c r="HC34" i="6"/>
  <c r="HC33" i="6"/>
  <c r="HC3" i="6"/>
  <c r="HC12" i="6" s="1"/>
  <c r="HD1" i="6"/>
  <c r="HB51" i="6"/>
  <c r="HB54" i="6"/>
  <c r="HB46" i="6"/>
  <c r="HB32" i="6"/>
  <c r="HB43" i="6"/>
  <c r="HB41" i="6"/>
  <c r="HB52" i="6"/>
  <c r="HB31" i="6"/>
  <c r="HB48" i="6" l="1"/>
  <c r="HC23" i="6"/>
  <c r="HC25" i="6"/>
  <c r="HC13" i="6"/>
  <c r="HC26" i="6"/>
  <c r="HC16" i="6"/>
  <c r="HC27" i="6"/>
  <c r="HC15" i="6"/>
  <c r="HC24" i="6"/>
  <c r="HC18" i="6"/>
  <c r="HC20" i="6"/>
  <c r="HC21" i="6"/>
  <c r="HC19" i="6"/>
  <c r="HC14" i="6"/>
  <c r="HC45" i="6"/>
  <c r="HC17" i="6"/>
  <c r="HC22" i="6"/>
  <c r="HC49" i="6"/>
  <c r="HC41" i="6"/>
  <c r="HB63" i="6"/>
  <c r="HB96" i="6" s="1"/>
  <c r="HC50" i="6"/>
  <c r="HC46" i="6"/>
  <c r="HC32" i="6"/>
  <c r="HC52" i="6"/>
  <c r="HC42" i="6"/>
  <c r="HC53" i="6"/>
  <c r="HC43" i="6"/>
  <c r="HC62" i="6"/>
  <c r="HC63" i="6" s="1"/>
  <c r="HC96" i="6" s="1"/>
  <c r="HC29" i="9" s="1"/>
  <c r="HC40" i="6"/>
  <c r="HC51" i="6"/>
  <c r="HC54" i="6"/>
  <c r="HC47" i="6"/>
  <c r="HC55" i="6"/>
  <c r="HD33" i="6"/>
  <c r="BS26" i="15" s="1"/>
  <c r="HE1" i="6"/>
  <c r="HD3" i="6"/>
  <c r="HD12" i="6" s="1"/>
  <c r="HD34" i="6"/>
  <c r="BS27" i="15" s="1"/>
  <c r="HB35" i="6"/>
  <c r="HC31" i="6"/>
  <c r="HC48" i="6" l="1"/>
  <c r="HD25" i="6"/>
  <c r="BS18" i="15" s="1"/>
  <c r="HD15" i="6"/>
  <c r="HD20" i="6"/>
  <c r="BS13" i="15" s="1"/>
  <c r="HD19" i="6"/>
  <c r="BS12" i="15" s="1"/>
  <c r="HD23" i="6"/>
  <c r="BS16" i="15" s="1"/>
  <c r="HD45" i="6"/>
  <c r="BS38" i="15" s="1"/>
  <c r="HD22" i="6"/>
  <c r="BS15" i="15" s="1"/>
  <c r="HD27" i="6"/>
  <c r="BS20" i="15" s="1"/>
  <c r="HD13" i="6"/>
  <c r="HD21" i="6"/>
  <c r="BS14" i="15" s="1"/>
  <c r="HD17" i="6"/>
  <c r="BS10" i="15" s="1"/>
  <c r="HD26" i="6"/>
  <c r="BS19" i="15" s="1"/>
  <c r="HD18" i="6"/>
  <c r="BS11" i="15" s="1"/>
  <c r="HD24" i="6"/>
  <c r="BS17" i="15" s="1"/>
  <c r="HD16" i="6"/>
  <c r="BS9" i="15" s="1"/>
  <c r="HD14" i="6"/>
  <c r="BS7" i="15" s="1"/>
  <c r="HD49" i="6"/>
  <c r="BS42" i="15" s="1"/>
  <c r="BS6" i="15"/>
  <c r="HB29" i="9"/>
  <c r="HC35" i="6"/>
  <c r="HD62" i="6"/>
  <c r="HD63" i="6" s="1"/>
  <c r="HD96" i="6" s="1"/>
  <c r="HD29" i="9" s="1"/>
  <c r="HD40" i="6"/>
  <c r="BS33" i="15" s="1"/>
  <c r="HD46" i="6"/>
  <c r="BS39" i="15" s="1"/>
  <c r="HD51" i="6"/>
  <c r="BS44" i="15" s="1"/>
  <c r="HD41" i="6"/>
  <c r="BS34" i="15" s="1"/>
  <c r="HD31" i="6"/>
  <c r="BS24" i="15" s="1"/>
  <c r="HD47" i="6"/>
  <c r="BS40" i="15" s="1"/>
  <c r="HD53" i="6"/>
  <c r="BS46" i="15" s="1"/>
  <c r="HD52" i="6"/>
  <c r="BS45" i="15" s="1"/>
  <c r="HD42" i="6"/>
  <c r="BS35" i="15" s="1"/>
  <c r="HE34" i="6"/>
  <c r="HF1" i="6"/>
  <c r="HE33" i="6"/>
  <c r="HE3" i="6"/>
  <c r="HE12" i="6" s="1"/>
  <c r="HD50" i="6"/>
  <c r="BS43" i="15" s="1"/>
  <c r="HD55" i="6"/>
  <c r="BS48" i="15" s="1"/>
  <c r="HD54" i="6"/>
  <c r="BS47" i="15" s="1"/>
  <c r="HD43" i="6"/>
  <c r="BS36" i="15" s="1"/>
  <c r="HD32" i="6"/>
  <c r="BS25" i="15" s="1"/>
  <c r="BS8" i="15" l="1"/>
  <c r="HD48" i="6"/>
  <c r="BS41" i="15" s="1"/>
  <c r="HE26" i="6"/>
  <c r="HE19" i="6"/>
  <c r="HE25" i="6"/>
  <c r="HE17" i="6"/>
  <c r="HE23" i="6"/>
  <c r="HE15" i="6"/>
  <c r="HE16" i="6"/>
  <c r="HE27" i="6"/>
  <c r="HE21" i="6"/>
  <c r="HE20" i="6"/>
  <c r="HE18" i="6"/>
  <c r="HE22" i="6"/>
  <c r="HE13" i="6"/>
  <c r="HE45" i="6"/>
  <c r="HE14" i="6"/>
  <c r="HE24" i="6"/>
  <c r="HE49" i="6"/>
  <c r="BS89" i="15"/>
  <c r="BS55" i="15"/>
  <c r="BS56" i="15"/>
  <c r="BS28" i="15"/>
  <c r="HE62" i="6"/>
  <c r="HE40" i="6"/>
  <c r="HD35" i="6"/>
  <c r="HE42" i="6"/>
  <c r="HE50" i="6"/>
  <c r="HE52" i="6"/>
  <c r="HE32" i="6"/>
  <c r="HE46" i="6"/>
  <c r="HE51" i="6"/>
  <c r="HE43" i="6"/>
  <c r="HE55" i="6"/>
  <c r="HF34" i="6"/>
  <c r="HF3" i="6"/>
  <c r="HF12" i="6" s="1"/>
  <c r="HG1" i="6"/>
  <c r="HF33" i="6"/>
  <c r="HE53" i="6"/>
  <c r="HE41" i="6"/>
  <c r="HE31" i="6"/>
  <c r="HE54" i="6"/>
  <c r="HE47" i="6"/>
  <c r="HE48" i="6" l="1"/>
  <c r="HF23" i="6"/>
  <c r="HF26" i="6"/>
  <c r="HF18" i="6"/>
  <c r="HF27" i="6"/>
  <c r="HF14" i="6"/>
  <c r="HF24" i="6"/>
  <c r="HF21" i="6"/>
  <c r="HF20" i="6"/>
  <c r="HF45" i="6"/>
  <c r="HF15" i="6"/>
  <c r="HF19" i="6"/>
  <c r="HF16" i="6"/>
  <c r="HF13" i="6"/>
  <c r="HF17" i="6"/>
  <c r="HF22" i="6"/>
  <c r="HF25" i="6"/>
  <c r="HF49" i="6"/>
  <c r="HE63" i="6"/>
  <c r="HE96" i="6" s="1"/>
  <c r="HE35" i="6"/>
  <c r="HF62" i="6"/>
  <c r="HF63" i="6" s="1"/>
  <c r="HF96" i="6" s="1"/>
  <c r="HF29" i="9" s="1"/>
  <c r="HF40" i="6"/>
  <c r="HF53" i="6"/>
  <c r="HF47" i="6"/>
  <c r="HF42" i="6"/>
  <c r="HF51" i="6"/>
  <c r="HF43" i="6"/>
  <c r="HF50" i="6"/>
  <c r="HF55" i="6"/>
  <c r="HF31" i="6"/>
  <c r="HG3" i="6"/>
  <c r="HG12" i="6" s="1"/>
  <c r="HG34" i="6"/>
  <c r="BT27" i="15" s="1"/>
  <c r="HH1" i="6"/>
  <c r="HG33" i="6"/>
  <c r="BT26" i="15" s="1"/>
  <c r="HF32" i="6"/>
  <c r="HF52" i="6"/>
  <c r="HF46" i="6"/>
  <c r="HF54" i="6"/>
  <c r="HF41" i="6"/>
  <c r="HF48" i="6" l="1"/>
  <c r="HG19" i="6"/>
  <c r="BT12" i="15" s="1"/>
  <c r="HG26" i="6"/>
  <c r="BT19" i="15" s="1"/>
  <c r="HG18" i="6"/>
  <c r="BT11" i="15" s="1"/>
  <c r="HG14" i="6"/>
  <c r="BT7" i="15" s="1"/>
  <c r="HG13" i="6"/>
  <c r="BT6" i="15" s="1"/>
  <c r="HG21" i="6"/>
  <c r="BT14" i="15" s="1"/>
  <c r="HG23" i="6"/>
  <c r="BT16" i="15" s="1"/>
  <c r="HG24" i="6"/>
  <c r="BT17" i="15" s="1"/>
  <c r="HG27" i="6"/>
  <c r="BT20" i="15" s="1"/>
  <c r="HG16" i="6"/>
  <c r="BT9" i="15" s="1"/>
  <c r="HG20" i="6"/>
  <c r="BT13" i="15" s="1"/>
  <c r="HG17" i="6"/>
  <c r="BT10" i="15" s="1"/>
  <c r="HG45" i="6"/>
  <c r="BT38" i="15" s="1"/>
  <c r="HG25" i="6"/>
  <c r="BT18" i="15" s="1"/>
  <c r="HG22" i="6"/>
  <c r="BT15" i="15" s="1"/>
  <c r="HG15" i="6"/>
  <c r="HG49" i="6"/>
  <c r="BT42" i="15" s="1"/>
  <c r="HE29" i="9"/>
  <c r="HG62" i="6"/>
  <c r="HG63" i="6" s="1"/>
  <c r="HG96" i="6" s="1"/>
  <c r="HG29" i="9" s="1"/>
  <c r="HG40" i="6"/>
  <c r="BT33" i="15" s="1"/>
  <c r="HG54" i="6"/>
  <c r="BT47" i="15" s="1"/>
  <c r="HG46" i="6"/>
  <c r="BT39" i="15" s="1"/>
  <c r="HG31" i="6"/>
  <c r="BT24" i="15" s="1"/>
  <c r="HG53" i="6"/>
  <c r="BT46" i="15" s="1"/>
  <c r="HG32" i="6"/>
  <c r="BT25" i="15" s="1"/>
  <c r="HG41" i="6"/>
  <c r="BT34" i="15" s="1"/>
  <c r="HG52" i="6"/>
  <c r="BT45" i="15" s="1"/>
  <c r="HG47" i="6"/>
  <c r="BT40" i="15" s="1"/>
  <c r="HG50" i="6"/>
  <c r="BT43" i="15" s="1"/>
  <c r="HH3" i="6"/>
  <c r="HH12" i="6" s="1"/>
  <c r="HI1" i="6"/>
  <c r="HH34" i="6"/>
  <c r="HH33" i="6"/>
  <c r="HG55" i="6"/>
  <c r="BT48" i="15" s="1"/>
  <c r="HG43" i="6"/>
  <c r="BT36" i="15" s="1"/>
  <c r="HG51" i="6"/>
  <c r="BT44" i="15" s="1"/>
  <c r="HG42" i="6"/>
  <c r="BT35" i="15" s="1"/>
  <c r="HF35" i="6"/>
  <c r="BT8" i="15" l="1"/>
  <c r="HG48" i="6"/>
  <c r="BT41" i="15" s="1"/>
  <c r="HH26" i="6"/>
  <c r="HH13" i="6"/>
  <c r="HH19" i="6"/>
  <c r="HH45" i="6"/>
  <c r="HH14" i="6"/>
  <c r="HH24" i="6"/>
  <c r="HH27" i="6"/>
  <c r="HH15" i="6"/>
  <c r="HH18" i="6"/>
  <c r="HH21" i="6"/>
  <c r="HH23" i="6"/>
  <c r="HH17" i="6"/>
  <c r="HH25" i="6"/>
  <c r="HH22" i="6"/>
  <c r="HH20" i="6"/>
  <c r="HH16" i="6"/>
  <c r="HH49" i="6"/>
  <c r="BT55" i="15"/>
  <c r="BT89" i="15"/>
  <c r="BT56" i="15"/>
  <c r="BT28" i="15"/>
  <c r="HH62" i="6"/>
  <c r="HH40" i="6"/>
  <c r="HH51" i="6"/>
  <c r="HH53" i="6"/>
  <c r="HH32" i="6"/>
  <c r="HH43" i="6"/>
  <c r="HH54" i="6"/>
  <c r="HH41" i="6"/>
  <c r="HG35" i="6"/>
  <c r="HH42" i="6"/>
  <c r="HH31" i="6"/>
  <c r="HH46" i="6"/>
  <c r="HH52" i="6"/>
  <c r="HH50" i="6"/>
  <c r="HJ1" i="6"/>
  <c r="HI3" i="6"/>
  <c r="HI12" i="6" s="1"/>
  <c r="HI33" i="6"/>
  <c r="HI34" i="6"/>
  <c r="HH55" i="6"/>
  <c r="HH47" i="6"/>
  <c r="HH48" i="6" l="1"/>
  <c r="HI19" i="6"/>
  <c r="HI26" i="6"/>
  <c r="HI23" i="6"/>
  <c r="HI14" i="6"/>
  <c r="HI27" i="6"/>
  <c r="HI45" i="6"/>
  <c r="HI21" i="6"/>
  <c r="HI18" i="6"/>
  <c r="HI16" i="6"/>
  <c r="HI24" i="6"/>
  <c r="HI13" i="6"/>
  <c r="HI22" i="6"/>
  <c r="HI25" i="6"/>
  <c r="HI20" i="6"/>
  <c r="HI17" i="6"/>
  <c r="HI15" i="6"/>
  <c r="HI49" i="6"/>
  <c r="HH63" i="6"/>
  <c r="HH96" i="6" s="1"/>
  <c r="HI62" i="6"/>
  <c r="HI63" i="6" s="1"/>
  <c r="HI96" i="6" s="1"/>
  <c r="HI29" i="9" s="1"/>
  <c r="HI40" i="6"/>
  <c r="HI46" i="6"/>
  <c r="HH35" i="6"/>
  <c r="HI42" i="6"/>
  <c r="HI43" i="6"/>
  <c r="HI47" i="6"/>
  <c r="HI41" i="6"/>
  <c r="HI50" i="6"/>
  <c r="HI54" i="6"/>
  <c r="HI32" i="6"/>
  <c r="HI52" i="6"/>
  <c r="HI53" i="6"/>
  <c r="HI51" i="6"/>
  <c r="HI55" i="6"/>
  <c r="HI31" i="6"/>
  <c r="HJ34" i="6"/>
  <c r="T27" i="11" s="1"/>
  <c r="HK1" i="6"/>
  <c r="HJ3" i="6"/>
  <c r="HJ12" i="6" s="1"/>
  <c r="HJ33" i="6"/>
  <c r="T26" i="11" s="1"/>
  <c r="HI48" i="6" l="1"/>
  <c r="HJ19" i="6"/>
  <c r="HJ26" i="6"/>
  <c r="HJ17" i="6"/>
  <c r="HJ15" i="6"/>
  <c r="HJ13" i="6"/>
  <c r="T6" i="11" s="1"/>
  <c r="HJ27" i="6"/>
  <c r="HJ14" i="6"/>
  <c r="HJ25" i="6"/>
  <c r="HJ24" i="6"/>
  <c r="HJ21" i="6"/>
  <c r="T14" i="11" s="1"/>
  <c r="HJ45" i="6"/>
  <c r="HJ22" i="6"/>
  <c r="HJ18" i="6"/>
  <c r="HJ16" i="6"/>
  <c r="HJ20" i="6"/>
  <c r="HJ23" i="6"/>
  <c r="HJ49" i="6"/>
  <c r="HH29" i="9"/>
  <c r="BU26" i="15"/>
  <c r="BU27" i="15"/>
  <c r="HJ62" i="6"/>
  <c r="BU55" i="15" s="1"/>
  <c r="HJ40" i="6"/>
  <c r="HJ50" i="6"/>
  <c r="HJ53" i="6"/>
  <c r="HI35" i="6"/>
  <c r="HJ32" i="6"/>
  <c r="T25" i="11" s="1"/>
  <c r="HJ31" i="6"/>
  <c r="HJ42" i="6"/>
  <c r="HJ47" i="6"/>
  <c r="HK33" i="6"/>
  <c r="HL1" i="6"/>
  <c r="HK34" i="6"/>
  <c r="HK3" i="6"/>
  <c r="HK12" i="6" s="1"/>
  <c r="HJ52" i="6"/>
  <c r="HJ55" i="6"/>
  <c r="HJ51" i="6"/>
  <c r="HJ41" i="6"/>
  <c r="HJ54" i="6"/>
  <c r="HJ43" i="6"/>
  <c r="HJ46" i="6"/>
  <c r="HJ48" i="6" l="1"/>
  <c r="BU14" i="15"/>
  <c r="HK27" i="6"/>
  <c r="HK19" i="6"/>
  <c r="HK45" i="6"/>
  <c r="HK17" i="6"/>
  <c r="HK18" i="6"/>
  <c r="HK16" i="6"/>
  <c r="HK15" i="6"/>
  <c r="HK25" i="6"/>
  <c r="HK20" i="6"/>
  <c r="HK14" i="6"/>
  <c r="HK26" i="6"/>
  <c r="HK23" i="6"/>
  <c r="HK24" i="6"/>
  <c r="HK22" i="6"/>
  <c r="HK13" i="6"/>
  <c r="HK21" i="6"/>
  <c r="T38" i="11"/>
  <c r="S132" i="12" s="1"/>
  <c r="BU38" i="15"/>
  <c r="T8" i="11"/>
  <c r="T19" i="11"/>
  <c r="T7" i="11"/>
  <c r="BU12" i="15"/>
  <c r="T24" i="11"/>
  <c r="T28" i="11" s="1"/>
  <c r="T11" i="11"/>
  <c r="T13" i="11"/>
  <c r="T15" i="11"/>
  <c r="T17" i="11"/>
  <c r="T9" i="11"/>
  <c r="T20" i="11"/>
  <c r="T16" i="11"/>
  <c r="T36" i="11"/>
  <c r="S130" i="12" s="1"/>
  <c r="T34" i="11"/>
  <c r="S128" i="12" s="1"/>
  <c r="T45" i="11"/>
  <c r="S139" i="12" s="1"/>
  <c r="T46" i="11"/>
  <c r="S140" i="12" s="1"/>
  <c r="T44" i="11"/>
  <c r="S138" i="12" s="1"/>
  <c r="T40" i="11"/>
  <c r="S134" i="12" s="1"/>
  <c r="T43" i="11"/>
  <c r="S137" i="12" s="1"/>
  <c r="T39" i="11"/>
  <c r="S133" i="12" s="1"/>
  <c r="T48" i="11"/>
  <c r="S142" i="12" s="1"/>
  <c r="T35" i="11"/>
  <c r="S129" i="12" s="1"/>
  <c r="T47" i="11"/>
  <c r="S141" i="12" s="1"/>
  <c r="T33" i="11"/>
  <c r="S127" i="12" s="1"/>
  <c r="T42" i="11"/>
  <c r="S136" i="12" s="1"/>
  <c r="BU42" i="15"/>
  <c r="HK49" i="6"/>
  <c r="BU6" i="15"/>
  <c r="BU15" i="15"/>
  <c r="T12" i="11"/>
  <c r="BU25" i="15"/>
  <c r="BU40" i="15"/>
  <c r="BU47" i="15"/>
  <c r="BU44" i="15"/>
  <c r="BU43" i="15"/>
  <c r="BU45" i="15"/>
  <c r="BU36" i="15"/>
  <c r="BU39" i="15"/>
  <c r="BU46" i="15"/>
  <c r="BU34" i="15"/>
  <c r="BU35" i="15"/>
  <c r="BU48" i="15"/>
  <c r="BU33" i="15"/>
  <c r="BU24" i="15"/>
  <c r="T10" i="11"/>
  <c r="BU10" i="15"/>
  <c r="BU19" i="15"/>
  <c r="BU16" i="15"/>
  <c r="BU9" i="15"/>
  <c r="BU13" i="15"/>
  <c r="T18" i="11"/>
  <c r="BU18" i="15"/>
  <c r="BU11" i="15"/>
  <c r="BU17" i="15"/>
  <c r="BU20" i="15"/>
  <c r="BU7" i="15"/>
  <c r="BU8" i="15"/>
  <c r="HJ63" i="6"/>
  <c r="T55" i="11"/>
  <c r="HK62" i="6"/>
  <c r="HK40" i="6"/>
  <c r="HK52" i="6"/>
  <c r="HK50" i="6"/>
  <c r="HK51" i="6"/>
  <c r="HK54" i="6"/>
  <c r="HK47" i="6"/>
  <c r="HJ35" i="6"/>
  <c r="HK53" i="6"/>
  <c r="HK41" i="6"/>
  <c r="HK46" i="6"/>
  <c r="HK32" i="6"/>
  <c r="HK55" i="6"/>
  <c r="HK43" i="6"/>
  <c r="HK31" i="6"/>
  <c r="HK42" i="6"/>
  <c r="HL33" i="6"/>
  <c r="HM1" i="6"/>
  <c r="HL34" i="6"/>
  <c r="HL3" i="6"/>
  <c r="HL12" i="6" s="1"/>
  <c r="BU41" i="15" l="1"/>
  <c r="T41" i="11"/>
  <c r="S135" i="12" s="1"/>
  <c r="HK48" i="6"/>
  <c r="HL27" i="6"/>
  <c r="HL22" i="6"/>
  <c r="HL14" i="6"/>
  <c r="HL18" i="6"/>
  <c r="HL15" i="6"/>
  <c r="HL21" i="6"/>
  <c r="HL24" i="6"/>
  <c r="HL45" i="6"/>
  <c r="HL23" i="6"/>
  <c r="HL26" i="6"/>
  <c r="HL17" i="6"/>
  <c r="HL13" i="6"/>
  <c r="HL25" i="6"/>
  <c r="HL16" i="6"/>
  <c r="HL20" i="6"/>
  <c r="HL19" i="6"/>
  <c r="HL49" i="6"/>
  <c r="S28" i="12"/>
  <c r="HL55" i="6"/>
  <c r="HJ96" i="6"/>
  <c r="BU56" i="15"/>
  <c r="BU28" i="15"/>
  <c r="T56" i="11"/>
  <c r="T89" i="11" s="1"/>
  <c r="S10" i="12" s="1"/>
  <c r="HK63" i="6"/>
  <c r="HL62" i="6"/>
  <c r="HL63" i="6" s="1"/>
  <c r="HL96" i="6" s="1"/>
  <c r="HL29" i="9" s="1"/>
  <c r="HL40" i="6"/>
  <c r="HL54" i="6"/>
  <c r="HL51" i="6"/>
  <c r="HK35" i="6"/>
  <c r="HL50" i="6"/>
  <c r="HL32" i="6"/>
  <c r="HL47" i="6"/>
  <c r="HL42" i="6"/>
  <c r="HL53" i="6"/>
  <c r="HL31" i="6"/>
  <c r="HL43" i="6"/>
  <c r="HL46" i="6"/>
  <c r="HL41" i="6"/>
  <c r="HL52" i="6"/>
  <c r="HM33" i="6"/>
  <c r="BV26" i="15" s="1"/>
  <c r="HM3" i="6"/>
  <c r="HM12" i="6" s="1"/>
  <c r="HM34" i="6"/>
  <c r="BV27" i="15" s="1"/>
  <c r="HN1" i="6"/>
  <c r="HL48" i="6" l="1"/>
  <c r="HM27" i="6"/>
  <c r="BV20" i="15" s="1"/>
  <c r="HM15" i="6"/>
  <c r="HM16" i="6"/>
  <c r="BV9" i="15" s="1"/>
  <c r="HM22" i="6"/>
  <c r="HM17" i="6"/>
  <c r="BV10" i="15" s="1"/>
  <c r="HM23" i="6"/>
  <c r="BV16" i="15" s="1"/>
  <c r="HM18" i="6"/>
  <c r="BV11" i="15" s="1"/>
  <c r="HM21" i="6"/>
  <c r="BV14" i="15" s="1"/>
  <c r="HM26" i="6"/>
  <c r="BV19" i="15" s="1"/>
  <c r="HM45" i="6"/>
  <c r="HM20" i="6"/>
  <c r="BV13" i="15" s="1"/>
  <c r="HM13" i="6"/>
  <c r="BV6" i="15" s="1"/>
  <c r="HM25" i="6"/>
  <c r="BV18" i="15" s="1"/>
  <c r="HM14" i="6"/>
  <c r="BV7" i="15" s="1"/>
  <c r="HM24" i="6"/>
  <c r="BV17" i="15" s="1"/>
  <c r="HM19" i="6"/>
  <c r="BV12" i="15" s="1"/>
  <c r="HM49" i="6"/>
  <c r="BV42" i="15" s="1"/>
  <c r="HK96" i="6"/>
  <c r="HJ29" i="9"/>
  <c r="BU89" i="15"/>
  <c r="HL35" i="6"/>
  <c r="HM62" i="6"/>
  <c r="HM40" i="6"/>
  <c r="BV33" i="15" s="1"/>
  <c r="HM41" i="6"/>
  <c r="BV34" i="15" s="1"/>
  <c r="HM51" i="6"/>
  <c r="BV44" i="15" s="1"/>
  <c r="HM50" i="6"/>
  <c r="BV43" i="15" s="1"/>
  <c r="HM55" i="6"/>
  <c r="BV48" i="15" s="1"/>
  <c r="HM43" i="6"/>
  <c r="BV36" i="15" s="1"/>
  <c r="HM46" i="6"/>
  <c r="BV39" i="15" s="1"/>
  <c r="HM53" i="6"/>
  <c r="BV46" i="15" s="1"/>
  <c r="HM47" i="6"/>
  <c r="BV40" i="15" s="1"/>
  <c r="HN34" i="6"/>
  <c r="HO1" i="6"/>
  <c r="HN33" i="6"/>
  <c r="HN3" i="6"/>
  <c r="HN12" i="6" s="1"/>
  <c r="HM31" i="6"/>
  <c r="BV24" i="15" s="1"/>
  <c r="HM52" i="6"/>
  <c r="BV45" i="15" s="1"/>
  <c r="HM54" i="6"/>
  <c r="BV47" i="15" s="1"/>
  <c r="HM42" i="6"/>
  <c r="BV35" i="15" s="1"/>
  <c r="HM32" i="6"/>
  <c r="BV25" i="15" s="1"/>
  <c r="BV8" i="15" l="1"/>
  <c r="HM48" i="6"/>
  <c r="BV41" i="15" s="1"/>
  <c r="HN27" i="6"/>
  <c r="HN15" i="6"/>
  <c r="HN14" i="6"/>
  <c r="HN18" i="6"/>
  <c r="HN45" i="6"/>
  <c r="HN17" i="6"/>
  <c r="HN23" i="6"/>
  <c r="HN21" i="6"/>
  <c r="HN25" i="6"/>
  <c r="HN24" i="6"/>
  <c r="HN26" i="6"/>
  <c r="HN22" i="6"/>
  <c r="HN13" i="6"/>
  <c r="HN20" i="6"/>
  <c r="HN16" i="6"/>
  <c r="HN19" i="6"/>
  <c r="BV38" i="15"/>
  <c r="HN49" i="6"/>
  <c r="BV15" i="15"/>
  <c r="HM63" i="6"/>
  <c r="HM96" i="6" s="1"/>
  <c r="HM29" i="9" s="1"/>
  <c r="BV55" i="15"/>
  <c r="HK29" i="9"/>
  <c r="BV28" i="15"/>
  <c r="HN62" i="6"/>
  <c r="HN40" i="6"/>
  <c r="HN54" i="6"/>
  <c r="HN42" i="6"/>
  <c r="HN51" i="6"/>
  <c r="HN50" i="6"/>
  <c r="HN53" i="6"/>
  <c r="HN55" i="6"/>
  <c r="HN41" i="6"/>
  <c r="HN32" i="6"/>
  <c r="HN52" i="6"/>
  <c r="HN46" i="6"/>
  <c r="HP1" i="6"/>
  <c r="HO3" i="6"/>
  <c r="HO12" i="6" s="1"/>
  <c r="HO34" i="6"/>
  <c r="HO33" i="6"/>
  <c r="HN47" i="6"/>
  <c r="HN31" i="6"/>
  <c r="HM35" i="6"/>
  <c r="HN43" i="6"/>
  <c r="HN48" i="6" l="1"/>
  <c r="HO23" i="6"/>
  <c r="HO18" i="6"/>
  <c r="HO27" i="6"/>
  <c r="HO14" i="6"/>
  <c r="HO13" i="6"/>
  <c r="HO22" i="6"/>
  <c r="HO21" i="6"/>
  <c r="HO45" i="6"/>
  <c r="HO19" i="6"/>
  <c r="HO17" i="6"/>
  <c r="HO20" i="6"/>
  <c r="HO15" i="6"/>
  <c r="HO26" i="6"/>
  <c r="HO16" i="6"/>
  <c r="HO24" i="6"/>
  <c r="HO25" i="6"/>
  <c r="HO49" i="6"/>
  <c r="BV89" i="15"/>
  <c r="BV56" i="15"/>
  <c r="HN63" i="6"/>
  <c r="HN96" i="6" s="1"/>
  <c r="HO62" i="6"/>
  <c r="HO63" i="6" s="1"/>
  <c r="HO96" i="6" s="1"/>
  <c r="HO29" i="9" s="1"/>
  <c r="HO40" i="6"/>
  <c r="HO46" i="6"/>
  <c r="HO55" i="6"/>
  <c r="HO51" i="6"/>
  <c r="HO32" i="6"/>
  <c r="HO41" i="6"/>
  <c r="HO52" i="6"/>
  <c r="HN35" i="6"/>
  <c r="HO47" i="6"/>
  <c r="HO50" i="6"/>
  <c r="HO54" i="6"/>
  <c r="HO43" i="6"/>
  <c r="HO53" i="6"/>
  <c r="HO42" i="6"/>
  <c r="HO31" i="6"/>
  <c r="HP34" i="6"/>
  <c r="BW27" i="15" s="1"/>
  <c r="HQ1" i="6"/>
  <c r="HP3" i="6"/>
  <c r="HP12" i="6" s="1"/>
  <c r="HP33" i="6"/>
  <c r="BW26" i="15" s="1"/>
  <c r="HO48" i="6" l="1"/>
  <c r="HP24" i="6"/>
  <c r="BW17" i="15" s="1"/>
  <c r="HP27" i="6"/>
  <c r="BW20" i="15" s="1"/>
  <c r="HP45" i="6"/>
  <c r="BW38" i="15" s="1"/>
  <c r="HP25" i="6"/>
  <c r="BW18" i="15" s="1"/>
  <c r="HP13" i="6"/>
  <c r="BW6" i="15" s="1"/>
  <c r="HP15" i="6"/>
  <c r="HP23" i="6"/>
  <c r="BW16" i="15" s="1"/>
  <c r="HP21" i="6"/>
  <c r="BW14" i="15" s="1"/>
  <c r="HP18" i="6"/>
  <c r="BW11" i="15" s="1"/>
  <c r="HP26" i="6"/>
  <c r="BW19" i="15" s="1"/>
  <c r="HP20" i="6"/>
  <c r="BW13" i="15" s="1"/>
  <c r="HP19" i="6"/>
  <c r="BW12" i="15" s="1"/>
  <c r="HP17" i="6"/>
  <c r="BW10" i="15" s="1"/>
  <c r="HP14" i="6"/>
  <c r="BW7" i="15" s="1"/>
  <c r="HP22" i="6"/>
  <c r="BW15" i="15" s="1"/>
  <c r="HP16" i="6"/>
  <c r="BW9" i="15" s="1"/>
  <c r="HP49" i="6"/>
  <c r="BW42" i="15" s="1"/>
  <c r="HN29" i="9"/>
  <c r="HO35" i="6"/>
  <c r="HP62" i="6"/>
  <c r="HP63" i="6" s="1"/>
  <c r="HP96" i="6" s="1"/>
  <c r="HP29" i="9" s="1"/>
  <c r="HP40" i="6"/>
  <c r="BW33" i="15" s="1"/>
  <c r="HP46" i="6"/>
  <c r="BW39" i="15" s="1"/>
  <c r="HP31" i="6"/>
  <c r="BW24" i="15" s="1"/>
  <c r="HP55" i="6"/>
  <c r="BW48" i="15" s="1"/>
  <c r="HP43" i="6"/>
  <c r="BW36" i="15" s="1"/>
  <c r="HP51" i="6"/>
  <c r="BW44" i="15" s="1"/>
  <c r="HQ3" i="6"/>
  <c r="HQ12" i="6" s="1"/>
  <c r="HQ34" i="6"/>
  <c r="HQ33" i="6"/>
  <c r="HR1" i="6"/>
  <c r="HP32" i="6"/>
  <c r="BW25" i="15" s="1"/>
  <c r="HP47" i="6"/>
  <c r="BW40" i="15" s="1"/>
  <c r="HP52" i="6"/>
  <c r="BW45" i="15" s="1"/>
  <c r="HP41" i="6"/>
  <c r="BW34" i="15" s="1"/>
  <c r="HP50" i="6"/>
  <c r="BW43" i="15" s="1"/>
  <c r="HP53" i="6"/>
  <c r="BW46" i="15" s="1"/>
  <c r="HP42" i="6"/>
  <c r="BW35" i="15" s="1"/>
  <c r="HP54" i="6"/>
  <c r="BW47" i="15" s="1"/>
  <c r="BW8" i="15" l="1"/>
  <c r="HP48" i="6"/>
  <c r="BW41" i="15" s="1"/>
  <c r="HQ23" i="6"/>
  <c r="HQ24" i="6"/>
  <c r="HQ18" i="6"/>
  <c r="HQ22" i="6"/>
  <c r="HQ25" i="6"/>
  <c r="HQ19" i="6"/>
  <c r="HQ45" i="6"/>
  <c r="HQ20" i="6"/>
  <c r="HQ26" i="6"/>
  <c r="HQ17" i="6"/>
  <c r="HQ16" i="6"/>
  <c r="HQ21" i="6"/>
  <c r="HQ13" i="6"/>
  <c r="HQ27" i="6"/>
  <c r="HQ15" i="6"/>
  <c r="HQ14" i="6"/>
  <c r="HQ49" i="6"/>
  <c r="HQ50" i="6"/>
  <c r="BW89" i="15"/>
  <c r="BW55" i="15"/>
  <c r="BW56" i="15"/>
  <c r="BW28" i="15"/>
  <c r="HQ54" i="6"/>
  <c r="HQ55" i="6"/>
  <c r="HQ32" i="6"/>
  <c r="HQ41" i="6"/>
  <c r="HQ62" i="6"/>
  <c r="HQ40" i="6"/>
  <c r="HQ53" i="6"/>
  <c r="HQ43" i="6"/>
  <c r="HQ31" i="6"/>
  <c r="HQ51" i="6"/>
  <c r="HR34" i="6"/>
  <c r="HR33" i="6"/>
  <c r="HS1" i="6"/>
  <c r="HR3" i="6"/>
  <c r="HR12" i="6" s="1"/>
  <c r="HQ46" i="6"/>
  <c r="HQ52" i="6"/>
  <c r="HQ42" i="6"/>
  <c r="HQ47" i="6"/>
  <c r="HP35" i="6"/>
  <c r="HQ48" i="6" l="1"/>
  <c r="HR24" i="6"/>
  <c r="HR26" i="6"/>
  <c r="HR18" i="6"/>
  <c r="HR20" i="6"/>
  <c r="HR22" i="6"/>
  <c r="HR21" i="6"/>
  <c r="HR13" i="6"/>
  <c r="HR17" i="6"/>
  <c r="HR15" i="6"/>
  <c r="HR16" i="6"/>
  <c r="HR14" i="6"/>
  <c r="HR23" i="6"/>
  <c r="HR45" i="6"/>
  <c r="HR27" i="6"/>
  <c r="HR25" i="6"/>
  <c r="HR19" i="6"/>
  <c r="HR49" i="6"/>
  <c r="HQ63" i="6"/>
  <c r="HQ96" i="6" s="1"/>
  <c r="HQ35" i="6"/>
  <c r="HR62" i="6"/>
  <c r="HR63" i="6" s="1"/>
  <c r="HR96" i="6" s="1"/>
  <c r="HR29" i="9" s="1"/>
  <c r="HR40" i="6"/>
  <c r="HR47" i="6"/>
  <c r="HR42" i="6"/>
  <c r="HR46" i="6"/>
  <c r="HR50" i="6"/>
  <c r="HR55" i="6"/>
  <c r="HR52" i="6"/>
  <c r="HR54" i="6"/>
  <c r="HR53" i="6"/>
  <c r="HR31" i="6"/>
  <c r="HS33" i="6"/>
  <c r="BX26" i="15" s="1"/>
  <c r="HT1" i="6"/>
  <c r="HS34" i="6"/>
  <c r="BX27" i="15" s="1"/>
  <c r="HS3" i="6"/>
  <c r="HS12" i="6" s="1"/>
  <c r="HR32" i="6"/>
  <c r="HR51" i="6"/>
  <c r="HR43" i="6"/>
  <c r="HR41" i="6"/>
  <c r="HR48" i="6" l="1"/>
  <c r="HS24" i="6"/>
  <c r="BX17" i="15" s="1"/>
  <c r="HS17" i="6"/>
  <c r="BX10" i="15" s="1"/>
  <c r="HS23" i="6"/>
  <c r="BX16" i="15" s="1"/>
  <c r="HS18" i="6"/>
  <c r="BX11" i="15" s="1"/>
  <c r="HS21" i="6"/>
  <c r="BX14" i="15" s="1"/>
  <c r="HS20" i="6"/>
  <c r="BX13" i="15" s="1"/>
  <c r="HS15" i="6"/>
  <c r="HS19" i="6"/>
  <c r="BX12" i="15" s="1"/>
  <c r="HS16" i="6"/>
  <c r="BX9" i="15" s="1"/>
  <c r="HS25" i="6"/>
  <c r="BX18" i="15" s="1"/>
  <c r="HS45" i="6"/>
  <c r="BX38" i="15" s="1"/>
  <c r="HS27" i="6"/>
  <c r="BX20" i="15" s="1"/>
  <c r="HS13" i="6"/>
  <c r="BX6" i="15" s="1"/>
  <c r="HS26" i="6"/>
  <c r="BX19" i="15" s="1"/>
  <c r="HS22" i="6"/>
  <c r="BX15" i="15" s="1"/>
  <c r="HS14" i="6"/>
  <c r="BX7" i="15" s="1"/>
  <c r="HS49" i="6"/>
  <c r="BX42" i="15" s="1"/>
  <c r="HQ29" i="9"/>
  <c r="HS62" i="6"/>
  <c r="HS63" i="6" s="1"/>
  <c r="HS96" i="6" s="1"/>
  <c r="HS29" i="9" s="1"/>
  <c r="HS40" i="6"/>
  <c r="BX33" i="15" s="1"/>
  <c r="HS50" i="6"/>
  <c r="BX43" i="15" s="1"/>
  <c r="HS51" i="6"/>
  <c r="BX44" i="15" s="1"/>
  <c r="HS42" i="6"/>
  <c r="BX35" i="15" s="1"/>
  <c r="HS52" i="6"/>
  <c r="BX45" i="15" s="1"/>
  <c r="HS55" i="6"/>
  <c r="BX48" i="15" s="1"/>
  <c r="HS46" i="6"/>
  <c r="BX39" i="15" s="1"/>
  <c r="HS53" i="6"/>
  <c r="BX46" i="15" s="1"/>
  <c r="HS31" i="6"/>
  <c r="BX24" i="15" s="1"/>
  <c r="HR35" i="6"/>
  <c r="HT34" i="6"/>
  <c r="HU1" i="6"/>
  <c r="HT3" i="6"/>
  <c r="HT12" i="6" s="1"/>
  <c r="HT33" i="6"/>
  <c r="HS47" i="6"/>
  <c r="BX40" i="15" s="1"/>
  <c r="HS41" i="6"/>
  <c r="BX34" i="15" s="1"/>
  <c r="HS43" i="6"/>
  <c r="BX36" i="15" s="1"/>
  <c r="HS32" i="6"/>
  <c r="BX25" i="15" s="1"/>
  <c r="HS54" i="6"/>
  <c r="BX47" i="15" s="1"/>
  <c r="BX8" i="15" l="1"/>
  <c r="HS48" i="6"/>
  <c r="BX41" i="15" s="1"/>
  <c r="HT24" i="6"/>
  <c r="HT14" i="6"/>
  <c r="HT19" i="6"/>
  <c r="HT23" i="6"/>
  <c r="HT21" i="6"/>
  <c r="HT15" i="6"/>
  <c r="HT18" i="6"/>
  <c r="HT26" i="6"/>
  <c r="HT20" i="6"/>
  <c r="HT16" i="6"/>
  <c r="HT17" i="6"/>
  <c r="HT22" i="6"/>
  <c r="HT25" i="6"/>
  <c r="HT45" i="6"/>
  <c r="HT27" i="6"/>
  <c r="HT13" i="6"/>
  <c r="HT49" i="6"/>
  <c r="HT42" i="6"/>
  <c r="HT54" i="6"/>
  <c r="BX89" i="15"/>
  <c r="HT52" i="6"/>
  <c r="BX55" i="15"/>
  <c r="BX56" i="15"/>
  <c r="BX28" i="15"/>
  <c r="HT43" i="6"/>
  <c r="HT55" i="6"/>
  <c r="HT31" i="6"/>
  <c r="HT47" i="6"/>
  <c r="HT62" i="6"/>
  <c r="HT40" i="6"/>
  <c r="HT51" i="6"/>
  <c r="HT50" i="6"/>
  <c r="HT41" i="6"/>
  <c r="HT32" i="6"/>
  <c r="HT53" i="6"/>
  <c r="HT46" i="6"/>
  <c r="HS35" i="6"/>
  <c r="HU34" i="6"/>
  <c r="HU33" i="6"/>
  <c r="HV1" i="6"/>
  <c r="HU3" i="6"/>
  <c r="HU12" i="6" s="1"/>
  <c r="HT48" i="6" l="1"/>
  <c r="HU21" i="6"/>
  <c r="HU23" i="6"/>
  <c r="HU24" i="6"/>
  <c r="HU20" i="6"/>
  <c r="HU18" i="6"/>
  <c r="HU25" i="6"/>
  <c r="HU45" i="6"/>
  <c r="HU15" i="6"/>
  <c r="HU27" i="6"/>
  <c r="HU14" i="6"/>
  <c r="HU13" i="6"/>
  <c r="HU17" i="6"/>
  <c r="HU26" i="6"/>
  <c r="HU22" i="6"/>
  <c r="HU16" i="6"/>
  <c r="HU19" i="6"/>
  <c r="HU49" i="6"/>
  <c r="HT63" i="6"/>
  <c r="HT96" i="6" s="1"/>
  <c r="HT35" i="6"/>
  <c r="HU62" i="6"/>
  <c r="HU63" i="6" s="1"/>
  <c r="HU96" i="6" s="1"/>
  <c r="HU29" i="9" s="1"/>
  <c r="HU40" i="6"/>
  <c r="HU51" i="6"/>
  <c r="HU31" i="6"/>
  <c r="HU32" i="6"/>
  <c r="HU47" i="6"/>
  <c r="HW1" i="6"/>
  <c r="HV3" i="6"/>
  <c r="HV12" i="6" s="1"/>
  <c r="HV33" i="6"/>
  <c r="U26" i="11" s="1"/>
  <c r="HV34" i="6"/>
  <c r="U27" i="11" s="1"/>
  <c r="HU55" i="6"/>
  <c r="HU41" i="6"/>
  <c r="HU53" i="6"/>
  <c r="HU46" i="6"/>
  <c r="HU43" i="6"/>
  <c r="HU54" i="6"/>
  <c r="HU52" i="6"/>
  <c r="HU50" i="6"/>
  <c r="HU42" i="6"/>
  <c r="HU48" i="6" l="1"/>
  <c r="HV16" i="6"/>
  <c r="HV21" i="6"/>
  <c r="U14" i="11" s="1"/>
  <c r="HV25" i="6"/>
  <c r="HV17" i="6"/>
  <c r="HV22" i="6"/>
  <c r="HV27" i="6"/>
  <c r="HV19" i="6"/>
  <c r="HV20" i="6"/>
  <c r="HV14" i="6"/>
  <c r="HV18" i="6"/>
  <c r="HV23" i="6"/>
  <c r="HV13" i="6"/>
  <c r="U6" i="11" s="1"/>
  <c r="HV45" i="6"/>
  <c r="U38" i="11" s="1"/>
  <c r="T132" i="12" s="1"/>
  <c r="HV24" i="6"/>
  <c r="HV26" i="6"/>
  <c r="HV15" i="6"/>
  <c r="HV49" i="6"/>
  <c r="HT29" i="9"/>
  <c r="BY27" i="15"/>
  <c r="BY26" i="15"/>
  <c r="HV62" i="6"/>
  <c r="BY55" i="15" s="1"/>
  <c r="HV40" i="6"/>
  <c r="HV43" i="6"/>
  <c r="HV55" i="6"/>
  <c r="HV42" i="6"/>
  <c r="HV31" i="6"/>
  <c r="HV54" i="6"/>
  <c r="HV51" i="6"/>
  <c r="HV41" i="6"/>
  <c r="HV53" i="6"/>
  <c r="HU35" i="6"/>
  <c r="HV47" i="6"/>
  <c r="HX1" i="6"/>
  <c r="HW3" i="6"/>
  <c r="HW12" i="6" s="1"/>
  <c r="HW34" i="6"/>
  <c r="HW33" i="6"/>
  <c r="HV32" i="6"/>
  <c r="U25" i="11" s="1"/>
  <c r="HV50" i="6"/>
  <c r="HV46" i="6"/>
  <c r="HV52" i="6"/>
  <c r="HV48" i="6" l="1"/>
  <c r="BY14" i="15"/>
  <c r="HW18" i="6"/>
  <c r="HW16" i="6"/>
  <c r="HW26" i="6"/>
  <c r="HW20" i="6"/>
  <c r="HW27" i="6"/>
  <c r="HW13" i="6"/>
  <c r="HW15" i="6"/>
  <c r="HW24" i="6"/>
  <c r="HW19" i="6"/>
  <c r="HW17" i="6"/>
  <c r="HW21" i="6"/>
  <c r="HW25" i="6"/>
  <c r="HW45" i="6"/>
  <c r="HW23" i="6"/>
  <c r="HW22" i="6"/>
  <c r="HW14" i="6"/>
  <c r="BY38" i="15"/>
  <c r="U17" i="11"/>
  <c r="U20" i="11"/>
  <c r="U24" i="11"/>
  <c r="U28" i="11" s="1"/>
  <c r="U19" i="11"/>
  <c r="U16" i="11"/>
  <c r="U13" i="11"/>
  <c r="U9" i="11"/>
  <c r="U7" i="11"/>
  <c r="U12" i="11"/>
  <c r="U18" i="11"/>
  <c r="U45" i="11"/>
  <c r="T139" i="12" s="1"/>
  <c r="U34" i="11"/>
  <c r="T128" i="12" s="1"/>
  <c r="U35" i="11"/>
  <c r="T129" i="12" s="1"/>
  <c r="U33" i="11"/>
  <c r="T127" i="12" s="1"/>
  <c r="U43" i="11"/>
  <c r="T137" i="12" s="1"/>
  <c r="U39" i="11"/>
  <c r="T133" i="12" s="1"/>
  <c r="U44" i="11"/>
  <c r="T138" i="12" s="1"/>
  <c r="U46" i="11"/>
  <c r="T140" i="12" s="1"/>
  <c r="U47" i="11"/>
  <c r="T141" i="12" s="1"/>
  <c r="U48" i="11"/>
  <c r="T142" i="12" s="1"/>
  <c r="U40" i="11"/>
  <c r="T134" i="12" s="1"/>
  <c r="U36" i="11"/>
  <c r="T130" i="12" s="1"/>
  <c r="U42" i="11"/>
  <c r="T136" i="12" s="1"/>
  <c r="BY6" i="15"/>
  <c r="BY42" i="15"/>
  <c r="HW49" i="6"/>
  <c r="U15" i="11"/>
  <c r="BY15" i="15"/>
  <c r="BY25" i="15"/>
  <c r="BY35" i="15"/>
  <c r="BY40" i="15"/>
  <c r="BY44" i="15"/>
  <c r="BY47" i="15"/>
  <c r="BY48" i="15"/>
  <c r="BY34" i="15"/>
  <c r="BY45" i="15"/>
  <c r="BY46" i="15"/>
  <c r="BY43" i="15"/>
  <c r="BY36" i="15"/>
  <c r="BY39" i="15"/>
  <c r="BY33" i="15"/>
  <c r="BY24" i="15"/>
  <c r="BY9" i="15"/>
  <c r="BY18" i="15"/>
  <c r="U11" i="11"/>
  <c r="BY11" i="15"/>
  <c r="U10" i="11"/>
  <c r="BY10" i="15"/>
  <c r="BY16" i="15"/>
  <c r="BY19" i="15"/>
  <c r="U8" i="11"/>
  <c r="BY8" i="15"/>
  <c r="BY7" i="15"/>
  <c r="BY12" i="15"/>
  <c r="BY13" i="15"/>
  <c r="BY17" i="15"/>
  <c r="BY20" i="15"/>
  <c r="HV63" i="6"/>
  <c r="U55" i="11"/>
  <c r="HW62" i="6"/>
  <c r="HW40" i="6"/>
  <c r="HV35" i="6"/>
  <c r="HW50" i="6"/>
  <c r="HW43" i="6"/>
  <c r="HW46" i="6"/>
  <c r="HX33" i="6"/>
  <c r="HY1" i="6"/>
  <c r="HX3" i="6"/>
  <c r="HX12" i="6" s="1"/>
  <c r="HX34" i="6"/>
  <c r="HW51" i="6"/>
  <c r="HW41" i="6"/>
  <c r="HW53" i="6"/>
  <c r="HW32" i="6"/>
  <c r="HW31" i="6"/>
  <c r="HW47" i="6"/>
  <c r="HW54" i="6"/>
  <c r="HW52" i="6"/>
  <c r="HW55" i="6"/>
  <c r="HW42" i="6"/>
  <c r="BY41" i="15" l="1"/>
  <c r="U41" i="11"/>
  <c r="T135" i="12" s="1"/>
  <c r="HW48" i="6"/>
  <c r="HX21" i="6"/>
  <c r="HX19" i="6"/>
  <c r="HX14" i="6"/>
  <c r="HX20" i="6"/>
  <c r="HX18" i="6"/>
  <c r="HX26" i="6"/>
  <c r="HX45" i="6"/>
  <c r="HX17" i="6"/>
  <c r="HX15" i="6"/>
  <c r="HX25" i="6"/>
  <c r="HX16" i="6"/>
  <c r="HX24" i="6"/>
  <c r="HX22" i="6"/>
  <c r="HX23" i="6"/>
  <c r="HX13" i="6"/>
  <c r="HX27" i="6"/>
  <c r="HX49" i="6"/>
  <c r="HV96" i="6"/>
  <c r="BY56" i="15"/>
  <c r="BY28" i="15"/>
  <c r="T28" i="12"/>
  <c r="U56" i="11"/>
  <c r="U89" i="11" s="1"/>
  <c r="T10" i="12" s="1"/>
  <c r="HW63" i="6"/>
  <c r="HX62" i="6"/>
  <c r="HX63" i="6" s="1"/>
  <c r="HX96" i="6" s="1"/>
  <c r="HX29" i="9" s="1"/>
  <c r="HX40" i="6"/>
  <c r="HX55" i="6"/>
  <c r="HX46" i="6"/>
  <c r="HX51" i="6"/>
  <c r="HX50" i="6"/>
  <c r="HX52" i="6"/>
  <c r="HZ1" i="6"/>
  <c r="HY34" i="6"/>
  <c r="BZ27" i="15" s="1"/>
  <c r="HY3" i="6"/>
  <c r="HY12" i="6" s="1"/>
  <c r="HY33" i="6"/>
  <c r="BZ26" i="15" s="1"/>
  <c r="HX47" i="6"/>
  <c r="HX41" i="6"/>
  <c r="HX43" i="6"/>
  <c r="HX42" i="6"/>
  <c r="HX53" i="6"/>
  <c r="HX54" i="6"/>
  <c r="HW35" i="6"/>
  <c r="HX32" i="6"/>
  <c r="HX31" i="6"/>
  <c r="HX48" i="6" l="1"/>
  <c r="HY22" i="6"/>
  <c r="HY21" i="6"/>
  <c r="BZ14" i="15" s="1"/>
  <c r="HY25" i="6"/>
  <c r="BZ18" i="15" s="1"/>
  <c r="HY14" i="6"/>
  <c r="BZ7" i="15" s="1"/>
  <c r="HY16" i="6"/>
  <c r="BZ9" i="15" s="1"/>
  <c r="HY20" i="6"/>
  <c r="BZ13" i="15" s="1"/>
  <c r="HY27" i="6"/>
  <c r="BZ20" i="15" s="1"/>
  <c r="HY45" i="6"/>
  <c r="BZ38" i="15" s="1"/>
  <c r="HY24" i="6"/>
  <c r="BZ17" i="15" s="1"/>
  <c r="HY26" i="6"/>
  <c r="BZ19" i="15" s="1"/>
  <c r="HY18" i="6"/>
  <c r="BZ11" i="15" s="1"/>
  <c r="HY15" i="6"/>
  <c r="HY17" i="6"/>
  <c r="BZ10" i="15" s="1"/>
  <c r="HY13" i="6"/>
  <c r="BZ6" i="15" s="1"/>
  <c r="HY23" i="6"/>
  <c r="BZ16" i="15" s="1"/>
  <c r="HY19" i="6"/>
  <c r="BZ12" i="15" s="1"/>
  <c r="HY49" i="6"/>
  <c r="BZ42" i="15" s="1"/>
  <c r="HW96" i="6"/>
  <c r="HV29" i="9"/>
  <c r="BY89" i="15"/>
  <c r="HY62" i="6"/>
  <c r="HY63" i="6" s="1"/>
  <c r="HY96" i="6" s="1"/>
  <c r="HY29" i="9" s="1"/>
  <c r="HY40" i="6"/>
  <c r="BZ33" i="15" s="1"/>
  <c r="HY54" i="6"/>
  <c r="BZ47" i="15" s="1"/>
  <c r="HY42" i="6"/>
  <c r="BZ35" i="15" s="1"/>
  <c r="HY50" i="6"/>
  <c r="BZ43" i="15" s="1"/>
  <c r="HY51" i="6"/>
  <c r="BZ44" i="15" s="1"/>
  <c r="HY52" i="6"/>
  <c r="BZ45" i="15" s="1"/>
  <c r="HY55" i="6"/>
  <c r="BZ48" i="15" s="1"/>
  <c r="HY32" i="6"/>
  <c r="BZ25" i="15" s="1"/>
  <c r="HY47" i="6"/>
  <c r="BZ40" i="15" s="1"/>
  <c r="HY53" i="6"/>
  <c r="BZ46" i="15" s="1"/>
  <c r="HY43" i="6"/>
  <c r="BZ36" i="15" s="1"/>
  <c r="HY41" i="6"/>
  <c r="BZ34" i="15" s="1"/>
  <c r="HY31" i="6"/>
  <c r="BZ24" i="15" s="1"/>
  <c r="HY46" i="6"/>
  <c r="BZ39" i="15" s="1"/>
  <c r="HZ33" i="6"/>
  <c r="HZ34" i="6"/>
  <c r="HZ3" i="6"/>
  <c r="HZ12" i="6" s="1"/>
  <c r="IA1" i="6"/>
  <c r="HX35" i="6"/>
  <c r="BZ8" i="15" l="1"/>
  <c r="HY48" i="6"/>
  <c r="BZ41" i="15" s="1"/>
  <c r="HZ25" i="6"/>
  <c r="HZ22" i="6"/>
  <c r="HZ27" i="6"/>
  <c r="HZ14" i="6"/>
  <c r="HZ18" i="6"/>
  <c r="HZ13" i="6"/>
  <c r="HZ45" i="6"/>
  <c r="HZ17" i="6"/>
  <c r="HZ16" i="6"/>
  <c r="HZ26" i="6"/>
  <c r="HZ21" i="6"/>
  <c r="HZ24" i="6"/>
  <c r="HZ15" i="6"/>
  <c r="HZ19" i="6"/>
  <c r="HZ23" i="6"/>
  <c r="HZ20" i="6"/>
  <c r="HZ49" i="6"/>
  <c r="BZ15" i="15"/>
  <c r="BZ55" i="15"/>
  <c r="BZ56" i="15"/>
  <c r="HW29" i="9"/>
  <c r="BZ89" i="15"/>
  <c r="BZ28" i="15"/>
  <c r="HZ62" i="6"/>
  <c r="HZ40" i="6"/>
  <c r="HZ51" i="6"/>
  <c r="HZ41" i="6"/>
  <c r="HY35" i="6"/>
  <c r="HZ32" i="6"/>
  <c r="HZ47" i="6"/>
  <c r="HZ46" i="6"/>
  <c r="HZ50" i="6"/>
  <c r="HZ43" i="6"/>
  <c r="HZ31" i="6"/>
  <c r="HZ53" i="6"/>
  <c r="HZ54" i="6"/>
  <c r="HZ42" i="6"/>
  <c r="IA34" i="6"/>
  <c r="IB1" i="6"/>
  <c r="IA3" i="6"/>
  <c r="IA12" i="6" s="1"/>
  <c r="IA33" i="6"/>
  <c r="HZ55" i="6"/>
  <c r="HZ52" i="6"/>
  <c r="HZ48" i="6" l="1"/>
  <c r="IA25" i="6"/>
  <c r="IA22" i="6"/>
  <c r="IA18" i="6"/>
  <c r="IA17" i="6"/>
  <c r="IA15" i="6"/>
  <c r="IA14" i="6"/>
  <c r="IA23" i="6"/>
  <c r="IA45" i="6"/>
  <c r="IA27" i="6"/>
  <c r="IA13" i="6"/>
  <c r="IA16" i="6"/>
  <c r="IA26" i="6"/>
  <c r="IA24" i="6"/>
  <c r="IA20" i="6"/>
  <c r="IA19" i="6"/>
  <c r="IA21" i="6"/>
  <c r="IA49" i="6"/>
  <c r="IA47" i="6"/>
  <c r="HZ63" i="6"/>
  <c r="HZ96" i="6" s="1"/>
  <c r="IA51" i="6"/>
  <c r="IA62" i="6"/>
  <c r="IA63" i="6" s="1"/>
  <c r="IA96" i="6" s="1"/>
  <c r="IA29" i="9" s="1"/>
  <c r="IA40" i="6"/>
  <c r="HZ35" i="6"/>
  <c r="IA55" i="6"/>
  <c r="IA54" i="6"/>
  <c r="IA43" i="6"/>
  <c r="IA50" i="6"/>
  <c r="IA52" i="6"/>
  <c r="IA42" i="6"/>
  <c r="IA53" i="6"/>
  <c r="IA46" i="6"/>
  <c r="IA41" i="6"/>
  <c r="IA31" i="6"/>
  <c r="IB3" i="6"/>
  <c r="IB12" i="6" s="1"/>
  <c r="IB33" i="6"/>
  <c r="CA26" i="15" s="1"/>
  <c r="IC1" i="6"/>
  <c r="IB34" i="6"/>
  <c r="CA27" i="15" s="1"/>
  <c r="IA32" i="6"/>
  <c r="IA48" i="6" l="1"/>
  <c r="IB18" i="6"/>
  <c r="CA11" i="15" s="1"/>
  <c r="IB25" i="6"/>
  <c r="CA18" i="15" s="1"/>
  <c r="IB22" i="6"/>
  <c r="CA15" i="15" s="1"/>
  <c r="IB23" i="6"/>
  <c r="CA16" i="15" s="1"/>
  <c r="IB13" i="6"/>
  <c r="CA6" i="15" s="1"/>
  <c r="IB15" i="6"/>
  <c r="IB19" i="6"/>
  <c r="CA12" i="15" s="1"/>
  <c r="IB45" i="6"/>
  <c r="CA38" i="15" s="1"/>
  <c r="IB21" i="6"/>
  <c r="CA14" i="15" s="1"/>
  <c r="IB24" i="6"/>
  <c r="CA17" i="15" s="1"/>
  <c r="IB26" i="6"/>
  <c r="CA19" i="15" s="1"/>
  <c r="IB14" i="6"/>
  <c r="CA7" i="15" s="1"/>
  <c r="IB27" i="6"/>
  <c r="CA20" i="15" s="1"/>
  <c r="IB20" i="6"/>
  <c r="CA13" i="15" s="1"/>
  <c r="IB17" i="6"/>
  <c r="CA10" i="15" s="1"/>
  <c r="IB16" i="6"/>
  <c r="CA9" i="15" s="1"/>
  <c r="IB49" i="6"/>
  <c r="CA42" i="15" s="1"/>
  <c r="HZ29" i="9"/>
  <c r="IB62" i="6"/>
  <c r="IB40" i="6"/>
  <c r="CA33" i="15" s="1"/>
  <c r="IB31" i="6"/>
  <c r="CA24" i="15" s="1"/>
  <c r="IB47" i="6"/>
  <c r="CA40" i="15" s="1"/>
  <c r="IB53" i="6"/>
  <c r="CA46" i="15" s="1"/>
  <c r="IB52" i="6"/>
  <c r="CA45" i="15" s="1"/>
  <c r="IB51" i="6"/>
  <c r="CA44" i="15" s="1"/>
  <c r="IB42" i="6"/>
  <c r="CA35" i="15" s="1"/>
  <c r="IB46" i="6"/>
  <c r="CA39" i="15" s="1"/>
  <c r="IB43" i="6"/>
  <c r="CA36" i="15" s="1"/>
  <c r="IB50" i="6"/>
  <c r="CA43" i="15" s="1"/>
  <c r="IB55" i="6"/>
  <c r="CA48" i="15" s="1"/>
  <c r="IC34" i="6"/>
  <c r="IC33" i="6"/>
  <c r="ID1" i="6"/>
  <c r="IC3" i="6"/>
  <c r="IC12" i="6" s="1"/>
  <c r="IA35" i="6"/>
  <c r="IB32" i="6"/>
  <c r="CA25" i="15" s="1"/>
  <c r="IB41" i="6"/>
  <c r="CA34" i="15" s="1"/>
  <c r="IB54" i="6"/>
  <c r="CA47" i="15" s="1"/>
  <c r="CA8" i="15" l="1"/>
  <c r="IB48" i="6"/>
  <c r="CA41" i="15" s="1"/>
  <c r="IC16" i="6"/>
  <c r="IC25" i="6"/>
  <c r="IC14" i="6"/>
  <c r="IC18" i="6"/>
  <c r="IC13" i="6"/>
  <c r="IC22" i="6"/>
  <c r="IC23" i="6"/>
  <c r="IC15" i="6"/>
  <c r="IC26" i="6"/>
  <c r="IC21" i="6"/>
  <c r="IC27" i="6"/>
  <c r="IC17" i="6"/>
  <c r="IC45" i="6"/>
  <c r="IC24" i="6"/>
  <c r="IC19" i="6"/>
  <c r="IC20" i="6"/>
  <c r="IC49" i="6"/>
  <c r="IB63" i="6"/>
  <c r="IB96" i="6" s="1"/>
  <c r="CA55" i="15"/>
  <c r="CA28" i="15"/>
  <c r="IC62" i="6"/>
  <c r="IC40" i="6"/>
  <c r="IB35" i="6"/>
  <c r="IC47" i="6"/>
  <c r="IC46" i="6"/>
  <c r="IC50" i="6"/>
  <c r="IC42" i="6"/>
  <c r="IC43" i="6"/>
  <c r="IC53" i="6"/>
  <c r="IC55" i="6"/>
  <c r="IC32" i="6"/>
  <c r="IC41" i="6"/>
  <c r="IC31" i="6"/>
  <c r="IC51" i="6"/>
  <c r="IC54" i="6"/>
  <c r="IC52" i="6"/>
  <c r="ID33" i="6"/>
  <c r="ID34" i="6"/>
  <c r="IE1" i="6"/>
  <c r="ID3" i="6"/>
  <c r="ID12" i="6" s="1"/>
  <c r="IC48" i="6" l="1"/>
  <c r="ID26" i="6"/>
  <c r="ID25" i="6"/>
  <c r="ID20" i="6"/>
  <c r="ID17" i="6"/>
  <c r="ID18" i="6"/>
  <c r="ID45" i="6"/>
  <c r="ID13" i="6"/>
  <c r="ID23" i="6"/>
  <c r="ID24" i="6"/>
  <c r="ID15" i="6"/>
  <c r="ID22" i="6"/>
  <c r="ID19" i="6"/>
  <c r="ID14" i="6"/>
  <c r="ID16" i="6"/>
  <c r="ID21" i="6"/>
  <c r="ID27" i="6"/>
  <c r="ID49" i="6"/>
  <c r="CA56" i="15"/>
  <c r="IC63" i="6"/>
  <c r="IC96" i="6" s="1"/>
  <c r="IB29" i="9"/>
  <c r="CA89" i="15"/>
  <c r="ID62" i="6"/>
  <c r="ID63" i="6" s="1"/>
  <c r="ID96" i="6" s="1"/>
  <c r="ID29" i="9" s="1"/>
  <c r="ID40" i="6"/>
  <c r="ID43" i="6"/>
  <c r="ID41" i="6"/>
  <c r="ID32" i="6"/>
  <c r="ID46" i="6"/>
  <c r="ID51" i="6"/>
  <c r="ID31" i="6"/>
  <c r="ID47" i="6"/>
  <c r="IC35" i="6"/>
  <c r="ID54" i="6"/>
  <c r="ID42" i="6"/>
  <c r="ID53" i="6"/>
  <c r="ID50" i="6"/>
  <c r="ID55" i="6"/>
  <c r="ID52" i="6"/>
  <c r="IE33" i="6"/>
  <c r="CB26" i="15" s="1"/>
  <c r="IF1" i="6"/>
  <c r="IE34" i="6"/>
  <c r="CB27" i="15" s="1"/>
  <c r="IE3" i="6"/>
  <c r="IE12" i="6" s="1"/>
  <c r="ID48" i="6" l="1"/>
  <c r="IE27" i="6"/>
  <c r="CB20" i="15" s="1"/>
  <c r="IE26" i="6"/>
  <c r="CB19" i="15" s="1"/>
  <c r="IE14" i="6"/>
  <c r="CB7" i="15" s="1"/>
  <c r="IE45" i="6"/>
  <c r="CB38" i="15" s="1"/>
  <c r="IE22" i="6"/>
  <c r="CB15" i="15" s="1"/>
  <c r="IE23" i="6"/>
  <c r="CB16" i="15" s="1"/>
  <c r="IE25" i="6"/>
  <c r="CB18" i="15" s="1"/>
  <c r="IE21" i="6"/>
  <c r="CB14" i="15" s="1"/>
  <c r="IE15" i="6"/>
  <c r="IE24" i="6"/>
  <c r="CB17" i="15" s="1"/>
  <c r="IE19" i="6"/>
  <c r="CB12" i="15" s="1"/>
  <c r="IE17" i="6"/>
  <c r="CB10" i="15" s="1"/>
  <c r="IE18" i="6"/>
  <c r="CB11" i="15" s="1"/>
  <c r="IE16" i="6"/>
  <c r="CB9" i="15" s="1"/>
  <c r="IE13" i="6"/>
  <c r="CB6" i="15" s="1"/>
  <c r="IE20" i="6"/>
  <c r="CB13" i="15" s="1"/>
  <c r="IE49" i="6"/>
  <c r="CB42" i="15" s="1"/>
  <c r="IC29" i="9"/>
  <c r="ID35" i="6"/>
  <c r="IE62" i="6"/>
  <c r="IE63" i="6" s="1"/>
  <c r="IE96" i="6" s="1"/>
  <c r="IE29" i="9" s="1"/>
  <c r="IE40" i="6"/>
  <c r="CB33" i="15" s="1"/>
  <c r="IE55" i="6"/>
  <c r="CB48" i="15" s="1"/>
  <c r="IE50" i="6"/>
  <c r="CB43" i="15" s="1"/>
  <c r="IE53" i="6"/>
  <c r="CB46" i="15" s="1"/>
  <c r="IE42" i="6"/>
  <c r="CB35" i="15" s="1"/>
  <c r="IE51" i="6"/>
  <c r="CB44" i="15" s="1"/>
  <c r="IE43" i="6"/>
  <c r="CB36" i="15" s="1"/>
  <c r="IE54" i="6"/>
  <c r="CB47" i="15" s="1"/>
  <c r="IE41" i="6"/>
  <c r="CB34" i="15" s="1"/>
  <c r="IE52" i="6"/>
  <c r="CB45" i="15" s="1"/>
  <c r="IE46" i="6"/>
  <c r="CB39" i="15" s="1"/>
  <c r="IE32" i="6"/>
  <c r="CB25" i="15" s="1"/>
  <c r="IE31" i="6"/>
  <c r="CB24" i="15" s="1"/>
  <c r="IE47" i="6"/>
  <c r="CB40" i="15" s="1"/>
  <c r="IF33" i="6"/>
  <c r="IF34" i="6"/>
  <c r="IG1" i="6"/>
  <c r="IF3" i="6"/>
  <c r="IF12" i="6" s="1"/>
  <c r="CB8" i="15" l="1"/>
  <c r="IE48" i="6"/>
  <c r="CB41" i="15" s="1"/>
  <c r="IF27" i="6"/>
  <c r="IF26" i="6"/>
  <c r="IF14" i="6"/>
  <c r="IF45" i="6"/>
  <c r="IF17" i="6"/>
  <c r="IF16" i="6"/>
  <c r="IF13" i="6"/>
  <c r="IF20" i="6"/>
  <c r="IF15" i="6"/>
  <c r="IF18" i="6"/>
  <c r="IF22" i="6"/>
  <c r="IF23" i="6"/>
  <c r="IF24" i="6"/>
  <c r="IF19" i="6"/>
  <c r="IF25" i="6"/>
  <c r="IF21" i="6"/>
  <c r="IF49" i="6"/>
  <c r="IF51" i="6"/>
  <c r="IF31" i="6"/>
  <c r="IF32" i="6"/>
  <c r="CB55" i="15"/>
  <c r="CB89" i="15"/>
  <c r="CB56" i="15"/>
  <c r="CB28" i="15"/>
  <c r="IF62" i="6"/>
  <c r="IF40" i="6"/>
  <c r="IF50" i="6"/>
  <c r="IF54" i="6"/>
  <c r="IF41" i="6"/>
  <c r="IF46" i="6"/>
  <c r="IF52" i="6"/>
  <c r="IE35" i="6"/>
  <c r="IF55" i="6"/>
  <c r="IF43" i="6"/>
  <c r="IG3" i="6"/>
  <c r="IG12" i="6" s="1"/>
  <c r="IG34" i="6"/>
  <c r="IG33" i="6"/>
  <c r="IH1" i="6"/>
  <c r="IF53" i="6"/>
  <c r="IF42" i="6"/>
  <c r="IF47" i="6"/>
  <c r="IF48" i="6" l="1"/>
  <c r="IG16" i="6"/>
  <c r="IG27" i="6"/>
  <c r="IG26" i="6"/>
  <c r="IG17" i="6"/>
  <c r="IG45" i="6"/>
  <c r="IG22" i="6"/>
  <c r="IG21" i="6"/>
  <c r="IG20" i="6"/>
  <c r="IG13" i="6"/>
  <c r="IG23" i="6"/>
  <c r="IG14" i="6"/>
  <c r="IG19" i="6"/>
  <c r="IG15" i="6"/>
  <c r="IG25" i="6"/>
  <c r="IG18" i="6"/>
  <c r="IG24" i="6"/>
  <c r="IG49" i="6"/>
  <c r="IF35" i="6"/>
  <c r="IF63" i="6"/>
  <c r="IF96" i="6" s="1"/>
  <c r="IG62" i="6"/>
  <c r="IG63" i="6" s="1"/>
  <c r="IG96" i="6" s="1"/>
  <c r="IG29" i="9" s="1"/>
  <c r="IG40" i="6"/>
  <c r="IG42" i="6"/>
  <c r="IG51" i="6"/>
  <c r="IG46" i="6"/>
  <c r="IG31" i="6"/>
  <c r="IG43" i="6"/>
  <c r="IG47" i="6"/>
  <c r="IG53" i="6"/>
  <c r="IG32" i="6"/>
  <c r="IG41" i="6"/>
  <c r="IG50" i="6"/>
  <c r="IG54" i="6"/>
  <c r="II1" i="6"/>
  <c r="IH34" i="6"/>
  <c r="V27" i="11" s="1"/>
  <c r="IH33" i="6"/>
  <c r="V26" i="11" s="1"/>
  <c r="IH3" i="6"/>
  <c r="IH12" i="6" s="1"/>
  <c r="IG52" i="6"/>
  <c r="IG55" i="6"/>
  <c r="IG48" i="6" l="1"/>
  <c r="IH26" i="6"/>
  <c r="IH27" i="6"/>
  <c r="IH16" i="6"/>
  <c r="IH18" i="6"/>
  <c r="IH45" i="6"/>
  <c r="V38" i="11" s="1"/>
  <c r="U132" i="12" s="1"/>
  <c r="IH14" i="6"/>
  <c r="IH21" i="6"/>
  <c r="V14" i="11" s="1"/>
  <c r="IH17" i="6"/>
  <c r="IH19" i="6"/>
  <c r="IH25" i="6"/>
  <c r="IH15" i="6"/>
  <c r="IH22" i="6"/>
  <c r="IH24" i="6"/>
  <c r="IH13" i="6"/>
  <c r="V6" i="11" s="1"/>
  <c r="IH23" i="6"/>
  <c r="IH20" i="6"/>
  <c r="IH49" i="6"/>
  <c r="IF29" i="9"/>
  <c r="CC27" i="15"/>
  <c r="CC26" i="15"/>
  <c r="IH62" i="6"/>
  <c r="CC55" i="15" s="1"/>
  <c r="IH40" i="6"/>
  <c r="IG35" i="6"/>
  <c r="IH46" i="6"/>
  <c r="IH53" i="6"/>
  <c r="IH47" i="6"/>
  <c r="IH42" i="6"/>
  <c r="IH55" i="6"/>
  <c r="IH51" i="6"/>
  <c r="IH31" i="6"/>
  <c r="IH43" i="6"/>
  <c r="IH50" i="6"/>
  <c r="IH32" i="6"/>
  <c r="V25" i="11" s="1"/>
  <c r="IH52" i="6"/>
  <c r="II34" i="6"/>
  <c r="IJ1" i="6"/>
  <c r="II3" i="6"/>
  <c r="II12" i="6" s="1"/>
  <c r="II33" i="6"/>
  <c r="IH41" i="6"/>
  <c r="IH54" i="6"/>
  <c r="IH48" i="6" l="1"/>
  <c r="V41" i="11" s="1"/>
  <c r="U135" i="12" s="1"/>
  <c r="CC14" i="15"/>
  <c r="II27" i="6"/>
  <c r="II26" i="6"/>
  <c r="II14" i="6"/>
  <c r="II16" i="6"/>
  <c r="II17" i="6"/>
  <c r="II18" i="6"/>
  <c r="II15" i="6"/>
  <c r="II13" i="6"/>
  <c r="II20" i="6"/>
  <c r="II21" i="6"/>
  <c r="II19" i="6"/>
  <c r="II45" i="6"/>
  <c r="II24" i="6"/>
  <c r="II22" i="6"/>
  <c r="II23" i="6"/>
  <c r="II25" i="6"/>
  <c r="CC38" i="15"/>
  <c r="V11" i="11"/>
  <c r="CC13" i="15"/>
  <c r="V19" i="11"/>
  <c r="V12" i="11"/>
  <c r="V16" i="11"/>
  <c r="V24" i="11"/>
  <c r="V28" i="11" s="1"/>
  <c r="V17" i="11"/>
  <c r="V10" i="11"/>
  <c r="V9" i="11"/>
  <c r="V20" i="11"/>
  <c r="V7" i="11"/>
  <c r="V34" i="11"/>
  <c r="U128" i="12" s="1"/>
  <c r="V35" i="11"/>
  <c r="U129" i="12" s="1"/>
  <c r="V47" i="11"/>
  <c r="U141" i="12" s="1"/>
  <c r="V44" i="11"/>
  <c r="U138" i="12" s="1"/>
  <c r="V40" i="11"/>
  <c r="U134" i="12" s="1"/>
  <c r="V39" i="11"/>
  <c r="U133" i="12" s="1"/>
  <c r="V45" i="11"/>
  <c r="U139" i="12" s="1"/>
  <c r="V36" i="11"/>
  <c r="U130" i="12" s="1"/>
  <c r="V48" i="11"/>
  <c r="U142" i="12" s="1"/>
  <c r="V43" i="11"/>
  <c r="U137" i="12" s="1"/>
  <c r="V46" i="11"/>
  <c r="U140" i="12" s="1"/>
  <c r="V33" i="11"/>
  <c r="U127" i="12" s="1"/>
  <c r="V42" i="11"/>
  <c r="U136" i="12" s="1"/>
  <c r="II49" i="6"/>
  <c r="CC42" i="15"/>
  <c r="CC6" i="15"/>
  <c r="V15" i="11"/>
  <c r="CC15" i="15"/>
  <c r="V13" i="11"/>
  <c r="CC25" i="15"/>
  <c r="CC44" i="15"/>
  <c r="CC47" i="15"/>
  <c r="CC35" i="15"/>
  <c r="CC48" i="15"/>
  <c r="CC43" i="15"/>
  <c r="CC46" i="15"/>
  <c r="CC45" i="15"/>
  <c r="CC39" i="15"/>
  <c r="CC34" i="15"/>
  <c r="CC36" i="15"/>
  <c r="CC40" i="15"/>
  <c r="CC33" i="15"/>
  <c r="CC24" i="15"/>
  <c r="CC11" i="15"/>
  <c r="V18" i="11"/>
  <c r="CC18" i="15"/>
  <c r="CC16" i="15"/>
  <c r="CC10" i="15"/>
  <c r="CC7" i="15"/>
  <c r="CC19" i="15"/>
  <c r="CC9" i="15"/>
  <c r="V8" i="11"/>
  <c r="CC8" i="15"/>
  <c r="CC12" i="15"/>
  <c r="CC20" i="15"/>
  <c r="CC17" i="15"/>
  <c r="IH63" i="6"/>
  <c r="V55" i="11"/>
  <c r="II43" i="6"/>
  <c r="II62" i="6"/>
  <c r="II40" i="6"/>
  <c r="II41" i="6"/>
  <c r="II31" i="6"/>
  <c r="II50" i="6"/>
  <c r="II47" i="6"/>
  <c r="II52" i="6"/>
  <c r="II46" i="6"/>
  <c r="II55" i="6"/>
  <c r="II32" i="6"/>
  <c r="II53" i="6"/>
  <c r="IH35" i="6"/>
  <c r="IK1" i="6"/>
  <c r="IJ33" i="6"/>
  <c r="IJ3" i="6"/>
  <c r="IJ12" i="6" s="1"/>
  <c r="IJ34" i="6"/>
  <c r="II51" i="6"/>
  <c r="II42" i="6"/>
  <c r="II54" i="6"/>
  <c r="CC41" i="15" l="1"/>
  <c r="II48" i="6"/>
  <c r="IJ16" i="6"/>
  <c r="IJ25" i="6"/>
  <c r="IJ21" i="6"/>
  <c r="IJ27" i="6"/>
  <c r="IJ14" i="6"/>
  <c r="IJ20" i="6"/>
  <c r="IJ17" i="6"/>
  <c r="IJ24" i="6"/>
  <c r="IJ45" i="6"/>
  <c r="IJ19" i="6"/>
  <c r="IJ23" i="6"/>
  <c r="IJ18" i="6"/>
  <c r="IJ13" i="6"/>
  <c r="IJ26" i="6"/>
  <c r="IJ22" i="6"/>
  <c r="IJ15" i="6"/>
  <c r="IJ49" i="6"/>
  <c r="U28" i="12"/>
  <c r="CC28" i="15"/>
  <c r="IH96" i="6"/>
  <c r="CC56" i="15"/>
  <c r="V56" i="11"/>
  <c r="V89" i="11" s="1"/>
  <c r="U10" i="12" s="1"/>
  <c r="II63" i="6"/>
  <c r="II35" i="6"/>
  <c r="IJ62" i="6"/>
  <c r="IJ63" i="6" s="1"/>
  <c r="IJ96" i="6" s="1"/>
  <c r="IJ29" i="9" s="1"/>
  <c r="IJ40" i="6"/>
  <c r="IJ54" i="6"/>
  <c r="IJ47" i="6"/>
  <c r="IJ42" i="6"/>
  <c r="IJ43" i="6"/>
  <c r="IJ32" i="6"/>
  <c r="IJ52" i="6"/>
  <c r="IJ50" i="6"/>
  <c r="IJ31" i="6"/>
  <c r="IJ55" i="6"/>
  <c r="IJ46" i="6"/>
  <c r="IJ51" i="6"/>
  <c r="IJ53" i="6"/>
  <c r="IJ41" i="6"/>
  <c r="IK34" i="6"/>
  <c r="CD27" i="15" s="1"/>
  <c r="IL1" i="6"/>
  <c r="IK33" i="6"/>
  <c r="CD26" i="15" s="1"/>
  <c r="IK3" i="6"/>
  <c r="IK12" i="6" s="1"/>
  <c r="IJ48" i="6" l="1"/>
  <c r="IK22" i="6"/>
  <c r="CD15" i="15" s="1"/>
  <c r="IK19" i="6"/>
  <c r="CD12" i="15" s="1"/>
  <c r="IK24" i="6"/>
  <c r="CD17" i="15" s="1"/>
  <c r="IK13" i="6"/>
  <c r="CD6" i="15" s="1"/>
  <c r="IK45" i="6"/>
  <c r="IK23" i="6"/>
  <c r="CD16" i="15" s="1"/>
  <c r="IK26" i="6"/>
  <c r="CD19" i="15" s="1"/>
  <c r="IK17" i="6"/>
  <c r="CD10" i="15" s="1"/>
  <c r="IK20" i="6"/>
  <c r="CD13" i="15" s="1"/>
  <c r="IK21" i="6"/>
  <c r="CD14" i="15" s="1"/>
  <c r="IK16" i="6"/>
  <c r="CD9" i="15" s="1"/>
  <c r="IK15" i="6"/>
  <c r="IK27" i="6"/>
  <c r="CD20" i="15" s="1"/>
  <c r="IK18" i="6"/>
  <c r="CD11" i="15" s="1"/>
  <c r="IK14" i="6"/>
  <c r="CD7" i="15" s="1"/>
  <c r="IK25" i="6"/>
  <c r="CD18" i="15" s="1"/>
  <c r="IK49" i="6"/>
  <c r="CD42" i="15" s="1"/>
  <c r="II96" i="6"/>
  <c r="IH29" i="9"/>
  <c r="CC89" i="15"/>
  <c r="IK62" i="6"/>
  <c r="IK63" i="6" s="1"/>
  <c r="IK96" i="6" s="1"/>
  <c r="IK29" i="9" s="1"/>
  <c r="IK40" i="6"/>
  <c r="CD33" i="15" s="1"/>
  <c r="IJ35" i="6"/>
  <c r="IK52" i="6"/>
  <c r="CD45" i="15" s="1"/>
  <c r="IK54" i="6"/>
  <c r="CD47" i="15" s="1"/>
  <c r="IK31" i="6"/>
  <c r="CD24" i="15" s="1"/>
  <c r="IK50" i="6"/>
  <c r="CD43" i="15" s="1"/>
  <c r="IK32" i="6"/>
  <c r="CD25" i="15" s="1"/>
  <c r="IK53" i="6"/>
  <c r="CD46" i="15" s="1"/>
  <c r="IK55" i="6"/>
  <c r="CD48" i="15" s="1"/>
  <c r="IK43" i="6"/>
  <c r="CD36" i="15" s="1"/>
  <c r="IL3" i="6"/>
  <c r="IL12" i="6" s="1"/>
  <c r="IM1" i="6"/>
  <c r="IL33" i="6"/>
  <c r="IL34" i="6"/>
  <c r="IK42" i="6"/>
  <c r="CD35" i="15" s="1"/>
  <c r="IK46" i="6"/>
  <c r="CD39" i="15" s="1"/>
  <c r="IK51" i="6"/>
  <c r="CD44" i="15" s="1"/>
  <c r="IK47" i="6"/>
  <c r="CD40" i="15" s="1"/>
  <c r="IK41" i="6"/>
  <c r="CD34" i="15" s="1"/>
  <c r="CD8" i="15" l="1"/>
  <c r="IK48" i="6"/>
  <c r="CD41" i="15" s="1"/>
  <c r="IL13" i="6"/>
  <c r="IL45" i="6"/>
  <c r="IL21" i="6"/>
  <c r="IL18" i="6"/>
  <c r="IL19" i="6"/>
  <c r="IL23" i="6"/>
  <c r="IL17" i="6"/>
  <c r="IL26" i="6"/>
  <c r="IL16" i="6"/>
  <c r="IL14" i="6"/>
  <c r="IL27" i="6"/>
  <c r="IL24" i="6"/>
  <c r="IL25" i="6"/>
  <c r="IL22" i="6"/>
  <c r="IL20" i="6"/>
  <c r="IL15" i="6"/>
  <c r="CD38" i="15"/>
  <c r="IL49" i="6"/>
  <c r="CD28" i="15"/>
  <c r="CD55" i="15"/>
  <c r="CD56" i="15"/>
  <c r="II29" i="9"/>
  <c r="CD89" i="15"/>
  <c r="IL62" i="6"/>
  <c r="IL40" i="6"/>
  <c r="IK35" i="6"/>
  <c r="IL51" i="6"/>
  <c r="IL31" i="6"/>
  <c r="IL50" i="6"/>
  <c r="IL53" i="6"/>
  <c r="IL54" i="6"/>
  <c r="IL42" i="6"/>
  <c r="IL41" i="6"/>
  <c r="IL46" i="6"/>
  <c r="IL55" i="6"/>
  <c r="IN1" i="6"/>
  <c r="IM33" i="6"/>
  <c r="IM3" i="6"/>
  <c r="IM12" i="6" s="1"/>
  <c r="IM34" i="6"/>
  <c r="IL47" i="6"/>
  <c r="IL32" i="6"/>
  <c r="IL52" i="6"/>
  <c r="IL43" i="6"/>
  <c r="IL48" i="6" l="1"/>
  <c r="IM45" i="6"/>
  <c r="IM14" i="6"/>
  <c r="IM24" i="6"/>
  <c r="IM16" i="6"/>
  <c r="IM23" i="6"/>
  <c r="IM18" i="6"/>
  <c r="IM17" i="6"/>
  <c r="IM20" i="6"/>
  <c r="IM15" i="6"/>
  <c r="IM19" i="6"/>
  <c r="IM21" i="6"/>
  <c r="IM25" i="6"/>
  <c r="IM27" i="6"/>
  <c r="IM13" i="6"/>
  <c r="IM22" i="6"/>
  <c r="IM26" i="6"/>
  <c r="IM49" i="6"/>
  <c r="IM31" i="6"/>
  <c r="IL63" i="6"/>
  <c r="IL96" i="6" s="1"/>
  <c r="IM54" i="6"/>
  <c r="IM43" i="6"/>
  <c r="IM52" i="6"/>
  <c r="IM46" i="6"/>
  <c r="IM42" i="6"/>
  <c r="IM62" i="6"/>
  <c r="IM63" i="6" s="1"/>
  <c r="IM96" i="6" s="1"/>
  <c r="IM29" i="9" s="1"/>
  <c r="IM40" i="6"/>
  <c r="IM47" i="6"/>
  <c r="IM41" i="6"/>
  <c r="IL35" i="6"/>
  <c r="IM50" i="6"/>
  <c r="IM32" i="6"/>
  <c r="IM53" i="6"/>
  <c r="IN3" i="6"/>
  <c r="IN12" i="6" s="1"/>
  <c r="IN34" i="6"/>
  <c r="CE27" i="15" s="1"/>
  <c r="IO1" i="6"/>
  <c r="IN33" i="6"/>
  <c r="CE26" i="15" s="1"/>
  <c r="IM55" i="6"/>
  <c r="IM51" i="6"/>
  <c r="IM48" i="6" l="1"/>
  <c r="IN22" i="6"/>
  <c r="IN17" i="6"/>
  <c r="CE10" i="15" s="1"/>
  <c r="IN24" i="6"/>
  <c r="CE17" i="15" s="1"/>
  <c r="IN15" i="6"/>
  <c r="IN23" i="6"/>
  <c r="CE16" i="15" s="1"/>
  <c r="IN18" i="6"/>
  <c r="CE11" i="15" s="1"/>
  <c r="IN19" i="6"/>
  <c r="CE12" i="15" s="1"/>
  <c r="IN21" i="6"/>
  <c r="CE14" i="15" s="1"/>
  <c r="IN45" i="6"/>
  <c r="CE38" i="15" s="1"/>
  <c r="IN14" i="6"/>
  <c r="CE7" i="15" s="1"/>
  <c r="IN20" i="6"/>
  <c r="CE13" i="15" s="1"/>
  <c r="IN27" i="6"/>
  <c r="CE20" i="15" s="1"/>
  <c r="IN16" i="6"/>
  <c r="CE9" i="15" s="1"/>
  <c r="IN25" i="6"/>
  <c r="CE18" i="15" s="1"/>
  <c r="IN13" i="6"/>
  <c r="CE6" i="15" s="1"/>
  <c r="IN26" i="6"/>
  <c r="CE19" i="15" s="1"/>
  <c r="IN49" i="6"/>
  <c r="CE42" i="15" s="1"/>
  <c r="IM35" i="6"/>
  <c r="IL29" i="9"/>
  <c r="IN62" i="6"/>
  <c r="IN63" i="6" s="1"/>
  <c r="IN96" i="6" s="1"/>
  <c r="IN29" i="9" s="1"/>
  <c r="IN40" i="6"/>
  <c r="CE33" i="15" s="1"/>
  <c r="IN42" i="6"/>
  <c r="CE35" i="15" s="1"/>
  <c r="IN55" i="6"/>
  <c r="CE48" i="15" s="1"/>
  <c r="IN47" i="6"/>
  <c r="CE40" i="15" s="1"/>
  <c r="IN54" i="6"/>
  <c r="CE47" i="15" s="1"/>
  <c r="IN41" i="6"/>
  <c r="CE34" i="15" s="1"/>
  <c r="IN53" i="6"/>
  <c r="CE46" i="15" s="1"/>
  <c r="IN46" i="6"/>
  <c r="CE39" i="15" s="1"/>
  <c r="IN43" i="6"/>
  <c r="CE36" i="15" s="1"/>
  <c r="IN32" i="6"/>
  <c r="CE25" i="15" s="1"/>
  <c r="IN31" i="6"/>
  <c r="CE24" i="15" s="1"/>
  <c r="IN51" i="6"/>
  <c r="CE44" i="15" s="1"/>
  <c r="IO3" i="6"/>
  <c r="IO12" i="6" s="1"/>
  <c r="IP1" i="6"/>
  <c r="IO33" i="6"/>
  <c r="IO34" i="6"/>
  <c r="IN52" i="6"/>
  <c r="CE45" i="15" s="1"/>
  <c r="IN50" i="6"/>
  <c r="CE43" i="15" s="1"/>
  <c r="CE8" i="15" l="1"/>
  <c r="IN48" i="6"/>
  <c r="CE41" i="15" s="1"/>
  <c r="IO15" i="6"/>
  <c r="IO19" i="6"/>
  <c r="IO45" i="6"/>
  <c r="IO27" i="6"/>
  <c r="IO18" i="6"/>
  <c r="IO16" i="6"/>
  <c r="IO23" i="6"/>
  <c r="IO17" i="6"/>
  <c r="IO13" i="6"/>
  <c r="IO26" i="6"/>
  <c r="IO21" i="6"/>
  <c r="IO25" i="6"/>
  <c r="IO24" i="6"/>
  <c r="IO20" i="6"/>
  <c r="IO22" i="6"/>
  <c r="IO14" i="6"/>
  <c r="IO49" i="6"/>
  <c r="CE15" i="15"/>
  <c r="CE55" i="15"/>
  <c r="CE89" i="15"/>
  <c r="CE56" i="15"/>
  <c r="CE28" i="15"/>
  <c r="IO62" i="6"/>
  <c r="IO40" i="6"/>
  <c r="IO46" i="6"/>
  <c r="IO51" i="6"/>
  <c r="IO41" i="6"/>
  <c r="IO42" i="6"/>
  <c r="IN35" i="6"/>
  <c r="IO31" i="6"/>
  <c r="IP3" i="6"/>
  <c r="IP12" i="6" s="1"/>
  <c r="IQ1" i="6"/>
  <c r="IP33" i="6"/>
  <c r="IP34" i="6"/>
  <c r="IO50" i="6"/>
  <c r="IO32" i="6"/>
  <c r="IO52" i="6"/>
  <c r="IO43" i="6"/>
  <c r="IO47" i="6"/>
  <c r="IO55" i="6"/>
  <c r="IO53" i="6"/>
  <c r="IO54" i="6"/>
  <c r="IO48" i="6" l="1"/>
  <c r="IP27" i="6"/>
  <c r="IP14" i="6"/>
  <c r="IP25" i="6"/>
  <c r="IP15" i="6"/>
  <c r="IP24" i="6"/>
  <c r="IP16" i="6"/>
  <c r="IP26" i="6"/>
  <c r="IP23" i="6"/>
  <c r="IP18" i="6"/>
  <c r="IP13" i="6"/>
  <c r="IP45" i="6"/>
  <c r="IP19" i="6"/>
  <c r="IP21" i="6"/>
  <c r="IP22" i="6"/>
  <c r="IP20" i="6"/>
  <c r="IP17" i="6"/>
  <c r="IP49" i="6"/>
  <c r="IO63" i="6"/>
  <c r="IO96" i="6" s="1"/>
  <c r="IP62" i="6"/>
  <c r="IP63" i="6" s="1"/>
  <c r="IP96" i="6" s="1"/>
  <c r="IP29" i="9" s="1"/>
  <c r="IP40" i="6"/>
  <c r="IP32" i="6"/>
  <c r="IP47" i="6"/>
  <c r="IP43" i="6"/>
  <c r="IP54" i="6"/>
  <c r="IP51" i="6"/>
  <c r="IP31" i="6"/>
  <c r="IP46" i="6"/>
  <c r="IP53" i="6"/>
  <c r="IP50" i="6"/>
  <c r="IQ3" i="6"/>
  <c r="IQ12" i="6" s="1"/>
  <c r="IQ34" i="6"/>
  <c r="CF27" i="15" s="1"/>
  <c r="IR1" i="6"/>
  <c r="IQ33" i="6"/>
  <c r="CF26" i="15" s="1"/>
  <c r="IP42" i="6"/>
  <c r="IP41" i="6"/>
  <c r="IO35" i="6"/>
  <c r="IP52" i="6"/>
  <c r="IP55" i="6"/>
  <c r="IP48" i="6" l="1"/>
  <c r="IQ24" i="6"/>
  <c r="CF17" i="15" s="1"/>
  <c r="IQ25" i="6"/>
  <c r="CF18" i="15" s="1"/>
  <c r="IQ16" i="6"/>
  <c r="CF9" i="15" s="1"/>
  <c r="IQ27" i="6"/>
  <c r="CF20" i="15" s="1"/>
  <c r="IQ13" i="6"/>
  <c r="IQ23" i="6"/>
  <c r="CF16" i="15" s="1"/>
  <c r="IQ26" i="6"/>
  <c r="CF19" i="15" s="1"/>
  <c r="IQ21" i="6"/>
  <c r="CF14" i="15" s="1"/>
  <c r="IQ17" i="6"/>
  <c r="CF10" i="15" s="1"/>
  <c r="IQ15" i="6"/>
  <c r="IQ19" i="6"/>
  <c r="CF12" i="15" s="1"/>
  <c r="IQ20" i="6"/>
  <c r="CF13" i="15" s="1"/>
  <c r="IQ22" i="6"/>
  <c r="CF15" i="15" s="1"/>
  <c r="IQ18" i="6"/>
  <c r="CF11" i="15" s="1"/>
  <c r="IQ45" i="6"/>
  <c r="CF38" i="15" s="1"/>
  <c r="IQ14" i="6"/>
  <c r="CF7" i="15" s="1"/>
  <c r="IQ49" i="6"/>
  <c r="CF42" i="15" s="1"/>
  <c r="CF6" i="15"/>
  <c r="IQ42" i="6"/>
  <c r="CF35" i="15" s="1"/>
  <c r="IO29" i="9"/>
  <c r="IP35" i="6"/>
  <c r="IQ62" i="6"/>
  <c r="IQ63" i="6" s="1"/>
  <c r="IQ96" i="6" s="1"/>
  <c r="IQ29" i="9" s="1"/>
  <c r="IQ40" i="6"/>
  <c r="CF33" i="15" s="1"/>
  <c r="IQ55" i="6"/>
  <c r="CF48" i="15" s="1"/>
  <c r="IQ53" i="6"/>
  <c r="CF46" i="15" s="1"/>
  <c r="IQ46" i="6"/>
  <c r="CF39" i="15" s="1"/>
  <c r="IQ54" i="6"/>
  <c r="CF47" i="15" s="1"/>
  <c r="IQ47" i="6"/>
  <c r="CF40" i="15" s="1"/>
  <c r="IQ31" i="6"/>
  <c r="CF24" i="15" s="1"/>
  <c r="IQ50" i="6"/>
  <c r="CF43" i="15" s="1"/>
  <c r="IQ43" i="6"/>
  <c r="CF36" i="15" s="1"/>
  <c r="IQ52" i="6"/>
  <c r="CF45" i="15" s="1"/>
  <c r="IR3" i="6"/>
  <c r="IR12" i="6" s="1"/>
  <c r="IR34" i="6"/>
  <c r="IR33" i="6"/>
  <c r="IS1" i="6"/>
  <c r="IQ41" i="6"/>
  <c r="CF34" i="15" s="1"/>
  <c r="IQ51" i="6"/>
  <c r="CF44" i="15" s="1"/>
  <c r="IQ32" i="6"/>
  <c r="CF25" i="15" s="1"/>
  <c r="CF8" i="15" l="1"/>
  <c r="IQ48" i="6"/>
  <c r="CF41" i="15" s="1"/>
  <c r="IR24" i="6"/>
  <c r="IR15" i="6"/>
  <c r="IR16" i="6"/>
  <c r="IR18" i="6"/>
  <c r="IR14" i="6"/>
  <c r="IR22" i="6"/>
  <c r="IR20" i="6"/>
  <c r="IR25" i="6"/>
  <c r="IR45" i="6"/>
  <c r="IR19" i="6"/>
  <c r="IR23" i="6"/>
  <c r="IR26" i="6"/>
  <c r="IR21" i="6"/>
  <c r="IR17" i="6"/>
  <c r="IR27" i="6"/>
  <c r="IR13" i="6"/>
  <c r="IR49" i="6"/>
  <c r="CF55" i="15"/>
  <c r="CF89" i="15"/>
  <c r="CF56" i="15"/>
  <c r="CF28" i="15"/>
  <c r="IR62" i="6"/>
  <c r="IR40" i="6"/>
  <c r="IR32" i="6"/>
  <c r="IQ35" i="6"/>
  <c r="IR46" i="6"/>
  <c r="IR43" i="6"/>
  <c r="IR41" i="6"/>
  <c r="IR52" i="6"/>
  <c r="IR51" i="6"/>
  <c r="IR55" i="6"/>
  <c r="IR31" i="6"/>
  <c r="IR50" i="6"/>
  <c r="IR53" i="6"/>
  <c r="IR54" i="6"/>
  <c r="IR42" i="6"/>
  <c r="IR47" i="6"/>
  <c r="IS3" i="6"/>
  <c r="IS12" i="6" s="1"/>
  <c r="IS34" i="6"/>
  <c r="IS33" i="6"/>
  <c r="IT1" i="6"/>
  <c r="IR48" i="6" l="1"/>
  <c r="IS24" i="6"/>
  <c r="IS16" i="6"/>
  <c r="IS13" i="6"/>
  <c r="IS23" i="6"/>
  <c r="IS21" i="6"/>
  <c r="IS19" i="6"/>
  <c r="IS14" i="6"/>
  <c r="IS45" i="6"/>
  <c r="IS18" i="6"/>
  <c r="IS22" i="6"/>
  <c r="IS25" i="6"/>
  <c r="IS17" i="6"/>
  <c r="IS15" i="6"/>
  <c r="IS26" i="6"/>
  <c r="IS27" i="6"/>
  <c r="IS20" i="6"/>
  <c r="IS49" i="6"/>
  <c r="IR63" i="6"/>
  <c r="IR96" i="6" s="1"/>
  <c r="IR35" i="6"/>
  <c r="IS62" i="6"/>
  <c r="IS63" i="6" s="1"/>
  <c r="IS96" i="6" s="1"/>
  <c r="IS29" i="9" s="1"/>
  <c r="IS40" i="6"/>
  <c r="IS47" i="6"/>
  <c r="IS54" i="6"/>
  <c r="IS43" i="6"/>
  <c r="IS46" i="6"/>
  <c r="IS31" i="6"/>
  <c r="IS50" i="6"/>
  <c r="IS55" i="6"/>
  <c r="IS53" i="6"/>
  <c r="IS51" i="6"/>
  <c r="IS42" i="6"/>
  <c r="IS32" i="6"/>
  <c r="IS52" i="6"/>
  <c r="IT3" i="6"/>
  <c r="IT12" i="6" s="1"/>
  <c r="IU1" i="6"/>
  <c r="IT34" i="6"/>
  <c r="W27" i="11" s="1"/>
  <c r="IT33" i="6"/>
  <c r="W26" i="11" s="1"/>
  <c r="IS41" i="6"/>
  <c r="IS48" i="6" l="1"/>
  <c r="IT16" i="6"/>
  <c r="IT14" i="6"/>
  <c r="IT17" i="6"/>
  <c r="IT15" i="6"/>
  <c r="IT27" i="6"/>
  <c r="IT13" i="6"/>
  <c r="IT19" i="6"/>
  <c r="IT45" i="6"/>
  <c r="IT21" i="6"/>
  <c r="W14" i="11" s="1"/>
  <c r="IT18" i="6"/>
  <c r="IT26" i="6"/>
  <c r="IT23" i="6"/>
  <c r="IT24" i="6"/>
  <c r="IT20" i="6"/>
  <c r="IT25" i="6"/>
  <c r="IT22" i="6"/>
  <c r="IT49" i="6"/>
  <c r="W6" i="11"/>
  <c r="IR29" i="9"/>
  <c r="CG27" i="15"/>
  <c r="CG26" i="15"/>
  <c r="IT62" i="6"/>
  <c r="CG55" i="15" s="1"/>
  <c r="IT40" i="6"/>
  <c r="IS35" i="6"/>
  <c r="IT50" i="6"/>
  <c r="IT42" i="6"/>
  <c r="IT31" i="6"/>
  <c r="IT47" i="6"/>
  <c r="IT54" i="6"/>
  <c r="IT43" i="6"/>
  <c r="IT46" i="6"/>
  <c r="IT53" i="6"/>
  <c r="IT41" i="6"/>
  <c r="IT51" i="6"/>
  <c r="IT32" i="6"/>
  <c r="W25" i="11" s="1"/>
  <c r="IV1" i="6"/>
  <c r="IU34" i="6"/>
  <c r="IU3" i="6"/>
  <c r="IU12" i="6" s="1"/>
  <c r="IU33" i="6"/>
  <c r="IT55" i="6"/>
  <c r="IT52" i="6"/>
  <c r="IT48" i="6" l="1"/>
  <c r="CG14" i="15"/>
  <c r="IU23" i="6"/>
  <c r="IU45" i="6"/>
  <c r="IU24" i="6"/>
  <c r="IU25" i="6"/>
  <c r="IU18" i="6"/>
  <c r="IU14" i="6"/>
  <c r="IU13" i="6"/>
  <c r="IU21" i="6"/>
  <c r="IU20" i="6"/>
  <c r="IU27" i="6"/>
  <c r="IU16" i="6"/>
  <c r="IU26" i="6"/>
  <c r="IU17" i="6"/>
  <c r="IU15" i="6"/>
  <c r="IU19" i="6"/>
  <c r="IU22" i="6"/>
  <c r="W38" i="11"/>
  <c r="V132" i="12" s="1"/>
  <c r="CG38" i="15"/>
  <c r="W11" i="11"/>
  <c r="W18" i="11"/>
  <c r="CG13" i="15"/>
  <c r="W8" i="11"/>
  <c r="W12" i="11"/>
  <c r="W16" i="11"/>
  <c r="W10" i="11"/>
  <c r="W17" i="11"/>
  <c r="W7" i="11"/>
  <c r="W24" i="11"/>
  <c r="W28" i="11" s="1"/>
  <c r="W19" i="11"/>
  <c r="W20" i="11"/>
  <c r="W9" i="11"/>
  <c r="W34" i="11"/>
  <c r="V128" i="12" s="1"/>
  <c r="W36" i="11"/>
  <c r="V130" i="12" s="1"/>
  <c r="W47" i="11"/>
  <c r="V141" i="12" s="1"/>
  <c r="W44" i="11"/>
  <c r="V138" i="12" s="1"/>
  <c r="W48" i="11"/>
  <c r="V142" i="12" s="1"/>
  <c r="W43" i="11"/>
  <c r="V137" i="12" s="1"/>
  <c r="W45" i="11"/>
  <c r="V139" i="12" s="1"/>
  <c r="W40" i="11"/>
  <c r="V134" i="12" s="1"/>
  <c r="W46" i="11"/>
  <c r="V140" i="12" s="1"/>
  <c r="W39" i="11"/>
  <c r="V133" i="12" s="1"/>
  <c r="W35" i="11"/>
  <c r="V129" i="12" s="1"/>
  <c r="W33" i="11"/>
  <c r="V127" i="12" s="1"/>
  <c r="W42" i="11"/>
  <c r="V136" i="12" s="1"/>
  <c r="CG42" i="15"/>
  <c r="IU49" i="6"/>
  <c r="CG6" i="15"/>
  <c r="W15" i="11"/>
  <c r="CG15" i="15"/>
  <c r="W13" i="11"/>
  <c r="CG25" i="15"/>
  <c r="CG36" i="15"/>
  <c r="CG44" i="15"/>
  <c r="CG43" i="15"/>
  <c r="CG47" i="15"/>
  <c r="CG45" i="15"/>
  <c r="CG46" i="15"/>
  <c r="CG39" i="15"/>
  <c r="CG48" i="15"/>
  <c r="CG34" i="15"/>
  <c r="CG35" i="15"/>
  <c r="CG40" i="15"/>
  <c r="CG33" i="15"/>
  <c r="CG24" i="15"/>
  <c r="CG12" i="15"/>
  <c r="CG10" i="15"/>
  <c r="CG16" i="15"/>
  <c r="CG11" i="15"/>
  <c r="CG17" i="15"/>
  <c r="CG20" i="15"/>
  <c r="CG7" i="15"/>
  <c r="CG9" i="15"/>
  <c r="CG19" i="15"/>
  <c r="CG18" i="15"/>
  <c r="CG8" i="15"/>
  <c r="IT63" i="6"/>
  <c r="W56" i="11" s="1"/>
  <c r="W55" i="11"/>
  <c r="IU62" i="6"/>
  <c r="IU40" i="6"/>
  <c r="IU47" i="6"/>
  <c r="IU54" i="6"/>
  <c r="IU31" i="6"/>
  <c r="IU52" i="6"/>
  <c r="IT35" i="6"/>
  <c r="IU55" i="6"/>
  <c r="IU46" i="6"/>
  <c r="IV3" i="6"/>
  <c r="IV12" i="6" s="1"/>
  <c r="IV34" i="6"/>
  <c r="IW1" i="6"/>
  <c r="IV33" i="6"/>
  <c r="IU42" i="6"/>
  <c r="IU51" i="6"/>
  <c r="IU32" i="6"/>
  <c r="IU43" i="6"/>
  <c r="IU50" i="6"/>
  <c r="IU53" i="6"/>
  <c r="IU41" i="6"/>
  <c r="CG41" i="15" l="1"/>
  <c r="W41" i="11"/>
  <c r="V135" i="12" s="1"/>
  <c r="IU48" i="6"/>
  <c r="IV26" i="6"/>
  <c r="IV13" i="6"/>
  <c r="IV27" i="6"/>
  <c r="IV24" i="6"/>
  <c r="IV25" i="6"/>
  <c r="IV18" i="6"/>
  <c r="IV20" i="6"/>
  <c r="IV23" i="6"/>
  <c r="IV19" i="6"/>
  <c r="IV15" i="6"/>
  <c r="IV16" i="6"/>
  <c r="IV17" i="6"/>
  <c r="IV21" i="6"/>
  <c r="IV22" i="6"/>
  <c r="IV14" i="6"/>
  <c r="IV45" i="6"/>
  <c r="IV52" i="6"/>
  <c r="IV49" i="6"/>
  <c r="V28" i="12"/>
  <c r="IV32" i="6"/>
  <c r="CG28" i="15"/>
  <c r="IT96" i="6"/>
  <c r="CG56" i="15"/>
  <c r="IU63" i="6"/>
  <c r="W89" i="11"/>
  <c r="V10" i="12" s="1"/>
  <c r="IV62" i="6"/>
  <c r="IV63" i="6" s="1"/>
  <c r="IV96" i="6" s="1"/>
  <c r="IV29" i="9" s="1"/>
  <c r="IV40" i="6"/>
  <c r="IU35" i="6"/>
  <c r="IV53" i="6"/>
  <c r="IV47" i="6"/>
  <c r="IV31" i="6"/>
  <c r="IV55" i="6"/>
  <c r="IV46" i="6"/>
  <c r="IV42" i="6"/>
  <c r="IV54" i="6"/>
  <c r="IV51" i="6"/>
  <c r="IV41" i="6"/>
  <c r="IV50" i="6"/>
  <c r="IW33" i="6"/>
  <c r="CH26" i="15" s="1"/>
  <c r="IW34" i="6"/>
  <c r="CH27" i="15" s="1"/>
  <c r="IW3" i="6"/>
  <c r="IW12" i="6" s="1"/>
  <c r="IX1" i="6"/>
  <c r="IV43" i="6"/>
  <c r="IV48" i="6" l="1"/>
  <c r="IW18" i="6"/>
  <c r="CH11" i="15" s="1"/>
  <c r="IW45" i="6"/>
  <c r="CH38" i="15" s="1"/>
  <c r="IW15" i="6"/>
  <c r="IW25" i="6"/>
  <c r="CH18" i="15" s="1"/>
  <c r="IW27" i="6"/>
  <c r="CH20" i="15" s="1"/>
  <c r="IW26" i="6"/>
  <c r="CH19" i="15" s="1"/>
  <c r="IW13" i="6"/>
  <c r="IW23" i="6"/>
  <c r="CH16" i="15" s="1"/>
  <c r="IW17" i="6"/>
  <c r="CH10" i="15" s="1"/>
  <c r="IW19" i="6"/>
  <c r="CH12" i="15" s="1"/>
  <c r="IW21" i="6"/>
  <c r="CH14" i="15" s="1"/>
  <c r="IW14" i="6"/>
  <c r="CH7" i="15" s="1"/>
  <c r="IW16" i="6"/>
  <c r="CH9" i="15" s="1"/>
  <c r="IW20" i="6"/>
  <c r="CH13" i="15" s="1"/>
  <c r="IW22" i="6"/>
  <c r="IW24" i="6"/>
  <c r="CH17" i="15" s="1"/>
  <c r="IW49" i="6"/>
  <c r="CH42" i="15" s="1"/>
  <c r="CH6" i="15"/>
  <c r="IU96" i="6"/>
  <c r="IT29" i="9"/>
  <c r="CG89" i="15"/>
  <c r="IV35" i="6"/>
  <c r="IW62" i="6"/>
  <c r="IW40" i="6"/>
  <c r="CH33" i="15" s="1"/>
  <c r="IW32" i="6"/>
  <c r="CH25" i="15" s="1"/>
  <c r="IW50" i="6"/>
  <c r="IW55" i="6"/>
  <c r="CH48" i="15" s="1"/>
  <c r="IW43" i="6"/>
  <c r="CH36" i="15" s="1"/>
  <c r="IW46" i="6"/>
  <c r="CH39" i="15" s="1"/>
  <c r="IW42" i="6"/>
  <c r="CH35" i="15" s="1"/>
  <c r="IW52" i="6"/>
  <c r="IW31" i="6"/>
  <c r="CH24" i="15" s="1"/>
  <c r="IW53" i="6"/>
  <c r="CH46" i="15" s="1"/>
  <c r="IW51" i="6"/>
  <c r="IW47" i="6"/>
  <c r="CH40" i="15" s="1"/>
  <c r="IW41" i="6"/>
  <c r="CH34" i="15" s="1"/>
  <c r="IW54" i="6"/>
  <c r="CH47" i="15" s="1"/>
  <c r="IX33" i="6"/>
  <c r="IY1" i="6"/>
  <c r="IX34" i="6"/>
  <c r="IX3" i="6"/>
  <c r="IX12" i="6" s="1"/>
  <c r="CH8" i="15" l="1"/>
  <c r="IW48" i="6"/>
  <c r="CH41" i="15" s="1"/>
  <c r="IX23" i="6"/>
  <c r="IX17" i="6"/>
  <c r="IX15" i="6"/>
  <c r="IX18" i="6"/>
  <c r="IX14" i="6"/>
  <c r="IX13" i="6"/>
  <c r="IX22" i="6"/>
  <c r="IX21" i="6"/>
  <c r="IX24" i="6"/>
  <c r="IX45" i="6"/>
  <c r="IX26" i="6"/>
  <c r="IX25" i="6"/>
  <c r="IX19" i="6"/>
  <c r="IX20" i="6"/>
  <c r="IX16" i="6"/>
  <c r="IX27" i="6"/>
  <c r="CH45" i="15"/>
  <c r="CH43" i="15"/>
  <c r="CH44" i="15"/>
  <c r="IX49" i="6"/>
  <c r="CH15" i="15"/>
  <c r="IW63" i="6"/>
  <c r="IW96" i="6" s="1"/>
  <c r="IW29" i="9" s="1"/>
  <c r="CH55" i="15"/>
  <c r="CH28" i="15"/>
  <c r="IU29" i="9"/>
  <c r="IX62" i="6"/>
  <c r="IX40" i="6"/>
  <c r="IW35" i="6"/>
  <c r="IX54" i="6"/>
  <c r="IX32" i="6"/>
  <c r="IX47" i="6"/>
  <c r="IX41" i="6"/>
  <c r="IX42" i="6"/>
  <c r="IX43" i="6"/>
  <c r="IX53" i="6"/>
  <c r="IX55" i="6"/>
  <c r="IY34" i="6"/>
  <c r="IY3" i="6"/>
  <c r="IY12" i="6" s="1"/>
  <c r="IY33" i="6"/>
  <c r="IZ1" i="6"/>
  <c r="IX46" i="6"/>
  <c r="IX52" i="6"/>
  <c r="IX31" i="6"/>
  <c r="IX50" i="6"/>
  <c r="IX51" i="6"/>
  <c r="IX48" i="6" l="1"/>
  <c r="IY27" i="6"/>
  <c r="IY23" i="6"/>
  <c r="IY24" i="6"/>
  <c r="IY16" i="6"/>
  <c r="IY25" i="6"/>
  <c r="IY19" i="6"/>
  <c r="IY15" i="6"/>
  <c r="IY22" i="6"/>
  <c r="IY20" i="6"/>
  <c r="IY26" i="6"/>
  <c r="IY21" i="6"/>
  <c r="IY14" i="6"/>
  <c r="IY18" i="6"/>
  <c r="IY17" i="6"/>
  <c r="IY13" i="6"/>
  <c r="IY45" i="6"/>
  <c r="IY49" i="6"/>
  <c r="CH56" i="15"/>
  <c r="IX63" i="6"/>
  <c r="IX96" i="6" s="1"/>
  <c r="CH89" i="15"/>
  <c r="IY62" i="6"/>
  <c r="IY63" i="6" s="1"/>
  <c r="IY96" i="6" s="1"/>
  <c r="IY29" i="9" s="1"/>
  <c r="IY40" i="6"/>
  <c r="IX35" i="6"/>
  <c r="IY53" i="6"/>
  <c r="IY47" i="6"/>
  <c r="IY32" i="6"/>
  <c r="IY43" i="6"/>
  <c r="IY52" i="6"/>
  <c r="IY31" i="6"/>
  <c r="IY55" i="6"/>
  <c r="IY51" i="6"/>
  <c r="IY41" i="6"/>
  <c r="IY50" i="6"/>
  <c r="IY54" i="6"/>
  <c r="IY42" i="6"/>
  <c r="IY46" i="6"/>
  <c r="JA1" i="6"/>
  <c r="IZ33" i="6"/>
  <c r="CI26" i="15" s="1"/>
  <c r="IZ34" i="6"/>
  <c r="CI27" i="15" s="1"/>
  <c r="IZ3" i="6"/>
  <c r="IZ12" i="6" s="1"/>
  <c r="IY48" i="6" l="1"/>
  <c r="IZ24" i="6"/>
  <c r="CI17" i="15" s="1"/>
  <c r="IZ23" i="6"/>
  <c r="CI16" i="15" s="1"/>
  <c r="IZ27" i="6"/>
  <c r="CI20" i="15" s="1"/>
  <c r="IZ16" i="6"/>
  <c r="CI9" i="15" s="1"/>
  <c r="IZ18" i="6"/>
  <c r="CI11" i="15" s="1"/>
  <c r="IZ14" i="6"/>
  <c r="CI7" i="15" s="1"/>
  <c r="IZ17" i="6"/>
  <c r="CI10" i="15" s="1"/>
  <c r="IZ26" i="6"/>
  <c r="CI19" i="15" s="1"/>
  <c r="IZ15" i="6"/>
  <c r="IZ45" i="6"/>
  <c r="CI38" i="15" s="1"/>
  <c r="IZ19" i="6"/>
  <c r="CI12" i="15" s="1"/>
  <c r="IZ22" i="6"/>
  <c r="CI15" i="15" s="1"/>
  <c r="IZ20" i="6"/>
  <c r="CI13" i="15" s="1"/>
  <c r="IZ21" i="6"/>
  <c r="CI14" i="15" s="1"/>
  <c r="IZ13" i="6"/>
  <c r="CI6" i="15" s="1"/>
  <c r="IZ25" i="6"/>
  <c r="CI18" i="15" s="1"/>
  <c r="IZ49" i="6"/>
  <c r="CI42" i="15" s="1"/>
  <c r="IX29" i="9"/>
  <c r="IZ62" i="6"/>
  <c r="IZ63" i="6" s="1"/>
  <c r="IZ96" i="6" s="1"/>
  <c r="IZ29" i="9" s="1"/>
  <c r="IZ40" i="6"/>
  <c r="CI33" i="15" s="1"/>
  <c r="IZ51" i="6"/>
  <c r="CI44" i="15" s="1"/>
  <c r="IY35" i="6"/>
  <c r="IZ53" i="6"/>
  <c r="CI46" i="15" s="1"/>
  <c r="IZ52" i="6"/>
  <c r="CI45" i="15" s="1"/>
  <c r="IZ55" i="6"/>
  <c r="CI48" i="15" s="1"/>
  <c r="IZ43" i="6"/>
  <c r="CI36" i="15" s="1"/>
  <c r="JA3" i="6"/>
  <c r="JA12" i="6" s="1"/>
  <c r="JB1" i="6"/>
  <c r="JA34" i="6"/>
  <c r="JA33" i="6"/>
  <c r="IZ46" i="6"/>
  <c r="CI39" i="15" s="1"/>
  <c r="IZ47" i="6"/>
  <c r="CI40" i="15" s="1"/>
  <c r="IZ50" i="6"/>
  <c r="CI43" i="15" s="1"/>
  <c r="IZ54" i="6"/>
  <c r="CI47" i="15" s="1"/>
  <c r="IZ42" i="6"/>
  <c r="CI35" i="15" s="1"/>
  <c r="IZ41" i="6"/>
  <c r="CI34" i="15" s="1"/>
  <c r="IZ32" i="6"/>
  <c r="CI25" i="15" s="1"/>
  <c r="IZ31" i="6"/>
  <c r="CI24" i="15" s="1"/>
  <c r="CI8" i="15" l="1"/>
  <c r="IZ48" i="6"/>
  <c r="CI41" i="15" s="1"/>
  <c r="JA20" i="6"/>
  <c r="JA27" i="6"/>
  <c r="JA24" i="6"/>
  <c r="JA23" i="6"/>
  <c r="JA21" i="6"/>
  <c r="JA15" i="6"/>
  <c r="JA19" i="6"/>
  <c r="JA18" i="6"/>
  <c r="JA17" i="6"/>
  <c r="JA16" i="6"/>
  <c r="JA22" i="6"/>
  <c r="JA25" i="6"/>
  <c r="JA26" i="6"/>
  <c r="JA13" i="6"/>
  <c r="JA14" i="6"/>
  <c r="JA45" i="6"/>
  <c r="JA49" i="6"/>
  <c r="CI55" i="15"/>
  <c r="CI89" i="15"/>
  <c r="CI56" i="15"/>
  <c r="CI28" i="15"/>
  <c r="JA62" i="6"/>
  <c r="JA40" i="6"/>
  <c r="JA52" i="6"/>
  <c r="JA46" i="6"/>
  <c r="JA43" i="6"/>
  <c r="JA47" i="6"/>
  <c r="JA41" i="6"/>
  <c r="JA31" i="6"/>
  <c r="JA53" i="6"/>
  <c r="JA54" i="6"/>
  <c r="JA51" i="6"/>
  <c r="JA50" i="6"/>
  <c r="JA32" i="6"/>
  <c r="JA55" i="6"/>
  <c r="IZ35" i="6"/>
  <c r="JB33" i="6"/>
  <c r="JB34" i="6"/>
  <c r="JC1" i="6"/>
  <c r="JB3" i="6"/>
  <c r="JB12" i="6" s="1"/>
  <c r="JA42" i="6"/>
  <c r="JA48" i="6" l="1"/>
  <c r="JB20" i="6"/>
  <c r="JB27" i="6"/>
  <c r="JB23" i="6"/>
  <c r="JB13" i="6"/>
  <c r="JB21" i="6"/>
  <c r="JB26" i="6"/>
  <c r="JB18" i="6"/>
  <c r="JB16" i="6"/>
  <c r="JB25" i="6"/>
  <c r="JB22" i="6"/>
  <c r="JB24" i="6"/>
  <c r="JB14" i="6"/>
  <c r="JB15" i="6"/>
  <c r="JB17" i="6"/>
  <c r="JB45" i="6"/>
  <c r="JB19" i="6"/>
  <c r="JB49" i="6"/>
  <c r="JA63" i="6"/>
  <c r="JA96" i="6" s="1"/>
  <c r="JB62" i="6"/>
  <c r="JB63" i="6" s="1"/>
  <c r="JB96" i="6" s="1"/>
  <c r="JB29" i="9" s="1"/>
  <c r="JB40" i="6"/>
  <c r="JB31" i="6"/>
  <c r="JA35" i="6"/>
  <c r="JB41" i="6"/>
  <c r="JB50" i="6"/>
  <c r="JB32" i="6"/>
  <c r="JB43" i="6"/>
  <c r="JB52" i="6"/>
  <c r="JB55" i="6"/>
  <c r="JB42" i="6"/>
  <c r="JB47" i="6"/>
  <c r="JB46" i="6"/>
  <c r="JB51" i="6"/>
  <c r="JB53" i="6"/>
  <c r="JB54" i="6"/>
  <c r="JC3" i="6"/>
  <c r="JC12" i="6" s="1"/>
  <c r="JC33" i="6"/>
  <c r="CJ26" i="15" s="1"/>
  <c r="JC34" i="6"/>
  <c r="CJ27" i="15" s="1"/>
  <c r="JD1" i="6"/>
  <c r="JB48" i="6" l="1"/>
  <c r="JC26" i="6"/>
  <c r="CJ19" i="15" s="1"/>
  <c r="JC27" i="6"/>
  <c r="CJ20" i="15" s="1"/>
  <c r="JC14" i="6"/>
  <c r="CJ7" i="15" s="1"/>
  <c r="JC20" i="6"/>
  <c r="CJ13" i="15" s="1"/>
  <c r="JC17" i="6"/>
  <c r="CJ10" i="15" s="1"/>
  <c r="JC18" i="6"/>
  <c r="CJ11" i="15" s="1"/>
  <c r="JC22" i="6"/>
  <c r="CJ15" i="15" s="1"/>
  <c r="JC21" i="6"/>
  <c r="CJ14" i="15" s="1"/>
  <c r="JC16" i="6"/>
  <c r="CJ9" i="15" s="1"/>
  <c r="JC23" i="6"/>
  <c r="CJ16" i="15" s="1"/>
  <c r="JC13" i="6"/>
  <c r="CJ6" i="15" s="1"/>
  <c r="JC15" i="6"/>
  <c r="JC19" i="6"/>
  <c r="CJ12" i="15" s="1"/>
  <c r="JC24" i="6"/>
  <c r="CJ17" i="15" s="1"/>
  <c r="JC45" i="6"/>
  <c r="CJ38" i="15" s="1"/>
  <c r="JC25" i="6"/>
  <c r="CJ18" i="15" s="1"/>
  <c r="JC49" i="6"/>
  <c r="CJ42" i="15" s="1"/>
  <c r="JC52" i="6"/>
  <c r="CJ45" i="15" s="1"/>
  <c r="JA29" i="9"/>
  <c r="JC62" i="6"/>
  <c r="JC63" i="6" s="1"/>
  <c r="JC96" i="6" s="1"/>
  <c r="JC29" i="9" s="1"/>
  <c r="JC40" i="6"/>
  <c r="CJ33" i="15" s="1"/>
  <c r="JC31" i="6"/>
  <c r="CJ24" i="15" s="1"/>
  <c r="JC47" i="6"/>
  <c r="CJ40" i="15" s="1"/>
  <c r="JC46" i="6"/>
  <c r="CJ39" i="15" s="1"/>
  <c r="JC51" i="6"/>
  <c r="CJ44" i="15" s="1"/>
  <c r="JC50" i="6"/>
  <c r="CJ43" i="15" s="1"/>
  <c r="JC32" i="6"/>
  <c r="CJ25" i="15" s="1"/>
  <c r="JB35" i="6"/>
  <c r="JC43" i="6"/>
  <c r="CJ36" i="15" s="1"/>
  <c r="JC54" i="6"/>
  <c r="CJ47" i="15" s="1"/>
  <c r="JC53" i="6"/>
  <c r="CJ46" i="15" s="1"/>
  <c r="JC55" i="6"/>
  <c r="CJ48" i="15" s="1"/>
  <c r="JC41" i="6"/>
  <c r="CJ34" i="15" s="1"/>
  <c r="JC42" i="6"/>
  <c r="CJ35" i="15" s="1"/>
  <c r="JD3" i="6"/>
  <c r="JD12" i="6" s="1"/>
  <c r="JD33" i="6"/>
  <c r="JD34" i="6"/>
  <c r="JE1" i="6"/>
  <c r="CJ8" i="15" l="1"/>
  <c r="JC48" i="6"/>
  <c r="CJ41" i="15" s="1"/>
  <c r="JD27" i="6"/>
  <c r="JD15" i="6"/>
  <c r="JD16" i="6"/>
  <c r="JD13" i="6"/>
  <c r="JD45" i="6"/>
  <c r="JD19" i="6"/>
  <c r="JD20" i="6"/>
  <c r="JD25" i="6"/>
  <c r="JD22" i="6"/>
  <c r="JD24" i="6"/>
  <c r="JD18" i="6"/>
  <c r="JD21" i="6"/>
  <c r="JD26" i="6"/>
  <c r="JD23" i="6"/>
  <c r="JD14" i="6"/>
  <c r="JD17" i="6"/>
  <c r="JD49" i="6"/>
  <c r="CJ55" i="15"/>
  <c r="CJ89" i="15"/>
  <c r="CJ56" i="15"/>
  <c r="CJ28" i="15"/>
  <c r="JC35" i="6"/>
  <c r="JD62" i="6"/>
  <c r="JD40" i="6"/>
  <c r="JD42" i="6"/>
  <c r="JD54" i="6"/>
  <c r="JD55" i="6"/>
  <c r="JD52" i="6"/>
  <c r="JD31" i="6"/>
  <c r="JD43" i="6"/>
  <c r="JD46" i="6"/>
  <c r="JD32" i="6"/>
  <c r="JD47" i="6"/>
  <c r="JE3" i="6"/>
  <c r="JE12" i="6" s="1"/>
  <c r="JE34" i="6"/>
  <c r="JE33" i="6"/>
  <c r="JF1" i="6"/>
  <c r="JD50" i="6"/>
  <c r="JD53" i="6"/>
  <c r="JD41" i="6"/>
  <c r="JD51" i="6"/>
  <c r="JD48" i="6" l="1"/>
  <c r="JE25" i="6"/>
  <c r="JE16" i="6"/>
  <c r="JE13" i="6"/>
  <c r="JE17" i="6"/>
  <c r="JE19" i="6"/>
  <c r="JE21" i="6"/>
  <c r="JE22" i="6"/>
  <c r="JE45" i="6"/>
  <c r="JE20" i="6"/>
  <c r="JE26" i="6"/>
  <c r="JE14" i="6"/>
  <c r="JE24" i="6"/>
  <c r="JE18" i="6"/>
  <c r="JE15" i="6"/>
  <c r="JE27" i="6"/>
  <c r="JE23" i="6"/>
  <c r="JE49" i="6"/>
  <c r="JD63" i="6"/>
  <c r="JD96" i="6" s="1"/>
  <c r="JE62" i="6"/>
  <c r="JE63" i="6" s="1"/>
  <c r="JE96" i="6" s="1"/>
  <c r="JE29" i="9" s="1"/>
  <c r="JE40" i="6"/>
  <c r="JE31" i="6"/>
  <c r="JE41" i="6"/>
  <c r="JE51" i="6"/>
  <c r="JF33" i="6"/>
  <c r="X26" i="11" s="1"/>
  <c r="JG1" i="6"/>
  <c r="JF3" i="6"/>
  <c r="JF12" i="6" s="1"/>
  <c r="JF34" i="6"/>
  <c r="X27" i="11" s="1"/>
  <c r="JE54" i="6"/>
  <c r="JE47" i="6"/>
  <c r="JE55" i="6"/>
  <c r="JE52" i="6"/>
  <c r="JE43" i="6"/>
  <c r="JE50" i="6"/>
  <c r="JE46" i="6"/>
  <c r="JE32" i="6"/>
  <c r="JE42" i="6"/>
  <c r="JE53" i="6"/>
  <c r="JD35" i="6"/>
  <c r="M30" i="1"/>
  <c r="N30" i="1"/>
  <c r="O30" i="1"/>
  <c r="P30" i="1"/>
  <c r="Q30" i="1"/>
  <c r="R30" i="1"/>
  <c r="S30" i="1"/>
  <c r="T30" i="1"/>
  <c r="U30" i="1"/>
  <c r="V30" i="1"/>
  <c r="W30" i="1"/>
  <c r="X30" i="1"/>
  <c r="Y30" i="1"/>
  <c r="Z30" i="1"/>
  <c r="AA30" i="1"/>
  <c r="AB30" i="1"/>
  <c r="AC30" i="1"/>
  <c r="AD30" i="1"/>
  <c r="AE30" i="1"/>
  <c r="JE48" i="6" l="1"/>
  <c r="JF25" i="6"/>
  <c r="JF18" i="6"/>
  <c r="JF21" i="6"/>
  <c r="X14" i="11" s="1"/>
  <c r="JF45" i="6"/>
  <c r="X38" i="11" s="1"/>
  <c r="W132" i="12" s="1"/>
  <c r="JF17" i="6"/>
  <c r="JF20" i="6"/>
  <c r="JF24" i="6"/>
  <c r="JF23" i="6"/>
  <c r="JF26" i="6"/>
  <c r="JF19" i="6"/>
  <c r="JF16" i="6"/>
  <c r="JF27" i="6"/>
  <c r="JF22" i="6"/>
  <c r="JF15" i="6"/>
  <c r="JF13" i="6"/>
  <c r="X6" i="11" s="1"/>
  <c r="JF14" i="6"/>
  <c r="JF49" i="6"/>
  <c r="JD29" i="9"/>
  <c r="CK26" i="15"/>
  <c r="CK27" i="15"/>
  <c r="JF62" i="6"/>
  <c r="CK55" i="15" s="1"/>
  <c r="JF40" i="6"/>
  <c r="JF31" i="6"/>
  <c r="JF42" i="6"/>
  <c r="JF41" i="6"/>
  <c r="JF46" i="6"/>
  <c r="JF55" i="6"/>
  <c r="JF50" i="6"/>
  <c r="JF47" i="6"/>
  <c r="JF53" i="6"/>
  <c r="JG33" i="6"/>
  <c r="JG34" i="6"/>
  <c r="JH1" i="6"/>
  <c r="JG3" i="6"/>
  <c r="JG12" i="6" s="1"/>
  <c r="JF52" i="6"/>
  <c r="JF32" i="6"/>
  <c r="X25" i="11" s="1"/>
  <c r="JF54" i="6"/>
  <c r="JF51" i="6"/>
  <c r="JE35" i="6"/>
  <c r="JF43" i="6"/>
  <c r="JF48" i="6" l="1"/>
  <c r="CK14" i="15"/>
  <c r="JG15" i="6"/>
  <c r="JG25" i="6"/>
  <c r="JG45" i="6"/>
  <c r="JG13" i="6"/>
  <c r="JG18" i="6"/>
  <c r="JG21" i="6"/>
  <c r="JG19" i="6"/>
  <c r="JG23" i="6"/>
  <c r="JG24" i="6"/>
  <c r="JG22" i="6"/>
  <c r="JG17" i="6"/>
  <c r="JG20" i="6"/>
  <c r="JG14" i="6"/>
  <c r="JG27" i="6"/>
  <c r="JG26" i="6"/>
  <c r="JG16" i="6"/>
  <c r="CK38" i="15"/>
  <c r="X19" i="11"/>
  <c r="X9" i="11"/>
  <c r="X12" i="11"/>
  <c r="X8" i="11"/>
  <c r="X18" i="11"/>
  <c r="X15" i="11"/>
  <c r="X16" i="11"/>
  <c r="X13" i="11"/>
  <c r="X20" i="11"/>
  <c r="X7" i="11"/>
  <c r="X11" i="11"/>
  <c r="X17" i="11"/>
  <c r="X24" i="11"/>
  <c r="X28" i="11" s="1"/>
  <c r="X10" i="11"/>
  <c r="X46" i="11"/>
  <c r="W140" i="12" s="1"/>
  <c r="X34" i="11"/>
  <c r="W128" i="12" s="1"/>
  <c r="X33" i="11"/>
  <c r="W127" i="12" s="1"/>
  <c r="X36" i="11"/>
  <c r="W130" i="12" s="1"/>
  <c r="X47" i="11"/>
  <c r="W141" i="12" s="1"/>
  <c r="X40" i="11"/>
  <c r="W134" i="12" s="1"/>
  <c r="X43" i="11"/>
  <c r="W137" i="12" s="1"/>
  <c r="X48" i="11"/>
  <c r="W142" i="12" s="1"/>
  <c r="X35" i="11"/>
  <c r="W129" i="12" s="1"/>
  <c r="X44" i="11"/>
  <c r="W138" i="12" s="1"/>
  <c r="X45" i="11"/>
  <c r="W139" i="12" s="1"/>
  <c r="X39" i="11"/>
  <c r="W133" i="12" s="1"/>
  <c r="X42" i="11"/>
  <c r="W136" i="12" s="1"/>
  <c r="JG49" i="6"/>
  <c r="CK42" i="15"/>
  <c r="CK6" i="15"/>
  <c r="CK15" i="15"/>
  <c r="CK25" i="15"/>
  <c r="CK34" i="15"/>
  <c r="CK35" i="15"/>
  <c r="CK48" i="15"/>
  <c r="CK47" i="15"/>
  <c r="CK36" i="15"/>
  <c r="CK40" i="15"/>
  <c r="CK45" i="15"/>
  <c r="CK39" i="15"/>
  <c r="CK43" i="15"/>
  <c r="CK44" i="15"/>
  <c r="CK46" i="15"/>
  <c r="CK33" i="15"/>
  <c r="CK24" i="15"/>
  <c r="CK8" i="15"/>
  <c r="CK9" i="15"/>
  <c r="CK7" i="15"/>
  <c r="CK12" i="15"/>
  <c r="CK11" i="15"/>
  <c r="CK17" i="15"/>
  <c r="CK20" i="15"/>
  <c r="CK13" i="15"/>
  <c r="CK16" i="15"/>
  <c r="CK18" i="15"/>
  <c r="CK10" i="15"/>
  <c r="CK19" i="15"/>
  <c r="JF63" i="6"/>
  <c r="X55" i="11"/>
  <c r="JG32" i="6"/>
  <c r="JG62" i="6"/>
  <c r="JG40" i="6"/>
  <c r="JF35" i="6"/>
  <c r="AF30" i="1" s="1"/>
  <c r="JG31" i="6"/>
  <c r="JG51" i="6"/>
  <c r="JG54" i="6"/>
  <c r="JG46" i="6"/>
  <c r="JG52" i="6"/>
  <c r="JG53" i="6"/>
  <c r="JG50" i="6"/>
  <c r="JI1" i="6"/>
  <c r="JH3" i="6"/>
  <c r="JH12" i="6" s="1"/>
  <c r="JH33" i="6"/>
  <c r="JH34" i="6"/>
  <c r="JG43" i="6"/>
  <c r="JG55" i="6"/>
  <c r="JG42" i="6"/>
  <c r="JG47" i="6"/>
  <c r="JG41" i="6"/>
  <c r="CK41" i="15" l="1"/>
  <c r="X41" i="11"/>
  <c r="W135" i="12" s="1"/>
  <c r="JG48" i="6"/>
  <c r="JH20" i="6"/>
  <c r="JH26" i="6"/>
  <c r="JH14" i="6"/>
  <c r="JH22" i="6"/>
  <c r="JH16" i="6"/>
  <c r="JH17" i="6"/>
  <c r="JH15" i="6"/>
  <c r="JH23" i="6"/>
  <c r="JH18" i="6"/>
  <c r="JH45" i="6"/>
  <c r="JH24" i="6"/>
  <c r="JH27" i="6"/>
  <c r="JH13" i="6"/>
  <c r="JH21" i="6"/>
  <c r="JH25" i="6"/>
  <c r="JH19" i="6"/>
  <c r="W28" i="12"/>
  <c r="JH49" i="6"/>
  <c r="CK28" i="15"/>
  <c r="JF96" i="6"/>
  <c r="CK56" i="15"/>
  <c r="JG63" i="6"/>
  <c r="X56" i="11"/>
  <c r="X89" i="11" s="1"/>
  <c r="W10" i="12" s="1"/>
  <c r="JG35" i="6"/>
  <c r="JH62" i="6"/>
  <c r="JH63" i="6" s="1"/>
  <c r="JH96" i="6" s="1"/>
  <c r="JH29" i="9" s="1"/>
  <c r="JH40" i="6"/>
  <c r="JH32" i="6"/>
  <c r="JH50" i="6"/>
  <c r="JH42" i="6"/>
  <c r="JH54" i="6"/>
  <c r="JH43" i="6"/>
  <c r="JH47" i="6"/>
  <c r="JH53" i="6"/>
  <c r="JH55" i="6"/>
  <c r="JH31" i="6"/>
  <c r="JH51" i="6"/>
  <c r="JH52" i="6"/>
  <c r="JH41" i="6"/>
  <c r="JH46" i="6"/>
  <c r="JI34" i="6"/>
  <c r="CL27" i="15" s="1"/>
  <c r="JI3" i="6"/>
  <c r="JI12" i="6" s="1"/>
  <c r="JJ1" i="6"/>
  <c r="JI33" i="6"/>
  <c r="CL26" i="15" s="1"/>
  <c r="JH48" i="6" l="1"/>
  <c r="JI15" i="6"/>
  <c r="JI20" i="6"/>
  <c r="CL13" i="15" s="1"/>
  <c r="JI25" i="6"/>
  <c r="CL18" i="15" s="1"/>
  <c r="JI26" i="6"/>
  <c r="CL19" i="15" s="1"/>
  <c r="JI17" i="6"/>
  <c r="CL10" i="15" s="1"/>
  <c r="JI27" i="6"/>
  <c r="CL20" i="15" s="1"/>
  <c r="JI16" i="6"/>
  <c r="CL9" i="15" s="1"/>
  <c r="JI23" i="6"/>
  <c r="CL16" i="15" s="1"/>
  <c r="JI21" i="6"/>
  <c r="CL14" i="15" s="1"/>
  <c r="JI14" i="6"/>
  <c r="CL7" i="15" s="1"/>
  <c r="JI18" i="6"/>
  <c r="CL11" i="15" s="1"/>
  <c r="JI13" i="6"/>
  <c r="CL6" i="15" s="1"/>
  <c r="JI22" i="6"/>
  <c r="JI24" i="6"/>
  <c r="CL17" i="15" s="1"/>
  <c r="JI45" i="6"/>
  <c r="JI19" i="6"/>
  <c r="CL12" i="15" s="1"/>
  <c r="JI49" i="6"/>
  <c r="CL42" i="15" s="1"/>
  <c r="JG96" i="6"/>
  <c r="JF29" i="9"/>
  <c r="CK89" i="15"/>
  <c r="JH35" i="6"/>
  <c r="JI62" i="6"/>
  <c r="JI63" i="6" s="1"/>
  <c r="JI96" i="6" s="1"/>
  <c r="JI29" i="9" s="1"/>
  <c r="JI40" i="6"/>
  <c r="CL33" i="15" s="1"/>
  <c r="JI41" i="6"/>
  <c r="CL34" i="15" s="1"/>
  <c r="JI47" i="6"/>
  <c r="CL40" i="15" s="1"/>
  <c r="JI31" i="6"/>
  <c r="CL24" i="15" s="1"/>
  <c r="JI52" i="6"/>
  <c r="CL45" i="15" s="1"/>
  <c r="JI43" i="6"/>
  <c r="CL36" i="15" s="1"/>
  <c r="JI54" i="6"/>
  <c r="CL47" i="15" s="1"/>
  <c r="JI53" i="6"/>
  <c r="CL46" i="15" s="1"/>
  <c r="JI46" i="6"/>
  <c r="CL39" i="15" s="1"/>
  <c r="JI51" i="6"/>
  <c r="CL44" i="15" s="1"/>
  <c r="JI42" i="6"/>
  <c r="CL35" i="15" s="1"/>
  <c r="JI55" i="6"/>
  <c r="CL48" i="15" s="1"/>
  <c r="JI32" i="6"/>
  <c r="CL25" i="15" s="1"/>
  <c r="JJ34" i="6"/>
  <c r="JK1" i="6"/>
  <c r="JJ33" i="6"/>
  <c r="JJ3" i="6"/>
  <c r="JJ12" i="6" s="1"/>
  <c r="JI50" i="6"/>
  <c r="CL43" i="15" s="1"/>
  <c r="CL8" i="15" l="1"/>
  <c r="JI48" i="6"/>
  <c r="CL41" i="15" s="1"/>
  <c r="JJ20" i="6"/>
  <c r="JJ15" i="6"/>
  <c r="JJ25" i="6"/>
  <c r="JJ26" i="6"/>
  <c r="JJ27" i="6"/>
  <c r="JJ24" i="6"/>
  <c r="JJ19" i="6"/>
  <c r="JJ17" i="6"/>
  <c r="JJ45" i="6"/>
  <c r="JJ23" i="6"/>
  <c r="JJ14" i="6"/>
  <c r="JJ21" i="6"/>
  <c r="JJ18" i="6"/>
  <c r="JJ13" i="6"/>
  <c r="JJ16" i="6"/>
  <c r="JJ22" i="6"/>
  <c r="CL38" i="15"/>
  <c r="JJ49" i="6"/>
  <c r="CL15" i="15"/>
  <c r="JJ42" i="6"/>
  <c r="CL55" i="15"/>
  <c r="CL56" i="15"/>
  <c r="JG29" i="9"/>
  <c r="CL89" i="15"/>
  <c r="CL28" i="15"/>
  <c r="JJ41" i="6"/>
  <c r="JJ47" i="6"/>
  <c r="JJ50" i="6"/>
  <c r="JJ62" i="6"/>
  <c r="JJ40" i="6"/>
  <c r="JJ54" i="6"/>
  <c r="JJ31" i="6"/>
  <c r="JJ53" i="6"/>
  <c r="JJ51" i="6"/>
  <c r="JJ46" i="6"/>
  <c r="JJ43" i="6"/>
  <c r="JJ52" i="6"/>
  <c r="JJ32" i="6"/>
  <c r="JJ55" i="6"/>
  <c r="JL1" i="6"/>
  <c r="JK3" i="6"/>
  <c r="JK12" i="6" s="1"/>
  <c r="JK33" i="6"/>
  <c r="JK34" i="6"/>
  <c r="JI35" i="6"/>
  <c r="JJ48" i="6" l="1"/>
  <c r="JK20" i="6"/>
  <c r="JK26" i="6"/>
  <c r="JK25" i="6"/>
  <c r="JK17" i="6"/>
  <c r="JK21" i="6"/>
  <c r="JK27" i="6"/>
  <c r="JK14" i="6"/>
  <c r="JK16" i="6"/>
  <c r="JK24" i="6"/>
  <c r="JK19" i="6"/>
  <c r="JK18" i="6"/>
  <c r="JK13" i="6"/>
  <c r="JK22" i="6"/>
  <c r="JK45" i="6"/>
  <c r="JK23" i="6"/>
  <c r="JK15" i="6"/>
  <c r="JK49" i="6"/>
  <c r="JK55" i="6"/>
  <c r="JJ63" i="6"/>
  <c r="JJ96" i="6" s="1"/>
  <c r="JK62" i="6"/>
  <c r="JK63" i="6" s="1"/>
  <c r="JK96" i="6" s="1"/>
  <c r="JK29" i="9" s="1"/>
  <c r="JK40" i="6"/>
  <c r="JK54" i="6"/>
  <c r="JK53" i="6"/>
  <c r="JK50" i="6"/>
  <c r="JK43" i="6"/>
  <c r="JK47" i="6"/>
  <c r="JK32" i="6"/>
  <c r="JJ35" i="6"/>
  <c r="JK52" i="6"/>
  <c r="JK42" i="6"/>
  <c r="JK41" i="6"/>
  <c r="JK51" i="6"/>
  <c r="JK46" i="6"/>
  <c r="JK31" i="6"/>
  <c r="JL3" i="6"/>
  <c r="JL12" i="6" s="1"/>
  <c r="JL33" i="6"/>
  <c r="CM26" i="15" s="1"/>
  <c r="JL34" i="6"/>
  <c r="CM27" i="15" s="1"/>
  <c r="JM1" i="6"/>
  <c r="JK48" i="6" l="1"/>
  <c r="JL26" i="6"/>
  <c r="CM19" i="15" s="1"/>
  <c r="JL14" i="6"/>
  <c r="CM7" i="15" s="1"/>
  <c r="JL15" i="6"/>
  <c r="JL20" i="6"/>
  <c r="CM13" i="15" s="1"/>
  <c r="JL27" i="6"/>
  <c r="CM20" i="15" s="1"/>
  <c r="JL13" i="6"/>
  <c r="CM6" i="15" s="1"/>
  <c r="JL22" i="6"/>
  <c r="JL23" i="6"/>
  <c r="CM16" i="15" s="1"/>
  <c r="JL18" i="6"/>
  <c r="CM11" i="15" s="1"/>
  <c r="JL19" i="6"/>
  <c r="CM12" i="15" s="1"/>
  <c r="JL21" i="6"/>
  <c r="CM14" i="15" s="1"/>
  <c r="JL45" i="6"/>
  <c r="JL17" i="6"/>
  <c r="CM10" i="15" s="1"/>
  <c r="JL24" i="6"/>
  <c r="CM17" i="15" s="1"/>
  <c r="JL16" i="6"/>
  <c r="CM9" i="15" s="1"/>
  <c r="JL25" i="6"/>
  <c r="CM18" i="15" s="1"/>
  <c r="JL49" i="6"/>
  <c r="CM42" i="15" s="1"/>
  <c r="JJ29" i="9"/>
  <c r="JK35" i="6"/>
  <c r="JL62" i="6"/>
  <c r="JL63" i="6" s="1"/>
  <c r="JL96" i="6" s="1"/>
  <c r="JL29" i="9" s="1"/>
  <c r="JL40" i="6"/>
  <c r="CM33" i="15" s="1"/>
  <c r="JL31" i="6"/>
  <c r="CM24" i="15" s="1"/>
  <c r="JL47" i="6"/>
  <c r="CM40" i="15" s="1"/>
  <c r="JL32" i="6"/>
  <c r="CM25" i="15" s="1"/>
  <c r="JL42" i="6"/>
  <c r="CM35" i="15" s="1"/>
  <c r="JL43" i="6"/>
  <c r="CM36" i="15" s="1"/>
  <c r="JL41" i="6"/>
  <c r="CM34" i="15" s="1"/>
  <c r="JL50" i="6"/>
  <c r="CM43" i="15" s="1"/>
  <c r="JL46" i="6"/>
  <c r="CM39" i="15" s="1"/>
  <c r="JL53" i="6"/>
  <c r="CM46" i="15" s="1"/>
  <c r="JL54" i="6"/>
  <c r="CM47" i="15" s="1"/>
  <c r="JL51" i="6"/>
  <c r="CM44" i="15" s="1"/>
  <c r="JL55" i="6"/>
  <c r="CM48" i="15" s="1"/>
  <c r="JL52" i="6"/>
  <c r="CM45" i="15" s="1"/>
  <c r="JN1" i="6"/>
  <c r="JM33" i="6"/>
  <c r="JM3" i="6"/>
  <c r="JM12" i="6" s="1"/>
  <c r="JM34" i="6"/>
  <c r="CM8" i="15" l="1"/>
  <c r="JL48" i="6"/>
  <c r="CM41" i="15" s="1"/>
  <c r="CM38" i="15"/>
  <c r="JM22" i="6"/>
  <c r="JM15" i="6"/>
  <c r="JM14" i="6"/>
  <c r="JM24" i="6"/>
  <c r="JM17" i="6"/>
  <c r="JM23" i="6"/>
  <c r="JM26" i="6"/>
  <c r="JM45" i="6"/>
  <c r="JM19" i="6"/>
  <c r="JM21" i="6"/>
  <c r="JM18" i="6"/>
  <c r="JM13" i="6"/>
  <c r="JM20" i="6"/>
  <c r="JM27" i="6"/>
  <c r="JM25" i="6"/>
  <c r="JM16" i="6"/>
  <c r="JM49" i="6"/>
  <c r="CM15" i="15"/>
  <c r="CM55" i="15"/>
  <c r="CM89" i="15"/>
  <c r="CM56" i="15"/>
  <c r="CM28" i="15"/>
  <c r="JM62" i="6"/>
  <c r="JM40" i="6"/>
  <c r="JM54" i="6"/>
  <c r="JL35" i="6"/>
  <c r="JM43" i="6"/>
  <c r="JM31" i="6"/>
  <c r="JM53" i="6"/>
  <c r="JM55" i="6"/>
  <c r="JM51" i="6"/>
  <c r="JM52" i="6"/>
  <c r="JM46" i="6"/>
  <c r="JM47" i="6"/>
  <c r="JM50" i="6"/>
  <c r="JM32" i="6"/>
  <c r="JM41" i="6"/>
  <c r="JM42" i="6"/>
  <c r="JO1" i="6"/>
  <c r="JN3" i="6"/>
  <c r="JN12" i="6" s="1"/>
  <c r="JN33" i="6"/>
  <c r="JN34" i="6"/>
  <c r="JM48" i="6" l="1"/>
  <c r="JN22" i="6"/>
  <c r="JN14" i="6"/>
  <c r="JN16" i="6"/>
  <c r="JN23" i="6"/>
  <c r="JN27" i="6"/>
  <c r="JN18" i="6"/>
  <c r="JN45" i="6"/>
  <c r="JN13" i="6"/>
  <c r="JN26" i="6"/>
  <c r="JN15" i="6"/>
  <c r="JN20" i="6"/>
  <c r="JN25" i="6"/>
  <c r="JN21" i="6"/>
  <c r="JN19" i="6"/>
  <c r="JN24" i="6"/>
  <c r="JN17" i="6"/>
  <c r="JN49" i="6"/>
  <c r="JM63" i="6"/>
  <c r="JM96" i="6" s="1"/>
  <c r="JN62" i="6"/>
  <c r="JN63" i="6" s="1"/>
  <c r="JN96" i="6" s="1"/>
  <c r="JN29" i="9" s="1"/>
  <c r="JN40" i="6"/>
  <c r="JN31" i="6"/>
  <c r="JN53" i="6"/>
  <c r="JN42" i="6"/>
  <c r="JN54" i="6"/>
  <c r="JN55" i="6"/>
  <c r="JN51" i="6"/>
  <c r="JN50" i="6"/>
  <c r="JN43" i="6"/>
  <c r="JN32" i="6"/>
  <c r="JN41" i="6"/>
  <c r="JN46" i="6"/>
  <c r="JN47" i="6"/>
  <c r="JN52" i="6"/>
  <c r="JO33" i="6"/>
  <c r="CN26" i="15" s="1"/>
  <c r="JP1" i="6"/>
  <c r="JO3" i="6"/>
  <c r="JO12" i="6" s="1"/>
  <c r="JO34" i="6"/>
  <c r="CN27" i="15" s="1"/>
  <c r="JM35" i="6"/>
  <c r="JN48" i="6" l="1"/>
  <c r="JO23" i="6"/>
  <c r="CN16" i="15" s="1"/>
  <c r="JO24" i="6"/>
  <c r="CN17" i="15" s="1"/>
  <c r="JO15" i="6"/>
  <c r="JO18" i="6"/>
  <c r="CN11" i="15" s="1"/>
  <c r="JO13" i="6"/>
  <c r="JO27" i="6"/>
  <c r="CN20" i="15" s="1"/>
  <c r="JO21" i="6"/>
  <c r="CN14" i="15" s="1"/>
  <c r="JO26" i="6"/>
  <c r="CN19" i="15" s="1"/>
  <c r="JO20" i="6"/>
  <c r="CN13" i="15" s="1"/>
  <c r="JO14" i="6"/>
  <c r="CN7" i="15" s="1"/>
  <c r="JO19" i="6"/>
  <c r="CN12" i="15" s="1"/>
  <c r="JO22" i="6"/>
  <c r="CN15" i="15" s="1"/>
  <c r="JO45" i="6"/>
  <c r="CN38" i="15" s="1"/>
  <c r="JO16" i="6"/>
  <c r="CN9" i="15" s="1"/>
  <c r="JO25" i="6"/>
  <c r="CN18" i="15" s="1"/>
  <c r="JO17" i="6"/>
  <c r="CN10" i="15" s="1"/>
  <c r="JO49" i="6"/>
  <c r="CN42" i="15" s="1"/>
  <c r="CN6" i="15"/>
  <c r="JM29" i="9"/>
  <c r="JO62" i="6"/>
  <c r="JO63" i="6" s="1"/>
  <c r="JO96" i="6" s="1"/>
  <c r="JO29" i="9" s="1"/>
  <c r="JO40" i="6"/>
  <c r="CN33" i="15" s="1"/>
  <c r="JN35" i="6"/>
  <c r="JO50" i="6"/>
  <c r="CN43" i="15" s="1"/>
  <c r="JO41" i="6"/>
  <c r="CN34" i="15" s="1"/>
  <c r="JO31" i="6"/>
  <c r="CN24" i="15" s="1"/>
  <c r="JO32" i="6"/>
  <c r="CN25" i="15" s="1"/>
  <c r="JO43" i="6"/>
  <c r="CN36" i="15" s="1"/>
  <c r="JO47" i="6"/>
  <c r="CN40" i="15" s="1"/>
  <c r="JO52" i="6"/>
  <c r="CN45" i="15" s="1"/>
  <c r="JP34" i="6"/>
  <c r="JQ1" i="6"/>
  <c r="JP3" i="6"/>
  <c r="JP12" i="6" s="1"/>
  <c r="JP33" i="6"/>
  <c r="JO42" i="6"/>
  <c r="CN35" i="15" s="1"/>
  <c r="JO54" i="6"/>
  <c r="CN47" i="15" s="1"/>
  <c r="JO53" i="6"/>
  <c r="CN46" i="15" s="1"/>
  <c r="JO51" i="6"/>
  <c r="CN44" i="15" s="1"/>
  <c r="JO55" i="6"/>
  <c r="CN48" i="15" s="1"/>
  <c r="JO46" i="6"/>
  <c r="CN39" i="15" s="1"/>
  <c r="CN8" i="15" l="1"/>
  <c r="JO48" i="6"/>
  <c r="CN41" i="15" s="1"/>
  <c r="JP27" i="6"/>
  <c r="JP13" i="6"/>
  <c r="JP45" i="6"/>
  <c r="JP25" i="6"/>
  <c r="JP14" i="6"/>
  <c r="JP16" i="6"/>
  <c r="JP24" i="6"/>
  <c r="JP21" i="6"/>
  <c r="JP26" i="6"/>
  <c r="JP20" i="6"/>
  <c r="JP23" i="6"/>
  <c r="JP18" i="6"/>
  <c r="JP22" i="6"/>
  <c r="JP17" i="6"/>
  <c r="JP15" i="6"/>
  <c r="JP19" i="6"/>
  <c r="JP49" i="6"/>
  <c r="CN55" i="15"/>
  <c r="CN89" i="15"/>
  <c r="CN56" i="15"/>
  <c r="CN28" i="15"/>
  <c r="JP62" i="6"/>
  <c r="JP40" i="6"/>
  <c r="JP43" i="6"/>
  <c r="JP55" i="6"/>
  <c r="JP54" i="6"/>
  <c r="JP32" i="6"/>
  <c r="JP42" i="6"/>
  <c r="JP51" i="6"/>
  <c r="JP41" i="6"/>
  <c r="JP52" i="6"/>
  <c r="JP46" i="6"/>
  <c r="JQ33" i="6"/>
  <c r="JR1" i="6"/>
  <c r="JQ3" i="6"/>
  <c r="JQ12" i="6" s="1"/>
  <c r="JQ34" i="6"/>
  <c r="JO35" i="6"/>
  <c r="JP53" i="6"/>
  <c r="JP31" i="6"/>
  <c r="JP47" i="6"/>
  <c r="JP50" i="6"/>
  <c r="JP48" i="6" l="1"/>
  <c r="JQ25" i="6"/>
  <c r="JQ14" i="6"/>
  <c r="JQ45" i="6"/>
  <c r="JQ22" i="6"/>
  <c r="JQ16" i="6"/>
  <c r="JQ13" i="6"/>
  <c r="JQ20" i="6"/>
  <c r="JQ27" i="6"/>
  <c r="JQ21" i="6"/>
  <c r="JQ19" i="6"/>
  <c r="JQ26" i="6"/>
  <c r="JQ23" i="6"/>
  <c r="JQ17" i="6"/>
  <c r="JQ24" i="6"/>
  <c r="JQ15" i="6"/>
  <c r="JQ18" i="6"/>
  <c r="JQ49" i="6"/>
  <c r="JQ53" i="6"/>
  <c r="JP63" i="6"/>
  <c r="JP96" i="6" s="1"/>
  <c r="JQ62" i="6"/>
  <c r="JQ63" i="6" s="1"/>
  <c r="JQ96" i="6" s="1"/>
  <c r="JQ29" i="9" s="1"/>
  <c r="JQ40" i="6"/>
  <c r="JP35" i="6"/>
  <c r="JQ47" i="6"/>
  <c r="JQ43" i="6"/>
  <c r="JQ32" i="6"/>
  <c r="JQ41" i="6"/>
  <c r="JQ42" i="6"/>
  <c r="JQ51" i="6"/>
  <c r="JQ54" i="6"/>
  <c r="JQ31" i="6"/>
  <c r="JQ55" i="6"/>
  <c r="JQ50" i="6"/>
  <c r="JR34" i="6"/>
  <c r="Y27" i="11" s="1"/>
  <c r="JR33" i="6"/>
  <c r="Y26" i="11" s="1"/>
  <c r="JR3" i="6"/>
  <c r="JR12" i="6" s="1"/>
  <c r="JQ52" i="6"/>
  <c r="JQ46" i="6"/>
  <c r="JQ48" i="6" l="1"/>
  <c r="JR17" i="6"/>
  <c r="JR25" i="6"/>
  <c r="JR13" i="6"/>
  <c r="JR27" i="6"/>
  <c r="JR21" i="6"/>
  <c r="Y14" i="11" s="1"/>
  <c r="JR20" i="6"/>
  <c r="JR24" i="6"/>
  <c r="JR26" i="6"/>
  <c r="JR45" i="6"/>
  <c r="JR18" i="6"/>
  <c r="JR23" i="6"/>
  <c r="JR19" i="6"/>
  <c r="JR22" i="6"/>
  <c r="JR16" i="6"/>
  <c r="JR14" i="6"/>
  <c r="JR15" i="6"/>
  <c r="JR49" i="6"/>
  <c r="Y6" i="11"/>
  <c r="JP29" i="9"/>
  <c r="CO27" i="15"/>
  <c r="CO26" i="15"/>
  <c r="JR62" i="6"/>
  <c r="CO55" i="15" s="1"/>
  <c r="JR40" i="6"/>
  <c r="JR51" i="6"/>
  <c r="JQ35" i="6"/>
  <c r="JR47" i="6"/>
  <c r="JR42" i="6"/>
  <c r="JR52" i="6"/>
  <c r="JR46" i="6"/>
  <c r="JR41" i="6"/>
  <c r="JR32" i="6"/>
  <c r="Y25" i="11" s="1"/>
  <c r="JR53" i="6"/>
  <c r="JR50" i="6"/>
  <c r="JR31" i="6"/>
  <c r="JR43" i="6"/>
  <c r="JR54" i="6"/>
  <c r="JR55" i="6"/>
  <c r="JR48" i="6" l="1"/>
  <c r="CO14" i="15"/>
  <c r="Y38" i="11"/>
  <c r="X132" i="12" s="1"/>
  <c r="CO38" i="15"/>
  <c r="Y7" i="11"/>
  <c r="Y13" i="11"/>
  <c r="Y12" i="11"/>
  <c r="Y10" i="11"/>
  <c r="Y20" i="11"/>
  <c r="Y16" i="11"/>
  <c r="Y15" i="11"/>
  <c r="Y9" i="11"/>
  <c r="Y18" i="11"/>
  <c r="Y8" i="11"/>
  <c r="CO24" i="15"/>
  <c r="Y19" i="11"/>
  <c r="Y17" i="11"/>
  <c r="Y11" i="11"/>
  <c r="Y39" i="11"/>
  <c r="X133" i="12" s="1"/>
  <c r="Y33" i="11"/>
  <c r="X127" i="12" s="1"/>
  <c r="Y43" i="11"/>
  <c r="X137" i="12" s="1"/>
  <c r="Y48" i="11"/>
  <c r="X142" i="12" s="1"/>
  <c r="Y45" i="11"/>
  <c r="X139" i="12" s="1"/>
  <c r="Y47" i="11"/>
  <c r="X141" i="12" s="1"/>
  <c r="Y35" i="11"/>
  <c r="X129" i="12" s="1"/>
  <c r="Y36" i="11"/>
  <c r="X130" i="12" s="1"/>
  <c r="Y34" i="11"/>
  <c r="X128" i="12" s="1"/>
  <c r="Y40" i="11"/>
  <c r="X134" i="12" s="1"/>
  <c r="Y44" i="11"/>
  <c r="X138" i="12" s="1"/>
  <c r="Y42" i="11"/>
  <c r="X136" i="12" s="1"/>
  <c r="CO42" i="15"/>
  <c r="CO6" i="15"/>
  <c r="CO15" i="15"/>
  <c r="CO25" i="15"/>
  <c r="CO47" i="15"/>
  <c r="CO39" i="15"/>
  <c r="CO40" i="15"/>
  <c r="CO44" i="15"/>
  <c r="CO36" i="15"/>
  <c r="Y46" i="11"/>
  <c r="X140" i="12" s="1"/>
  <c r="CO46" i="15"/>
  <c r="CO35" i="15"/>
  <c r="CO34" i="15"/>
  <c r="CO48" i="15"/>
  <c r="CO43" i="15"/>
  <c r="CO45" i="15"/>
  <c r="CO33" i="15"/>
  <c r="CO16" i="15"/>
  <c r="CO17" i="15"/>
  <c r="CO8" i="15"/>
  <c r="CO20" i="15"/>
  <c r="CO10" i="15"/>
  <c r="CO9" i="15"/>
  <c r="CO7" i="15"/>
  <c r="CO12" i="15"/>
  <c r="CO11" i="15"/>
  <c r="CO13" i="15"/>
  <c r="CO18" i="15"/>
  <c r="CO19" i="15"/>
  <c r="JR63" i="6"/>
  <c r="Y55" i="11"/>
  <c r="JR35" i="6"/>
  <c r="AG30" i="1" s="1"/>
  <c r="Y24" i="11"/>
  <c r="Y28" i="11" s="1"/>
  <c r="CO41" i="15" l="1"/>
  <c r="Y41" i="11"/>
  <c r="X135" i="12" s="1"/>
  <c r="CO28" i="15"/>
  <c r="X28" i="12"/>
  <c r="B31" i="12" s="1"/>
  <c r="JR96" i="6"/>
  <c r="CO56" i="15"/>
  <c r="Y56" i="11"/>
  <c r="Y89" i="11" s="1"/>
  <c r="X10" i="12" s="1"/>
  <c r="JR29" i="9" l="1"/>
  <c r="CO89" i="15"/>
  <c r="M9" i="1" l="1"/>
  <c r="N9" i="1"/>
  <c r="O9" i="1"/>
  <c r="P9" i="1"/>
  <c r="Q9" i="1"/>
  <c r="R9" i="1"/>
  <c r="S9" i="1"/>
  <c r="T9" i="1"/>
  <c r="U9" i="1"/>
  <c r="D5" i="1" l="1"/>
  <c r="B8" i="8" s="1"/>
  <c r="ES65" i="6"/>
  <c r="ES97" i="6" s="1"/>
  <c r="ES30" i="9" s="1"/>
  <c r="GF65" i="6"/>
  <c r="GF97" i="6" s="1"/>
  <c r="GF30" i="9" s="1"/>
  <c r="DV65" i="6"/>
  <c r="DT65" i="6"/>
  <c r="DT97" i="6" s="1"/>
  <c r="DT30" i="9" s="1"/>
  <c r="HA65" i="6"/>
  <c r="HA97" i="6" s="1"/>
  <c r="HA30" i="9" s="1"/>
  <c r="CW65" i="6"/>
  <c r="CW97" i="6" s="1"/>
  <c r="CW30" i="9" s="1"/>
  <c r="FQ65" i="6"/>
  <c r="FQ97" i="6" s="1"/>
  <c r="FQ30" i="9" s="1"/>
  <c r="CX65" i="6"/>
  <c r="IF65" i="6"/>
  <c r="IU65" i="6"/>
  <c r="FV65" i="6"/>
  <c r="JF65" i="6"/>
  <c r="JF97" i="6" s="1"/>
  <c r="JF30" i="9" s="1"/>
  <c r="CP65" i="6"/>
  <c r="CP97" i="6" s="1"/>
  <c r="CP30" i="9" s="1"/>
  <c r="HI65" i="6"/>
  <c r="HI97" i="6" s="1"/>
  <c r="HI30" i="9" s="1"/>
  <c r="IK65" i="6"/>
  <c r="IK97" i="6" s="1"/>
  <c r="IK30" i="9" s="1"/>
  <c r="GJ65" i="6"/>
  <c r="CC65" i="6"/>
  <c r="JQ65" i="6"/>
  <c r="JQ97" i="6" s="1"/>
  <c r="JQ30" i="9" s="1"/>
  <c r="BZ65" i="6"/>
  <c r="FY65" i="6"/>
  <c r="FY97" i="6" s="1"/>
  <c r="FY30" i="9" s="1"/>
  <c r="EY65" i="6"/>
  <c r="EY97" i="6" s="1"/>
  <c r="EY30" i="9" s="1"/>
  <c r="DJ65" i="6"/>
  <c r="EH65" i="6"/>
  <c r="GU65" i="6"/>
  <c r="GU97" i="6" s="1"/>
  <c r="GU30" i="9" s="1"/>
  <c r="DX65" i="6"/>
  <c r="DX97" i="6" s="1"/>
  <c r="DX30" i="9" s="1"/>
  <c r="GD65" i="6"/>
  <c r="GT65" i="6"/>
  <c r="EM65" i="6"/>
  <c r="EM97" i="6" s="1"/>
  <c r="EM30" i="9" s="1"/>
  <c r="FM65" i="6"/>
  <c r="HQ65" i="6"/>
  <c r="IX65" i="6"/>
  <c r="GX65" i="6"/>
  <c r="GX97" i="6" s="1"/>
  <c r="GX30" i="9" s="1"/>
  <c r="EC65" i="6"/>
  <c r="FZ65" i="6"/>
  <c r="CO65" i="6"/>
  <c r="FG65" i="6"/>
  <c r="FG97" i="6" s="1"/>
  <c r="FG30" i="9" s="1"/>
  <c r="BP65" i="6"/>
  <c r="BP97" i="6" s="1"/>
  <c r="BP30" i="9" s="1"/>
  <c r="FP65" i="6"/>
  <c r="FP97" i="6" s="1"/>
  <c r="FP30" i="9" s="1"/>
  <c r="ID65" i="6"/>
  <c r="ID97" i="6" s="1"/>
  <c r="ID30" i="9" s="1"/>
  <c r="EP65" i="6"/>
  <c r="DM65" i="6"/>
  <c r="BU65" i="6"/>
  <c r="BU97" i="6" s="1"/>
  <c r="BU30" i="9" s="1"/>
  <c r="ET65" i="6"/>
  <c r="HK65" i="6"/>
  <c r="DN65" i="6"/>
  <c r="DN97" i="6" s="1"/>
  <c r="DN30" i="9" s="1"/>
  <c r="FL65" i="6"/>
  <c r="HG65" i="6"/>
  <c r="HG97" i="6" s="1"/>
  <c r="HG30" i="9" s="1"/>
  <c r="GB65" i="6"/>
  <c r="GC65" i="6"/>
  <c r="JP65" i="6"/>
  <c r="IS65" i="6"/>
  <c r="IS97" i="6" s="1"/>
  <c r="IS30" i="9" s="1"/>
  <c r="JI65" i="6"/>
  <c r="EV65" i="6"/>
  <c r="EV97" i="6" s="1"/>
  <c r="EV30" i="9" s="1"/>
  <c r="JA65" i="6"/>
  <c r="HR65" i="6"/>
  <c r="HR97" i="6" s="1"/>
  <c r="HR30" i="9" s="1"/>
  <c r="HN65" i="6"/>
  <c r="GZ65" i="6"/>
  <c r="GZ97" i="6" s="1"/>
  <c r="GZ30" i="9" s="1"/>
  <c r="EG65" i="6"/>
  <c r="HM65" i="6"/>
  <c r="HM97" i="6" s="1"/>
  <c r="HM30" i="9" s="1"/>
  <c r="HT65" i="6"/>
  <c r="AS65" i="6"/>
  <c r="IR65" i="6"/>
  <c r="FC65" i="6"/>
  <c r="IG65" i="6"/>
  <c r="IG97" i="6" s="1"/>
  <c r="IG30" i="9" s="1"/>
  <c r="EU65" i="6"/>
  <c r="EU97" i="6" s="1"/>
  <c r="EU30" i="9" s="1"/>
  <c r="GL65" i="6"/>
  <c r="GL97" i="6" s="1"/>
  <c r="GL30" i="9" s="1"/>
  <c r="EK65" i="6"/>
  <c r="IO65" i="6"/>
  <c r="HW65" i="6"/>
  <c r="IH65" i="6"/>
  <c r="IH97" i="6" s="1"/>
  <c r="IH30" i="9" s="1"/>
  <c r="FW65" i="6"/>
  <c r="FW97" i="6" s="1"/>
  <c r="FW30" i="9" s="1"/>
  <c r="IC65" i="6"/>
  <c r="EO65" i="6"/>
  <c r="EO97" i="6" s="1"/>
  <c r="EO30" i="9" s="1"/>
  <c r="JD65" i="6"/>
  <c r="HZ65" i="6"/>
  <c r="GK65" i="6"/>
  <c r="GK97" i="6" s="1"/>
  <c r="GK30" i="9" s="1"/>
  <c r="GP65" i="6"/>
  <c r="DY65" i="6"/>
  <c r="FA65" i="6"/>
  <c r="BN65" i="6"/>
  <c r="BT65" i="6"/>
  <c r="GN65" i="6"/>
  <c r="GN97" i="6" s="1"/>
  <c r="GN30" i="9" s="1"/>
  <c r="FN65" i="6"/>
  <c r="FN97" i="6" s="1"/>
  <c r="FN30" i="9" s="1"/>
  <c r="BB65" i="6"/>
  <c r="AH65" i="6"/>
  <c r="AH97" i="6" s="1"/>
  <c r="AH30" i="9" s="1"/>
  <c r="HS65" i="6"/>
  <c r="HS97" i="6" s="1"/>
  <c r="HS30" i="9" s="1"/>
  <c r="AO65" i="6"/>
  <c r="AO97" i="6" s="1"/>
  <c r="AO30" i="9" s="1"/>
  <c r="GA65" i="6"/>
  <c r="HV65" i="6"/>
  <c r="EJ65" i="6"/>
  <c r="EJ97" i="6" s="1"/>
  <c r="EJ30" i="9" s="1"/>
  <c r="FI65" i="6"/>
  <c r="JB65" i="6"/>
  <c r="JB97" i="6" s="1"/>
  <c r="JB30" i="9" s="1"/>
  <c r="GY65" i="6"/>
  <c r="DD65" i="6"/>
  <c r="DA65" i="6"/>
  <c r="Y65" i="6"/>
  <c r="Y97" i="6" s="1"/>
  <c r="Y30" i="9" s="1"/>
  <c r="AN65" i="6"/>
  <c r="BC65" i="6"/>
  <c r="BC97" i="6" s="1"/>
  <c r="BC30" i="9" s="1"/>
  <c r="FB65" i="6"/>
  <c r="FB97" i="6" s="1"/>
  <c r="FB30" i="9" s="1"/>
  <c r="BJ65" i="6"/>
  <c r="BJ97" i="6" s="1"/>
  <c r="BJ30" i="9" s="1"/>
  <c r="DL65" i="6"/>
  <c r="DU65" i="6"/>
  <c r="DU97" i="6" s="1"/>
  <c r="DU30" i="9" s="1"/>
  <c r="EB65" i="6"/>
  <c r="GR65" i="6"/>
  <c r="IP65" i="6"/>
  <c r="IP97" i="6" s="1"/>
  <c r="IP30" i="9" s="1"/>
  <c r="DW65" i="6"/>
  <c r="DW97" i="6" s="1"/>
  <c r="DW30" i="9" s="1"/>
  <c r="CD65" i="6"/>
  <c r="IJ65" i="6"/>
  <c r="IT65" i="6"/>
  <c r="JN65" i="6"/>
  <c r="X65" i="6"/>
  <c r="ED65" i="6"/>
  <c r="HY65" i="6"/>
  <c r="II65" i="6"/>
  <c r="CM65" i="6"/>
  <c r="CM97" i="6" s="1"/>
  <c r="CM30" i="9" s="1"/>
  <c r="DF65" i="6"/>
  <c r="DF97" i="6" s="1"/>
  <c r="DF30" i="9" s="1"/>
  <c r="AZ65" i="6"/>
  <c r="AZ97" i="6" s="1"/>
  <c r="AZ30" i="9" s="1"/>
  <c r="AJ65" i="6"/>
  <c r="EX65" i="6"/>
  <c r="IN65" i="6"/>
  <c r="IN97" i="6" s="1"/>
  <c r="IN30" i="9" s="1"/>
  <c r="DR65" i="6"/>
  <c r="HE65" i="6"/>
  <c r="IQ65" i="6"/>
  <c r="IQ97" i="6" s="1"/>
  <c r="IQ30" i="9" s="1"/>
  <c r="HU65" i="6"/>
  <c r="HU97" i="6" s="1"/>
  <c r="HU30" i="9" s="1"/>
  <c r="CF65" i="6"/>
  <c r="EL65" i="6"/>
  <c r="EF65" i="6"/>
  <c r="EF97" i="6" s="1"/>
  <c r="EF30" i="9" s="1"/>
  <c r="JJ65" i="6"/>
  <c r="HL65" i="6"/>
  <c r="HL97" i="6" s="1"/>
  <c r="HL30" i="9" s="1"/>
  <c r="IY65" i="6"/>
  <c r="IY97" i="6" s="1"/>
  <c r="IY30" i="9" s="1"/>
  <c r="BG65" i="6"/>
  <c r="BG97" i="6" s="1"/>
  <c r="BG30" i="9" s="1"/>
  <c r="EN65" i="6"/>
  <c r="JE65" i="6"/>
  <c r="JE97" i="6" s="1"/>
  <c r="JE30" i="9" s="1"/>
  <c r="GV65" i="6"/>
  <c r="GG65" i="6"/>
  <c r="AL65" i="6"/>
  <c r="AL97" i="6" s="1"/>
  <c r="AL30" i="9" s="1"/>
  <c r="AB65" i="6"/>
  <c r="AB97" i="6" s="1"/>
  <c r="AB30" i="9" s="1"/>
  <c r="IA65" i="6"/>
  <c r="IA97" i="6" s="1"/>
  <c r="IA30" i="9" s="1"/>
  <c r="DP65" i="6"/>
  <c r="FR65" i="6"/>
  <c r="BW65" i="6"/>
  <c r="EQ65" i="6"/>
  <c r="IM65" i="6"/>
  <c r="IM97" i="6" s="1"/>
  <c r="IM30" i="9" s="1"/>
  <c r="AR65" i="6"/>
  <c r="AR97" i="6" s="1"/>
  <c r="AR30" i="9" s="1"/>
  <c r="GQ65" i="6"/>
  <c r="GQ97" i="6" s="1"/>
  <c r="GQ30" i="9" s="1"/>
  <c r="HB65" i="6"/>
  <c r="CJ65" i="6"/>
  <c r="CJ97" i="6" s="1"/>
  <c r="CJ30" i="9" s="1"/>
  <c r="FO65" i="6"/>
  <c r="JR65" i="6"/>
  <c r="JR97" i="6" s="1"/>
  <c r="JR30" i="9" s="1"/>
  <c r="FX65" i="6"/>
  <c r="FH65" i="6"/>
  <c r="FF65" i="6"/>
  <c r="JH65" i="6"/>
  <c r="CR65" i="6"/>
  <c r="CV65" i="6"/>
  <c r="CV97" i="6" s="1"/>
  <c r="CV30" i="9" s="1"/>
  <c r="BQ65" i="6"/>
  <c r="BR65" i="6"/>
  <c r="BR97" i="6" s="1"/>
  <c r="BR30" i="9" s="1"/>
  <c r="GH65" i="6"/>
  <c r="HJ65" i="6"/>
  <c r="IZ65" i="6"/>
  <c r="IZ97" i="6" s="1"/>
  <c r="IZ30" i="9" s="1"/>
  <c r="JO65" i="6"/>
  <c r="JO97" i="6" s="1"/>
  <c r="JO30" i="9" s="1"/>
  <c r="DH65" i="6"/>
  <c r="GW65" i="6"/>
  <c r="BA65" i="6"/>
  <c r="BA97" i="6" s="1"/>
  <c r="BA30" i="9" s="1"/>
  <c r="IB65" i="6"/>
  <c r="IB97" i="6" s="1"/>
  <c r="IB30" i="9" s="1"/>
  <c r="CL65" i="6"/>
  <c r="AU65" i="6"/>
  <c r="AU97" i="6" s="1"/>
  <c r="AU30" i="9" s="1"/>
  <c r="IL65" i="6"/>
  <c r="DE65" i="6"/>
  <c r="BF65" i="6"/>
  <c r="W65" i="6"/>
  <c r="W97" i="6" s="1"/>
  <c r="W30" i="9" s="1"/>
  <c r="BV65" i="6"/>
  <c r="HC65" i="6"/>
  <c r="IV65" i="6"/>
  <c r="CA65" i="6"/>
  <c r="V65" i="6"/>
  <c r="JK65" i="6"/>
  <c r="JK97" i="6" s="1"/>
  <c r="JK30" i="9" s="1"/>
  <c r="DK65" i="6"/>
  <c r="DK97" i="6" s="1"/>
  <c r="DK30" i="9" s="1"/>
  <c r="AD65" i="6"/>
  <c r="FU65" i="6"/>
  <c r="HO65" i="6"/>
  <c r="HO97" i="6" s="1"/>
  <c r="HO30" i="9" s="1"/>
  <c r="FE65" i="6"/>
  <c r="AY65" i="6"/>
  <c r="EZ65" i="6"/>
  <c r="GM65" i="6"/>
  <c r="HD65" i="6"/>
  <c r="AP65" i="6"/>
  <c r="FT65" i="6"/>
  <c r="FT97" i="6" s="1"/>
  <c r="FT30" i="9" s="1"/>
  <c r="BY65" i="6"/>
  <c r="BY97" i="6" s="1"/>
  <c r="BY30" i="9" s="1"/>
  <c r="HX65" i="6"/>
  <c r="HX97" i="6" s="1"/>
  <c r="HX30" i="9" s="1"/>
  <c r="HF65" i="6"/>
  <c r="HF97" i="6" s="1"/>
  <c r="HF30" i="9" s="1"/>
  <c r="Z65" i="6"/>
  <c r="DO65" i="6"/>
  <c r="DB65" i="6"/>
  <c r="DZ65" i="6"/>
  <c r="BH65" i="6"/>
  <c r="HP65" i="6"/>
  <c r="HP97" i="6" s="1"/>
  <c r="HP30" i="9" s="1"/>
  <c r="JM65" i="6"/>
  <c r="FS65" i="6"/>
  <c r="FS97" i="6" s="1"/>
  <c r="FS30" i="9" s="1"/>
  <c r="HH65" i="6"/>
  <c r="AG65" i="6"/>
  <c r="DQ65" i="6"/>
  <c r="DQ97" i="6" s="1"/>
  <c r="DQ30" i="9" s="1"/>
  <c r="CU65" i="6"/>
  <c r="ER65" i="6"/>
  <c r="ER97" i="6" s="1"/>
  <c r="ER30" i="9" s="1"/>
  <c r="BL65" i="6"/>
  <c r="BL97" i="6" s="1"/>
  <c r="BL30" i="9" s="1"/>
  <c r="AC65" i="6"/>
  <c r="AC97" i="6" s="1"/>
  <c r="AC30" i="9" s="1"/>
  <c r="CQ65" i="6"/>
  <c r="CQ97" i="6" s="1"/>
  <c r="CQ30" i="9" s="1"/>
  <c r="DC65" i="6"/>
  <c r="AA65" i="6"/>
  <c r="BI65" i="6"/>
  <c r="BI97" i="6" s="1"/>
  <c r="BI30" i="9" s="1"/>
  <c r="JL65" i="6"/>
  <c r="GE65" i="6"/>
  <c r="GE97" i="6" s="1"/>
  <c r="GE30" i="9" s="1"/>
  <c r="AQ65" i="6"/>
  <c r="AQ97" i="6" s="1"/>
  <c r="AQ30" i="9" s="1"/>
  <c r="CS65" i="6"/>
  <c r="CS97" i="6" s="1"/>
  <c r="CS30" i="9" s="1"/>
  <c r="CY65" i="6"/>
  <c r="GI65" i="6"/>
  <c r="GI97" i="6" s="1"/>
  <c r="GI30" i="9" s="1"/>
  <c r="AT65" i="6"/>
  <c r="AT97" i="6" s="1"/>
  <c r="AT30" i="9" s="1"/>
  <c r="EA65" i="6"/>
  <c r="EA97" i="6" s="1"/>
  <c r="EA30" i="9" s="1"/>
  <c r="AM65" i="6"/>
  <c r="AE65" i="6"/>
  <c r="AE97" i="6" s="1"/>
  <c r="AE30" i="9" s="1"/>
  <c r="EI65" i="6"/>
  <c r="AV65" i="6"/>
  <c r="GS65" i="6"/>
  <c r="EW65" i="6"/>
  <c r="AI65" i="6"/>
  <c r="AI97" i="6" s="1"/>
  <c r="AI30" i="9" s="1"/>
  <c r="BX65" i="6"/>
  <c r="BX97" i="6" s="1"/>
  <c r="BX30" i="9" s="1"/>
  <c r="CN65" i="6"/>
  <c r="CN97" i="6" s="1"/>
  <c r="CN30" i="9" s="1"/>
  <c r="BK65" i="6"/>
  <c r="FD65" i="6"/>
  <c r="FD97" i="6" s="1"/>
  <c r="FD30" i="9" s="1"/>
  <c r="BS65" i="6"/>
  <c r="BS97" i="6" s="1"/>
  <c r="BS30" i="9" s="1"/>
  <c r="JC65" i="6"/>
  <c r="GO65" i="6"/>
  <c r="GO97" i="6" s="1"/>
  <c r="GO30" i="9" s="1"/>
  <c r="CE65" i="6"/>
  <c r="CE97" i="6" s="1"/>
  <c r="CE30" i="9" s="1"/>
  <c r="CB65" i="6"/>
  <c r="CB97" i="6" s="1"/>
  <c r="CB30" i="9" s="1"/>
  <c r="DS65" i="6"/>
  <c r="BE65" i="6"/>
  <c r="CZ65" i="6"/>
  <c r="CZ97" i="6" s="1"/>
  <c r="CZ30" i="9" s="1"/>
  <c r="EE65" i="6"/>
  <c r="JG65" i="6"/>
  <c r="FJ65" i="6"/>
  <c r="AW65" i="6"/>
  <c r="AW97" i="6" s="1"/>
  <c r="AW30" i="9" s="1"/>
  <c r="DG65" i="6"/>
  <c r="U65" i="6"/>
  <c r="CH65" i="6"/>
  <c r="CH97" i="6" s="1"/>
  <c r="CH30" i="9" s="1"/>
  <c r="IW65" i="6"/>
  <c r="IW97" i="6" s="1"/>
  <c r="IW30" i="9" s="1"/>
  <c r="FK65" i="6"/>
  <c r="FK97" i="6" s="1"/>
  <c r="FK30" i="9" s="1"/>
  <c r="CI65" i="6"/>
  <c r="AX65" i="6"/>
  <c r="AX97" i="6" s="1"/>
  <c r="AX30" i="9" s="1"/>
  <c r="BO65" i="6"/>
  <c r="BO97" i="6" s="1"/>
  <c r="BO30" i="9" s="1"/>
  <c r="DI65" i="6"/>
  <c r="AF65" i="6"/>
  <c r="AF97" i="6" s="1"/>
  <c r="AF30" i="9" s="1"/>
  <c r="CT65" i="6"/>
  <c r="CT97" i="6" s="1"/>
  <c r="CT30" i="9" s="1"/>
  <c r="BM65" i="6"/>
  <c r="BM97" i="6" s="1"/>
  <c r="BM30" i="9" s="1"/>
  <c r="CG65" i="6"/>
  <c r="CG97" i="6" s="1"/>
  <c r="CG30" i="9" s="1"/>
  <c r="AK65" i="6"/>
  <c r="AK97" i="6" s="1"/>
  <c r="AK30" i="9" s="1"/>
  <c r="CK65" i="6"/>
  <c r="CK97" i="6" s="1"/>
  <c r="CK30" i="9" s="1"/>
  <c r="BD65" i="6"/>
  <c r="BD97" i="6" s="1"/>
  <c r="BD30" i="9" s="1"/>
  <c r="IE65" i="6"/>
  <c r="IE97" i="6" s="1"/>
  <c r="IE30" i="9" s="1"/>
  <c r="BR58" i="15" l="1"/>
  <c r="BR59" i="15" s="1"/>
  <c r="AH58" i="15"/>
  <c r="AH59" i="15" s="1"/>
  <c r="AW58" i="15"/>
  <c r="AW59" i="15" s="1"/>
  <c r="N58" i="15"/>
  <c r="N59" i="15" s="1"/>
  <c r="AT58" i="15"/>
  <c r="AT59" i="15" s="1"/>
  <c r="AZ58" i="15"/>
  <c r="AZ59" i="15" s="1"/>
  <c r="BA58" i="15"/>
  <c r="BA59" i="15" s="1"/>
  <c r="BH58" i="15"/>
  <c r="BH59" i="15" s="1"/>
  <c r="BF58" i="15"/>
  <c r="BF59" i="15" s="1"/>
  <c r="BJ58" i="15"/>
  <c r="BJ59" i="15" s="1"/>
  <c r="CL58" i="15"/>
  <c r="CL59" i="15" s="1"/>
  <c r="U58" i="15"/>
  <c r="U59" i="15" s="1"/>
  <c r="AP58" i="15"/>
  <c r="AP59" i="15" s="1"/>
  <c r="J58" i="15"/>
  <c r="J59" i="15" s="1"/>
  <c r="BE97" i="6"/>
  <c r="T58" i="15"/>
  <c r="T59" i="15" s="1"/>
  <c r="V58" i="15"/>
  <c r="V59" i="15" s="1"/>
  <c r="AD58" i="15"/>
  <c r="AD59" i="15" s="1"/>
  <c r="U97" i="6"/>
  <c r="H58" i="15"/>
  <c r="H59" i="15" s="1"/>
  <c r="GS97" i="6"/>
  <c r="BP58" i="15"/>
  <c r="BP59" i="15" s="1"/>
  <c r="O58" i="15"/>
  <c r="O59" i="15" s="1"/>
  <c r="R58" i="15"/>
  <c r="R59" i="15" s="1"/>
  <c r="AD97" i="6"/>
  <c r="K58" i="15"/>
  <c r="K59" i="15" s="1"/>
  <c r="DP97" i="6"/>
  <c r="AO58" i="15"/>
  <c r="AO59" i="15" s="1"/>
  <c r="GG97" i="6"/>
  <c r="BL58" i="15"/>
  <c r="BL59" i="15" s="1"/>
  <c r="X97" i="6"/>
  <c r="I58" i="15"/>
  <c r="I59" i="15" s="1"/>
  <c r="EB97" i="6"/>
  <c r="AS58" i="15"/>
  <c r="AS59" i="15" s="1"/>
  <c r="DA97" i="6"/>
  <c r="AJ58" i="15"/>
  <c r="AJ59" i="15" s="1"/>
  <c r="FI97" i="6"/>
  <c r="BD58" i="15"/>
  <c r="BD59" i="15" s="1"/>
  <c r="HZ97" i="6"/>
  <c r="CA58" i="15"/>
  <c r="CA59" i="15" s="1"/>
  <c r="EK97" i="6"/>
  <c r="AV58" i="15"/>
  <c r="AV59" i="15" s="1"/>
  <c r="BB58" i="15"/>
  <c r="BB59" i="15" s="1"/>
  <c r="ET97" i="6"/>
  <c r="AY58" i="15"/>
  <c r="AY59" i="15" s="1"/>
  <c r="CO97" i="6"/>
  <c r="AF58" i="15"/>
  <c r="AF59" i="15" s="1"/>
  <c r="IX97" i="6"/>
  <c r="CI58" i="15"/>
  <c r="CI59" i="15" s="1"/>
  <c r="EH97" i="6"/>
  <c r="AU58" i="15"/>
  <c r="AU59" i="15" s="1"/>
  <c r="AA58" i="15"/>
  <c r="AA59" i="15" s="1"/>
  <c r="DV97" i="6"/>
  <c r="AQ58" i="15"/>
  <c r="AQ59" i="15" s="1"/>
  <c r="AL58" i="15"/>
  <c r="AL59" i="15" s="1"/>
  <c r="AV97" i="6"/>
  <c r="Q58" i="15"/>
  <c r="Q59" i="15" s="1"/>
  <c r="JM97" i="6"/>
  <c r="CN58" i="15"/>
  <c r="CN59" i="15" s="1"/>
  <c r="AE58" i="15"/>
  <c r="AE59" i="15" s="1"/>
  <c r="AG58" i="15"/>
  <c r="AG59" i="15" s="1"/>
  <c r="FX97" i="6"/>
  <c r="BI58" i="15"/>
  <c r="BI59" i="15" s="1"/>
  <c r="HB97" i="6"/>
  <c r="BS58" i="15"/>
  <c r="BS59" i="15" s="1"/>
  <c r="AX58" i="15"/>
  <c r="AX59" i="15" s="1"/>
  <c r="GV97" i="6"/>
  <c r="BQ58" i="15"/>
  <c r="BQ59" i="15" s="1"/>
  <c r="HE97" i="6"/>
  <c r="BT58" i="15"/>
  <c r="BT59" i="15" s="1"/>
  <c r="M58" i="15"/>
  <c r="M59" i="15" s="1"/>
  <c r="CD58" i="15"/>
  <c r="CD59" i="15" s="1"/>
  <c r="DD97" i="6"/>
  <c r="AK58" i="15"/>
  <c r="AK59" i="15" s="1"/>
  <c r="DY97" i="6"/>
  <c r="AR58" i="15"/>
  <c r="AR59" i="15" s="1"/>
  <c r="JD97" i="6"/>
  <c r="CK58" i="15"/>
  <c r="CK59" i="15" s="1"/>
  <c r="IR97" i="6"/>
  <c r="CG58" i="15"/>
  <c r="CG59" i="15" s="1"/>
  <c r="JA97" i="6"/>
  <c r="CJ58" i="15"/>
  <c r="CJ59" i="15" s="1"/>
  <c r="CO58" i="15"/>
  <c r="CO59" i="15" s="1"/>
  <c r="FL97" i="6"/>
  <c r="BE58" i="15"/>
  <c r="BE59" i="15" s="1"/>
  <c r="HQ97" i="6"/>
  <c r="BX58" i="15"/>
  <c r="BX59" i="15" s="1"/>
  <c r="GD97" i="6"/>
  <c r="BK58" i="15"/>
  <c r="BK59" i="15" s="1"/>
  <c r="DJ97" i="6"/>
  <c r="AM58" i="15"/>
  <c r="AM59" i="15" s="1"/>
  <c r="CH58" i="15"/>
  <c r="CH59" i="15" s="1"/>
  <c r="AG97" i="6"/>
  <c r="L58" i="15"/>
  <c r="L59" i="15" s="1"/>
  <c r="BN58" i="15"/>
  <c r="BN59" i="15" s="1"/>
  <c r="Z58" i="15"/>
  <c r="Z59" i="15" s="1"/>
  <c r="CF97" i="6"/>
  <c r="AC58" i="15"/>
  <c r="AC59" i="15" s="1"/>
  <c r="BT97" i="6"/>
  <c r="Y58" i="15"/>
  <c r="Y59" i="15" s="1"/>
  <c r="GP97" i="6"/>
  <c r="BO58" i="15"/>
  <c r="BO59" i="15" s="1"/>
  <c r="BZ58" i="15"/>
  <c r="BZ59" i="15" s="1"/>
  <c r="AS97" i="6"/>
  <c r="P58" i="15"/>
  <c r="P59" i="15" s="1"/>
  <c r="DM97" i="6"/>
  <c r="AN58" i="15"/>
  <c r="AN59" i="15" s="1"/>
  <c r="CC97" i="6"/>
  <c r="AB58" i="15"/>
  <c r="AB59" i="15" s="1"/>
  <c r="IF97" i="6"/>
  <c r="CC58" i="15"/>
  <c r="CC59" i="15" s="1"/>
  <c r="HH97" i="6"/>
  <c r="BU58" i="15"/>
  <c r="BU59" i="15" s="1"/>
  <c r="IL97" i="6"/>
  <c r="CE58" i="15"/>
  <c r="CE59" i="15" s="1"/>
  <c r="BQ97" i="6"/>
  <c r="X58" i="15"/>
  <c r="X59" i="15" s="1"/>
  <c r="FF97" i="6"/>
  <c r="BC58" i="15"/>
  <c r="BC59" i="15" s="1"/>
  <c r="FR97" i="6"/>
  <c r="BG58" i="15"/>
  <c r="BG59" i="15" s="1"/>
  <c r="JJ97" i="6"/>
  <c r="CM58" i="15"/>
  <c r="CM59" i="15" s="1"/>
  <c r="BB97" i="6"/>
  <c r="S58" i="15"/>
  <c r="S59" i="15" s="1"/>
  <c r="BN97" i="6"/>
  <c r="W58" i="15"/>
  <c r="W59" i="15" s="1"/>
  <c r="IC97" i="6"/>
  <c r="CB58" i="15"/>
  <c r="CB59" i="15" s="1"/>
  <c r="IO97" i="6"/>
  <c r="CF58" i="15"/>
  <c r="CF59" i="15" s="1"/>
  <c r="HT97" i="6"/>
  <c r="BY58" i="15"/>
  <c r="BY59" i="15" s="1"/>
  <c r="BW58" i="15"/>
  <c r="BW59" i="15" s="1"/>
  <c r="BV58" i="15"/>
  <c r="BV59" i="15" s="1"/>
  <c r="GJ97" i="6"/>
  <c r="BM58" i="15"/>
  <c r="BM59" i="15" s="1"/>
  <c r="CX97" i="6"/>
  <c r="AI58" i="15"/>
  <c r="AI59" i="15" s="1"/>
  <c r="GV66" i="6"/>
  <c r="BG66" i="6"/>
  <c r="M58" i="11"/>
  <c r="M90" i="11" s="1"/>
  <c r="L11" i="12" s="1"/>
  <c r="DP66" i="6"/>
  <c r="IY66" i="6"/>
  <c r="EB66" i="6"/>
  <c r="IG66" i="6"/>
  <c r="AK66" i="6"/>
  <c r="DG97" i="6"/>
  <c r="L58" i="11"/>
  <c r="EE97" i="6"/>
  <c r="N58" i="11"/>
  <c r="BW97" i="6"/>
  <c r="I58" i="11"/>
  <c r="FC97" i="6"/>
  <c r="P58" i="11"/>
  <c r="AA97" i="6"/>
  <c r="E58" i="11"/>
  <c r="S58" i="11"/>
  <c r="FO97" i="6"/>
  <c r="Q58" i="11"/>
  <c r="GY97" i="6"/>
  <c r="T58" i="11"/>
  <c r="HW97" i="6"/>
  <c r="V58" i="11"/>
  <c r="IU97" i="6"/>
  <c r="X58" i="11"/>
  <c r="H58" i="11"/>
  <c r="Z97" i="6"/>
  <c r="Z30" i="9" s="1"/>
  <c r="D58" i="11"/>
  <c r="GA97" i="6"/>
  <c r="R58" i="11"/>
  <c r="CI97" i="6"/>
  <c r="J58" i="11"/>
  <c r="JG97" i="6"/>
  <c r="Y58" i="11"/>
  <c r="F58" i="11"/>
  <c r="CU97" i="6"/>
  <c r="K58" i="11"/>
  <c r="AY97" i="6"/>
  <c r="G58" i="11"/>
  <c r="AU66" i="6"/>
  <c r="BA66" i="6"/>
  <c r="JO66" i="6"/>
  <c r="EQ97" i="6"/>
  <c r="O58" i="11"/>
  <c r="II97" i="6"/>
  <c r="W58" i="11"/>
  <c r="HK97" i="6"/>
  <c r="U58" i="11"/>
  <c r="BM66" i="6"/>
  <c r="Z66" i="6"/>
  <c r="HO66" i="6"/>
  <c r="HK66" i="6"/>
  <c r="AE66" i="6"/>
  <c r="AT66" i="6"/>
  <c r="CJ66" i="6"/>
  <c r="EH66" i="6"/>
  <c r="CK66" i="6"/>
  <c r="JG66" i="6"/>
  <c r="GO66" i="6"/>
  <c r="FO66" i="6"/>
  <c r="II66" i="6"/>
  <c r="X66" i="6"/>
  <c r="AH66" i="6"/>
  <c r="FP66" i="6"/>
  <c r="GX66" i="6"/>
  <c r="JA66" i="6"/>
  <c r="HA66" i="6"/>
  <c r="DN66" i="6"/>
  <c r="AW66" i="6"/>
  <c r="JM66" i="6"/>
  <c r="FT66" i="6"/>
  <c r="AD66" i="6"/>
  <c r="JK66" i="6"/>
  <c r="BW66" i="6"/>
  <c r="IP66" i="6"/>
  <c r="FB66" i="6"/>
  <c r="JB66" i="6"/>
  <c r="BT66" i="6"/>
  <c r="IH66" i="6"/>
  <c r="HT66" i="6"/>
  <c r="DM66" i="6"/>
  <c r="HI66" i="6"/>
  <c r="FQ66" i="6"/>
  <c r="BX66" i="6"/>
  <c r="AQ66" i="6"/>
  <c r="BI66" i="6"/>
  <c r="CU66" i="6"/>
  <c r="AY66" i="6"/>
  <c r="DK66" i="6"/>
  <c r="CV66" i="6"/>
  <c r="FF66" i="6"/>
  <c r="HU66" i="6"/>
  <c r="FI66" i="6"/>
  <c r="GA66" i="6"/>
  <c r="BN66" i="6"/>
  <c r="EO66" i="6"/>
  <c r="FW66" i="6"/>
  <c r="BU66" i="6"/>
  <c r="IX66" i="6"/>
  <c r="BO66" i="6"/>
  <c r="AI66" i="6"/>
  <c r="HF66" i="6"/>
  <c r="BQ66" i="6"/>
  <c r="GQ66" i="6"/>
  <c r="FR66" i="6"/>
  <c r="BJ66" i="6"/>
  <c r="DD66" i="6"/>
  <c r="ET66" i="6"/>
  <c r="EM66" i="6"/>
  <c r="CP66" i="6"/>
  <c r="DT66" i="6"/>
  <c r="BY66" i="6"/>
  <c r="JE66" i="6"/>
  <c r="HZ66" i="6"/>
  <c r="HM66" i="6"/>
  <c r="GD66" i="6"/>
  <c r="GJ66" i="6"/>
  <c r="JF66" i="6"/>
  <c r="GF66" i="6"/>
  <c r="CT66" i="6"/>
  <c r="FK66" i="6"/>
  <c r="CB66" i="6"/>
  <c r="GI66" i="6"/>
  <c r="FS66" i="6"/>
  <c r="W66" i="6"/>
  <c r="IB66" i="6"/>
  <c r="EQ66" i="6"/>
  <c r="IA66" i="6"/>
  <c r="HE66" i="6"/>
  <c r="AZ66" i="6"/>
  <c r="DW66" i="6"/>
  <c r="DU66" i="6"/>
  <c r="AO66" i="6"/>
  <c r="CO66" i="6"/>
  <c r="DX66" i="6"/>
  <c r="FY66" i="6"/>
  <c r="CG66" i="6"/>
  <c r="EE66" i="6"/>
  <c r="CS66" i="6"/>
  <c r="DQ66" i="6"/>
  <c r="CF66" i="6"/>
  <c r="IN66" i="6"/>
  <c r="DF66" i="6"/>
  <c r="HS66" i="6"/>
  <c r="GN66" i="6"/>
  <c r="ID66" i="6"/>
  <c r="GU66" i="6"/>
  <c r="IF66" i="6"/>
  <c r="DI97" i="6"/>
  <c r="DI30" i="9" s="1"/>
  <c r="DI66" i="6"/>
  <c r="DS97" i="6"/>
  <c r="DS66" i="6"/>
  <c r="EI97" i="6"/>
  <c r="EI30" i="9" s="1"/>
  <c r="EI66" i="6"/>
  <c r="AX66" i="6"/>
  <c r="CH66" i="6"/>
  <c r="BK97" i="6"/>
  <c r="BK66" i="6"/>
  <c r="CR97" i="6"/>
  <c r="CR66" i="6"/>
  <c r="FJ97" i="6"/>
  <c r="FJ30" i="9" s="1"/>
  <c r="FJ66" i="6"/>
  <c r="DC97" i="6"/>
  <c r="DC30" i="9" s="1"/>
  <c r="DC66" i="6"/>
  <c r="IE66" i="6"/>
  <c r="BD66" i="6"/>
  <c r="AF66" i="6"/>
  <c r="U66" i="6"/>
  <c r="DG66" i="6"/>
  <c r="CZ66" i="6"/>
  <c r="EW97" i="6"/>
  <c r="EW66" i="6"/>
  <c r="AM97" i="6"/>
  <c r="AM66" i="6"/>
  <c r="CY97" i="6"/>
  <c r="CY30" i="9" s="1"/>
  <c r="CY66" i="6"/>
  <c r="JL97" i="6"/>
  <c r="JL30" i="9" s="1"/>
  <c r="JL66" i="6"/>
  <c r="JC97" i="6"/>
  <c r="JC30" i="9" s="1"/>
  <c r="JC66" i="6"/>
  <c r="AP97" i="6"/>
  <c r="AP66" i="6"/>
  <c r="FA97" i="6"/>
  <c r="FA30" i="9" s="1"/>
  <c r="FA66" i="6"/>
  <c r="CI66" i="6"/>
  <c r="IW66" i="6"/>
  <c r="FH97" i="6"/>
  <c r="FH30" i="9" s="1"/>
  <c r="FH66" i="6"/>
  <c r="BE66" i="6"/>
  <c r="CE66" i="6"/>
  <c r="GE66" i="6"/>
  <c r="FE97" i="6"/>
  <c r="FE30" i="9" s="1"/>
  <c r="FE66" i="6"/>
  <c r="DE97" i="6"/>
  <c r="DE30" i="9" s="1"/>
  <c r="DE66" i="6"/>
  <c r="GH97" i="6"/>
  <c r="GH30" i="9" s="1"/>
  <c r="GH66" i="6"/>
  <c r="AV66" i="6"/>
  <c r="EA66" i="6"/>
  <c r="ER66" i="6"/>
  <c r="HH66" i="6"/>
  <c r="BH97" i="6"/>
  <c r="BH66" i="6"/>
  <c r="HX66" i="6"/>
  <c r="HD97" i="6"/>
  <c r="HD30" i="9" s="1"/>
  <c r="HD66" i="6"/>
  <c r="EZ97" i="6"/>
  <c r="EZ66" i="6"/>
  <c r="GW97" i="6"/>
  <c r="GW30" i="9" s="1"/>
  <c r="GW66" i="6"/>
  <c r="HV97" i="6"/>
  <c r="HV30" i="9" s="1"/>
  <c r="HV66" i="6"/>
  <c r="CA97" i="6"/>
  <c r="CA30" i="9" s="1"/>
  <c r="CA66" i="6"/>
  <c r="DH97" i="6"/>
  <c r="DH30" i="9" s="1"/>
  <c r="DH66" i="6"/>
  <c r="FM97" i="6"/>
  <c r="FM30" i="9" s="1"/>
  <c r="FM66" i="6"/>
  <c r="BS66" i="6"/>
  <c r="FD66" i="6"/>
  <c r="CN66" i="6"/>
  <c r="GS66" i="6"/>
  <c r="AA66" i="6"/>
  <c r="CQ66" i="6"/>
  <c r="AC66" i="6"/>
  <c r="BL66" i="6"/>
  <c r="AG66" i="6"/>
  <c r="HP66" i="6"/>
  <c r="HC97" i="6"/>
  <c r="HC30" i="9" s="1"/>
  <c r="HC66" i="6"/>
  <c r="JH97" i="6"/>
  <c r="JH30" i="9" s="1"/>
  <c r="JH66" i="6"/>
  <c r="DL97" i="6"/>
  <c r="DL30" i="9" s="1"/>
  <c r="DL66" i="6"/>
  <c r="DB97" i="6"/>
  <c r="DB30" i="9" s="1"/>
  <c r="DB66" i="6"/>
  <c r="V97" i="6"/>
  <c r="V30" i="9" s="1"/>
  <c r="V66" i="6"/>
  <c r="BF97" i="6"/>
  <c r="BF30" i="9" s="1"/>
  <c r="BF66" i="6"/>
  <c r="CL97" i="6"/>
  <c r="CL66" i="6"/>
  <c r="HJ97" i="6"/>
  <c r="HJ30" i="9" s="1"/>
  <c r="HJ66" i="6"/>
  <c r="DO97" i="6"/>
  <c r="DO30" i="9" s="1"/>
  <c r="DO66" i="6"/>
  <c r="GM97" i="6"/>
  <c r="GM66" i="6"/>
  <c r="FU97" i="6"/>
  <c r="FU66" i="6"/>
  <c r="IV97" i="6"/>
  <c r="IV30" i="9" s="1"/>
  <c r="IV66" i="6"/>
  <c r="BV97" i="6"/>
  <c r="BV30" i="9" s="1"/>
  <c r="BV66" i="6"/>
  <c r="IJ97" i="6"/>
  <c r="IJ30" i="9" s="1"/>
  <c r="IJ66" i="6"/>
  <c r="DZ97" i="6"/>
  <c r="DZ30" i="9" s="1"/>
  <c r="DZ66" i="6"/>
  <c r="ED97" i="6"/>
  <c r="ED30" i="9" s="1"/>
  <c r="ED66" i="6"/>
  <c r="HB66" i="6"/>
  <c r="IQ66" i="6"/>
  <c r="EX97" i="6"/>
  <c r="EX30" i="9" s="1"/>
  <c r="EX66" i="6"/>
  <c r="GR97" i="6"/>
  <c r="GR30" i="9" s="1"/>
  <c r="GR66" i="6"/>
  <c r="HN97" i="6"/>
  <c r="HN66" i="6"/>
  <c r="JN97" i="6"/>
  <c r="JN30" i="9" s="1"/>
  <c r="JN66" i="6"/>
  <c r="CD97" i="6"/>
  <c r="CD30" i="9" s="1"/>
  <c r="CD66" i="6"/>
  <c r="EG97" i="6"/>
  <c r="EG30" i="9" s="1"/>
  <c r="EG66" i="6"/>
  <c r="GC97" i="6"/>
  <c r="GC30" i="9" s="1"/>
  <c r="GC66" i="6"/>
  <c r="FX66" i="6"/>
  <c r="JR66" i="6"/>
  <c r="AR66" i="6"/>
  <c r="IM66" i="6"/>
  <c r="AB66" i="6"/>
  <c r="GG66" i="6"/>
  <c r="EF66" i="6"/>
  <c r="GT97" i="6"/>
  <c r="GT30" i="9" s="1"/>
  <c r="GT66" i="6"/>
  <c r="EL97" i="6"/>
  <c r="EL30" i="9" s="1"/>
  <c r="EL66" i="6"/>
  <c r="DR97" i="6"/>
  <c r="DR30" i="9" s="1"/>
  <c r="DR66" i="6"/>
  <c r="GB97" i="6"/>
  <c r="GB30" i="9" s="1"/>
  <c r="GB66" i="6"/>
  <c r="IL66" i="6"/>
  <c r="IZ66" i="6"/>
  <c r="BR66" i="6"/>
  <c r="AL66" i="6"/>
  <c r="EN97" i="6"/>
  <c r="EN66" i="6"/>
  <c r="HL66" i="6"/>
  <c r="JJ66" i="6"/>
  <c r="HY97" i="6"/>
  <c r="HY30" i="9" s="1"/>
  <c r="HY66" i="6"/>
  <c r="AJ97" i="6"/>
  <c r="AJ66" i="6"/>
  <c r="IT97" i="6"/>
  <c r="IT30" i="9" s="1"/>
  <c r="IT66" i="6"/>
  <c r="AN97" i="6"/>
  <c r="AN30" i="9" s="1"/>
  <c r="AN66" i="6"/>
  <c r="CM66" i="6"/>
  <c r="BC66" i="6"/>
  <c r="DY66" i="6"/>
  <c r="IO66" i="6"/>
  <c r="GL66" i="6"/>
  <c r="IR66" i="6"/>
  <c r="AS66" i="6"/>
  <c r="HR66" i="6"/>
  <c r="EP97" i="6"/>
  <c r="EP30" i="9" s="1"/>
  <c r="EP66" i="6"/>
  <c r="Y66" i="6"/>
  <c r="DA66" i="6"/>
  <c r="GY66" i="6"/>
  <c r="EJ66" i="6"/>
  <c r="FC66" i="6"/>
  <c r="JP97" i="6"/>
  <c r="JP66" i="6"/>
  <c r="BZ97" i="6"/>
  <c r="BZ66" i="6"/>
  <c r="EV66" i="6"/>
  <c r="FZ97" i="6"/>
  <c r="FZ30" i="9" s="1"/>
  <c r="FZ66" i="6"/>
  <c r="BB66" i="6"/>
  <c r="FN66" i="6"/>
  <c r="IC66" i="6"/>
  <c r="HW66" i="6"/>
  <c r="EK66" i="6"/>
  <c r="EU66" i="6"/>
  <c r="GZ66" i="6"/>
  <c r="JI97" i="6"/>
  <c r="JI30" i="9" s="1"/>
  <c r="JI66" i="6"/>
  <c r="IS66" i="6"/>
  <c r="EC97" i="6"/>
  <c r="EC30" i="9" s="1"/>
  <c r="EC66" i="6"/>
  <c r="GP66" i="6"/>
  <c r="GK66" i="6"/>
  <c r="JD66" i="6"/>
  <c r="HG66" i="6"/>
  <c r="FL66" i="6"/>
  <c r="FV97" i="6"/>
  <c r="FV30" i="9" s="1"/>
  <c r="FV66" i="6"/>
  <c r="CC66" i="6"/>
  <c r="FG66" i="6"/>
  <c r="EY66" i="6"/>
  <c r="JQ66" i="6"/>
  <c r="BP66" i="6"/>
  <c r="HQ66" i="6"/>
  <c r="DJ66" i="6"/>
  <c r="IK66" i="6"/>
  <c r="IU66" i="6"/>
  <c r="CX66" i="6"/>
  <c r="CW66" i="6"/>
  <c r="DV66" i="6"/>
  <c r="ES66" i="6"/>
  <c r="M59" i="11" l="1"/>
  <c r="BZ30" i="9"/>
  <c r="AA90" i="15"/>
  <c r="EN30" i="9"/>
  <c r="AW90" i="15"/>
  <c r="FU30" i="9"/>
  <c r="BH90" i="15"/>
  <c r="CL30" i="9"/>
  <c r="AE90" i="15"/>
  <c r="AP30" i="9"/>
  <c r="O90" i="15"/>
  <c r="AM30" i="9"/>
  <c r="N90" i="15"/>
  <c r="BK30" i="9"/>
  <c r="V90" i="15"/>
  <c r="II30" i="9"/>
  <c r="CD90" i="15"/>
  <c r="CI30" i="9"/>
  <c r="AD90" i="15"/>
  <c r="AA30" i="9"/>
  <c r="J90" i="15"/>
  <c r="BW30" i="9"/>
  <c r="Z90" i="15"/>
  <c r="DG30" i="9"/>
  <c r="AL90" i="15"/>
  <c r="GJ30" i="9"/>
  <c r="BM90" i="15"/>
  <c r="HT30" i="9"/>
  <c r="BY90" i="15"/>
  <c r="IC30" i="9"/>
  <c r="CB90" i="15"/>
  <c r="BB30" i="9"/>
  <c r="S90" i="15"/>
  <c r="GP30" i="9"/>
  <c r="BO90" i="15"/>
  <c r="IR30" i="9"/>
  <c r="CG90" i="15"/>
  <c r="DY30" i="9"/>
  <c r="AR90" i="15"/>
  <c r="GV30" i="9"/>
  <c r="BQ90" i="15"/>
  <c r="EH30" i="9"/>
  <c r="AU90" i="15"/>
  <c r="CO30" i="9"/>
  <c r="AF90" i="15"/>
  <c r="JP30" i="9"/>
  <c r="CO90" i="15"/>
  <c r="CU30" i="9"/>
  <c r="AH90" i="15"/>
  <c r="HW30" i="9"/>
  <c r="BZ90" i="15"/>
  <c r="FO30" i="9"/>
  <c r="BF90" i="15"/>
  <c r="FF30" i="9"/>
  <c r="BC90" i="15"/>
  <c r="IL30" i="9"/>
  <c r="CE90" i="15"/>
  <c r="HH30" i="9"/>
  <c r="BU90" i="15"/>
  <c r="CC30" i="9"/>
  <c r="AB90" i="15"/>
  <c r="AS30" i="9"/>
  <c r="P90" i="15"/>
  <c r="CF30" i="9"/>
  <c r="AC90" i="15"/>
  <c r="AG30" i="9"/>
  <c r="L90" i="15"/>
  <c r="DJ30" i="9"/>
  <c r="AM90" i="15"/>
  <c r="HQ30" i="9"/>
  <c r="BX90" i="15"/>
  <c r="FX30" i="9"/>
  <c r="BI90" i="15"/>
  <c r="JM30" i="9"/>
  <c r="CN90" i="15"/>
  <c r="DV30" i="9"/>
  <c r="AQ90" i="15"/>
  <c r="EK30" i="9"/>
  <c r="AV90" i="15"/>
  <c r="FI30" i="9"/>
  <c r="BD90" i="15"/>
  <c r="EB30" i="9"/>
  <c r="AS90" i="15"/>
  <c r="GG30" i="9"/>
  <c r="BL90" i="15"/>
  <c r="AD30" i="9"/>
  <c r="K90" i="15"/>
  <c r="HN30" i="9"/>
  <c r="BW90" i="15"/>
  <c r="AJ30" i="9"/>
  <c r="M90" i="15"/>
  <c r="GM30" i="9"/>
  <c r="BN90" i="15"/>
  <c r="EZ30" i="9"/>
  <c r="BA90" i="15"/>
  <c r="EW30" i="9"/>
  <c r="AZ90" i="15"/>
  <c r="CR30" i="9"/>
  <c r="AG90" i="15"/>
  <c r="DS30" i="9"/>
  <c r="AP90" i="15"/>
  <c r="HK30" i="9"/>
  <c r="BV90" i="15"/>
  <c r="EQ30" i="9"/>
  <c r="AX90" i="15"/>
  <c r="JG30" i="9"/>
  <c r="CL90" i="15"/>
  <c r="GA30" i="9"/>
  <c r="BJ90" i="15"/>
  <c r="FC30" i="9"/>
  <c r="BB90" i="15"/>
  <c r="EE30" i="9"/>
  <c r="AT90" i="15"/>
  <c r="CX30" i="9"/>
  <c r="AI90" i="15"/>
  <c r="IO30" i="9"/>
  <c r="CF90" i="15"/>
  <c r="BN30" i="9"/>
  <c r="W90" i="15"/>
  <c r="FR30" i="9"/>
  <c r="BG90" i="15"/>
  <c r="BT30" i="9"/>
  <c r="Y90" i="15"/>
  <c r="JA30" i="9"/>
  <c r="CJ90" i="15"/>
  <c r="JD30" i="9"/>
  <c r="CK90" i="15"/>
  <c r="DD30" i="9"/>
  <c r="AK90" i="15"/>
  <c r="HE30" i="9"/>
  <c r="BT90" i="15"/>
  <c r="IX30" i="9"/>
  <c r="CI90" i="15"/>
  <c r="ET30" i="9"/>
  <c r="AY90" i="15"/>
  <c r="BH30" i="9"/>
  <c r="U90" i="15"/>
  <c r="AY30" i="9"/>
  <c r="R90" i="15"/>
  <c r="IU30" i="9"/>
  <c r="CH90" i="15"/>
  <c r="GY30" i="9"/>
  <c r="BR90" i="15"/>
  <c r="JJ30" i="9"/>
  <c r="CM90" i="15"/>
  <c r="BQ30" i="9"/>
  <c r="X90" i="15"/>
  <c r="IF30" i="9"/>
  <c r="CC90" i="15"/>
  <c r="DM30" i="9"/>
  <c r="AN90" i="15"/>
  <c r="GD30" i="9"/>
  <c r="BK90" i="15"/>
  <c r="FL30" i="9"/>
  <c r="BE90" i="15"/>
  <c r="HB30" i="9"/>
  <c r="BS90" i="15"/>
  <c r="AV30" i="9"/>
  <c r="Q90" i="15"/>
  <c r="HZ30" i="9"/>
  <c r="CA90" i="15"/>
  <c r="DA30" i="9"/>
  <c r="AJ90" i="15"/>
  <c r="X30" i="9"/>
  <c r="I90" i="15"/>
  <c r="DP30" i="9"/>
  <c r="AO90" i="15"/>
  <c r="GS30" i="9"/>
  <c r="BP90" i="15"/>
  <c r="U30" i="9"/>
  <c r="H90" i="15"/>
  <c r="BE30" i="9"/>
  <c r="T90" i="15"/>
  <c r="U90" i="11"/>
  <c r="T11" i="12" s="1"/>
  <c r="U59" i="11"/>
  <c r="O90" i="11"/>
  <c r="N11" i="12" s="1"/>
  <c r="O59" i="11"/>
  <c r="Y90" i="11"/>
  <c r="X11" i="12" s="1"/>
  <c r="Y59" i="11"/>
  <c r="R90" i="11"/>
  <c r="Q11" i="12" s="1"/>
  <c r="R59" i="11"/>
  <c r="H90" i="11"/>
  <c r="G11" i="12" s="1"/>
  <c r="H59" i="11"/>
  <c r="P90" i="11"/>
  <c r="O11" i="12" s="1"/>
  <c r="P59" i="11"/>
  <c r="N90" i="11"/>
  <c r="M11" i="12" s="1"/>
  <c r="N59" i="11"/>
  <c r="G90" i="11"/>
  <c r="F11" i="12" s="1"/>
  <c r="G59" i="11"/>
  <c r="F90" i="11"/>
  <c r="E11" i="12" s="1"/>
  <c r="F59" i="11"/>
  <c r="X90" i="11"/>
  <c r="W11" i="12" s="1"/>
  <c r="X59" i="11"/>
  <c r="T90" i="11"/>
  <c r="S11" i="12" s="1"/>
  <c r="T59" i="11"/>
  <c r="S90" i="11"/>
  <c r="R11" i="12" s="1"/>
  <c r="S59" i="11"/>
  <c r="W90" i="11"/>
  <c r="V11" i="12" s="1"/>
  <c r="W59" i="11"/>
  <c r="J90" i="11"/>
  <c r="I11" i="12" s="1"/>
  <c r="J59" i="11"/>
  <c r="D90" i="11"/>
  <c r="C11" i="12" s="1"/>
  <c r="D59" i="11"/>
  <c r="E90" i="11"/>
  <c r="D11" i="12" s="1"/>
  <c r="E59" i="11"/>
  <c r="I90" i="11"/>
  <c r="H11" i="12" s="1"/>
  <c r="I59" i="11"/>
  <c r="L90" i="11"/>
  <c r="K11" i="12" s="1"/>
  <c r="L59" i="11"/>
  <c r="K90" i="11"/>
  <c r="J11" i="12" s="1"/>
  <c r="K59" i="11"/>
  <c r="V90" i="11"/>
  <c r="U11" i="12" s="1"/>
  <c r="V59" i="11"/>
  <c r="Q90" i="11"/>
  <c r="P11" i="12" s="1"/>
  <c r="Q59" i="11"/>
  <c r="AA8" i="1"/>
  <c r="AG8" i="1"/>
  <c r="AH8" i="1"/>
  <c r="Z8" i="1"/>
  <c r="Y8" i="1"/>
  <c r="AF8" i="1"/>
  <c r="S8" i="1"/>
  <c r="Q8" i="1"/>
  <c r="U8" i="1"/>
  <c r="AB8" i="1"/>
  <c r="V8" i="1"/>
  <c r="AI8" i="1"/>
  <c r="N8" i="1"/>
  <c r="W8" i="1"/>
  <c r="AE8" i="1"/>
  <c r="P8" i="1"/>
  <c r="R8" i="1"/>
  <c r="AD8" i="1"/>
  <c r="AC8" i="1"/>
  <c r="O8" i="1"/>
  <c r="T8" i="1"/>
  <c r="X8" i="1"/>
  <c r="K8" i="8"/>
  <c r="I26" i="9" s="1"/>
  <c r="J8" i="8"/>
  <c r="H26" i="9" s="1"/>
  <c r="N8" i="8"/>
  <c r="L26" i="9" s="1"/>
  <c r="I8" i="8"/>
  <c r="G26" i="9" s="1"/>
  <c r="S8" i="8"/>
  <c r="S30" i="8" s="1"/>
  <c r="U8" i="8"/>
  <c r="S26" i="9" s="1"/>
  <c r="V8" i="8"/>
  <c r="V30" i="8" s="1"/>
  <c r="G8" i="8"/>
  <c r="G30" i="8" s="1"/>
  <c r="H8" i="8"/>
  <c r="F26" i="9" s="1"/>
  <c r="F8" i="8"/>
  <c r="D26" i="9" s="1"/>
  <c r="T8" i="8"/>
  <c r="R26" i="9" s="1"/>
  <c r="O8" i="8"/>
  <c r="O30" i="8" s="1"/>
  <c r="L8" i="8"/>
  <c r="L30" i="8" s="1"/>
  <c r="P8" i="8"/>
  <c r="P30" i="8" s="1"/>
  <c r="R8" i="8"/>
  <c r="R30" i="8" s="1"/>
  <c r="Q8" i="8"/>
  <c r="O26" i="9" s="1"/>
  <c r="C13" i="1"/>
  <c r="M8" i="8"/>
  <c r="CD8" i="8"/>
  <c r="CD10" i="8" s="1"/>
  <c r="CD9" i="8" s="1"/>
  <c r="EL8" i="8"/>
  <c r="EL10" i="8" s="1"/>
  <c r="BO8" i="8"/>
  <c r="BO10" i="8" s="1"/>
  <c r="EB8" i="8"/>
  <c r="EB10" i="8" s="1"/>
  <c r="BQ8" i="8"/>
  <c r="BQ10" i="8" s="1"/>
  <c r="HR8" i="8"/>
  <c r="HR10" i="8" s="1"/>
  <c r="GE8" i="8"/>
  <c r="GE10" i="8" s="1"/>
  <c r="HZ8" i="8"/>
  <c r="HZ10" i="8" s="1"/>
  <c r="FN8" i="8"/>
  <c r="FN10" i="8" s="1"/>
  <c r="DB8" i="8"/>
  <c r="DB10" i="8" s="1"/>
  <c r="EX8" i="8"/>
  <c r="EX10" i="8" s="1"/>
  <c r="CT8" i="8"/>
  <c r="CT10" i="8" s="1"/>
  <c r="BN8" i="8"/>
  <c r="AA8" i="8"/>
  <c r="DR8" i="8"/>
  <c r="DZ8" i="8"/>
  <c r="DZ10" i="8" s="1"/>
  <c r="FG8" i="8"/>
  <c r="FG10" i="8" s="1"/>
  <c r="HC8" i="8"/>
  <c r="HC10" i="8" s="1"/>
  <c r="AQ8" i="8"/>
  <c r="AQ10" i="8" s="1"/>
  <c r="GP8" i="8"/>
  <c r="GP10" i="8" s="1"/>
  <c r="AX8" i="8"/>
  <c r="AX10" i="8" s="1"/>
  <c r="CM8" i="8"/>
  <c r="BI8" i="8"/>
  <c r="BF8" i="8"/>
  <c r="BF10" i="8" s="1"/>
  <c r="DD8" i="8"/>
  <c r="DD10" i="8" s="1"/>
  <c r="EF8" i="8"/>
  <c r="EF10" i="8" s="1"/>
  <c r="DJ8" i="8"/>
  <c r="DJ10" i="8" s="1"/>
  <c r="FM8" i="8"/>
  <c r="FM10" i="8" s="1"/>
  <c r="HS8" i="8"/>
  <c r="HS10" i="8" s="1"/>
  <c r="HJ8" i="8"/>
  <c r="HJ10" i="8" s="1"/>
  <c r="JF8" i="8"/>
  <c r="JF10" i="8" s="1"/>
  <c r="EW8" i="8"/>
  <c r="GN8" i="8"/>
  <c r="CN8" i="8"/>
  <c r="FH8" i="8"/>
  <c r="CL8" i="8"/>
  <c r="CL10" i="8" s="1"/>
  <c r="EZ8" i="8"/>
  <c r="EZ10" i="8" s="1"/>
  <c r="HD8" i="8"/>
  <c r="HD10" i="8" s="1"/>
  <c r="IR8" i="8"/>
  <c r="IR10" i="8" s="1"/>
  <c r="JQ8" i="8"/>
  <c r="HH8" i="8"/>
  <c r="DF8" i="8"/>
  <c r="DF10" i="8" s="1"/>
  <c r="AH8" i="8"/>
  <c r="AH10" i="8" s="1"/>
  <c r="DL8" i="8"/>
  <c r="DL10" i="8" s="1"/>
  <c r="AF8" i="8"/>
  <c r="AF10" i="8" s="1"/>
  <c r="CZ8" i="8"/>
  <c r="CZ10" i="8" s="1"/>
  <c r="JK8" i="8"/>
  <c r="JK10" i="8" s="1"/>
  <c r="BR8" i="8"/>
  <c r="IB8" i="8"/>
  <c r="IB10" i="8" s="1"/>
  <c r="IQ8" i="8"/>
  <c r="IQ10" i="8" s="1"/>
  <c r="CG8" i="8"/>
  <c r="CG10" i="8" s="1"/>
  <c r="JD8" i="8"/>
  <c r="JD10" i="8" s="1"/>
  <c r="GW8" i="8"/>
  <c r="GW10" i="8" s="1"/>
  <c r="CS8" i="8"/>
  <c r="CS10" i="8" s="1"/>
  <c r="BH8" i="8"/>
  <c r="BH10" i="8" s="1"/>
  <c r="AT8" i="8"/>
  <c r="AT10" i="8" s="1"/>
  <c r="DK8" i="8"/>
  <c r="DK10" i="8" s="1"/>
  <c r="EY8" i="8"/>
  <c r="EY10" i="8" s="1"/>
  <c r="CU8" i="8"/>
  <c r="GT8" i="8"/>
  <c r="GT10" i="8" s="1"/>
  <c r="AP8" i="8"/>
  <c r="AP10" i="8" s="1"/>
  <c r="CQ8" i="8"/>
  <c r="CQ10" i="8" s="1"/>
  <c r="BT8" i="8"/>
  <c r="BT10" i="8" s="1"/>
  <c r="GF8" i="8"/>
  <c r="GF10" i="8" s="1"/>
  <c r="FW8" i="8"/>
  <c r="BU8" i="8"/>
  <c r="BU10" i="8" s="1"/>
  <c r="GG8" i="8"/>
  <c r="GG10" i="8" s="1"/>
  <c r="DS8" i="8"/>
  <c r="DS10" i="8" s="1"/>
  <c r="Z8" i="8"/>
  <c r="Z10" i="8" s="1"/>
  <c r="GZ8" i="8"/>
  <c r="GZ10" i="8" s="1"/>
  <c r="AK8" i="8"/>
  <c r="AK10" i="8" s="1"/>
  <c r="GU8" i="8"/>
  <c r="IG8" i="8"/>
  <c r="IG10" i="8" s="1"/>
  <c r="EH8" i="8"/>
  <c r="EH10" i="8" s="1"/>
  <c r="DG8" i="8"/>
  <c r="DG10" i="8" s="1"/>
  <c r="AG8" i="8"/>
  <c r="AG10" i="8" s="1"/>
  <c r="JO8" i="8"/>
  <c r="GD8" i="8"/>
  <c r="GD10" i="8" s="1"/>
  <c r="CE8" i="8"/>
  <c r="JM8" i="8"/>
  <c r="JM10" i="8" s="1"/>
  <c r="JM32" i="8" s="1"/>
  <c r="JK70" i="6" s="1"/>
  <c r="HQ8" i="8"/>
  <c r="IY8" i="8"/>
  <c r="IY10" i="8" s="1"/>
  <c r="IL8" i="8"/>
  <c r="AL8" i="8"/>
  <c r="AL10" i="8" s="1"/>
  <c r="FX8" i="8"/>
  <c r="FX10" i="8" s="1"/>
  <c r="CB8" i="8"/>
  <c r="CB10" i="8" s="1"/>
  <c r="IO8" i="8"/>
  <c r="IO10" i="8" s="1"/>
  <c r="AJ8" i="8"/>
  <c r="HE8" i="8"/>
  <c r="HE10" i="8" s="1"/>
  <c r="CW8" i="8"/>
  <c r="CW10" i="8" s="1"/>
  <c r="JN8" i="8"/>
  <c r="JN10" i="8" s="1"/>
  <c r="AI8" i="8"/>
  <c r="AI10" i="8" s="1"/>
  <c r="EP8" i="8"/>
  <c r="BA8" i="8"/>
  <c r="GJ8" i="8"/>
  <c r="GJ10" i="8" s="1"/>
  <c r="CH8" i="8"/>
  <c r="BD8" i="8"/>
  <c r="BD10" i="8" s="1"/>
  <c r="GH8" i="8"/>
  <c r="DA8" i="8"/>
  <c r="DA10" i="8" s="1"/>
  <c r="AN8" i="8"/>
  <c r="AN10" i="8" s="1"/>
  <c r="DM8" i="8"/>
  <c r="DM10" i="8" s="1"/>
  <c r="GR8" i="8"/>
  <c r="GR10" i="8" s="1"/>
  <c r="GL8" i="8"/>
  <c r="GL10" i="8" s="1"/>
  <c r="FC8" i="8"/>
  <c r="FC10" i="8" s="1"/>
  <c r="FZ8" i="8"/>
  <c r="FZ10" i="8" s="1"/>
  <c r="FV8" i="8"/>
  <c r="FV10" i="8" s="1"/>
  <c r="AV8" i="8"/>
  <c r="AV10" i="8" s="1"/>
  <c r="CF8" i="8"/>
  <c r="CF10" i="8" s="1"/>
  <c r="JJ8" i="8"/>
  <c r="JJ10" i="8" s="1"/>
  <c r="JJ32" i="8" s="1"/>
  <c r="JH70" i="6" s="1"/>
  <c r="JG8" i="8"/>
  <c r="JG10" i="8" s="1"/>
  <c r="HP8" i="8"/>
  <c r="HP10" i="8" s="1"/>
  <c r="CX8" i="8"/>
  <c r="CX10" i="8" s="1"/>
  <c r="CY8" i="8"/>
  <c r="CY10" i="8" s="1"/>
  <c r="IZ8" i="8"/>
  <c r="IZ10" i="8" s="1"/>
  <c r="EK8" i="8"/>
  <c r="EK10" i="8" s="1"/>
  <c r="IN8" i="8"/>
  <c r="IN10" i="8" s="1"/>
  <c r="FL8" i="8"/>
  <c r="EI8" i="8"/>
  <c r="EI10" i="8" s="1"/>
  <c r="GS8" i="8"/>
  <c r="GS10" i="8" s="1"/>
  <c r="IW8" i="8"/>
  <c r="IW10" i="8" s="1"/>
  <c r="IV8" i="8"/>
  <c r="IV10" i="8" s="1"/>
  <c r="EN8" i="8"/>
  <c r="EN10" i="8" s="1"/>
  <c r="AE8" i="8"/>
  <c r="DU8" i="8"/>
  <c r="DU10" i="8" s="1"/>
  <c r="IX8" i="8"/>
  <c r="IX10" i="8" s="1"/>
  <c r="HA8" i="8"/>
  <c r="HA10" i="8" s="1"/>
  <c r="GX8" i="8"/>
  <c r="BW8" i="8"/>
  <c r="BW10" i="8" s="1"/>
  <c r="DY8" i="8"/>
  <c r="DY10" i="8" s="1"/>
  <c r="BP8" i="8"/>
  <c r="BP10" i="8" s="1"/>
  <c r="EO8" i="8"/>
  <c r="EO10" i="8" s="1"/>
  <c r="W8" i="8"/>
  <c r="DX8" i="8"/>
  <c r="DX10" i="8" s="1"/>
  <c r="IP8" i="8"/>
  <c r="IP10" i="8" s="1"/>
  <c r="BC8" i="8"/>
  <c r="BC10" i="8" s="1"/>
  <c r="IH8" i="8"/>
  <c r="IH10" i="8" s="1"/>
  <c r="DT8" i="8"/>
  <c r="DT10" i="8" s="1"/>
  <c r="HG8" i="8"/>
  <c r="HG10" i="8" s="1"/>
  <c r="EA8" i="8"/>
  <c r="EA10" i="8" s="1"/>
  <c r="EV8" i="8"/>
  <c r="EV10" i="8" s="1"/>
  <c r="HV8" i="8"/>
  <c r="HV10" i="8" s="1"/>
  <c r="AC8" i="8"/>
  <c r="AC10" i="8" s="1"/>
  <c r="ES8" i="8"/>
  <c r="ES10" i="8" s="1"/>
  <c r="DH8" i="8"/>
  <c r="AO8" i="8"/>
  <c r="AO10" i="8" s="1"/>
  <c r="EE8" i="8"/>
  <c r="EE10" i="8" s="1"/>
  <c r="EC8" i="8"/>
  <c r="EC10" i="8" s="1"/>
  <c r="AR8" i="8"/>
  <c r="AR10" i="8" s="1"/>
  <c r="BZ8" i="8"/>
  <c r="BZ10" i="8" s="1"/>
  <c r="JA8" i="8"/>
  <c r="JA10" i="8" s="1"/>
  <c r="CC8" i="8"/>
  <c r="CC10" i="8" s="1"/>
  <c r="IA8" i="8"/>
  <c r="IT8" i="8"/>
  <c r="HL8" i="8"/>
  <c r="HL10" i="8" s="1"/>
  <c r="HI8" i="8"/>
  <c r="HN8" i="8"/>
  <c r="HN10" i="8" s="1"/>
  <c r="JL8" i="8"/>
  <c r="JL10" i="8" s="1"/>
  <c r="JL32" i="8" s="1"/>
  <c r="JJ70" i="6" s="1"/>
  <c r="IM8" i="8"/>
  <c r="IM10" i="8" s="1"/>
  <c r="AZ8" i="8"/>
  <c r="AZ10" i="8" s="1"/>
  <c r="BX8" i="8"/>
  <c r="BX10" i="8" s="1"/>
  <c r="JR8" i="8"/>
  <c r="JR10" i="8" s="1"/>
  <c r="JR32" i="8" s="1"/>
  <c r="JP70" i="6" s="1"/>
  <c r="GB8" i="8"/>
  <c r="GB10" i="8" s="1"/>
  <c r="CR8" i="8"/>
  <c r="CR10" i="8" s="1"/>
  <c r="AY8" i="8"/>
  <c r="AY10" i="8" s="1"/>
  <c r="HO8" i="8"/>
  <c r="HO10" i="8" s="1"/>
  <c r="JH8" i="8"/>
  <c r="JH10" i="8" s="1"/>
  <c r="JH32" i="8" s="1"/>
  <c r="JF70" i="6" s="1"/>
  <c r="JF31" i="9" s="1"/>
  <c r="DE8" i="8"/>
  <c r="DE10" i="8" s="1"/>
  <c r="DV8" i="8"/>
  <c r="DV10" i="8" s="1"/>
  <c r="FR8" i="8"/>
  <c r="FR10" i="8" s="1"/>
  <c r="HT8" i="8"/>
  <c r="HT10" i="8" s="1"/>
  <c r="CI8" i="8"/>
  <c r="CI10" i="8" s="1"/>
  <c r="DO8" i="8"/>
  <c r="DO10" i="8" s="1"/>
  <c r="ED8" i="8"/>
  <c r="ED10" i="8" s="1"/>
  <c r="BY8" i="8"/>
  <c r="BY10" i="8" s="1"/>
  <c r="BE8" i="8"/>
  <c r="BE10" i="8" s="1"/>
  <c r="DP8" i="8"/>
  <c r="AU8" i="8"/>
  <c r="AU10" i="8" s="1"/>
  <c r="FS8" i="8"/>
  <c r="FS10" i="8" s="1"/>
  <c r="BS8" i="8"/>
  <c r="BS10" i="8" s="1"/>
  <c r="JB8" i="8"/>
  <c r="JB10" i="8" s="1"/>
  <c r="FA8" i="8"/>
  <c r="FA10" i="8" s="1"/>
  <c r="JP8" i="8"/>
  <c r="JP10" i="8" s="1"/>
  <c r="JP32" i="8" s="1"/>
  <c r="JN70" i="6" s="1"/>
  <c r="CV8" i="8"/>
  <c r="CV10" i="8" s="1"/>
  <c r="FB8" i="8"/>
  <c r="CJ8" i="8"/>
  <c r="CJ10" i="8" s="1"/>
  <c r="JI8" i="8"/>
  <c r="JI10" i="8" s="1"/>
  <c r="JI32" i="8" s="1"/>
  <c r="JG70" i="6" s="1"/>
  <c r="GA8" i="8"/>
  <c r="GA10" i="8" s="1"/>
  <c r="ER8" i="8"/>
  <c r="ER10" i="8" s="1"/>
  <c r="AB8" i="8"/>
  <c r="AB10" i="8" s="1"/>
  <c r="DW8" i="8"/>
  <c r="DW10" i="8" s="1"/>
  <c r="AW8" i="8"/>
  <c r="AW10" i="8" s="1"/>
  <c r="GK8" i="8"/>
  <c r="JS8" i="8"/>
  <c r="JS10" i="8" s="1"/>
  <c r="BG8" i="8"/>
  <c r="EU8" i="8"/>
  <c r="AM8" i="8"/>
  <c r="AM10" i="8" s="1"/>
  <c r="CK8" i="8"/>
  <c r="CK10" i="8" s="1"/>
  <c r="AS8" i="8"/>
  <c r="X8" i="8"/>
  <c r="BK8" i="8"/>
  <c r="BK10" i="8" s="1"/>
  <c r="JE8" i="8"/>
  <c r="ID8" i="8"/>
  <c r="ID10" i="8" s="1"/>
  <c r="II8" i="8"/>
  <c r="II10" i="8" s="1"/>
  <c r="HB8" i="8"/>
  <c r="GO8" i="8"/>
  <c r="GO10" i="8" s="1"/>
  <c r="FQ8" i="8"/>
  <c r="FQ10" i="8" s="1"/>
  <c r="CO8" i="8"/>
  <c r="CO10" i="8" s="1"/>
  <c r="DI8" i="8"/>
  <c r="DI10" i="8" s="1"/>
  <c r="GC8" i="8"/>
  <c r="GC10" i="8" s="1"/>
  <c r="ET8" i="8"/>
  <c r="ET10" i="8" s="1"/>
  <c r="JT8" i="8"/>
  <c r="JT10" i="8" s="1"/>
  <c r="Y8" i="8"/>
  <c r="AD8" i="8"/>
  <c r="AD10" i="8" s="1"/>
  <c r="IF8" i="8"/>
  <c r="JC8" i="8"/>
  <c r="IU8" i="8"/>
  <c r="IU10" i="8" s="1"/>
  <c r="HX8" i="8"/>
  <c r="GQ8" i="8"/>
  <c r="GQ10" i="8" s="1"/>
  <c r="GI8" i="8"/>
  <c r="GI10" i="8" s="1"/>
  <c r="EQ8" i="8"/>
  <c r="EQ10" i="8" s="1"/>
  <c r="IE8" i="8"/>
  <c r="IE10" i="8" s="1"/>
  <c r="FF8" i="8"/>
  <c r="FF10" i="8" s="1"/>
  <c r="EG8" i="8"/>
  <c r="HF8" i="8"/>
  <c r="HF10" i="8" s="1"/>
  <c r="BV8" i="8"/>
  <c r="GY8" i="8"/>
  <c r="HU8" i="8"/>
  <c r="FK8" i="8"/>
  <c r="CP8" i="8"/>
  <c r="CP10" i="8" s="1"/>
  <c r="HW8" i="8"/>
  <c r="HW10" i="8" s="1"/>
  <c r="GV8" i="8"/>
  <c r="GV10" i="8" s="1"/>
  <c r="FJ8" i="8"/>
  <c r="HK8" i="8"/>
  <c r="IS8" i="8"/>
  <c r="IS10" i="8" s="1"/>
  <c r="BB8" i="8"/>
  <c r="BB10" i="8" s="1"/>
  <c r="FT8" i="8"/>
  <c r="FT10" i="8" s="1"/>
  <c r="BM8" i="8"/>
  <c r="FD8" i="8"/>
  <c r="FD10" i="8" s="1"/>
  <c r="BL8" i="8"/>
  <c r="BL10" i="8" s="1"/>
  <c r="DC8" i="8"/>
  <c r="DC10" i="8" s="1"/>
  <c r="IK8" i="8"/>
  <c r="FP8" i="8"/>
  <c r="FP10" i="8" s="1"/>
  <c r="FY8" i="8"/>
  <c r="DQ8" i="8"/>
  <c r="DQ10" i="8" s="1"/>
  <c r="FU8" i="8"/>
  <c r="FU10" i="8" s="1"/>
  <c r="BJ8" i="8"/>
  <c r="FE8" i="8"/>
  <c r="FE10" i="8" s="1"/>
  <c r="IC8" i="8"/>
  <c r="IC10" i="8" s="1"/>
  <c r="HY8" i="8"/>
  <c r="HY10" i="8" s="1"/>
  <c r="EM8" i="8"/>
  <c r="EM10" i="8" s="1"/>
  <c r="DN8" i="8"/>
  <c r="CA8" i="8"/>
  <c r="CA10" i="8" s="1"/>
  <c r="EJ8" i="8"/>
  <c r="FO8" i="8"/>
  <c r="FI8" i="8"/>
  <c r="FI10" i="8" s="1"/>
  <c r="IJ8" i="8"/>
  <c r="IJ10" i="8" s="1"/>
  <c r="HM8" i="8"/>
  <c r="HM10" i="8" s="1"/>
  <c r="E8" i="8"/>
  <c r="E10" i="8" s="1"/>
  <c r="E32" i="8" s="1"/>
  <c r="GM8" i="8"/>
  <c r="GM10" i="8" s="1"/>
  <c r="C70" i="6" l="1"/>
  <c r="N26" i="9"/>
  <c r="J30" i="8"/>
  <c r="T30" i="8"/>
  <c r="I30" i="8"/>
  <c r="Q26" i="9"/>
  <c r="E12" i="8"/>
  <c r="F7" i="8" s="1"/>
  <c r="F10" i="8" s="1"/>
  <c r="F32" i="8" s="1"/>
  <c r="D70" i="6" s="1"/>
  <c r="H30" i="8"/>
  <c r="T26" i="9"/>
  <c r="DN12" i="8"/>
  <c r="DN30" i="8"/>
  <c r="DL26" i="9"/>
  <c r="DN10" i="8"/>
  <c r="FE9" i="8"/>
  <c r="FE41" i="8"/>
  <c r="JN31" i="9"/>
  <c r="JP31" i="9"/>
  <c r="EJ12" i="8"/>
  <c r="EH26" i="9"/>
  <c r="EJ30" i="8"/>
  <c r="EJ10" i="8"/>
  <c r="FO12" i="8"/>
  <c r="FO30" i="8"/>
  <c r="FM26" i="9"/>
  <c r="FO10" i="8"/>
  <c r="HY9" i="8"/>
  <c r="HY41" i="8"/>
  <c r="BL9" i="8"/>
  <c r="BL41" i="8"/>
  <c r="DQ9" i="8"/>
  <c r="DQ41" i="8"/>
  <c r="GY12" i="8"/>
  <c r="GW26" i="9"/>
  <c r="GY30" i="8"/>
  <c r="GQ9" i="8"/>
  <c r="GQ41" i="8"/>
  <c r="JS9" i="8"/>
  <c r="JS41" i="8"/>
  <c r="JB41" i="8"/>
  <c r="JB9" i="8"/>
  <c r="AY41" i="8"/>
  <c r="AY9" i="8"/>
  <c r="GB9" i="8"/>
  <c r="GB41" i="8"/>
  <c r="HN9" i="8"/>
  <c r="HN41" i="8"/>
  <c r="HI30" i="8"/>
  <c r="HI12" i="8"/>
  <c r="HG26" i="9"/>
  <c r="IT12" i="8"/>
  <c r="IT30" i="8"/>
  <c r="IR26" i="9"/>
  <c r="IT10" i="8"/>
  <c r="HA9" i="8"/>
  <c r="HA41" i="8"/>
  <c r="IZ9" i="8"/>
  <c r="IZ41" i="8"/>
  <c r="DA9" i="8"/>
  <c r="DA41" i="8"/>
  <c r="FY12" i="8"/>
  <c r="FY30" i="8"/>
  <c r="FW26" i="9"/>
  <c r="FY10" i="8"/>
  <c r="FJ12" i="8"/>
  <c r="FJ30" i="8"/>
  <c r="FH26" i="9"/>
  <c r="FJ10" i="8"/>
  <c r="GI41" i="8"/>
  <c r="GI9" i="8"/>
  <c r="EU12" i="8"/>
  <c r="ES26" i="9"/>
  <c r="EU30" i="8"/>
  <c r="EU10" i="8"/>
  <c r="FU12" i="8"/>
  <c r="FS26" i="9"/>
  <c r="FU30" i="8"/>
  <c r="DQ30" i="8"/>
  <c r="DO26" i="9"/>
  <c r="DQ12" i="8"/>
  <c r="FK12" i="8"/>
  <c r="FK30" i="8"/>
  <c r="FI26" i="9"/>
  <c r="FK10" i="8"/>
  <c r="EQ12" i="8"/>
  <c r="EO26" i="9"/>
  <c r="EQ30" i="8"/>
  <c r="GQ12" i="8"/>
  <c r="GQ30" i="8"/>
  <c r="GO26" i="9"/>
  <c r="DI12" i="8"/>
  <c r="DI30" i="8"/>
  <c r="DG26" i="9"/>
  <c r="FA41" i="8"/>
  <c r="FA9" i="8"/>
  <c r="DE9" i="8"/>
  <c r="DE41" i="8"/>
  <c r="IH9" i="8"/>
  <c r="IH41" i="8"/>
  <c r="DY9" i="8"/>
  <c r="DY41" i="8"/>
  <c r="JH31" i="9"/>
  <c r="HU12" i="8"/>
  <c r="HU30" i="8"/>
  <c r="HS26" i="9"/>
  <c r="ID26" i="9"/>
  <c r="IF30" i="8"/>
  <c r="IF12" i="8"/>
  <c r="FE12" i="8"/>
  <c r="FE30" i="8"/>
  <c r="FC26" i="9"/>
  <c r="JT41" i="8"/>
  <c r="JT9" i="8"/>
  <c r="JT32" i="8"/>
  <c r="JR70" i="6" s="1"/>
  <c r="II9" i="8"/>
  <c r="II41" i="8"/>
  <c r="AW9" i="8"/>
  <c r="AW41" i="8"/>
  <c r="DW9" i="8"/>
  <c r="DW41" i="8"/>
  <c r="CJ41" i="8"/>
  <c r="CJ9" i="8"/>
  <c r="BS41" i="8"/>
  <c r="BS9" i="8"/>
  <c r="BE9" i="8"/>
  <c r="BE41" i="8"/>
  <c r="JJ31" i="9"/>
  <c r="IA12" i="8"/>
  <c r="HY26" i="9"/>
  <c r="IA30" i="8"/>
  <c r="IA10" i="8"/>
  <c r="BC41" i="8"/>
  <c r="BC9" i="8"/>
  <c r="AE12" i="8"/>
  <c r="AE30" i="8"/>
  <c r="AC26" i="9"/>
  <c r="AE10" i="8"/>
  <c r="GL9" i="8"/>
  <c r="GL41" i="8"/>
  <c r="BD9" i="8"/>
  <c r="BD41" i="8"/>
  <c r="JK31" i="9"/>
  <c r="EQ9" i="8"/>
  <c r="EQ41" i="8"/>
  <c r="DI9" i="8"/>
  <c r="DI41" i="8"/>
  <c r="GM9" i="8"/>
  <c r="GM41" i="8"/>
  <c r="GM12" i="8"/>
  <c r="GK26" i="9"/>
  <c r="GM30" i="8"/>
  <c r="IJ9" i="8"/>
  <c r="IJ41" i="8"/>
  <c r="IS12" i="8"/>
  <c r="IS30" i="8"/>
  <c r="IQ26" i="9"/>
  <c r="GV9" i="8"/>
  <c r="GV41" i="8"/>
  <c r="HW41" i="8"/>
  <c r="HW9" i="8"/>
  <c r="CP9" i="8"/>
  <c r="CP41" i="8"/>
  <c r="IE9" i="8"/>
  <c r="IE41" i="8"/>
  <c r="GC9" i="8"/>
  <c r="GC41" i="8"/>
  <c r="HB12" i="8"/>
  <c r="HB30" i="8"/>
  <c r="GZ26" i="9"/>
  <c r="HB10" i="8"/>
  <c r="JG31" i="9"/>
  <c r="BQ26" i="9"/>
  <c r="BS12" i="8"/>
  <c r="BS30" i="8"/>
  <c r="CR9" i="8"/>
  <c r="CR41" i="8"/>
  <c r="JR9" i="8"/>
  <c r="JR41" i="8"/>
  <c r="HL41" i="8"/>
  <c r="HL9" i="8"/>
  <c r="AO9" i="8"/>
  <c r="AO41" i="8"/>
  <c r="EI9" i="8"/>
  <c r="EI41" i="8"/>
  <c r="CW41" i="8"/>
  <c r="CW9" i="8"/>
  <c r="BH26" i="9"/>
  <c r="BJ12" i="8"/>
  <c r="BJ30" i="8"/>
  <c r="BJ10" i="8"/>
  <c r="JC12" i="8"/>
  <c r="JA26" i="9"/>
  <c r="JC30" i="8"/>
  <c r="JC10" i="8"/>
  <c r="CO9" i="8"/>
  <c r="CO41" i="8"/>
  <c r="FT41" i="8"/>
  <c r="FT9" i="8"/>
  <c r="IS9" i="8"/>
  <c r="IS41" i="8"/>
  <c r="IH26" i="9"/>
  <c r="IJ30" i="8"/>
  <c r="IJ12" i="8"/>
  <c r="DC9" i="8"/>
  <c r="DC41" i="8"/>
  <c r="HK12" i="8"/>
  <c r="HI26" i="9"/>
  <c r="HK30" i="8"/>
  <c r="HK10" i="8"/>
  <c r="GV12" i="8"/>
  <c r="GT26" i="9"/>
  <c r="GV30" i="8"/>
  <c r="CP12" i="8"/>
  <c r="CN26" i="9"/>
  <c r="CP30" i="8"/>
  <c r="IE12" i="8"/>
  <c r="IE30" i="8"/>
  <c r="IC26" i="9"/>
  <c r="ET9" i="8"/>
  <c r="ET41" i="8"/>
  <c r="GC12" i="8"/>
  <c r="GA26" i="9"/>
  <c r="GC30" i="8"/>
  <c r="JE12" i="8"/>
  <c r="JC26" i="9"/>
  <c r="JE30" i="8"/>
  <c r="JE10" i="8"/>
  <c r="X30" i="8"/>
  <c r="V26" i="9"/>
  <c r="CK9" i="8"/>
  <c r="CK41" i="8"/>
  <c r="BG30" i="8"/>
  <c r="BG12" i="8"/>
  <c r="BE26" i="9"/>
  <c r="BG10" i="8"/>
  <c r="FB30" i="8"/>
  <c r="EZ26" i="9"/>
  <c r="FB12" i="8"/>
  <c r="FB10" i="8"/>
  <c r="AZ41" i="8"/>
  <c r="AZ9" i="8"/>
  <c r="AO12" i="8"/>
  <c r="AM26" i="9"/>
  <c r="AO30" i="8"/>
  <c r="EA9" i="8"/>
  <c r="EA41" i="8"/>
  <c r="GJ9" i="8"/>
  <c r="GJ41" i="8"/>
  <c r="HE9" i="8"/>
  <c r="HE41" i="8"/>
  <c r="BL30" i="8"/>
  <c r="BJ26" i="9"/>
  <c r="BL12" i="8"/>
  <c r="JP9" i="8"/>
  <c r="JP41" i="8"/>
  <c r="BY9" i="8"/>
  <c r="BY41" i="8"/>
  <c r="DH12" i="8"/>
  <c r="DH30" i="8"/>
  <c r="DF26" i="9"/>
  <c r="DH10" i="8"/>
  <c r="IP9" i="8"/>
  <c r="IP41" i="8"/>
  <c r="EO9" i="8"/>
  <c r="EO41" i="8"/>
  <c r="AV41" i="8"/>
  <c r="AV9" i="8"/>
  <c r="CG9" i="8"/>
  <c r="CG41" i="8"/>
  <c r="BM12" i="8"/>
  <c r="BM30" i="8"/>
  <c r="BK26" i="9"/>
  <c r="HM9" i="8"/>
  <c r="HM41" i="8"/>
  <c r="FI41" i="8"/>
  <c r="FI9" i="8"/>
  <c r="HY12" i="8"/>
  <c r="HW26" i="9"/>
  <c r="HY30" i="8"/>
  <c r="IU41" i="8"/>
  <c r="IU9" i="8"/>
  <c r="E9" i="8"/>
  <c r="E41" i="8"/>
  <c r="CA30" i="8"/>
  <c r="BY26" i="9"/>
  <c r="CA12" i="8"/>
  <c r="EM9" i="8"/>
  <c r="EM41" i="8"/>
  <c r="BB9" i="8"/>
  <c r="BB41" i="8"/>
  <c r="HF9" i="8"/>
  <c r="HF41" i="8"/>
  <c r="HX12" i="8"/>
  <c r="HX30" i="8"/>
  <c r="HV26" i="9"/>
  <c r="HX10" i="8"/>
  <c r="GO9" i="8"/>
  <c r="GO41" i="8"/>
  <c r="BK9" i="8"/>
  <c r="BK41" i="8"/>
  <c r="GI26" i="9"/>
  <c r="GK30" i="8"/>
  <c r="GK12" i="8"/>
  <c r="GK10" i="8"/>
  <c r="AB9" i="8"/>
  <c r="AB41" i="8"/>
  <c r="CV9" i="8"/>
  <c r="CV41" i="8"/>
  <c r="AU9" i="8"/>
  <c r="AU41" i="8"/>
  <c r="DP12" i="8"/>
  <c r="DP30" i="8"/>
  <c r="DN26" i="9"/>
  <c r="DP10" i="8"/>
  <c r="BY12" i="8"/>
  <c r="BW26" i="9"/>
  <c r="BY30" i="8"/>
  <c r="CI9" i="8"/>
  <c r="CI41" i="8"/>
  <c r="JA9" i="8"/>
  <c r="JA41" i="8"/>
  <c r="EE41" i="8"/>
  <c r="EE9" i="8"/>
  <c r="U26" i="9"/>
  <c r="W30" i="8"/>
  <c r="FV41" i="8"/>
  <c r="FV9" i="8"/>
  <c r="FU41" i="8"/>
  <c r="FU9" i="8"/>
  <c r="CA9" i="8"/>
  <c r="CA41" i="8"/>
  <c r="IC41" i="8"/>
  <c r="IC9" i="8"/>
  <c r="IK12" i="8"/>
  <c r="II26" i="9"/>
  <c r="IK30" i="8"/>
  <c r="IK10" i="8"/>
  <c r="FD9" i="8"/>
  <c r="FD41" i="8"/>
  <c r="HK26" i="9"/>
  <c r="HM30" i="8"/>
  <c r="HM12" i="8"/>
  <c r="FI12" i="8"/>
  <c r="FI30" i="8"/>
  <c r="FG26" i="9"/>
  <c r="IC12" i="8"/>
  <c r="IA26" i="9"/>
  <c r="IC30" i="8"/>
  <c r="EG30" i="8"/>
  <c r="EE26" i="9"/>
  <c r="EG12" i="8"/>
  <c r="EG10" i="8"/>
  <c r="IU12" i="8"/>
  <c r="IS26" i="9"/>
  <c r="IU30" i="8"/>
  <c r="E30" i="8"/>
  <c r="C26" i="9"/>
  <c r="EM12" i="8"/>
  <c r="EM30" i="8"/>
  <c r="EK26" i="9"/>
  <c r="FP9" i="8"/>
  <c r="FP41" i="8"/>
  <c r="BM10" i="8"/>
  <c r="BB12" i="8"/>
  <c r="BB30" i="8"/>
  <c r="AZ26" i="9"/>
  <c r="HU10" i="8"/>
  <c r="GY10" i="8"/>
  <c r="BV12" i="8"/>
  <c r="BT26" i="9"/>
  <c r="BV30" i="8"/>
  <c r="BV10" i="8"/>
  <c r="FF9" i="8"/>
  <c r="FF41" i="8"/>
  <c r="IF10" i="8"/>
  <c r="AD9" i="8"/>
  <c r="AD41" i="8"/>
  <c r="GO12" i="8"/>
  <c r="GO30" i="8"/>
  <c r="GM26" i="9"/>
  <c r="BK12" i="8"/>
  <c r="BK30" i="8"/>
  <c r="BI26" i="9"/>
  <c r="AS12" i="8"/>
  <c r="AS30" i="8"/>
  <c r="AQ26" i="9"/>
  <c r="AS10" i="8"/>
  <c r="JS32" i="8"/>
  <c r="JQ70" i="6" s="1"/>
  <c r="ER41" i="8"/>
  <c r="ER9" i="8"/>
  <c r="FS9" i="8"/>
  <c r="FS41" i="8"/>
  <c r="DO9" i="8"/>
  <c r="DO41" i="8"/>
  <c r="IM9" i="8"/>
  <c r="IM41" i="8"/>
  <c r="HI10" i="8"/>
  <c r="AR9" i="8"/>
  <c r="AR41" i="8"/>
  <c r="ES9" i="8"/>
  <c r="ES41" i="8"/>
  <c r="HG9" i="8"/>
  <c r="HG41" i="8"/>
  <c r="BP9" i="8"/>
  <c r="BP41" i="8"/>
  <c r="GX12" i="8"/>
  <c r="GX30" i="8"/>
  <c r="GV26" i="9"/>
  <c r="GX10" i="8"/>
  <c r="EK9" i="8"/>
  <c r="EK41" i="8"/>
  <c r="FZ9" i="8"/>
  <c r="FZ41" i="8"/>
  <c r="AN9" i="8"/>
  <c r="AN41" i="8"/>
  <c r="EN9" i="8"/>
  <c r="EN41" i="8"/>
  <c r="FL12" i="8"/>
  <c r="FJ26" i="9"/>
  <c r="FL30" i="8"/>
  <c r="CY9" i="8"/>
  <c r="CY41" i="8"/>
  <c r="HP9" i="8"/>
  <c r="HP41" i="8"/>
  <c r="JG9" i="8"/>
  <c r="JG41" i="8"/>
  <c r="CF9" i="8"/>
  <c r="CF41" i="8"/>
  <c r="GH12" i="8"/>
  <c r="GH30" i="8"/>
  <c r="GF26" i="9"/>
  <c r="CH12" i="8"/>
  <c r="CH30" i="8"/>
  <c r="CF26" i="9"/>
  <c r="AY26" i="9"/>
  <c r="BA30" i="8"/>
  <c r="BA12" i="8"/>
  <c r="EP12" i="8"/>
  <c r="EN26" i="9"/>
  <c r="EP30" i="8"/>
  <c r="JN9" i="8"/>
  <c r="JN41" i="8"/>
  <c r="AG9" i="8"/>
  <c r="AG41" i="8"/>
  <c r="GF9" i="8"/>
  <c r="GF41" i="8"/>
  <c r="AT9" i="8"/>
  <c r="AT41" i="8"/>
  <c r="BH9" i="8"/>
  <c r="BH41" i="8"/>
  <c r="DL9" i="8"/>
  <c r="DL41" i="8"/>
  <c r="W26" i="9"/>
  <c r="Y30" i="8"/>
  <c r="II30" i="8"/>
  <c r="IG26" i="9"/>
  <c r="II12" i="8"/>
  <c r="JS12" i="8"/>
  <c r="JS30" i="8"/>
  <c r="JQ26" i="9"/>
  <c r="AW12" i="8"/>
  <c r="AU26" i="9"/>
  <c r="AW30" i="8"/>
  <c r="ER30" i="8"/>
  <c r="ER12" i="8"/>
  <c r="EP26" i="9"/>
  <c r="BE12" i="8"/>
  <c r="BE30" i="8"/>
  <c r="BC26" i="9"/>
  <c r="BC30" i="8"/>
  <c r="BA26" i="9"/>
  <c r="BC12" i="8"/>
  <c r="BP12" i="8"/>
  <c r="BN26" i="9"/>
  <c r="BP30" i="8"/>
  <c r="GY26" i="9"/>
  <c r="HA30" i="8"/>
  <c r="HA12" i="8"/>
  <c r="EN12" i="8"/>
  <c r="EL26" i="9"/>
  <c r="EN30" i="8"/>
  <c r="CY12" i="8"/>
  <c r="CW26" i="9"/>
  <c r="CY30" i="8"/>
  <c r="HP12" i="8"/>
  <c r="HN26" i="9"/>
  <c r="HP30" i="8"/>
  <c r="JG12" i="8"/>
  <c r="JE26" i="9"/>
  <c r="JG30" i="8"/>
  <c r="CD26" i="9"/>
  <c r="CF30" i="8"/>
  <c r="CF12" i="8"/>
  <c r="IY9" i="8"/>
  <c r="IY41" i="8"/>
  <c r="Z9" i="8"/>
  <c r="Z41" i="8"/>
  <c r="EY41" i="8"/>
  <c r="EY9" i="8"/>
  <c r="BR30" i="8"/>
  <c r="BR12" i="8"/>
  <c r="BP26" i="9"/>
  <c r="BR10" i="8"/>
  <c r="FQ9" i="8"/>
  <c r="FQ41" i="8"/>
  <c r="ID9" i="8"/>
  <c r="ID41" i="8"/>
  <c r="AM41" i="8"/>
  <c r="AM9" i="8"/>
  <c r="DW12" i="8"/>
  <c r="DU26" i="9"/>
  <c r="DW30" i="8"/>
  <c r="GA9" i="8"/>
  <c r="GA41" i="8"/>
  <c r="JI9" i="8"/>
  <c r="JI41" i="8"/>
  <c r="CJ12" i="8"/>
  <c r="CJ30" i="8"/>
  <c r="CH26" i="9"/>
  <c r="JP12" i="8"/>
  <c r="JP30" i="8"/>
  <c r="JN26" i="9"/>
  <c r="JB12" i="8"/>
  <c r="JB30" i="8"/>
  <c r="IZ26" i="9"/>
  <c r="FS12" i="8"/>
  <c r="FS30" i="8"/>
  <c r="FQ26" i="9"/>
  <c r="ED9" i="8"/>
  <c r="ED41" i="8"/>
  <c r="HT41" i="8"/>
  <c r="HT9" i="8"/>
  <c r="FR9" i="8"/>
  <c r="FR41" i="8"/>
  <c r="DV9" i="8"/>
  <c r="DV41" i="8"/>
  <c r="JH9" i="8"/>
  <c r="JH41" i="8"/>
  <c r="HO9" i="8"/>
  <c r="HO41" i="8"/>
  <c r="AY12" i="8"/>
  <c r="AY30" i="8"/>
  <c r="AW26" i="9"/>
  <c r="GB12" i="8"/>
  <c r="GB30" i="8"/>
  <c r="FZ26" i="9"/>
  <c r="JR12" i="8"/>
  <c r="JR30" i="8"/>
  <c r="JP26" i="9"/>
  <c r="HL12" i="8"/>
  <c r="HL30" i="8"/>
  <c r="HJ26" i="9"/>
  <c r="JA12" i="8"/>
  <c r="JA30" i="8"/>
  <c r="IY26" i="9"/>
  <c r="BZ9" i="8"/>
  <c r="BZ41" i="8"/>
  <c r="EC9" i="8"/>
  <c r="EC41" i="8"/>
  <c r="AC9" i="8"/>
  <c r="AC41" i="8"/>
  <c r="HV41" i="8"/>
  <c r="HV9" i="8"/>
  <c r="EA12" i="8"/>
  <c r="DY26" i="9"/>
  <c r="EA30" i="8"/>
  <c r="DX41" i="8"/>
  <c r="DX9" i="8"/>
  <c r="IX9" i="8"/>
  <c r="IX41" i="8"/>
  <c r="DU9" i="8"/>
  <c r="DU41" i="8"/>
  <c r="GS9" i="8"/>
  <c r="GS41" i="8"/>
  <c r="EK30" i="8"/>
  <c r="EI26" i="9"/>
  <c r="EK12" i="8"/>
  <c r="AT26" i="9"/>
  <c r="AV30" i="8"/>
  <c r="AV12" i="8"/>
  <c r="FZ12" i="8"/>
  <c r="FX26" i="9"/>
  <c r="FZ30" i="8"/>
  <c r="GJ26" i="9"/>
  <c r="GL12" i="8"/>
  <c r="GL30" i="8"/>
  <c r="CY26" i="9"/>
  <c r="DA12" i="8"/>
  <c r="DA30" i="8"/>
  <c r="BB26" i="9"/>
  <c r="BD12" i="8"/>
  <c r="BD30" i="8"/>
  <c r="GJ12" i="8"/>
  <c r="GJ30" i="8"/>
  <c r="GH26" i="9"/>
  <c r="JM9" i="8"/>
  <c r="JM41" i="8"/>
  <c r="JO12" i="8"/>
  <c r="JO30" i="8"/>
  <c r="JM26" i="9"/>
  <c r="JO10" i="8"/>
  <c r="EH9" i="8"/>
  <c r="EH41" i="8"/>
  <c r="GZ9" i="8"/>
  <c r="GZ41" i="8"/>
  <c r="CQ9" i="8"/>
  <c r="CQ41" i="8"/>
  <c r="DK41" i="8"/>
  <c r="DK9" i="8"/>
  <c r="GW41" i="8"/>
  <c r="GW9" i="8"/>
  <c r="DC12" i="8"/>
  <c r="DA26" i="9"/>
  <c r="DC30" i="8"/>
  <c r="FD12" i="8"/>
  <c r="FD30" i="8"/>
  <c r="FB26" i="9"/>
  <c r="HW12" i="8"/>
  <c r="HW30" i="8"/>
  <c r="HU26" i="9"/>
  <c r="FF12" i="8"/>
  <c r="FD26" i="9"/>
  <c r="FF30" i="8"/>
  <c r="GI12" i="8"/>
  <c r="GG26" i="9"/>
  <c r="GI30" i="8"/>
  <c r="AD12" i="8"/>
  <c r="AD30" i="8"/>
  <c r="AB26" i="9"/>
  <c r="JT12" i="8"/>
  <c r="JT30" i="8"/>
  <c r="JR26" i="9"/>
  <c r="FO26" i="9"/>
  <c r="FQ30" i="8"/>
  <c r="FQ12" i="8"/>
  <c r="IB26" i="9"/>
  <c r="ID30" i="8"/>
  <c r="ID12" i="8"/>
  <c r="AM12" i="8"/>
  <c r="AK26" i="9"/>
  <c r="AM30" i="8"/>
  <c r="GA12" i="8"/>
  <c r="FY26" i="9"/>
  <c r="GA30" i="8"/>
  <c r="JI12" i="8"/>
  <c r="JI30" i="8"/>
  <c r="JG26" i="9"/>
  <c r="ED30" i="8"/>
  <c r="ED12" i="8"/>
  <c r="EB26" i="9"/>
  <c r="HT12" i="8"/>
  <c r="HR26" i="9"/>
  <c r="HT30" i="8"/>
  <c r="FR12" i="8"/>
  <c r="FR30" i="8"/>
  <c r="FP26" i="9"/>
  <c r="DV12" i="8"/>
  <c r="DT26" i="9"/>
  <c r="DV30" i="8"/>
  <c r="JH12" i="8"/>
  <c r="JF26" i="9"/>
  <c r="JH30" i="8"/>
  <c r="HM26" i="9"/>
  <c r="HO12" i="8"/>
  <c r="HO30" i="8"/>
  <c r="BZ30" i="8"/>
  <c r="BX26" i="9"/>
  <c r="BZ12" i="8"/>
  <c r="EC12" i="8"/>
  <c r="EC30" i="8"/>
  <c r="EA26" i="9"/>
  <c r="AC12" i="8"/>
  <c r="AC30" i="8"/>
  <c r="AA26" i="9"/>
  <c r="HV12" i="8"/>
  <c r="HV30" i="8"/>
  <c r="HT26" i="9"/>
  <c r="DX12" i="8"/>
  <c r="DV26" i="9"/>
  <c r="DX30" i="8"/>
  <c r="IX12" i="8"/>
  <c r="IV26" i="9"/>
  <c r="IX30" i="8"/>
  <c r="DU12" i="8"/>
  <c r="DU30" i="8"/>
  <c r="DS26" i="9"/>
  <c r="GS12" i="8"/>
  <c r="GQ26" i="9"/>
  <c r="GS30" i="8"/>
  <c r="IZ12" i="8"/>
  <c r="IX26" i="9"/>
  <c r="IZ30" i="8"/>
  <c r="GR9" i="8"/>
  <c r="GR41" i="8"/>
  <c r="AI9" i="8"/>
  <c r="AI41" i="8"/>
  <c r="IO9" i="8"/>
  <c r="IO41" i="8"/>
  <c r="AL9" i="8"/>
  <c r="AL41" i="8"/>
  <c r="JM12" i="8"/>
  <c r="JM30" i="8"/>
  <c r="JK26" i="9"/>
  <c r="DG9" i="8"/>
  <c r="DG41" i="8"/>
  <c r="BT41" i="8"/>
  <c r="BT9" i="8"/>
  <c r="CU12" i="8"/>
  <c r="CS26" i="9"/>
  <c r="CU30" i="8"/>
  <c r="CU10" i="8"/>
  <c r="IB9" i="8"/>
  <c r="IB41" i="8"/>
  <c r="JK9" i="8"/>
  <c r="JK41" i="8"/>
  <c r="JK32" i="8"/>
  <c r="JI70" i="6" s="1"/>
  <c r="CL63" i="15" s="1"/>
  <c r="CK12" i="8"/>
  <c r="CK30" i="8"/>
  <c r="CI26" i="9"/>
  <c r="CV12" i="8"/>
  <c r="CT26" i="9"/>
  <c r="CV30" i="8"/>
  <c r="EY26" i="9"/>
  <c r="FA30" i="8"/>
  <c r="FA12" i="8"/>
  <c r="AU12" i="8"/>
  <c r="AU30" i="8"/>
  <c r="AS26" i="9"/>
  <c r="CI12" i="8"/>
  <c r="CI30" i="8"/>
  <c r="CG26" i="9"/>
  <c r="CR12" i="8"/>
  <c r="CP26" i="9"/>
  <c r="CR30" i="8"/>
  <c r="AZ12" i="8"/>
  <c r="AZ30" i="8"/>
  <c r="AX26" i="9"/>
  <c r="IM12" i="8"/>
  <c r="IK26" i="9"/>
  <c r="IM30" i="8"/>
  <c r="HN30" i="8"/>
  <c r="HL26" i="9"/>
  <c r="HN12" i="8"/>
  <c r="HE26" i="9"/>
  <c r="HG12" i="8"/>
  <c r="HG30" i="8"/>
  <c r="IH12" i="8"/>
  <c r="IF26" i="9"/>
  <c r="IH30" i="8"/>
  <c r="GP26" i="9"/>
  <c r="GR30" i="8"/>
  <c r="GR12" i="8"/>
  <c r="AI12" i="8"/>
  <c r="AI30" i="8"/>
  <c r="AG26" i="9"/>
  <c r="IM26" i="9"/>
  <c r="IO12" i="8"/>
  <c r="IO30" i="8"/>
  <c r="CB9" i="8"/>
  <c r="CB41" i="8"/>
  <c r="FX9" i="8"/>
  <c r="FX41" i="8"/>
  <c r="AL12" i="8"/>
  <c r="AJ26" i="9"/>
  <c r="AL30" i="8"/>
  <c r="GS26" i="9"/>
  <c r="GU12" i="8"/>
  <c r="GU30" i="8"/>
  <c r="GU10" i="8"/>
  <c r="CS9" i="8"/>
  <c r="CS41" i="8"/>
  <c r="AF9" i="8"/>
  <c r="AF41" i="8"/>
  <c r="DC26" i="9"/>
  <c r="DE12" i="8"/>
  <c r="DE30" i="8"/>
  <c r="BX9" i="8"/>
  <c r="BX41" i="8"/>
  <c r="JL9" i="8"/>
  <c r="JL41" i="8"/>
  <c r="CC41" i="8"/>
  <c r="CC9" i="8"/>
  <c r="AR30" i="8"/>
  <c r="AR12" i="8"/>
  <c r="AP26" i="9"/>
  <c r="EE12" i="8"/>
  <c r="EC26" i="9"/>
  <c r="EE30" i="8"/>
  <c r="ES12" i="8"/>
  <c r="EQ26" i="9"/>
  <c r="ES30" i="8"/>
  <c r="EV9" i="8"/>
  <c r="EV41" i="8"/>
  <c r="DT9" i="8"/>
  <c r="DT41" i="8"/>
  <c r="BW9" i="8"/>
  <c r="BW41" i="8"/>
  <c r="IV9" i="8"/>
  <c r="IV41" i="8"/>
  <c r="IW9" i="8"/>
  <c r="IW41" i="8"/>
  <c r="EI12" i="8"/>
  <c r="EG26" i="9"/>
  <c r="EI30" i="8"/>
  <c r="IN41" i="8"/>
  <c r="IN9" i="8"/>
  <c r="CX9" i="8"/>
  <c r="CX41" i="8"/>
  <c r="JJ41" i="8"/>
  <c r="JJ9" i="8"/>
  <c r="FC9" i="8"/>
  <c r="FC41" i="8"/>
  <c r="DM9" i="8"/>
  <c r="DM41" i="8"/>
  <c r="CW12" i="8"/>
  <c r="CU26" i="9"/>
  <c r="CW30" i="8"/>
  <c r="HE12" i="8"/>
  <c r="HE30" i="8"/>
  <c r="HC26" i="9"/>
  <c r="HQ12" i="8"/>
  <c r="HQ30" i="8"/>
  <c r="HO26" i="9"/>
  <c r="HQ10" i="8"/>
  <c r="GD9" i="8"/>
  <c r="GD41" i="8"/>
  <c r="IG9" i="8"/>
  <c r="IG41" i="8"/>
  <c r="JD9" i="8"/>
  <c r="JD41" i="8"/>
  <c r="JD32" i="8"/>
  <c r="JB70" i="6" s="1"/>
  <c r="CK26" i="9"/>
  <c r="CM30" i="8"/>
  <c r="CM12" i="8"/>
  <c r="CM10" i="8"/>
  <c r="FP12" i="8"/>
  <c r="FN26" i="9"/>
  <c r="FP30" i="8"/>
  <c r="FT12" i="8"/>
  <c r="FT30" i="8"/>
  <c r="FR26" i="9"/>
  <c r="HF12" i="8"/>
  <c r="HF30" i="8"/>
  <c r="HD26" i="9"/>
  <c r="ER26" i="9"/>
  <c r="ET30" i="8"/>
  <c r="ET12" i="8"/>
  <c r="CO12" i="8"/>
  <c r="CM26" i="9"/>
  <c r="CO30" i="8"/>
  <c r="AB12" i="8"/>
  <c r="AB30" i="8"/>
  <c r="Z26" i="9"/>
  <c r="DM26" i="9"/>
  <c r="DO12" i="8"/>
  <c r="DO30" i="8"/>
  <c r="BX12" i="8"/>
  <c r="BX30" i="8"/>
  <c r="BV26" i="9"/>
  <c r="JL12" i="8"/>
  <c r="JJ26" i="9"/>
  <c r="JL30" i="8"/>
  <c r="CC30" i="8"/>
  <c r="CA26" i="9"/>
  <c r="CC12" i="8"/>
  <c r="EV12" i="8"/>
  <c r="EV30" i="8"/>
  <c r="ET26" i="9"/>
  <c r="DR26" i="9"/>
  <c r="DT30" i="8"/>
  <c r="DT12" i="8"/>
  <c r="BW12" i="8"/>
  <c r="BU26" i="9"/>
  <c r="BW30" i="8"/>
  <c r="IV30" i="8"/>
  <c r="IT26" i="9"/>
  <c r="IV12" i="8"/>
  <c r="IW12" i="8"/>
  <c r="IU26" i="9"/>
  <c r="IW30" i="8"/>
  <c r="IN12" i="8"/>
  <c r="IL26" i="9"/>
  <c r="IN30" i="8"/>
  <c r="CX12" i="8"/>
  <c r="CX30" i="8"/>
  <c r="CV26" i="9"/>
  <c r="JJ12" i="8"/>
  <c r="JJ30" i="8"/>
  <c r="JH26" i="9"/>
  <c r="FC12" i="8"/>
  <c r="FA26" i="9"/>
  <c r="FC30" i="8"/>
  <c r="DM12" i="8"/>
  <c r="DK26" i="9"/>
  <c r="DM30" i="8"/>
  <c r="AJ30" i="8"/>
  <c r="AH26" i="9"/>
  <c r="AJ12" i="8"/>
  <c r="AJ10" i="8"/>
  <c r="DS9" i="8"/>
  <c r="DS41" i="8"/>
  <c r="GT9" i="8"/>
  <c r="GT41" i="8"/>
  <c r="CZ9" i="8"/>
  <c r="CZ41" i="8"/>
  <c r="IP12" i="8"/>
  <c r="IN26" i="9"/>
  <c r="IP30" i="8"/>
  <c r="EO12" i="8"/>
  <c r="EM26" i="9"/>
  <c r="EO30" i="8"/>
  <c r="DY12" i="8"/>
  <c r="DY30" i="8"/>
  <c r="DW26" i="9"/>
  <c r="FL10" i="8"/>
  <c r="JG32" i="8"/>
  <c r="JE70" i="6" s="1"/>
  <c r="FV12" i="8"/>
  <c r="FV30" i="8"/>
  <c r="FT26" i="9"/>
  <c r="AN12" i="8"/>
  <c r="AN30" i="8"/>
  <c r="AL26" i="9"/>
  <c r="GH10" i="8"/>
  <c r="CH10" i="8"/>
  <c r="BA10" i="8"/>
  <c r="EP10" i="8"/>
  <c r="JN32" i="8"/>
  <c r="JL70" i="6" s="1"/>
  <c r="CM63" i="15" s="1"/>
  <c r="IL12" i="8"/>
  <c r="IJ26" i="9"/>
  <c r="IL30" i="8"/>
  <c r="IL10" i="8"/>
  <c r="AP41" i="8"/>
  <c r="AP9" i="8"/>
  <c r="CG30" i="8"/>
  <c r="CE26" i="9"/>
  <c r="CG12" i="8"/>
  <c r="CE12" i="8"/>
  <c r="CC26" i="9"/>
  <c r="CE30" i="8"/>
  <c r="AK41" i="8"/>
  <c r="AK9" i="8"/>
  <c r="GG9" i="8"/>
  <c r="GG41" i="8"/>
  <c r="BU9" i="8"/>
  <c r="BU41" i="8"/>
  <c r="FU26" i="9"/>
  <c r="FW12" i="8"/>
  <c r="FW30" i="8"/>
  <c r="IQ12" i="8"/>
  <c r="IO26" i="9"/>
  <c r="IQ30" i="8"/>
  <c r="AH9" i="8"/>
  <c r="AH41" i="8"/>
  <c r="HH12" i="8"/>
  <c r="HF26" i="9"/>
  <c r="HH30" i="8"/>
  <c r="HH10" i="8"/>
  <c r="JQ30" i="8"/>
  <c r="JQ12" i="8"/>
  <c r="JO26" i="9"/>
  <c r="JQ10" i="8"/>
  <c r="HD41" i="8"/>
  <c r="HD9" i="8"/>
  <c r="CN12" i="8"/>
  <c r="CN30" i="8"/>
  <c r="CL26" i="9"/>
  <c r="CN10" i="8"/>
  <c r="HS9" i="8"/>
  <c r="HS41" i="8"/>
  <c r="JN12" i="8"/>
  <c r="JL26" i="9"/>
  <c r="JN30" i="8"/>
  <c r="IY12" i="8"/>
  <c r="IY30" i="8"/>
  <c r="IW26" i="9"/>
  <c r="AK12" i="8"/>
  <c r="AI26" i="9"/>
  <c r="AK30" i="8"/>
  <c r="GG12" i="8"/>
  <c r="GG30" i="8"/>
  <c r="GE26" i="9"/>
  <c r="BU12" i="8"/>
  <c r="BS26" i="9"/>
  <c r="BU30" i="8"/>
  <c r="HJ9" i="8"/>
  <c r="HJ41" i="8"/>
  <c r="GN12" i="8"/>
  <c r="GL26" i="9"/>
  <c r="GN30" i="8"/>
  <c r="GN10" i="8"/>
  <c r="EF9" i="8"/>
  <c r="EF41" i="8"/>
  <c r="AR26" i="9"/>
  <c r="AT30" i="8"/>
  <c r="AT12" i="8"/>
  <c r="CS12" i="8"/>
  <c r="CQ26" i="9"/>
  <c r="CS30" i="8"/>
  <c r="DF9" i="8"/>
  <c r="DF41" i="8"/>
  <c r="IR9" i="8"/>
  <c r="IR41" i="8"/>
  <c r="CT9" i="8"/>
  <c r="CT41" i="8"/>
  <c r="BZ26" i="9"/>
  <c r="CB12" i="8"/>
  <c r="CB30" i="8"/>
  <c r="AG12" i="8"/>
  <c r="AG30" i="8"/>
  <c r="AE26" i="9"/>
  <c r="EH12" i="8"/>
  <c r="EH30" i="8"/>
  <c r="EF26" i="9"/>
  <c r="GZ30" i="8"/>
  <c r="GX26" i="9"/>
  <c r="GZ12" i="8"/>
  <c r="DS30" i="8"/>
  <c r="DQ26" i="9"/>
  <c r="DS12" i="8"/>
  <c r="GF12" i="8"/>
  <c r="GD26" i="9"/>
  <c r="GF30" i="8"/>
  <c r="BT12" i="8"/>
  <c r="BR26" i="9"/>
  <c r="BT30" i="8"/>
  <c r="AP30" i="8"/>
  <c r="AN26" i="9"/>
  <c r="AP12" i="8"/>
  <c r="EY12" i="8"/>
  <c r="EW26" i="9"/>
  <c r="EY30" i="8"/>
  <c r="DI26" i="9"/>
  <c r="DK30" i="8"/>
  <c r="DK12" i="8"/>
  <c r="GW12" i="8"/>
  <c r="GW30" i="8"/>
  <c r="GU26" i="9"/>
  <c r="JK12" i="8"/>
  <c r="JI26" i="9"/>
  <c r="JK30" i="8"/>
  <c r="EW12" i="8"/>
  <c r="EW30" i="8"/>
  <c r="EU26" i="9"/>
  <c r="EW10" i="8"/>
  <c r="BF41" i="8"/>
  <c r="BF9" i="8"/>
  <c r="AX41" i="8"/>
  <c r="AX9" i="8"/>
  <c r="GD12" i="8"/>
  <c r="GD30" i="8"/>
  <c r="GB26" i="9"/>
  <c r="Z12" i="8"/>
  <c r="Z30" i="8"/>
  <c r="X26" i="9"/>
  <c r="IB30" i="8"/>
  <c r="IB12" i="8"/>
  <c r="HZ26" i="9"/>
  <c r="AF12" i="8"/>
  <c r="AD26" i="9"/>
  <c r="AF30" i="8"/>
  <c r="DJ9" i="8"/>
  <c r="DJ41" i="8"/>
  <c r="HC9" i="8"/>
  <c r="HC41" i="8"/>
  <c r="FX12" i="8"/>
  <c r="FX30" i="8"/>
  <c r="FV26" i="9"/>
  <c r="CE10" i="8"/>
  <c r="DG30" i="8"/>
  <c r="DE26" i="9"/>
  <c r="DG12" i="8"/>
  <c r="IG12" i="8"/>
  <c r="IE26" i="9"/>
  <c r="IG30" i="8"/>
  <c r="FW10" i="8"/>
  <c r="CQ12" i="8"/>
  <c r="CO26" i="9"/>
  <c r="CQ30" i="8"/>
  <c r="GR26" i="9"/>
  <c r="GT30" i="8"/>
  <c r="GT12" i="8"/>
  <c r="BH12" i="8"/>
  <c r="BF26" i="9"/>
  <c r="BH30" i="8"/>
  <c r="JD12" i="8"/>
  <c r="JD30" i="8"/>
  <c r="JB26" i="9"/>
  <c r="IQ9" i="8"/>
  <c r="IQ41" i="8"/>
  <c r="JF9" i="8"/>
  <c r="JF41" i="8"/>
  <c r="JF32" i="8"/>
  <c r="JD70" i="6" s="1"/>
  <c r="DD9" i="8"/>
  <c r="DD41" i="8"/>
  <c r="EZ41" i="8"/>
  <c r="EZ9" i="8"/>
  <c r="FH12" i="8"/>
  <c r="FF26" i="9"/>
  <c r="FH30" i="8"/>
  <c r="FM9" i="8"/>
  <c r="FM41" i="8"/>
  <c r="BI12" i="8"/>
  <c r="BI30" i="8"/>
  <c r="BG26" i="9"/>
  <c r="AQ9" i="8"/>
  <c r="AQ41" i="8"/>
  <c r="BL26" i="9"/>
  <c r="BN30" i="8"/>
  <c r="BN12" i="8"/>
  <c r="HR41" i="8"/>
  <c r="HR9" i="8"/>
  <c r="DL12" i="8"/>
  <c r="DJ26" i="9"/>
  <c r="DL30" i="8"/>
  <c r="DF12" i="8"/>
  <c r="DD26" i="9"/>
  <c r="DF30" i="8"/>
  <c r="EZ12" i="8"/>
  <c r="EZ30" i="8"/>
  <c r="EX26" i="9"/>
  <c r="FM12" i="8"/>
  <c r="FK26" i="9"/>
  <c r="AO26" i="9"/>
  <c r="AQ12" i="8"/>
  <c r="AQ30" i="8"/>
  <c r="FN9" i="8"/>
  <c r="FN41" i="8"/>
  <c r="FM30" i="8"/>
  <c r="AH12" i="8"/>
  <c r="AF26" i="9"/>
  <c r="AH30" i="8"/>
  <c r="HJ12" i="8"/>
  <c r="HH26" i="9"/>
  <c r="HJ30" i="8"/>
  <c r="DH26" i="9"/>
  <c r="DJ12" i="8"/>
  <c r="DJ30" i="8"/>
  <c r="FG9" i="8"/>
  <c r="FG41" i="8"/>
  <c r="IR12" i="8"/>
  <c r="IP26" i="9"/>
  <c r="IR30" i="8"/>
  <c r="HD12" i="8"/>
  <c r="HD30" i="8"/>
  <c r="HB26" i="9"/>
  <c r="CL9" i="8"/>
  <c r="CL41" i="8"/>
  <c r="GP9" i="8"/>
  <c r="GP41" i="8"/>
  <c r="HA26" i="9"/>
  <c r="HC12" i="8"/>
  <c r="HC30" i="8"/>
  <c r="DZ9" i="8"/>
  <c r="DZ41" i="8"/>
  <c r="CL12" i="8"/>
  <c r="CL30" i="8"/>
  <c r="CJ26" i="9"/>
  <c r="GP12" i="8"/>
  <c r="GP30" i="8"/>
  <c r="GN26" i="9"/>
  <c r="DZ12" i="8"/>
  <c r="DX26" i="9"/>
  <c r="DZ30" i="8"/>
  <c r="JF12" i="8"/>
  <c r="JD26" i="9"/>
  <c r="JF30" i="8"/>
  <c r="DD30" i="8"/>
  <c r="DB26" i="9"/>
  <c r="DD12" i="8"/>
  <c r="BF30" i="8"/>
  <c r="BF12" i="8"/>
  <c r="BD26" i="9"/>
  <c r="DR30" i="8"/>
  <c r="DP26" i="9"/>
  <c r="DR12" i="8"/>
  <c r="DR10" i="8"/>
  <c r="CT12" i="8"/>
  <c r="CT30" i="8"/>
  <c r="CR26" i="9"/>
  <c r="DB9" i="8"/>
  <c r="DB41" i="8"/>
  <c r="CZ12" i="8"/>
  <c r="CX26" i="9"/>
  <c r="CZ30" i="8"/>
  <c r="FH10" i="8"/>
  <c r="HS12" i="8"/>
  <c r="HS30" i="8"/>
  <c r="HQ26" i="9"/>
  <c r="EF12" i="8"/>
  <c r="EF30" i="8"/>
  <c r="ED26" i="9"/>
  <c r="BI10" i="8"/>
  <c r="AX12" i="8"/>
  <c r="AX30" i="8"/>
  <c r="AV26" i="9"/>
  <c r="AA12" i="8"/>
  <c r="AA30" i="8"/>
  <c r="Y26" i="9"/>
  <c r="AA10" i="8"/>
  <c r="BN10" i="8"/>
  <c r="FG12" i="8"/>
  <c r="FE26" i="9"/>
  <c r="FG30" i="8"/>
  <c r="EV26" i="9"/>
  <c r="EX30" i="8"/>
  <c r="EX12" i="8"/>
  <c r="GE9" i="8"/>
  <c r="GE41" i="8"/>
  <c r="BO9" i="8"/>
  <c r="BO41" i="8"/>
  <c r="FN12" i="8"/>
  <c r="FL26" i="9"/>
  <c r="FN30" i="8"/>
  <c r="HZ41" i="8"/>
  <c r="HZ9" i="8"/>
  <c r="BQ9" i="8"/>
  <c r="BQ41" i="8"/>
  <c r="EL9" i="8"/>
  <c r="EL41" i="8"/>
  <c r="HX26" i="9"/>
  <c r="HZ30" i="8"/>
  <c r="HZ12" i="8"/>
  <c r="DB12" i="8"/>
  <c r="CZ26" i="9"/>
  <c r="EB9" i="8"/>
  <c r="EB41" i="8"/>
  <c r="EB12" i="8"/>
  <c r="DZ26" i="9"/>
  <c r="EB30" i="8"/>
  <c r="EX9" i="8"/>
  <c r="EX41" i="8"/>
  <c r="HR12" i="8"/>
  <c r="HR30" i="8"/>
  <c r="HP26" i="9"/>
  <c r="DB30" i="8"/>
  <c r="GE12" i="8"/>
  <c r="GC26" i="9"/>
  <c r="GE30" i="8"/>
  <c r="BO30" i="8"/>
  <c r="BM26" i="9"/>
  <c r="BO12" i="8"/>
  <c r="EL12" i="8"/>
  <c r="EJ26" i="9"/>
  <c r="EL30" i="8"/>
  <c r="BQ12" i="8"/>
  <c r="BQ30" i="8"/>
  <c r="BO26" i="9"/>
  <c r="M30" i="8"/>
  <c r="K26" i="9"/>
  <c r="CD41" i="8"/>
  <c r="CD12" i="8"/>
  <c r="CB26" i="9"/>
  <c r="CD30" i="8"/>
  <c r="Q30" i="8"/>
  <c r="J26" i="9"/>
  <c r="P26" i="9"/>
  <c r="M26" i="9"/>
  <c r="F30" i="8"/>
  <c r="E26" i="9"/>
  <c r="U30" i="8"/>
  <c r="N30" i="8"/>
  <c r="K30" i="8"/>
  <c r="CK63" i="15" l="1"/>
  <c r="CO63" i="15"/>
  <c r="C31" i="9"/>
  <c r="F9" i="8"/>
  <c r="F29" i="8"/>
  <c r="F41" i="8"/>
  <c r="F12" i="8"/>
  <c r="G7" i="8" s="1"/>
  <c r="DR9" i="8"/>
  <c r="DR41" i="8"/>
  <c r="EW9" i="8"/>
  <c r="EW41" i="8"/>
  <c r="HH41" i="8"/>
  <c r="HH9" i="8"/>
  <c r="IF9" i="8"/>
  <c r="IF41" i="8"/>
  <c r="GK9" i="8"/>
  <c r="GK41" i="8"/>
  <c r="BG41" i="8"/>
  <c r="BG9" i="8"/>
  <c r="HB9" i="8"/>
  <c r="HB41" i="8"/>
  <c r="AE9" i="8"/>
  <c r="AE41" i="8"/>
  <c r="EJ9" i="8"/>
  <c r="EJ41" i="8"/>
  <c r="DN9" i="8"/>
  <c r="DN41" i="8"/>
  <c r="CU9" i="8"/>
  <c r="CU41" i="8"/>
  <c r="JD31" i="9"/>
  <c r="GN9" i="8"/>
  <c r="GN41" i="8"/>
  <c r="FL9" i="8"/>
  <c r="FL41" i="8"/>
  <c r="JB31" i="9"/>
  <c r="JI31" i="9"/>
  <c r="JO41" i="8"/>
  <c r="JO9" i="8"/>
  <c r="JO32" i="8"/>
  <c r="JM70" i="6" s="1"/>
  <c r="JQ31" i="9"/>
  <c r="GY9" i="8"/>
  <c r="GY41" i="8"/>
  <c r="FO41" i="8"/>
  <c r="FO9" i="8"/>
  <c r="D31" i="9"/>
  <c r="JL31" i="9"/>
  <c r="HQ9" i="8"/>
  <c r="HQ41" i="8"/>
  <c r="AS9" i="8"/>
  <c r="AS41" i="8"/>
  <c r="HU9" i="8"/>
  <c r="HU41" i="8"/>
  <c r="HX9" i="8"/>
  <c r="HX41" i="8"/>
  <c r="BJ9" i="8"/>
  <c r="BJ41" i="8"/>
  <c r="FK9" i="8"/>
  <c r="FK41" i="8"/>
  <c r="FJ41" i="8"/>
  <c r="FJ9" i="8"/>
  <c r="EP9" i="8"/>
  <c r="EP41" i="8"/>
  <c r="GU9" i="8"/>
  <c r="GU41" i="8"/>
  <c r="BR9" i="8"/>
  <c r="BR41" i="8"/>
  <c r="GX9" i="8"/>
  <c r="GX41" i="8"/>
  <c r="HI9" i="8"/>
  <c r="HI41" i="8"/>
  <c r="DP9" i="8"/>
  <c r="DP41" i="8"/>
  <c r="FB9" i="8"/>
  <c r="FB41" i="8"/>
  <c r="JE41" i="8"/>
  <c r="JE9" i="8"/>
  <c r="JE32" i="8"/>
  <c r="JC70" i="6" s="1"/>
  <c r="IA9" i="8"/>
  <c r="IA41" i="8"/>
  <c r="FW41" i="8"/>
  <c r="FW9" i="8"/>
  <c r="BN9" i="8"/>
  <c r="BN41" i="8"/>
  <c r="JQ9" i="8"/>
  <c r="JQ41" i="8"/>
  <c r="JQ32" i="8"/>
  <c r="JO70" i="6" s="1"/>
  <c r="BA9" i="8"/>
  <c r="BA41" i="8"/>
  <c r="AJ9" i="8"/>
  <c r="AJ41" i="8"/>
  <c r="IK9" i="8"/>
  <c r="IK41" i="8"/>
  <c r="JR31" i="9"/>
  <c r="EU9" i="8"/>
  <c r="EU41" i="8"/>
  <c r="AA9" i="8"/>
  <c r="AA41" i="8"/>
  <c r="BI9" i="8"/>
  <c r="BI41" i="8"/>
  <c r="FH9" i="8"/>
  <c r="FH41" i="8"/>
  <c r="CE9" i="8"/>
  <c r="CE41" i="8"/>
  <c r="CH9" i="8"/>
  <c r="CH41" i="8"/>
  <c r="CM9" i="8"/>
  <c r="CM41" i="8"/>
  <c r="BV9" i="8"/>
  <c r="BV41" i="8"/>
  <c r="EG9" i="8"/>
  <c r="EG41" i="8"/>
  <c r="DH9" i="8"/>
  <c r="DH41" i="8"/>
  <c r="HK9" i="8"/>
  <c r="HK41" i="8"/>
  <c r="CN9" i="8"/>
  <c r="CN41" i="8"/>
  <c r="IL9" i="8"/>
  <c r="IL41" i="8"/>
  <c r="GH9" i="8"/>
  <c r="GH41" i="8"/>
  <c r="JE31" i="9"/>
  <c r="BM9" i="8"/>
  <c r="BM41" i="8"/>
  <c r="JC9" i="8"/>
  <c r="JC41" i="8"/>
  <c r="JC32" i="8"/>
  <c r="JA70" i="6" s="1"/>
  <c r="FY9" i="8"/>
  <c r="FY41" i="8"/>
  <c r="IT9" i="8"/>
  <c r="IT41" i="8"/>
  <c r="AI7" i="1" l="1"/>
  <c r="CJ63" i="15"/>
  <c r="CN63" i="15"/>
  <c r="G29" i="8"/>
  <c r="G10" i="8"/>
  <c r="G12" i="8"/>
  <c r="JO31" i="9"/>
  <c r="JC31" i="9"/>
  <c r="JA31" i="9"/>
  <c r="JM31" i="9"/>
  <c r="H7" i="8" l="1"/>
  <c r="G9" i="8"/>
  <c r="G41" i="8"/>
  <c r="G32" i="8"/>
  <c r="E70" i="6" l="1"/>
  <c r="H29" i="8"/>
  <c r="H10" i="8"/>
  <c r="H12" i="8"/>
  <c r="E31" i="9" l="1"/>
  <c r="B63" i="15"/>
  <c r="I7" i="8"/>
  <c r="H9" i="8"/>
  <c r="H41" i="8"/>
  <c r="H32" i="8"/>
  <c r="F70" i="6" l="1"/>
  <c r="I29" i="8"/>
  <c r="I10" i="8"/>
  <c r="I12" i="8"/>
  <c r="F31" i="9" l="1"/>
  <c r="J7" i="8"/>
  <c r="I41" i="8"/>
  <c r="I9" i="8"/>
  <c r="I32" i="8"/>
  <c r="G70" i="6" l="1"/>
  <c r="J29" i="8"/>
  <c r="J10" i="8"/>
  <c r="J12" i="8"/>
  <c r="G31" i="9" l="1"/>
  <c r="K7" i="8"/>
  <c r="J41" i="8"/>
  <c r="J9" i="8"/>
  <c r="J32" i="8"/>
  <c r="H70" i="6" s="1"/>
  <c r="C63" i="15" s="1"/>
  <c r="K29" i="8" l="1"/>
  <c r="K10" i="8"/>
  <c r="K12" i="8"/>
  <c r="H31" i="9"/>
  <c r="L7" i="8" l="1"/>
  <c r="K9" i="8"/>
  <c r="K41" i="8"/>
  <c r="K32" i="8"/>
  <c r="I70" i="6" s="1"/>
  <c r="I31" i="9" l="1"/>
  <c r="L29" i="8"/>
  <c r="L10" i="8"/>
  <c r="L12" i="8"/>
  <c r="L9" i="8" l="1"/>
  <c r="L41" i="8"/>
  <c r="L32" i="8"/>
  <c r="J70" i="6" s="1"/>
  <c r="M7" i="8"/>
  <c r="J31" i="9" l="1"/>
  <c r="M29" i="8"/>
  <c r="M12" i="8"/>
  <c r="M10" i="8"/>
  <c r="M9" i="8" l="1"/>
  <c r="M41" i="8"/>
  <c r="M32" i="8"/>
  <c r="K70" i="6" s="1"/>
  <c r="D63" i="15" s="1"/>
  <c r="N7" i="8"/>
  <c r="N10" i="8" l="1"/>
  <c r="N29" i="8"/>
  <c r="N12" i="8"/>
  <c r="K31" i="9"/>
  <c r="O7" i="8" l="1"/>
  <c r="N9" i="8"/>
  <c r="N41" i="8"/>
  <c r="N32" i="8"/>
  <c r="L70" i="6" s="1"/>
  <c r="L31" i="9" l="1"/>
  <c r="O29" i="8"/>
  <c r="O12" i="8"/>
  <c r="O10" i="8"/>
  <c r="O9" i="8" l="1"/>
  <c r="O41" i="8"/>
  <c r="O32" i="8"/>
  <c r="P7" i="8"/>
  <c r="M70" i="6" l="1"/>
  <c r="P29" i="8"/>
  <c r="P12" i="8"/>
  <c r="P10" i="8"/>
  <c r="D6" i="33" l="1"/>
  <c r="D4" i="33"/>
  <c r="M31" i="9"/>
  <c r="Q7" i="8"/>
  <c r="P9" i="8"/>
  <c r="P41" i="8"/>
  <c r="P32" i="8"/>
  <c r="N70" i="6" l="1"/>
  <c r="C63" i="11"/>
  <c r="Q29" i="8"/>
  <c r="T189" i="12" s="1"/>
  <c r="Q10" i="8"/>
  <c r="Q12" i="8"/>
  <c r="N31" i="9" l="1"/>
  <c r="E63" i="15"/>
  <c r="B4" i="12"/>
  <c r="Q9" i="8"/>
  <c r="Q41" i="8"/>
  <c r="Q32" i="8"/>
  <c r="R7" i="8"/>
  <c r="O70" i="6" l="1"/>
  <c r="R29" i="8"/>
  <c r="R10" i="8"/>
  <c r="R12" i="8"/>
  <c r="O31" i="9" l="1"/>
  <c r="S7" i="8"/>
  <c r="R9" i="8"/>
  <c r="R41" i="8"/>
  <c r="R32" i="8"/>
  <c r="P70" i="6" l="1"/>
  <c r="S29" i="8"/>
  <c r="S10" i="8"/>
  <c r="S12" i="8"/>
  <c r="P31" i="9" l="1"/>
  <c r="T7" i="8"/>
  <c r="S9" i="8"/>
  <c r="S41" i="8"/>
  <c r="S32" i="8"/>
  <c r="Q70" i="6" l="1"/>
  <c r="T10" i="8"/>
  <c r="T12" i="8"/>
  <c r="Q31" i="9" l="1"/>
  <c r="F63" i="15"/>
  <c r="T9" i="8"/>
  <c r="T41" i="8"/>
  <c r="U7" i="8"/>
  <c r="U12" i="8" l="1"/>
  <c r="U10" i="8"/>
  <c r="U9" i="8" l="1"/>
  <c r="U41" i="8"/>
  <c r="V7" i="8"/>
  <c r="V12" i="8" l="1"/>
  <c r="W7" i="8" s="1"/>
  <c r="V10" i="8"/>
  <c r="W12" i="8" l="1"/>
  <c r="X7" i="8" s="1"/>
  <c r="W10" i="8"/>
  <c r="V41" i="8"/>
  <c r="V9" i="8"/>
  <c r="W9" i="8" l="1"/>
  <c r="W41" i="8"/>
  <c r="X10" i="8"/>
  <c r="X12" i="8"/>
  <c r="Y7" i="8" s="1"/>
  <c r="Y10" i="8" l="1"/>
  <c r="I6" i="1" s="1"/>
  <c r="Y12" i="8"/>
  <c r="X9" i="8"/>
  <c r="X41" i="8"/>
  <c r="D4" i="1" l="1"/>
  <c r="A41" i="8" s="1"/>
  <c r="I7" i="1"/>
  <c r="Y41" i="8"/>
  <c r="Y9" i="8"/>
  <c r="J3" i="1" l="1"/>
  <c r="J5" i="1"/>
  <c r="J4" i="1"/>
  <c r="B16" i="8"/>
  <c r="T14" i="8" s="1"/>
  <c r="J6" i="1"/>
  <c r="D8" i="1"/>
  <c r="T17" i="8" l="1"/>
  <c r="D3" i="1"/>
  <c r="E5" i="1"/>
  <c r="E4" i="1"/>
  <c r="AQ16" i="8"/>
  <c r="FL16" i="8"/>
  <c r="AU16" i="8"/>
  <c r="JM16" i="8"/>
  <c r="JM18" i="8" s="1"/>
  <c r="JM19" i="8" s="1"/>
  <c r="EO16" i="8"/>
  <c r="FS16" i="8"/>
  <c r="BG16" i="8"/>
  <c r="GY16" i="8"/>
  <c r="DN16" i="8"/>
  <c r="GU16" i="8"/>
  <c r="M16" i="8"/>
  <c r="M18" i="8" s="1"/>
  <c r="M19" i="8" s="1"/>
  <c r="CP16" i="8"/>
  <c r="DU16" i="8"/>
  <c r="IF16" i="8"/>
  <c r="EJ16" i="8"/>
  <c r="FI16" i="8"/>
  <c r="CG16" i="8"/>
  <c r="FD16" i="8"/>
  <c r="AV16" i="8"/>
  <c r="CF16" i="8"/>
  <c r="DK16" i="8"/>
  <c r="HG16" i="8"/>
  <c r="AT16" i="8"/>
  <c r="IP16" i="8"/>
  <c r="IM16" i="8"/>
  <c r="EV16" i="8"/>
  <c r="JF16" i="8"/>
  <c r="JF18" i="8" s="1"/>
  <c r="JF19" i="8" s="1"/>
  <c r="AA16" i="8"/>
  <c r="FW16" i="8"/>
  <c r="BR16" i="8"/>
  <c r="JP16" i="8"/>
  <c r="JP18" i="8" s="1"/>
  <c r="JP19" i="8" s="1"/>
  <c r="JH16" i="8"/>
  <c r="JH18" i="8" s="1"/>
  <c r="JH19" i="8" s="1"/>
  <c r="IT16" i="8"/>
  <c r="JB16" i="8"/>
  <c r="ID16" i="8"/>
  <c r="GH16" i="8"/>
  <c r="GQ16" i="8"/>
  <c r="JS16" i="8"/>
  <c r="JS18" i="8" s="1"/>
  <c r="JS19" i="8" s="1"/>
  <c r="BM16" i="8"/>
  <c r="GF16" i="8"/>
  <c r="DO16" i="8"/>
  <c r="EK16" i="8"/>
  <c r="EZ16" i="8"/>
  <c r="N16" i="8"/>
  <c r="N18" i="8" s="1"/>
  <c r="N19" i="8" s="1"/>
  <c r="EX16" i="8"/>
  <c r="HP16" i="8"/>
  <c r="GG16" i="8"/>
  <c r="AG16" i="8"/>
  <c r="IC16" i="8"/>
  <c r="IG16" i="8"/>
  <c r="DE16" i="8"/>
  <c r="IL16" i="8"/>
  <c r="FZ16" i="8"/>
  <c r="FH16" i="8"/>
  <c r="IO16" i="8"/>
  <c r="AK16" i="8"/>
  <c r="FE16" i="8"/>
  <c r="DD16" i="8"/>
  <c r="I16" i="8"/>
  <c r="I18" i="8" s="1"/>
  <c r="I19" i="8" s="1"/>
  <c r="HF16" i="8"/>
  <c r="EQ16" i="8"/>
  <c r="HW16" i="8"/>
  <c r="HT16" i="8"/>
  <c r="BF16" i="8"/>
  <c r="GD16" i="8"/>
  <c r="IK16" i="8"/>
  <c r="DZ16" i="8"/>
  <c r="S16" i="8"/>
  <c r="S18" i="8" s="1"/>
  <c r="S19" i="8" s="1"/>
  <c r="DR16" i="8"/>
  <c r="BO16" i="8"/>
  <c r="AM16" i="8"/>
  <c r="IR16" i="8"/>
  <c r="BA16" i="8"/>
  <c r="BZ16" i="8"/>
  <c r="HC16" i="8"/>
  <c r="AJ16" i="8"/>
  <c r="L16" i="8"/>
  <c r="L18" i="8" s="1"/>
  <c r="L19" i="8" s="1"/>
  <c r="AE16" i="8"/>
  <c r="P16" i="8"/>
  <c r="P18" i="8" s="1"/>
  <c r="P19" i="8" s="1"/>
  <c r="FK16" i="8"/>
  <c r="GJ16" i="8"/>
  <c r="GX16" i="8"/>
  <c r="FC16" i="8"/>
  <c r="BQ16" i="8"/>
  <c r="JA16" i="8"/>
  <c r="FX16" i="8"/>
  <c r="K16" i="8"/>
  <c r="K18" i="8" s="1"/>
  <c r="K19" i="8" s="1"/>
  <c r="GE16" i="8"/>
  <c r="CI16" i="8"/>
  <c r="EH16" i="8"/>
  <c r="BP16" i="8"/>
  <c r="GA16" i="8"/>
  <c r="CD16" i="8"/>
  <c r="AR16" i="8"/>
  <c r="ET16" i="8"/>
  <c r="CR16" i="8"/>
  <c r="CC16" i="8"/>
  <c r="EA16" i="8"/>
  <c r="EE16" i="8"/>
  <c r="DL16" i="8"/>
  <c r="CX16" i="8"/>
  <c r="DB16" i="8"/>
  <c r="FG16" i="8"/>
  <c r="E16" i="8"/>
  <c r="E18" i="8" s="1"/>
  <c r="E19" i="8" s="1"/>
  <c r="JO16" i="8"/>
  <c r="JO18" i="8" s="1"/>
  <c r="JO19" i="8" s="1"/>
  <c r="HB16" i="8"/>
  <c r="EW16" i="8"/>
  <c r="Y16" i="8"/>
  <c r="HD16" i="8"/>
  <c r="BY16" i="8"/>
  <c r="FN16" i="8"/>
  <c r="ES16" i="8"/>
  <c r="IJ16" i="8"/>
  <c r="BV16" i="8"/>
  <c r="DW16" i="8"/>
  <c r="DA16" i="8"/>
  <c r="HQ16" i="8"/>
  <c r="JK16" i="8"/>
  <c r="JK18" i="8" s="1"/>
  <c r="JK19" i="8" s="1"/>
  <c r="CB16" i="8"/>
  <c r="GR16" i="8"/>
  <c r="BT16" i="8"/>
  <c r="DQ16" i="8"/>
  <c r="AF16" i="8"/>
  <c r="EB16" i="8"/>
  <c r="GM16" i="8"/>
  <c r="IS16" i="8"/>
  <c r="HR16" i="8"/>
  <c r="DX16" i="8"/>
  <c r="DV16" i="8"/>
  <c r="HN16" i="8"/>
  <c r="IW16" i="8"/>
  <c r="JL16" i="8"/>
  <c r="JL18" i="8" s="1"/>
  <c r="JL19" i="8" s="1"/>
  <c r="IN16" i="8"/>
  <c r="IH16" i="8"/>
  <c r="CU16" i="8"/>
  <c r="FP16" i="8"/>
  <c r="II16" i="8"/>
  <c r="GI16" i="8"/>
  <c r="J16" i="8"/>
  <c r="J18" i="8" s="1"/>
  <c r="J19" i="8" s="1"/>
  <c r="BS16" i="8"/>
  <c r="BB16" i="8"/>
  <c r="IE16" i="8"/>
  <c r="CA16" i="8"/>
  <c r="H16" i="8"/>
  <c r="H18" i="8" s="1"/>
  <c r="H19" i="8" s="1"/>
  <c r="HX16" i="8"/>
  <c r="FQ16" i="8"/>
  <c r="CE16" i="8"/>
  <c r="IV16" i="8"/>
  <c r="AW16" i="8"/>
  <c r="BE16" i="8"/>
  <c r="EP16" i="8"/>
  <c r="JJ16" i="8"/>
  <c r="JJ18" i="8" s="1"/>
  <c r="JJ19" i="8" s="1"/>
  <c r="DH16" i="8"/>
  <c r="ER16" i="8"/>
  <c r="Z16" i="8"/>
  <c r="GW16" i="8"/>
  <c r="HZ16" i="8"/>
  <c r="JD16" i="8"/>
  <c r="JD18" i="8" s="1"/>
  <c r="JD19" i="8" s="1"/>
  <c r="G16" i="8"/>
  <c r="G18" i="8" s="1"/>
  <c r="HJ16" i="8"/>
  <c r="HA16" i="8"/>
  <c r="AL16" i="8"/>
  <c r="CS16" i="8"/>
  <c r="EM16" i="8"/>
  <c r="HL16" i="8"/>
  <c r="HM16" i="8"/>
  <c r="EG16" i="8"/>
  <c r="GB16" i="8"/>
  <c r="AP16" i="8"/>
  <c r="CY16" i="8"/>
  <c r="BD16" i="8"/>
  <c r="DT16" i="8"/>
  <c r="HY16" i="8"/>
  <c r="GT16" i="8"/>
  <c r="GC16" i="8"/>
  <c r="IY16" i="8"/>
  <c r="AC16" i="8"/>
  <c r="BK16" i="8"/>
  <c r="FF16" i="8"/>
  <c r="CQ16" i="8"/>
  <c r="AS16" i="8"/>
  <c r="EU16" i="8"/>
  <c r="GZ16" i="8"/>
  <c r="EI16" i="8"/>
  <c r="AH16" i="8"/>
  <c r="DS16" i="8"/>
  <c r="GV16" i="8"/>
  <c r="CM16" i="8"/>
  <c r="R16" i="8"/>
  <c r="R18" i="8" s="1"/>
  <c r="R19" i="8" s="1"/>
  <c r="FY16" i="8"/>
  <c r="FR16" i="8"/>
  <c r="AD16" i="8"/>
  <c r="JE16" i="8"/>
  <c r="JE18" i="8" s="1"/>
  <c r="JE19" i="8" s="1"/>
  <c r="BN16" i="8"/>
  <c r="CJ16" i="8"/>
  <c r="GS16" i="8"/>
  <c r="DJ16" i="8"/>
  <c r="FU16" i="8"/>
  <c r="FB16" i="8"/>
  <c r="HI16" i="8"/>
  <c r="V16" i="8"/>
  <c r="FJ16" i="8"/>
  <c r="AO16" i="8"/>
  <c r="FM16" i="8"/>
  <c r="HS16" i="8"/>
  <c r="DC16" i="8"/>
  <c r="JC16" i="8"/>
  <c r="JC18" i="8" s="1"/>
  <c r="JC19" i="8" s="1"/>
  <c r="EN16" i="8"/>
  <c r="CN16" i="8"/>
  <c r="AX16" i="8"/>
  <c r="GN16" i="8"/>
  <c r="BC16" i="8"/>
  <c r="IB16" i="8"/>
  <c r="BL16" i="8"/>
  <c r="BJ16" i="8"/>
  <c r="CL16" i="8"/>
  <c r="DY16" i="8"/>
  <c r="HO16" i="8"/>
  <c r="CT16" i="8"/>
  <c r="CK16" i="8"/>
  <c r="Q16" i="8"/>
  <c r="Q18" i="8" s="1"/>
  <c r="Q19" i="8" s="1"/>
  <c r="AZ16" i="8"/>
  <c r="F16" i="8"/>
  <c r="F18" i="8" s="1"/>
  <c r="F19" i="8" s="1"/>
  <c r="GO16" i="8"/>
  <c r="FO16" i="8"/>
  <c r="FV16" i="8"/>
  <c r="DF16" i="8"/>
  <c r="CO16" i="8"/>
  <c r="AI16" i="8"/>
  <c r="EC16" i="8"/>
  <c r="BH16" i="8"/>
  <c r="EF16" i="8"/>
  <c r="IX16" i="8"/>
  <c r="IZ16" i="8"/>
  <c r="HV16" i="8"/>
  <c r="ED16" i="8"/>
  <c r="BX16" i="8"/>
  <c r="JN16" i="8"/>
  <c r="JN18" i="8" s="1"/>
  <c r="JN19" i="8" s="1"/>
  <c r="X16" i="8"/>
  <c r="JG16" i="8"/>
  <c r="JG18" i="8" s="1"/>
  <c r="JG19" i="8" s="1"/>
  <c r="T16" i="8"/>
  <c r="T18" i="8" s="1"/>
  <c r="T19" i="8" s="1"/>
  <c r="U14" i="8" s="1"/>
  <c r="CZ16" i="8"/>
  <c r="DG16" i="8"/>
  <c r="GL16" i="8"/>
  <c r="JI16" i="8"/>
  <c r="JI18" i="8" s="1"/>
  <c r="JI19" i="8" s="1"/>
  <c r="GK16" i="8"/>
  <c r="CV16" i="8"/>
  <c r="C21" i="1"/>
  <c r="DM16" i="8"/>
  <c r="BI16" i="8"/>
  <c r="HU16" i="8"/>
  <c r="W16" i="8"/>
  <c r="IQ16" i="8"/>
  <c r="HK16" i="8"/>
  <c r="AB16" i="8"/>
  <c r="JQ16" i="8"/>
  <c r="JQ18" i="8" s="1"/>
  <c r="JQ19" i="8" s="1"/>
  <c r="FT16" i="8"/>
  <c r="FA16" i="8"/>
  <c r="U16" i="8"/>
  <c r="IU16" i="8"/>
  <c r="EY16" i="8"/>
  <c r="AN16" i="8"/>
  <c r="BW16" i="8"/>
  <c r="GP16" i="8"/>
  <c r="CW16" i="8"/>
  <c r="JT16" i="8"/>
  <c r="JT18" i="8" s="1"/>
  <c r="JT19" i="8" s="1"/>
  <c r="HE16" i="8"/>
  <c r="JR16" i="8"/>
  <c r="JR18" i="8" s="1"/>
  <c r="JR19" i="8" s="1"/>
  <c r="O16" i="8"/>
  <c r="O18" i="8" s="1"/>
  <c r="O19" i="8" s="1"/>
  <c r="BU16" i="8"/>
  <c r="EL16" i="8"/>
  <c r="CH16" i="8"/>
  <c r="HH16" i="8"/>
  <c r="AY16" i="8"/>
  <c r="IA16" i="8"/>
  <c r="DP16" i="8"/>
  <c r="DI16" i="8"/>
  <c r="J7" i="1"/>
  <c r="G19" i="8"/>
  <c r="T5" i="33" l="1"/>
  <c r="U5" i="33"/>
  <c r="Z5" i="33"/>
  <c r="Z12" i="33" s="1"/>
  <c r="K5" i="33"/>
  <c r="Q5" i="33"/>
  <c r="S5" i="33"/>
  <c r="V5" i="33"/>
  <c r="L5" i="33"/>
  <c r="O5" i="33"/>
  <c r="R5" i="33"/>
  <c r="W5" i="33"/>
  <c r="X5" i="33"/>
  <c r="E5" i="33"/>
  <c r="Y5" i="33"/>
  <c r="Y12" i="33" s="1"/>
  <c r="F5" i="33"/>
  <c r="G5" i="33"/>
  <c r="D5" i="33"/>
  <c r="D12" i="33" s="1"/>
  <c r="I5" i="33"/>
  <c r="H5" i="33"/>
  <c r="J5" i="33"/>
  <c r="M5" i="33"/>
  <c r="N5" i="33"/>
  <c r="P5" i="33"/>
  <c r="U17" i="8"/>
  <c r="U18" i="8" s="1"/>
  <c r="U19" i="8" s="1"/>
  <c r="V14" i="8" s="1"/>
  <c r="C15" i="9"/>
  <c r="B7" i="8"/>
  <c r="C2" i="10"/>
  <c r="C6" i="10" s="1"/>
  <c r="E3" i="1"/>
  <c r="A40" i="8"/>
  <c r="JJ44" i="6" l="1"/>
  <c r="JL44" i="6"/>
  <c r="JL56" i="6" s="1"/>
  <c r="JI44" i="6"/>
  <c r="JI56" i="6" s="1"/>
  <c r="JK44" i="6"/>
  <c r="JK56" i="6" s="1"/>
  <c r="JH44" i="6"/>
  <c r="JH56" i="6" s="1"/>
  <c r="JQ44" i="6"/>
  <c r="JQ56" i="6" s="1"/>
  <c r="JO44" i="6"/>
  <c r="JO56" i="6" s="1"/>
  <c r="JM44" i="6"/>
  <c r="JN44" i="6"/>
  <c r="JN56" i="6" s="1"/>
  <c r="JP44" i="6"/>
  <c r="JG44" i="6"/>
  <c r="JR44" i="6"/>
  <c r="JR56" i="6" s="1"/>
  <c r="K44" i="6"/>
  <c r="K56" i="6" s="1"/>
  <c r="K58" i="6" s="1"/>
  <c r="K68" i="6" s="1"/>
  <c r="K72" i="6" s="1"/>
  <c r="J44" i="6"/>
  <c r="J56" i="6" s="1"/>
  <c r="J58" i="6" s="1"/>
  <c r="J68" i="6" s="1"/>
  <c r="J72" i="6" s="1"/>
  <c r="N44" i="6"/>
  <c r="N56" i="6" s="1"/>
  <c r="N58" i="6" s="1"/>
  <c r="N68" i="6" s="1"/>
  <c r="N72" i="6" s="1"/>
  <c r="L44" i="6"/>
  <c r="E44" i="6"/>
  <c r="E56" i="6" s="1"/>
  <c r="E58" i="6" s="1"/>
  <c r="E68" i="6" s="1"/>
  <c r="E72" i="6" s="1"/>
  <c r="H44" i="6"/>
  <c r="H56" i="6" s="1"/>
  <c r="H58" i="6" s="1"/>
  <c r="H68" i="6" s="1"/>
  <c r="H72" i="6" s="1"/>
  <c r="I44" i="6"/>
  <c r="D44" i="6"/>
  <c r="D56" i="6" s="1"/>
  <c r="D58" i="6" s="1"/>
  <c r="D68" i="6" s="1"/>
  <c r="D72" i="6" s="1"/>
  <c r="G44" i="6"/>
  <c r="G56" i="6" s="1"/>
  <c r="G58" i="6" s="1"/>
  <c r="G68" i="6" s="1"/>
  <c r="G72" i="6" s="1"/>
  <c r="F44" i="6"/>
  <c r="M44" i="6"/>
  <c r="M56" i="6" s="1"/>
  <c r="M58" i="6" s="1"/>
  <c r="M68" i="6" s="1"/>
  <c r="M72" i="6" s="1"/>
  <c r="C44" i="6"/>
  <c r="V17" i="8"/>
  <c r="V18" i="8" s="1"/>
  <c r="V19" i="8" s="1"/>
  <c r="W14" i="8" s="1"/>
  <c r="DY40" i="8"/>
  <c r="DY42" i="8" s="1"/>
  <c r="JG40" i="8"/>
  <c r="JG42" i="8" s="1"/>
  <c r="DC40" i="8"/>
  <c r="DC42" i="8" s="1"/>
  <c r="HA40" i="8"/>
  <c r="HA42" i="8" s="1"/>
  <c r="HV40" i="8"/>
  <c r="HV42" i="8" s="1"/>
  <c r="CS40" i="8"/>
  <c r="CS42" i="8" s="1"/>
  <c r="FT40" i="8"/>
  <c r="FT42" i="8" s="1"/>
  <c r="FO40" i="8"/>
  <c r="FO42" i="8" s="1"/>
  <c r="EJ40" i="8"/>
  <c r="EJ42" i="8" s="1"/>
  <c r="FC40" i="8"/>
  <c r="FC42" i="8" s="1"/>
  <c r="Y40" i="8"/>
  <c r="Y42" i="8" s="1"/>
  <c r="AM40" i="8"/>
  <c r="AM42" i="8" s="1"/>
  <c r="HY40" i="8"/>
  <c r="HY42" i="8" s="1"/>
  <c r="BU40" i="8"/>
  <c r="BU42" i="8" s="1"/>
  <c r="BD40" i="8"/>
  <c r="BD42" i="8" s="1"/>
  <c r="JK40" i="8"/>
  <c r="JK42" i="8" s="1"/>
  <c r="AI40" i="8"/>
  <c r="AI42" i="8" s="1"/>
  <c r="DW40" i="8"/>
  <c r="DW42" i="8" s="1"/>
  <c r="CB40" i="8"/>
  <c r="CB42" i="8" s="1"/>
  <c r="AW40" i="8"/>
  <c r="AW42" i="8" s="1"/>
  <c r="DO40" i="8"/>
  <c r="DO42" i="8" s="1"/>
  <c r="IP40" i="8"/>
  <c r="IP42" i="8" s="1"/>
  <c r="GW40" i="8"/>
  <c r="GW42" i="8" s="1"/>
  <c r="BZ40" i="8"/>
  <c r="BZ42" i="8" s="1"/>
  <c r="GI40" i="8"/>
  <c r="GI42" i="8" s="1"/>
  <c r="DM40" i="8"/>
  <c r="DM42" i="8" s="1"/>
  <c r="BS40" i="8"/>
  <c r="BS42" i="8" s="1"/>
  <c r="J40" i="8"/>
  <c r="J42" i="8" s="1"/>
  <c r="JJ40" i="8"/>
  <c r="JJ42" i="8" s="1"/>
  <c r="GF40" i="8"/>
  <c r="GF42" i="8" s="1"/>
  <c r="BJ40" i="8"/>
  <c r="BJ42" i="8" s="1"/>
  <c r="FQ40" i="8"/>
  <c r="FQ42" i="8" s="1"/>
  <c r="CK40" i="8"/>
  <c r="CK42" i="8" s="1"/>
  <c r="JL40" i="8"/>
  <c r="JL42" i="8" s="1"/>
  <c r="CX40" i="8"/>
  <c r="CX42" i="8" s="1"/>
  <c r="AB40" i="8"/>
  <c r="AB42" i="8" s="1"/>
  <c r="IX40" i="8"/>
  <c r="IX42" i="8" s="1"/>
  <c r="HF40" i="8"/>
  <c r="HF42" i="8" s="1"/>
  <c r="FG40" i="8"/>
  <c r="FG42" i="8" s="1"/>
  <c r="DQ40" i="8"/>
  <c r="DQ42" i="8" s="1"/>
  <c r="IG40" i="8"/>
  <c r="IG42" i="8" s="1"/>
  <c r="HO40" i="8"/>
  <c r="HO42" i="8" s="1"/>
  <c r="AV40" i="8"/>
  <c r="AV42" i="8" s="1"/>
  <c r="FX40" i="8"/>
  <c r="FX42" i="8" s="1"/>
  <c r="GE40" i="8"/>
  <c r="GE42" i="8" s="1"/>
  <c r="EX40" i="8"/>
  <c r="EX42" i="8" s="1"/>
  <c r="CL40" i="8"/>
  <c r="CL42" i="8" s="1"/>
  <c r="JM40" i="8"/>
  <c r="JM42" i="8" s="1"/>
  <c r="IR40" i="8"/>
  <c r="IR42" i="8" s="1"/>
  <c r="ED40" i="8"/>
  <c r="ED42" i="8" s="1"/>
  <c r="A42" i="8"/>
  <c r="S40" i="8"/>
  <c r="S42" i="8" s="1"/>
  <c r="JF40" i="8"/>
  <c r="JF42" i="8" s="1"/>
  <c r="EQ40" i="8"/>
  <c r="EQ42" i="8" s="1"/>
  <c r="L40" i="8"/>
  <c r="L42" i="8" s="1"/>
  <c r="ER40" i="8"/>
  <c r="ER42" i="8" s="1"/>
  <c r="GP40" i="8"/>
  <c r="GP42" i="8" s="1"/>
  <c r="JB40" i="8"/>
  <c r="JB42" i="8" s="1"/>
  <c r="DJ40" i="8"/>
  <c r="DJ42" i="8" s="1"/>
  <c r="IO40" i="8"/>
  <c r="IO42" i="8" s="1"/>
  <c r="DR40" i="8"/>
  <c r="DR42" i="8" s="1"/>
  <c r="AD40" i="8"/>
  <c r="AD42" i="8" s="1"/>
  <c r="EN40" i="8"/>
  <c r="EN42" i="8" s="1"/>
  <c r="GD40" i="8"/>
  <c r="GD42" i="8" s="1"/>
  <c r="DK40" i="8"/>
  <c r="DK42" i="8" s="1"/>
  <c r="IJ40" i="8"/>
  <c r="IJ42" i="8" s="1"/>
  <c r="BP40" i="8"/>
  <c r="BP42" i="8" s="1"/>
  <c r="GO40" i="8"/>
  <c r="GO42" i="8" s="1"/>
  <c r="IS40" i="8"/>
  <c r="IS42" i="8" s="1"/>
  <c r="AU40" i="8"/>
  <c r="AU42" i="8" s="1"/>
  <c r="FV40" i="8"/>
  <c r="FV42" i="8" s="1"/>
  <c r="GT40" i="8"/>
  <c r="GT42" i="8" s="1"/>
  <c r="AC40" i="8"/>
  <c r="AC42" i="8" s="1"/>
  <c r="AS40" i="8"/>
  <c r="AS42" i="8" s="1"/>
  <c r="CV40" i="8"/>
  <c r="CV42" i="8" s="1"/>
  <c r="HZ40" i="8"/>
  <c r="HZ42" i="8" s="1"/>
  <c r="CP40" i="8"/>
  <c r="CP42" i="8" s="1"/>
  <c r="AT40" i="8"/>
  <c r="AT42" i="8" s="1"/>
  <c r="GZ40" i="8"/>
  <c r="GZ42" i="8" s="1"/>
  <c r="DX40" i="8"/>
  <c r="DX42" i="8" s="1"/>
  <c r="HN40" i="8"/>
  <c r="HN42" i="8" s="1"/>
  <c r="DV40" i="8"/>
  <c r="DV42" i="8" s="1"/>
  <c r="IQ40" i="8"/>
  <c r="IQ42" i="8" s="1"/>
  <c r="JC40" i="8"/>
  <c r="JC42" i="8" s="1"/>
  <c r="BK40" i="8"/>
  <c r="BK42" i="8" s="1"/>
  <c r="HM40" i="8"/>
  <c r="HM42" i="8" s="1"/>
  <c r="IM40" i="8"/>
  <c r="IM42" i="8" s="1"/>
  <c r="IK40" i="8"/>
  <c r="IK42" i="8" s="1"/>
  <c r="HQ40" i="8"/>
  <c r="HQ42" i="8" s="1"/>
  <c r="GC40" i="8"/>
  <c r="GC42" i="8" s="1"/>
  <c r="H40" i="8"/>
  <c r="H42" i="8" s="1"/>
  <c r="W40" i="8"/>
  <c r="W42" i="8" s="1"/>
  <c r="EF40" i="8"/>
  <c r="EF42" i="8" s="1"/>
  <c r="GH40" i="8"/>
  <c r="GH42" i="8" s="1"/>
  <c r="GU40" i="8"/>
  <c r="GU42" i="8" s="1"/>
  <c r="IH40" i="8"/>
  <c r="IH42" i="8" s="1"/>
  <c r="AQ40" i="8"/>
  <c r="AQ42" i="8" s="1"/>
  <c r="CH40" i="8"/>
  <c r="CH42" i="8" s="1"/>
  <c r="CW40" i="8"/>
  <c r="CW42" i="8" s="1"/>
  <c r="EP40" i="8"/>
  <c r="EP42" i="8" s="1"/>
  <c r="FZ40" i="8"/>
  <c r="FZ42" i="8" s="1"/>
  <c r="BN40" i="8"/>
  <c r="BN42" i="8" s="1"/>
  <c r="FB40" i="8"/>
  <c r="FB42" i="8" s="1"/>
  <c r="CO40" i="8"/>
  <c r="CO42" i="8" s="1"/>
  <c r="EY40" i="8"/>
  <c r="EY42" i="8" s="1"/>
  <c r="JA40" i="8"/>
  <c r="JA42" i="8" s="1"/>
  <c r="BL40" i="8"/>
  <c r="BL42" i="8" s="1"/>
  <c r="HU40" i="8"/>
  <c r="HU42" i="8" s="1"/>
  <c r="BH40" i="8"/>
  <c r="BH42" i="8" s="1"/>
  <c r="P40" i="8"/>
  <c r="P42" i="8" s="1"/>
  <c r="FJ40" i="8"/>
  <c r="FJ42" i="8" s="1"/>
  <c r="BV40" i="8"/>
  <c r="BV42" i="8" s="1"/>
  <c r="AK40" i="8"/>
  <c r="AK42" i="8" s="1"/>
  <c r="DB40" i="8"/>
  <c r="DB42" i="8" s="1"/>
  <c r="GB40" i="8"/>
  <c r="GB42" i="8" s="1"/>
  <c r="AN40" i="8"/>
  <c r="AN42" i="8" s="1"/>
  <c r="IB40" i="8"/>
  <c r="IB42" i="8" s="1"/>
  <c r="HW40" i="8"/>
  <c r="HW42" i="8" s="1"/>
  <c r="JQ40" i="8"/>
  <c r="JQ42" i="8" s="1"/>
  <c r="I40" i="8"/>
  <c r="I42" i="8" s="1"/>
  <c r="JD40" i="8"/>
  <c r="JD42" i="8" s="1"/>
  <c r="FY40" i="8"/>
  <c r="FY42" i="8" s="1"/>
  <c r="HE40" i="8"/>
  <c r="HE42" i="8" s="1"/>
  <c r="IN40" i="8"/>
  <c r="IN42" i="8" s="1"/>
  <c r="IA40" i="8"/>
  <c r="IA42" i="8" s="1"/>
  <c r="BQ40" i="8"/>
  <c r="BQ42" i="8" s="1"/>
  <c r="EB40" i="8"/>
  <c r="EB42" i="8" s="1"/>
  <c r="EL40" i="8"/>
  <c r="EL42" i="8" s="1"/>
  <c r="GX40" i="8"/>
  <c r="GX42" i="8" s="1"/>
  <c r="EG40" i="8"/>
  <c r="EG42" i="8" s="1"/>
  <c r="HP40" i="8"/>
  <c r="HP42" i="8" s="1"/>
  <c r="EE40" i="8"/>
  <c r="EE42" i="8" s="1"/>
  <c r="IT40" i="8"/>
  <c r="IT42" i="8" s="1"/>
  <c r="AG40" i="8"/>
  <c r="AG42" i="8" s="1"/>
  <c r="AR40" i="8"/>
  <c r="AR42" i="8" s="1"/>
  <c r="FH40" i="8"/>
  <c r="FH42" i="8" s="1"/>
  <c r="HS40" i="8"/>
  <c r="HS42" i="8" s="1"/>
  <c r="FW40" i="8"/>
  <c r="FW42" i="8" s="1"/>
  <c r="DE40" i="8"/>
  <c r="DE42" i="8" s="1"/>
  <c r="HL40" i="8"/>
  <c r="HL42" i="8" s="1"/>
  <c r="K40" i="8"/>
  <c r="K42" i="8" s="1"/>
  <c r="CD40" i="8"/>
  <c r="CD42" i="8" s="1"/>
  <c r="ES40" i="8"/>
  <c r="ES42" i="8" s="1"/>
  <c r="II40" i="8"/>
  <c r="II42" i="8" s="1"/>
  <c r="BA40" i="8"/>
  <c r="BA42" i="8" s="1"/>
  <c r="GV40" i="8"/>
  <c r="GV42" i="8" s="1"/>
  <c r="DG40" i="8"/>
  <c r="DG42" i="8" s="1"/>
  <c r="FE40" i="8"/>
  <c r="FE42" i="8" s="1"/>
  <c r="CZ40" i="8"/>
  <c r="CZ42" i="8" s="1"/>
  <c r="IF40" i="8"/>
  <c r="IF42" i="8" s="1"/>
  <c r="EO40" i="8"/>
  <c r="EO42" i="8" s="1"/>
  <c r="BY40" i="8"/>
  <c r="BY42" i="8" s="1"/>
  <c r="GQ40" i="8"/>
  <c r="GQ42" i="8" s="1"/>
  <c r="Q40" i="8"/>
  <c r="Q42" i="8" s="1"/>
  <c r="BM40" i="8"/>
  <c r="BM42" i="8" s="1"/>
  <c r="EI40" i="8"/>
  <c r="EI42" i="8" s="1"/>
  <c r="CA40" i="8"/>
  <c r="CA42" i="8" s="1"/>
  <c r="GS40" i="8"/>
  <c r="GS42" i="8" s="1"/>
  <c r="AJ40" i="8"/>
  <c r="AJ42" i="8" s="1"/>
  <c r="CG40" i="8"/>
  <c r="CG42" i="8" s="1"/>
  <c r="DP40" i="8"/>
  <c r="DP42" i="8" s="1"/>
  <c r="CN40" i="8"/>
  <c r="CN42" i="8" s="1"/>
  <c r="IE40" i="8"/>
  <c r="IE42" i="8" s="1"/>
  <c r="EZ40" i="8"/>
  <c r="EZ42" i="8" s="1"/>
  <c r="AZ40" i="8"/>
  <c r="AZ42" i="8" s="1"/>
  <c r="HT40" i="8"/>
  <c r="HT42" i="8" s="1"/>
  <c r="BT40" i="8"/>
  <c r="BT42" i="8" s="1"/>
  <c r="CU40" i="8"/>
  <c r="CU42" i="8" s="1"/>
  <c r="DA40" i="8"/>
  <c r="DA42" i="8" s="1"/>
  <c r="IZ40" i="8"/>
  <c r="IZ42" i="8" s="1"/>
  <c r="BR40" i="8"/>
  <c r="BR42" i="8" s="1"/>
  <c r="FL40" i="8"/>
  <c r="FL42" i="8" s="1"/>
  <c r="HC40" i="8"/>
  <c r="HC42" i="8" s="1"/>
  <c r="M40" i="8"/>
  <c r="M42" i="8" s="1"/>
  <c r="CJ40" i="8"/>
  <c r="CJ42" i="8" s="1"/>
  <c r="FR40" i="8"/>
  <c r="FR42" i="8" s="1"/>
  <c r="FS40" i="8"/>
  <c r="FS42" i="8" s="1"/>
  <c r="CY40" i="8"/>
  <c r="CY42" i="8" s="1"/>
  <c r="FA40" i="8"/>
  <c r="FA42" i="8" s="1"/>
  <c r="DH40" i="8"/>
  <c r="DH42" i="8" s="1"/>
  <c r="BX40" i="8"/>
  <c r="BX42" i="8" s="1"/>
  <c r="HG40" i="8"/>
  <c r="HG42" i="8" s="1"/>
  <c r="JE40" i="8"/>
  <c r="JE42" i="8" s="1"/>
  <c r="DL40" i="8"/>
  <c r="DL42" i="8" s="1"/>
  <c r="FP40" i="8"/>
  <c r="FP42" i="8" s="1"/>
  <c r="EA40" i="8"/>
  <c r="EA42" i="8" s="1"/>
  <c r="CE40" i="8"/>
  <c r="CE42" i="8" s="1"/>
  <c r="CC40" i="8"/>
  <c r="CC42" i="8" s="1"/>
  <c r="GK40" i="8"/>
  <c r="GK42" i="8" s="1"/>
  <c r="GL40" i="8"/>
  <c r="GL42" i="8" s="1"/>
  <c r="HK40" i="8"/>
  <c r="HK42" i="8" s="1"/>
  <c r="JI40" i="8"/>
  <c r="JI42" i="8" s="1"/>
  <c r="HB40" i="8"/>
  <c r="HB42" i="8" s="1"/>
  <c r="F40" i="8"/>
  <c r="F42" i="8" s="1"/>
  <c r="AO40" i="8"/>
  <c r="AO42" i="8" s="1"/>
  <c r="IC40" i="8"/>
  <c r="IC42" i="8" s="1"/>
  <c r="IW40" i="8"/>
  <c r="IW42" i="8" s="1"/>
  <c r="DT40" i="8"/>
  <c r="DT42" i="8" s="1"/>
  <c r="BB40" i="8"/>
  <c r="BB42" i="8" s="1"/>
  <c r="HR40" i="8"/>
  <c r="HR42" i="8" s="1"/>
  <c r="BW40" i="8"/>
  <c r="BW42" i="8" s="1"/>
  <c r="DU40" i="8"/>
  <c r="DU42" i="8" s="1"/>
  <c r="BG40" i="8"/>
  <c r="BG42" i="8" s="1"/>
  <c r="O40" i="8"/>
  <c r="O42" i="8" s="1"/>
  <c r="CM40" i="8"/>
  <c r="CM42" i="8" s="1"/>
  <c r="EK40" i="8"/>
  <c r="EK42" i="8" s="1"/>
  <c r="EC40" i="8"/>
  <c r="EC42" i="8" s="1"/>
  <c r="FD40" i="8"/>
  <c r="FD42" i="8" s="1"/>
  <c r="DF40" i="8"/>
  <c r="DF42" i="8" s="1"/>
  <c r="ET40" i="8"/>
  <c r="ET42" i="8" s="1"/>
  <c r="IL40" i="8"/>
  <c r="IL42" i="8" s="1"/>
  <c r="DS40" i="8"/>
  <c r="DS42" i="8" s="1"/>
  <c r="IV40" i="8"/>
  <c r="IV42" i="8" s="1"/>
  <c r="CF40" i="8"/>
  <c r="CF42" i="8" s="1"/>
  <c r="V40" i="8"/>
  <c r="V42" i="8" s="1"/>
  <c r="EH40" i="8"/>
  <c r="EH42" i="8" s="1"/>
  <c r="DZ40" i="8"/>
  <c r="DZ42" i="8" s="1"/>
  <c r="AE40" i="8"/>
  <c r="AE42" i="8" s="1"/>
  <c r="JO40" i="8"/>
  <c r="JO42" i="8" s="1"/>
  <c r="AP40" i="8"/>
  <c r="AP42" i="8" s="1"/>
  <c r="N40" i="8"/>
  <c r="N42" i="8" s="1"/>
  <c r="FI40" i="8"/>
  <c r="FI42" i="8" s="1"/>
  <c r="JP40" i="8"/>
  <c r="JP42" i="8" s="1"/>
  <c r="AL40" i="8"/>
  <c r="AL42" i="8" s="1"/>
  <c r="IY40" i="8"/>
  <c r="IY42" i="8" s="1"/>
  <c r="BO40" i="8"/>
  <c r="BO42" i="8" s="1"/>
  <c r="JS40" i="8"/>
  <c r="JS42" i="8" s="1"/>
  <c r="CI40" i="8"/>
  <c r="CI42" i="8" s="1"/>
  <c r="AH40" i="8"/>
  <c r="AH42" i="8" s="1"/>
  <c r="EM40" i="8"/>
  <c r="EM42" i="8" s="1"/>
  <c r="E40" i="8"/>
  <c r="E42" i="8" s="1"/>
  <c r="GJ40" i="8"/>
  <c r="GJ42" i="8" s="1"/>
  <c r="HH40" i="8"/>
  <c r="HH42" i="8" s="1"/>
  <c r="CQ40" i="8"/>
  <c r="CQ42" i="8" s="1"/>
  <c r="GN40" i="8"/>
  <c r="GN42" i="8" s="1"/>
  <c r="EW40" i="8"/>
  <c r="EW42" i="8" s="1"/>
  <c r="GY40" i="8"/>
  <c r="GY42" i="8" s="1"/>
  <c r="Z40" i="8"/>
  <c r="Z42" i="8" s="1"/>
  <c r="GM40" i="8"/>
  <c r="GM42" i="8" s="1"/>
  <c r="AA40" i="8"/>
  <c r="AA42" i="8" s="1"/>
  <c r="FU40" i="8"/>
  <c r="FU42" i="8" s="1"/>
  <c r="HX40" i="8"/>
  <c r="HX42" i="8" s="1"/>
  <c r="DN40" i="8"/>
  <c r="DN42" i="8" s="1"/>
  <c r="DD40" i="8"/>
  <c r="DD42" i="8" s="1"/>
  <c r="T40" i="8"/>
  <c r="T42" i="8" s="1"/>
  <c r="BE40" i="8"/>
  <c r="BE42" i="8" s="1"/>
  <c r="BC40" i="8"/>
  <c r="BC42" i="8" s="1"/>
  <c r="HI40" i="8"/>
  <c r="HI42" i="8" s="1"/>
  <c r="AX40" i="8"/>
  <c r="AX42" i="8" s="1"/>
  <c r="FK40" i="8"/>
  <c r="FK42" i="8" s="1"/>
  <c r="CR40" i="8"/>
  <c r="CR42" i="8" s="1"/>
  <c r="EU40" i="8"/>
  <c r="EU42" i="8" s="1"/>
  <c r="AY40" i="8"/>
  <c r="AY42" i="8" s="1"/>
  <c r="HD40" i="8"/>
  <c r="HD42" i="8" s="1"/>
  <c r="GA40" i="8"/>
  <c r="GA42" i="8" s="1"/>
  <c r="BI40" i="8"/>
  <c r="BI42" i="8" s="1"/>
  <c r="DI40" i="8"/>
  <c r="DI42" i="8" s="1"/>
  <c r="JN40" i="8"/>
  <c r="JN42" i="8" s="1"/>
  <c r="AF40" i="8"/>
  <c r="AF42" i="8" s="1"/>
  <c r="GR40" i="8"/>
  <c r="GR42" i="8" s="1"/>
  <c r="G40" i="8"/>
  <c r="G42" i="8" s="1"/>
  <c r="CT40" i="8"/>
  <c r="CT42" i="8" s="1"/>
  <c r="BF40" i="8"/>
  <c r="BF42" i="8" s="1"/>
  <c r="ID40" i="8"/>
  <c r="ID42" i="8" s="1"/>
  <c r="FN40" i="8"/>
  <c r="FN42" i="8" s="1"/>
  <c r="IU40" i="8"/>
  <c r="IU42" i="8" s="1"/>
  <c r="FM40" i="8"/>
  <c r="FM42" i="8" s="1"/>
  <c r="HJ40" i="8"/>
  <c r="HJ42" i="8" s="1"/>
  <c r="JH40" i="8"/>
  <c r="JH42" i="8" s="1"/>
  <c r="R40" i="8"/>
  <c r="R42" i="8" s="1"/>
  <c r="U40" i="8"/>
  <c r="U42" i="8" s="1"/>
  <c r="JR40" i="8"/>
  <c r="JR42" i="8" s="1"/>
  <c r="JT40" i="8"/>
  <c r="JT42" i="8" s="1"/>
  <c r="GG40" i="8"/>
  <c r="GG42" i="8" s="1"/>
  <c r="FF40" i="8"/>
  <c r="FF42" i="8" s="1"/>
  <c r="EV40" i="8"/>
  <c r="EV42" i="8" s="1"/>
  <c r="X40" i="8"/>
  <c r="X42" i="8" s="1"/>
  <c r="C12" i="1"/>
  <c r="B23" i="8"/>
  <c r="E10" i="10"/>
  <c r="D10" i="10"/>
  <c r="F10" i="10"/>
  <c r="G10" i="10"/>
  <c r="L10" i="10"/>
  <c r="H10" i="10"/>
  <c r="J10" i="10"/>
  <c r="C10" i="10"/>
  <c r="I10" i="10"/>
  <c r="K10" i="10"/>
  <c r="M10" i="10"/>
  <c r="C16" i="9"/>
  <c r="C18" i="9" s="1"/>
  <c r="E8" i="1"/>
  <c r="E76" i="6" l="1"/>
  <c r="E77" i="6" s="1"/>
  <c r="E79" i="6" s="1"/>
  <c r="E82" i="6" s="1"/>
  <c r="E83" i="6" s="1"/>
  <c r="E86" i="6" s="1"/>
  <c r="E87" i="6" s="1"/>
  <c r="E91" i="6"/>
  <c r="E95" i="6" s="1"/>
  <c r="JG56" i="6"/>
  <c r="CL37" i="15"/>
  <c r="CL49" i="15" s="1"/>
  <c r="Y37" i="11"/>
  <c r="I56" i="6"/>
  <c r="I58" i="6" s="1"/>
  <c r="I68" i="6" s="1"/>
  <c r="I72" i="6" s="1"/>
  <c r="D37" i="15"/>
  <c r="D49" i="15" s="1"/>
  <c r="D51" i="15" s="1"/>
  <c r="D61" i="15" s="1"/>
  <c r="D65" i="15" s="1"/>
  <c r="K76" i="6"/>
  <c r="K77" i="6" s="1"/>
  <c r="K79" i="6" s="1"/>
  <c r="K82" i="6" s="1"/>
  <c r="K83" i="6" s="1"/>
  <c r="K86" i="6" s="1"/>
  <c r="K87" i="6" s="1"/>
  <c r="K91" i="6"/>
  <c r="K95" i="6" s="1"/>
  <c r="JP56" i="6"/>
  <c r="CO37" i="15"/>
  <c r="CO49" i="15" s="1"/>
  <c r="H91" i="6"/>
  <c r="H95" i="6" s="1"/>
  <c r="H76" i="6"/>
  <c r="H77" i="6" s="1"/>
  <c r="H79" i="6" s="1"/>
  <c r="H82" i="6" s="1"/>
  <c r="H83" i="6" s="1"/>
  <c r="H86" i="6" s="1"/>
  <c r="H87" i="6" s="1"/>
  <c r="J76" i="6"/>
  <c r="J77" i="6" s="1"/>
  <c r="J79" i="6" s="1"/>
  <c r="J82" i="6" s="1"/>
  <c r="J83" i="6" s="1"/>
  <c r="J86" i="6" s="1"/>
  <c r="J87" i="6" s="1"/>
  <c r="J91" i="6"/>
  <c r="J95" i="6" s="1"/>
  <c r="JM56" i="6"/>
  <c r="CN37" i="15"/>
  <c r="CN49" i="15" s="1"/>
  <c r="D76" i="6"/>
  <c r="D77" i="6" s="1"/>
  <c r="D79" i="6" s="1"/>
  <c r="D91" i="6"/>
  <c r="D95" i="6" s="1"/>
  <c r="L56" i="6"/>
  <c r="L58" i="6" s="1"/>
  <c r="L68" i="6" s="1"/>
  <c r="L72" i="6" s="1"/>
  <c r="E37" i="15"/>
  <c r="E49" i="15" s="1"/>
  <c r="E51" i="15" s="1"/>
  <c r="E61" i="15" s="1"/>
  <c r="E65" i="15" s="1"/>
  <c r="B37" i="15"/>
  <c r="B49" i="15" s="1"/>
  <c r="B51" i="15" s="1"/>
  <c r="B61" i="15" s="1"/>
  <c r="B65" i="15" s="1"/>
  <c r="C56" i="6"/>
  <c r="C33" i="11"/>
  <c r="B127" i="12" s="1"/>
  <c r="M76" i="6"/>
  <c r="M77" i="6" s="1"/>
  <c r="M79" i="6" s="1"/>
  <c r="M91" i="6"/>
  <c r="M95" i="6" s="1"/>
  <c r="N91" i="6"/>
  <c r="N95" i="6" s="1"/>
  <c r="N76" i="6"/>
  <c r="N77" i="6" s="1"/>
  <c r="N79" i="6" s="1"/>
  <c r="N82" i="6" s="1"/>
  <c r="N83" i="6" s="1"/>
  <c r="N86" i="6" s="1"/>
  <c r="N87" i="6" s="1"/>
  <c r="F56" i="6"/>
  <c r="F58" i="6" s="1"/>
  <c r="F68" i="6" s="1"/>
  <c r="F72" i="6" s="1"/>
  <c r="C37" i="15"/>
  <c r="C49" i="15" s="1"/>
  <c r="C51" i="15" s="1"/>
  <c r="C61" i="15" s="1"/>
  <c r="C65" i="15" s="1"/>
  <c r="G91" i="6"/>
  <c r="G95" i="6" s="1"/>
  <c r="G76" i="6"/>
  <c r="G77" i="6" s="1"/>
  <c r="G79" i="6" s="1"/>
  <c r="G82" i="6" s="1"/>
  <c r="G83" i="6" s="1"/>
  <c r="G86" i="6" s="1"/>
  <c r="G87" i="6" s="1"/>
  <c r="JJ56" i="6"/>
  <c r="CM37" i="15"/>
  <c r="CM49" i="15" s="1"/>
  <c r="W17" i="8"/>
  <c r="W18" i="8" s="1"/>
  <c r="W19" i="8" s="1"/>
  <c r="X14" i="8" s="1"/>
  <c r="X17" i="8" s="1"/>
  <c r="HP25" i="9"/>
  <c r="HP27" i="9" s="1"/>
  <c r="HP5" i="9"/>
  <c r="CE25" i="9"/>
  <c r="CE27" i="9" s="1"/>
  <c r="CE5" i="9"/>
  <c r="G25" i="9"/>
  <c r="G27" i="9" s="1"/>
  <c r="G5" i="9"/>
  <c r="DV5" i="9"/>
  <c r="DV25" i="9"/>
  <c r="DV27" i="9" s="1"/>
  <c r="AU5" i="9"/>
  <c r="AU25" i="9"/>
  <c r="AU27" i="9" s="1"/>
  <c r="C28" i="1"/>
  <c r="B24" i="8"/>
  <c r="T22" i="8" s="1"/>
  <c r="GK25" i="9"/>
  <c r="GK27" i="9" s="1"/>
  <c r="GK5" i="9"/>
  <c r="AZ25" i="9"/>
  <c r="AZ27" i="9" s="1"/>
  <c r="AZ5" i="9"/>
  <c r="AH25" i="9"/>
  <c r="AH27" i="9" s="1"/>
  <c r="AH5" i="9"/>
  <c r="JO25" i="9"/>
  <c r="JO27" i="9" s="1"/>
  <c r="JO5" i="9"/>
  <c r="GX5" i="9"/>
  <c r="GX25" i="9"/>
  <c r="GX27" i="9" s="1"/>
  <c r="BZ5" i="9"/>
  <c r="BZ25" i="9"/>
  <c r="BZ27" i="9" s="1"/>
  <c r="X25" i="9"/>
  <c r="X27" i="9" s="1"/>
  <c r="X5" i="9"/>
  <c r="CW5" i="9"/>
  <c r="CW25" i="9"/>
  <c r="CW27" i="9" s="1"/>
  <c r="IZ5" i="9"/>
  <c r="IZ25" i="9"/>
  <c r="IZ27" i="9" s="1"/>
  <c r="GW25" i="9"/>
  <c r="GW27" i="9" s="1"/>
  <c r="GW5" i="9"/>
  <c r="FQ25" i="9"/>
  <c r="FQ27" i="9" s="1"/>
  <c r="FQ5" i="9"/>
  <c r="CN25" i="9"/>
  <c r="CN27" i="9" s="1"/>
  <c r="CN5" i="9"/>
  <c r="EP5" i="9"/>
  <c r="EP25" i="9"/>
  <c r="EP27" i="9" s="1"/>
  <c r="FY5" i="9"/>
  <c r="FY25" i="9"/>
  <c r="FY27" i="9" s="1"/>
  <c r="GL5" i="9"/>
  <c r="GL25" i="9"/>
  <c r="GL27" i="9" s="1"/>
  <c r="AM25" i="9"/>
  <c r="AM27" i="9" s="1"/>
  <c r="AM5" i="9"/>
  <c r="BK25" i="9"/>
  <c r="BK27" i="9" s="1"/>
  <c r="BK5" i="9"/>
  <c r="FZ5" i="9"/>
  <c r="FZ25" i="9"/>
  <c r="FZ27" i="9" s="1"/>
  <c r="CT25" i="9"/>
  <c r="CT27" i="9" s="1"/>
  <c r="CT5" i="9"/>
  <c r="CV5" i="9"/>
  <c r="CV25" i="9"/>
  <c r="CV27" i="9" s="1"/>
  <c r="HB5" i="9"/>
  <c r="HB25" i="9"/>
  <c r="HB27" i="9" s="1"/>
  <c r="D25" i="9"/>
  <c r="D27" i="9" s="1"/>
  <c r="D5" i="9"/>
  <c r="AE5" i="9"/>
  <c r="AE25" i="9"/>
  <c r="AE27" i="9" s="1"/>
  <c r="AQ25" i="9"/>
  <c r="AQ27" i="9" s="1"/>
  <c r="AQ5" i="9"/>
  <c r="BS5" i="9"/>
  <c r="BS25" i="9"/>
  <c r="BS27" i="9" s="1"/>
  <c r="AW25" i="9"/>
  <c r="AW27" i="9" s="1"/>
  <c r="AW5" i="9"/>
  <c r="GZ25" i="9"/>
  <c r="GZ27" i="9" s="1"/>
  <c r="GZ5" i="9"/>
  <c r="GO25" i="9"/>
  <c r="GO27" i="9" s="1"/>
  <c r="GO5" i="9"/>
  <c r="HW25" i="9"/>
  <c r="HW27" i="9" s="1"/>
  <c r="HW5" i="9"/>
  <c r="JP5" i="9"/>
  <c r="JP25" i="9"/>
  <c r="JP27" i="9" s="1"/>
  <c r="F25" i="9"/>
  <c r="F27" i="9" s="1"/>
  <c r="F5" i="9"/>
  <c r="P5" i="9"/>
  <c r="P25" i="9"/>
  <c r="P27" i="9" s="1"/>
  <c r="ER5" i="9"/>
  <c r="ER25" i="9"/>
  <c r="ER27" i="9" s="1"/>
  <c r="IX25" i="9"/>
  <c r="IX27" i="9" s="1"/>
  <c r="IX5" i="9"/>
  <c r="EE5" i="9"/>
  <c r="EE25" i="9"/>
  <c r="EE27" i="9" s="1"/>
  <c r="GA5" i="9"/>
  <c r="GA25" i="9"/>
  <c r="GA27" i="9" s="1"/>
  <c r="FA25" i="9"/>
  <c r="FA27" i="9" s="1"/>
  <c r="FA5" i="9"/>
  <c r="JF25" i="9"/>
  <c r="JF27" i="9" s="1"/>
  <c r="JF5" i="9"/>
  <c r="AF5" i="9"/>
  <c r="AF25" i="9"/>
  <c r="AF27" i="9" s="1"/>
  <c r="GI5" i="9"/>
  <c r="GI25" i="9"/>
  <c r="GI27" i="9" s="1"/>
  <c r="GV5" i="9"/>
  <c r="GV25" i="9"/>
  <c r="GV27" i="9" s="1"/>
  <c r="HO5" i="9"/>
  <c r="HO25" i="9"/>
  <c r="HO27" i="9" s="1"/>
  <c r="JH25" i="9"/>
  <c r="JH27" i="9" s="1"/>
  <c r="JH5" i="9"/>
  <c r="HH25" i="9"/>
  <c r="HH27" i="9" s="1"/>
  <c r="HH5" i="9"/>
  <c r="CG5" i="9"/>
  <c r="CG25" i="9"/>
  <c r="CG27" i="9" s="1"/>
  <c r="CS5" i="9"/>
  <c r="CS25" i="9"/>
  <c r="CS27" i="9" s="1"/>
  <c r="HS25" i="9"/>
  <c r="HS27" i="9" s="1"/>
  <c r="HS5" i="9"/>
  <c r="FM25" i="9"/>
  <c r="FM27" i="9" s="1"/>
  <c r="FM5" i="9"/>
  <c r="BA5" i="9"/>
  <c r="BA25" i="9"/>
  <c r="BA27" i="9" s="1"/>
  <c r="EA5" i="9"/>
  <c r="EA25" i="9"/>
  <c r="EA27" i="9" s="1"/>
  <c r="DE5" i="9"/>
  <c r="DE25" i="9"/>
  <c r="DE27" i="9" s="1"/>
  <c r="IK25" i="9"/>
  <c r="IK27" i="9" s="1"/>
  <c r="IK5" i="9"/>
  <c r="FR25" i="9"/>
  <c r="FR27" i="9" s="1"/>
  <c r="FR5" i="9"/>
  <c r="BC5" i="9"/>
  <c r="BC25" i="9"/>
  <c r="BC27" i="9" s="1"/>
  <c r="EI5" i="9"/>
  <c r="EI25" i="9"/>
  <c r="EI27" i="9" s="1"/>
  <c r="GT5" i="9"/>
  <c r="GT25" i="9"/>
  <c r="GT27" i="9" s="1"/>
  <c r="HK5" i="9"/>
  <c r="HK25" i="9"/>
  <c r="HK27" i="9" s="1"/>
  <c r="CQ5" i="9"/>
  <c r="CQ25" i="9"/>
  <c r="CQ27" i="9" s="1"/>
  <c r="FL5" i="9"/>
  <c r="FL25" i="9"/>
  <c r="FL27" i="9" s="1"/>
  <c r="CK25" i="9"/>
  <c r="CK27" i="9" s="1"/>
  <c r="CK5" i="9"/>
  <c r="AX5" i="9"/>
  <c r="AX25" i="9"/>
  <c r="AX27" i="9" s="1"/>
  <c r="HY5" i="9"/>
  <c r="HY25" i="9"/>
  <c r="HY27" i="9" s="1"/>
  <c r="GG5" i="9"/>
  <c r="GG25" i="9"/>
  <c r="GG27" i="9" s="1"/>
  <c r="AJ5" i="9"/>
  <c r="AJ25" i="9"/>
  <c r="AJ27" i="9" s="1"/>
  <c r="DJ5" i="9"/>
  <c r="DJ25" i="9"/>
  <c r="DJ27" i="9" s="1"/>
  <c r="IL25" i="9"/>
  <c r="IL27" i="9" s="1"/>
  <c r="IL5" i="9"/>
  <c r="CM25" i="9"/>
  <c r="CM27" i="9" s="1"/>
  <c r="CM5" i="9"/>
  <c r="JA5" i="9"/>
  <c r="JA25" i="9"/>
  <c r="JA27" i="9" s="1"/>
  <c r="GB25" i="9"/>
  <c r="GB27" i="9" s="1"/>
  <c r="GB5" i="9"/>
  <c r="FV25" i="9"/>
  <c r="FV27" i="9" s="1"/>
  <c r="FV5" i="9"/>
  <c r="BD5" i="9"/>
  <c r="BD25" i="9"/>
  <c r="BD27" i="9" s="1"/>
  <c r="DL25" i="9"/>
  <c r="DL27" i="9" s="1"/>
  <c r="DL5" i="9"/>
  <c r="JN5" i="9"/>
  <c r="JN25" i="9"/>
  <c r="JN27" i="9" s="1"/>
  <c r="BE25" i="9"/>
  <c r="BE27" i="9" s="1"/>
  <c r="BE5" i="9"/>
  <c r="JC25" i="9"/>
  <c r="JC27" i="9" s="1"/>
  <c r="JC5" i="9"/>
  <c r="IC5" i="9"/>
  <c r="IC25" i="9"/>
  <c r="IC27" i="9" s="1"/>
  <c r="EQ5" i="9"/>
  <c r="EQ25" i="9"/>
  <c r="EQ27" i="9" s="1"/>
  <c r="HC25" i="9"/>
  <c r="HC27" i="9" s="1"/>
  <c r="HC5" i="9"/>
  <c r="EZ25" i="9"/>
  <c r="EZ27" i="9" s="1"/>
  <c r="EZ5" i="9"/>
  <c r="IO5" i="9"/>
  <c r="IO25" i="9"/>
  <c r="IO27" i="9" s="1"/>
  <c r="EL25" i="9"/>
  <c r="EL27" i="9" s="1"/>
  <c r="EL5" i="9"/>
  <c r="AT25" i="9"/>
  <c r="AT27" i="9" s="1"/>
  <c r="AT5" i="9"/>
  <c r="GU5" i="9"/>
  <c r="GU25" i="9"/>
  <c r="GU27" i="9" s="1"/>
  <c r="DA25" i="9"/>
  <c r="DA27" i="9" s="1"/>
  <c r="DA5" i="9"/>
  <c r="Y25" i="9"/>
  <c r="Y27" i="9" s="1"/>
  <c r="Y5" i="9"/>
  <c r="IM5" i="9"/>
  <c r="IM25" i="9"/>
  <c r="IM27" i="9" s="1"/>
  <c r="AD25" i="9"/>
  <c r="AD27" i="9" s="1"/>
  <c r="AD5" i="9"/>
  <c r="JM25" i="9"/>
  <c r="JM27" i="9" s="1"/>
  <c r="JM5" i="9"/>
  <c r="EY25" i="9"/>
  <c r="EY27" i="9" s="1"/>
  <c r="EY5" i="9"/>
  <c r="DC5" i="9"/>
  <c r="DC25" i="9"/>
  <c r="DC27" i="9" s="1"/>
  <c r="CU5" i="9"/>
  <c r="CU25" i="9"/>
  <c r="CU27" i="9" s="1"/>
  <c r="DH25" i="9"/>
  <c r="DH27" i="9" s="1"/>
  <c r="DH5" i="9"/>
  <c r="FE25" i="9"/>
  <c r="FE27" i="9" s="1"/>
  <c r="FE5" i="9"/>
  <c r="JL25" i="9"/>
  <c r="JL27" i="9" s="1"/>
  <c r="JL5" i="9"/>
  <c r="DR25" i="9"/>
  <c r="DR27" i="9" s="1"/>
  <c r="DR5" i="9"/>
  <c r="FU25" i="9"/>
  <c r="FU27" i="9" s="1"/>
  <c r="FU5" i="9"/>
  <c r="HU25" i="9"/>
  <c r="HU27" i="9" s="1"/>
  <c r="HU5" i="9"/>
  <c r="CF25" i="9"/>
  <c r="CF27" i="9" s="1"/>
  <c r="CF5" i="9"/>
  <c r="AR25" i="9"/>
  <c r="AR27" i="9" s="1"/>
  <c r="AR5" i="9"/>
  <c r="DU25" i="9"/>
  <c r="DU27" i="9" s="1"/>
  <c r="DU5" i="9"/>
  <c r="V5" i="9"/>
  <c r="V25" i="9"/>
  <c r="V27" i="9" s="1"/>
  <c r="DX25" i="9"/>
  <c r="DX27" i="9" s="1"/>
  <c r="DX5" i="9"/>
  <c r="IU5" i="9"/>
  <c r="IU25" i="9"/>
  <c r="IU27" i="9" s="1"/>
  <c r="BY25" i="9"/>
  <c r="BY27" i="9" s="1"/>
  <c r="BY5" i="9"/>
  <c r="HQ5" i="9"/>
  <c r="HQ25" i="9"/>
  <c r="HQ27" i="9" s="1"/>
  <c r="HZ25" i="9"/>
  <c r="HZ27" i="9" s="1"/>
  <c r="HZ5" i="9"/>
  <c r="AO5" i="9"/>
  <c r="AO25" i="9"/>
  <c r="AO27" i="9" s="1"/>
  <c r="GN25" i="9"/>
  <c r="GN27" i="9" s="1"/>
  <c r="GN5" i="9"/>
  <c r="AG25" i="9"/>
  <c r="AG27" i="9" s="1"/>
  <c r="AG5" i="9"/>
  <c r="BG25" i="9"/>
  <c r="BG27" i="9" s="1"/>
  <c r="BG5" i="9"/>
  <c r="EF25" i="9"/>
  <c r="EF27" i="9" s="1"/>
  <c r="EF5" i="9"/>
  <c r="FP25" i="9"/>
  <c r="FP27" i="9" s="1"/>
  <c r="FP5" i="9"/>
  <c r="FF25" i="9"/>
  <c r="FF27" i="9" s="1"/>
  <c r="FF5" i="9"/>
  <c r="AL5" i="9"/>
  <c r="AL25" i="9"/>
  <c r="AL27" i="9" s="1"/>
  <c r="HX25" i="9"/>
  <c r="HX27" i="9" s="1"/>
  <c r="HX5" i="9"/>
  <c r="Z5" i="9"/>
  <c r="Z25" i="9"/>
  <c r="Z27" i="9" s="1"/>
  <c r="FD25" i="9"/>
  <c r="FD27" i="9" s="1"/>
  <c r="FD5" i="9"/>
  <c r="T5" i="9"/>
  <c r="T25" i="9"/>
  <c r="T27" i="9" s="1"/>
  <c r="CH25" i="9"/>
  <c r="CH27" i="9" s="1"/>
  <c r="CH5" i="9"/>
  <c r="AP25" i="9"/>
  <c r="AP27" i="9" s="1"/>
  <c r="AP5" i="9"/>
  <c r="GS25" i="9"/>
  <c r="GS27" i="9" s="1"/>
  <c r="GS5" i="9"/>
  <c r="J25" i="9"/>
  <c r="J27" i="9" s="1"/>
  <c r="J5" i="9"/>
  <c r="BB5" i="9"/>
  <c r="BB25" i="9"/>
  <c r="BB27" i="9" s="1"/>
  <c r="GE5" i="9"/>
  <c r="GE25" i="9"/>
  <c r="GE27" i="9" s="1"/>
  <c r="CD25" i="9"/>
  <c r="CD27" i="9" s="1"/>
  <c r="CD5" i="9"/>
  <c r="O5" i="9"/>
  <c r="O25" i="9"/>
  <c r="O27" i="9" s="1"/>
  <c r="GF5" i="9"/>
  <c r="GF25" i="9"/>
  <c r="GF27" i="9" s="1"/>
  <c r="JJ5" i="9"/>
  <c r="JJ25" i="9"/>
  <c r="JJ27" i="9" s="1"/>
  <c r="JR25" i="9"/>
  <c r="JR27" i="9" s="1"/>
  <c r="JR5" i="9"/>
  <c r="IT25" i="9"/>
  <c r="IT27" i="9" s="1"/>
  <c r="IT5" i="9"/>
  <c r="HA25" i="9"/>
  <c r="HA27" i="9" s="1"/>
  <c r="HA5" i="9"/>
  <c r="IR5" i="9"/>
  <c r="IR25" i="9"/>
  <c r="IR27" i="9" s="1"/>
  <c r="AI5" i="9"/>
  <c r="AI25" i="9"/>
  <c r="AI27" i="9" s="1"/>
  <c r="AA5" i="9"/>
  <c r="AA25" i="9"/>
  <c r="AA27" i="9" s="1"/>
  <c r="JD25" i="9"/>
  <c r="JD27" i="9" s="1"/>
  <c r="JD5" i="9"/>
  <c r="CI5" i="9"/>
  <c r="CI25" i="9"/>
  <c r="CI27" i="9" s="1"/>
  <c r="GH25" i="9"/>
  <c r="GH27" i="9" s="1"/>
  <c r="GH5" i="9"/>
  <c r="CP25" i="9"/>
  <c r="CP27" i="9" s="1"/>
  <c r="CP5" i="9"/>
  <c r="IJ25" i="9"/>
  <c r="IJ27" i="9" s="1"/>
  <c r="IJ5" i="9"/>
  <c r="BP25" i="9"/>
  <c r="BP27" i="9" s="1"/>
  <c r="BP5" i="9"/>
  <c r="HN5" i="9"/>
  <c r="HN25" i="9"/>
  <c r="HN27" i="9" s="1"/>
  <c r="FT25" i="9"/>
  <c r="FT27" i="9" s="1"/>
  <c r="FT5" i="9"/>
  <c r="BH25" i="9"/>
  <c r="BH27" i="9" s="1"/>
  <c r="BH5" i="9"/>
  <c r="FI25" i="9"/>
  <c r="FI27" i="9" s="1"/>
  <c r="FI5" i="9"/>
  <c r="GJ25" i="9"/>
  <c r="GJ27" i="9" s="1"/>
  <c r="GJ5" i="9"/>
  <c r="ID25" i="9"/>
  <c r="ID27" i="9" s="1"/>
  <c r="ID5" i="9"/>
  <c r="N5" i="9"/>
  <c r="N25" i="9"/>
  <c r="N27" i="9" s="1"/>
  <c r="AS5" i="9"/>
  <c r="AS25" i="9"/>
  <c r="AS27" i="9" s="1"/>
  <c r="GD25" i="9"/>
  <c r="GD27" i="9" s="1"/>
  <c r="GD5" i="9"/>
  <c r="AV5" i="9"/>
  <c r="AV25" i="9"/>
  <c r="AV27" i="9" s="1"/>
  <c r="DD25" i="9"/>
  <c r="DD27" i="9" s="1"/>
  <c r="DD5" i="9"/>
  <c r="CX5" i="9"/>
  <c r="CX25" i="9"/>
  <c r="CX27" i="9" s="1"/>
  <c r="BF5" i="9"/>
  <c r="BF25" i="9"/>
  <c r="BF27" i="9" s="1"/>
  <c r="IQ5" i="9"/>
  <c r="IQ25" i="9"/>
  <c r="IQ27" i="9" s="1"/>
  <c r="IP25" i="9"/>
  <c r="IP27" i="9" s="1"/>
  <c r="IP5" i="9"/>
  <c r="EH25" i="9"/>
  <c r="EH27" i="9" s="1"/>
  <c r="EH5" i="9"/>
  <c r="FB5" i="9"/>
  <c r="FB25" i="9"/>
  <c r="FB27" i="9" s="1"/>
  <c r="GM5" i="9"/>
  <c r="GM25" i="9"/>
  <c r="GM27" i="9" s="1"/>
  <c r="CC25" i="9"/>
  <c r="CC27" i="9" s="1"/>
  <c r="CC5" i="9"/>
  <c r="DZ25" i="9"/>
  <c r="DZ27" i="9" s="1"/>
  <c r="DZ5" i="9"/>
  <c r="BN25" i="9"/>
  <c r="BN27" i="9" s="1"/>
  <c r="BN5" i="9"/>
  <c r="BQ25" i="9"/>
  <c r="BQ27" i="9" s="1"/>
  <c r="BQ5" i="9"/>
  <c r="IS25" i="9"/>
  <c r="IS27" i="9" s="1"/>
  <c r="IS5" i="9"/>
  <c r="BM25" i="9"/>
  <c r="BM27" i="9" s="1"/>
  <c r="BM5" i="9"/>
  <c r="DY25" i="9"/>
  <c r="DY27" i="9" s="1"/>
  <c r="DY5" i="9"/>
  <c r="BO5" i="9"/>
  <c r="BO25" i="9"/>
  <c r="BO27" i="9" s="1"/>
  <c r="IY5" i="9"/>
  <c r="IY25" i="9"/>
  <c r="IY27" i="9" s="1"/>
  <c r="IH25" i="9"/>
  <c r="IH27" i="9" s="1"/>
  <c r="IH5" i="9"/>
  <c r="EV5" i="9"/>
  <c r="EV25" i="9"/>
  <c r="EV27" i="9" s="1"/>
  <c r="DK25" i="9"/>
  <c r="DK27" i="9" s="1"/>
  <c r="DK5" i="9"/>
  <c r="R25" i="9"/>
  <c r="R27" i="9" s="1"/>
  <c r="R5" i="9"/>
  <c r="FN5" i="9"/>
  <c r="FN25" i="9"/>
  <c r="FN27" i="9" s="1"/>
  <c r="AY5" i="9"/>
  <c r="AY25" i="9"/>
  <c r="AY27" i="9" s="1"/>
  <c r="EW25" i="9"/>
  <c r="EW27" i="9" s="1"/>
  <c r="EW5" i="9"/>
  <c r="BI5" i="9"/>
  <c r="BI25" i="9"/>
  <c r="BI27" i="9" s="1"/>
  <c r="GC25" i="9"/>
  <c r="GC27" i="9" s="1"/>
  <c r="GC5" i="9"/>
  <c r="HT5" i="9"/>
  <c r="HT25" i="9"/>
  <c r="HT27" i="9" s="1"/>
  <c r="DB5" i="9"/>
  <c r="DB25" i="9"/>
  <c r="DB27" i="9" s="1"/>
  <c r="EX25" i="9"/>
  <c r="EX27" i="9" s="1"/>
  <c r="EX5" i="9"/>
  <c r="GY5" i="9"/>
  <c r="GY25" i="9"/>
  <c r="GY27" i="9" s="1"/>
  <c r="CR25" i="9"/>
  <c r="CR27" i="9" s="1"/>
  <c r="CR5" i="9"/>
  <c r="HV25" i="9"/>
  <c r="HV27" i="9" s="1"/>
  <c r="HV5" i="9"/>
  <c r="FG5" i="9"/>
  <c r="FG25" i="9"/>
  <c r="FG27" i="9" s="1"/>
  <c r="DS5" i="9"/>
  <c r="DS25" i="9"/>
  <c r="DS27" i="9" s="1"/>
  <c r="HE25" i="9"/>
  <c r="HE27" i="9" s="1"/>
  <c r="HE5" i="9"/>
  <c r="CL5" i="9"/>
  <c r="CL25" i="9"/>
  <c r="CL27" i="9" s="1"/>
  <c r="CB25" i="9"/>
  <c r="CB27" i="9" s="1"/>
  <c r="CB5" i="9"/>
  <c r="FW25" i="9"/>
  <c r="FW27" i="9" s="1"/>
  <c r="FW5" i="9"/>
  <c r="BL5" i="9"/>
  <c r="BL25" i="9"/>
  <c r="BL27" i="9" s="1"/>
  <c r="DT25" i="9"/>
  <c r="DT27" i="9" s="1"/>
  <c r="DT5" i="9"/>
  <c r="AB25" i="9"/>
  <c r="AB27" i="9" s="1"/>
  <c r="AB5" i="9"/>
  <c r="HM25" i="9"/>
  <c r="HM27" i="9" s="1"/>
  <c r="HM5" i="9"/>
  <c r="IN25" i="9"/>
  <c r="IN27" i="9" s="1"/>
  <c r="IN5" i="9"/>
  <c r="JE5" i="9"/>
  <c r="JE25" i="9"/>
  <c r="JE27" i="9" s="1"/>
  <c r="GP5" i="9"/>
  <c r="GP25" i="9"/>
  <c r="GP27" i="9" s="1"/>
  <c r="AN25" i="9"/>
  <c r="AN27" i="9" s="1"/>
  <c r="AN5" i="9"/>
  <c r="DF25" i="9"/>
  <c r="DF27" i="9" s="1"/>
  <c r="DF5" i="9"/>
  <c r="HJ5" i="9"/>
  <c r="HJ25" i="9"/>
  <c r="HJ27" i="9" s="1"/>
  <c r="EN25" i="9"/>
  <c r="EN27" i="9" s="1"/>
  <c r="EN5" i="9"/>
  <c r="DO5" i="9"/>
  <c r="DO25" i="9"/>
  <c r="DO27" i="9" s="1"/>
  <c r="AC5" i="9"/>
  <c r="AC25" i="9"/>
  <c r="AC27" i="9" s="1"/>
  <c r="GQ5" i="9"/>
  <c r="GQ25" i="9"/>
  <c r="GQ27" i="9" s="1"/>
  <c r="HD5" i="9"/>
  <c r="HD25" i="9"/>
  <c r="HD27" i="9" s="1"/>
  <c r="DG5" i="9"/>
  <c r="DG25" i="9"/>
  <c r="DG27" i="9" s="1"/>
  <c r="IV5" i="9"/>
  <c r="IV25" i="9"/>
  <c r="IV27" i="9" s="1"/>
  <c r="ET5" i="9"/>
  <c r="ET25" i="9"/>
  <c r="ET27" i="9" s="1"/>
  <c r="EU5" i="9"/>
  <c r="EU25" i="9"/>
  <c r="EU27" i="9" s="1"/>
  <c r="IA25" i="9"/>
  <c r="IA27" i="9" s="1"/>
  <c r="IA5" i="9"/>
  <c r="EG25" i="9"/>
  <c r="EG27" i="9" s="1"/>
  <c r="EG5" i="9"/>
  <c r="IF5" i="9"/>
  <c r="IF25" i="9"/>
  <c r="IF27" i="9" s="1"/>
  <c r="JI25" i="9"/>
  <c r="JI27" i="9" s="1"/>
  <c r="JI5" i="9"/>
  <c r="CO5" i="9"/>
  <c r="CO25" i="9"/>
  <c r="CO27" i="9" s="1"/>
  <c r="K5" i="9"/>
  <c r="K25" i="9"/>
  <c r="K27" i="9" s="1"/>
  <c r="CZ5" i="9"/>
  <c r="CZ25" i="9"/>
  <c r="CZ27" i="9" s="1"/>
  <c r="EO5" i="9"/>
  <c r="EO25" i="9"/>
  <c r="EO27" i="9" s="1"/>
  <c r="HF5" i="9"/>
  <c r="HF25" i="9"/>
  <c r="HF27" i="9" s="1"/>
  <c r="ED5" i="9"/>
  <c r="ED25" i="9"/>
  <c r="ED27" i="9" s="1"/>
  <c r="ES25" i="9"/>
  <c r="ES27" i="9" s="1"/>
  <c r="ES5" i="9"/>
  <c r="DQ5" i="9"/>
  <c r="DQ25" i="9"/>
  <c r="DQ27" i="9" s="1"/>
  <c r="JG25" i="9"/>
  <c r="JG27" i="9" s="1"/>
  <c r="JG5" i="9"/>
  <c r="FJ5" i="9"/>
  <c r="FJ25" i="9"/>
  <c r="FJ27" i="9" s="1"/>
  <c r="BW5" i="9"/>
  <c r="BW25" i="9"/>
  <c r="BW27" i="9" s="1"/>
  <c r="EC25" i="9"/>
  <c r="EC27" i="9" s="1"/>
  <c r="EC5" i="9"/>
  <c r="BT25" i="9"/>
  <c r="BT27" i="9" s="1"/>
  <c r="BT5" i="9"/>
  <c r="U25" i="9"/>
  <c r="U27" i="9" s="1"/>
  <c r="U5" i="9"/>
  <c r="GR5" i="9"/>
  <c r="GR25" i="9"/>
  <c r="GR27" i="9" s="1"/>
  <c r="Q5" i="9"/>
  <c r="Q25" i="9"/>
  <c r="Q27" i="9" s="1"/>
  <c r="FO5" i="9"/>
  <c r="FO25" i="9"/>
  <c r="FO27" i="9" s="1"/>
  <c r="AK25" i="9"/>
  <c r="AK27" i="9" s="1"/>
  <c r="AK5" i="9"/>
  <c r="S25" i="9"/>
  <c r="S27" i="9" s="1"/>
  <c r="S5" i="9"/>
  <c r="C25" i="9"/>
  <c r="C27" i="9" s="1"/>
  <c r="C5" i="9"/>
  <c r="HI5" i="9"/>
  <c r="HI25" i="9"/>
  <c r="HI27" i="9" s="1"/>
  <c r="EM5" i="9"/>
  <c r="EM25" i="9"/>
  <c r="EM27" i="9" s="1"/>
  <c r="FH5" i="9"/>
  <c r="FH25" i="9"/>
  <c r="FH27" i="9" s="1"/>
  <c r="W25" i="9"/>
  <c r="W27" i="9" s="1"/>
  <c r="W5" i="9"/>
  <c r="EK25" i="9"/>
  <c r="EK27" i="9" s="1"/>
  <c r="EK5" i="9"/>
  <c r="EB25" i="9"/>
  <c r="EB27" i="9" s="1"/>
  <c r="EB5" i="9"/>
  <c r="CY5" i="9"/>
  <c r="CY25" i="9"/>
  <c r="CY27" i="9" s="1"/>
  <c r="HG25" i="9"/>
  <c r="HG27" i="9" s="1"/>
  <c r="HG5" i="9"/>
  <c r="CA5" i="9"/>
  <c r="CA25" i="9"/>
  <c r="CA27" i="9" s="1"/>
  <c r="FC25" i="9"/>
  <c r="FC27" i="9" s="1"/>
  <c r="FC5" i="9"/>
  <c r="EJ25" i="9"/>
  <c r="EJ27" i="9" s="1"/>
  <c r="EJ5" i="9"/>
  <c r="II5" i="9"/>
  <c r="II25" i="9"/>
  <c r="II27" i="9" s="1"/>
  <c r="JK5" i="9"/>
  <c r="JK25" i="9"/>
  <c r="JK27" i="9" s="1"/>
  <c r="H25" i="9"/>
  <c r="H27" i="9" s="1"/>
  <c r="H5" i="9"/>
  <c r="FK25" i="9"/>
  <c r="FK27" i="9" s="1"/>
  <c r="FK5" i="9"/>
  <c r="JQ5" i="9"/>
  <c r="JQ25" i="9"/>
  <c r="JQ27" i="9" s="1"/>
  <c r="BR5" i="9"/>
  <c r="BR25" i="9"/>
  <c r="BR27" i="9" s="1"/>
  <c r="BJ5" i="9"/>
  <c r="BJ25" i="9"/>
  <c r="BJ27" i="9" s="1"/>
  <c r="CJ5" i="9"/>
  <c r="CJ25" i="9"/>
  <c r="CJ27" i="9" s="1"/>
  <c r="HR5" i="9"/>
  <c r="HR25" i="9"/>
  <c r="HR27" i="9" s="1"/>
  <c r="IW25" i="9"/>
  <c r="IW27" i="9" s="1"/>
  <c r="IW5" i="9"/>
  <c r="DI5" i="9"/>
  <c r="DI25" i="9"/>
  <c r="DI27" i="9" s="1"/>
  <c r="IB5" i="9"/>
  <c r="IB25" i="9"/>
  <c r="IB27" i="9" s="1"/>
  <c r="M5" i="9"/>
  <c r="M25" i="9"/>
  <c r="M27" i="9" s="1"/>
  <c r="IG25" i="9"/>
  <c r="IG27" i="9" s="1"/>
  <c r="IG5" i="9"/>
  <c r="BX5" i="9"/>
  <c r="BX25" i="9"/>
  <c r="BX27" i="9" s="1"/>
  <c r="E25" i="9"/>
  <c r="E27" i="9" s="1"/>
  <c r="E5" i="9"/>
  <c r="FS5" i="9"/>
  <c r="FS25" i="9"/>
  <c r="FS27" i="9" s="1"/>
  <c r="L5" i="9"/>
  <c r="L25" i="9"/>
  <c r="L27" i="9" s="1"/>
  <c r="BU25" i="9"/>
  <c r="BU27" i="9" s="1"/>
  <c r="BU5" i="9"/>
  <c r="BV25" i="9"/>
  <c r="BV27" i="9" s="1"/>
  <c r="BV5" i="9"/>
  <c r="DN25" i="9"/>
  <c r="DN27" i="9" s="1"/>
  <c r="DN5" i="9"/>
  <c r="I5" i="9"/>
  <c r="I25" i="9"/>
  <c r="I27" i="9" s="1"/>
  <c r="JB25" i="9"/>
  <c r="JB27" i="9" s="1"/>
  <c r="JB5" i="9"/>
  <c r="FX5" i="9"/>
  <c r="FX25" i="9"/>
  <c r="FX27" i="9" s="1"/>
  <c r="HL25" i="9"/>
  <c r="HL27" i="9" s="1"/>
  <c r="HL5" i="9"/>
  <c r="DP25" i="9"/>
  <c r="DP27" i="9" s="1"/>
  <c r="DP5" i="9"/>
  <c r="IE5" i="9"/>
  <c r="IE25" i="9"/>
  <c r="IE27" i="9" s="1"/>
  <c r="DM5" i="9"/>
  <c r="DM25" i="9"/>
  <c r="DM27" i="9" s="1"/>
  <c r="DW5" i="9"/>
  <c r="DW25" i="9"/>
  <c r="DW27" i="9" s="1"/>
  <c r="C34" i="11" l="1"/>
  <c r="B128" i="12" s="1"/>
  <c r="O13" i="1"/>
  <c r="N13" i="1"/>
  <c r="P13" i="1"/>
  <c r="Y49" i="11"/>
  <c r="X143" i="12" s="1"/>
  <c r="X131" i="12"/>
  <c r="M13" i="1"/>
  <c r="D82" i="6"/>
  <c r="D83" i="6" s="1"/>
  <c r="D86" i="6" s="1"/>
  <c r="D87" i="6" s="1"/>
  <c r="J98" i="6"/>
  <c r="J28" i="9"/>
  <c r="J33" i="9" s="1"/>
  <c r="J34" i="9" s="1"/>
  <c r="F91" i="6"/>
  <c r="F76" i="6"/>
  <c r="H98" i="6"/>
  <c r="H28" i="9"/>
  <c r="H33" i="9" s="1"/>
  <c r="H34" i="9" s="1"/>
  <c r="K98" i="6"/>
  <c r="K28" i="9"/>
  <c r="K33" i="9" s="1"/>
  <c r="K34" i="9" s="1"/>
  <c r="M82" i="6"/>
  <c r="M83" i="6" s="1"/>
  <c r="M86" i="6" s="1"/>
  <c r="M87" i="6" s="1"/>
  <c r="G98" i="6"/>
  <c r="G28" i="9"/>
  <c r="G33" i="9" s="1"/>
  <c r="G34" i="9" s="1"/>
  <c r="M98" i="6"/>
  <c r="M28" i="9"/>
  <c r="M33" i="9" s="1"/>
  <c r="M34" i="9" s="1"/>
  <c r="I76" i="6"/>
  <c r="I91" i="6"/>
  <c r="T96" i="12"/>
  <c r="C35" i="11"/>
  <c r="B129" i="12" s="1"/>
  <c r="C58" i="6"/>
  <c r="C48" i="11" s="1"/>
  <c r="B142" i="12" s="1"/>
  <c r="M4" i="1"/>
  <c r="AI4" i="1"/>
  <c r="N98" i="6"/>
  <c r="N28" i="9"/>
  <c r="N33" i="9" s="1"/>
  <c r="N34" i="9" s="1"/>
  <c r="E28" i="9"/>
  <c r="E33" i="9" s="1"/>
  <c r="E34" i="9" s="1"/>
  <c r="E98" i="6"/>
  <c r="D28" i="9"/>
  <c r="D33" i="9" s="1"/>
  <c r="D34" i="9" s="1"/>
  <c r="D98" i="6"/>
  <c r="L76" i="6"/>
  <c r="L91" i="6"/>
  <c r="AG33" i="1"/>
  <c r="T25" i="8"/>
  <c r="T32" i="8" s="1"/>
  <c r="R70" i="6" s="1"/>
  <c r="R31" i="9" s="1"/>
  <c r="T29" i="8"/>
  <c r="Z13" i="1"/>
  <c r="AA13" i="1"/>
  <c r="S13" i="1"/>
  <c r="W13" i="1"/>
  <c r="AE13" i="1"/>
  <c r="AI13" i="1"/>
  <c r="X13" i="1"/>
  <c r="R13" i="1"/>
  <c r="AF13" i="1"/>
  <c r="AD13" i="1"/>
  <c r="EU24" i="8"/>
  <c r="EU31" i="8" s="1"/>
  <c r="ED24" i="8"/>
  <c r="ED31" i="8" s="1"/>
  <c r="DC24" i="8"/>
  <c r="DC31" i="8" s="1"/>
  <c r="GA24" i="8"/>
  <c r="GA31" i="8" s="1"/>
  <c r="DH24" i="8"/>
  <c r="DH31" i="8" s="1"/>
  <c r="CD24" i="8"/>
  <c r="CD31" i="8" s="1"/>
  <c r="BK24" i="8"/>
  <c r="BK31" i="8" s="1"/>
  <c r="BB24" i="8"/>
  <c r="BB31" i="8" s="1"/>
  <c r="BV24" i="8"/>
  <c r="BV31" i="8" s="1"/>
  <c r="AX24" i="8"/>
  <c r="AX31" i="8" s="1"/>
  <c r="FF24" i="8"/>
  <c r="FF31" i="8" s="1"/>
  <c r="DS24" i="8"/>
  <c r="DS31" i="8" s="1"/>
  <c r="IA24" i="8"/>
  <c r="JQ24" i="8"/>
  <c r="HL24" i="8"/>
  <c r="CH24" i="8"/>
  <c r="CH31" i="8" s="1"/>
  <c r="EN24" i="8"/>
  <c r="EN31" i="8" s="1"/>
  <c r="IL24" i="8"/>
  <c r="AY24" i="8"/>
  <c r="AY31" i="8" s="1"/>
  <c r="DG24" i="8"/>
  <c r="DG31" i="8" s="1"/>
  <c r="GI24" i="8"/>
  <c r="GI31" i="8" s="1"/>
  <c r="BO24" i="8"/>
  <c r="BO31" i="8" s="1"/>
  <c r="FS24" i="8"/>
  <c r="FS31" i="8" s="1"/>
  <c r="BU24" i="8"/>
  <c r="BU31" i="8" s="1"/>
  <c r="AT24" i="8"/>
  <c r="AT31" i="8" s="1"/>
  <c r="CV24" i="8"/>
  <c r="CV31" i="8" s="1"/>
  <c r="DP24" i="8"/>
  <c r="DP31" i="8" s="1"/>
  <c r="FR24" i="8"/>
  <c r="FR31" i="8" s="1"/>
  <c r="AL24" i="8"/>
  <c r="AL31" i="8" s="1"/>
  <c r="HG24" i="8"/>
  <c r="IU24" i="8"/>
  <c r="BL24" i="8"/>
  <c r="BL31" i="8" s="1"/>
  <c r="GB24" i="8"/>
  <c r="GB31" i="8" s="1"/>
  <c r="FE24" i="8"/>
  <c r="FE31" i="8" s="1"/>
  <c r="GX24" i="8"/>
  <c r="HJ24" i="8"/>
  <c r="DI24" i="8"/>
  <c r="DI31" i="8" s="1"/>
  <c r="Q24" i="8"/>
  <c r="CT24" i="8"/>
  <c r="CT31" i="8" s="1"/>
  <c r="IH24" i="8"/>
  <c r="CX24" i="8"/>
  <c r="CX31" i="8" s="1"/>
  <c r="JK24" i="8"/>
  <c r="FT24" i="8"/>
  <c r="FT31" i="8" s="1"/>
  <c r="HB24" i="8"/>
  <c r="GD24" i="8"/>
  <c r="GD31" i="8" s="1"/>
  <c r="IC24" i="8"/>
  <c r="BC24" i="8"/>
  <c r="BC31" i="8" s="1"/>
  <c r="DM24" i="8"/>
  <c r="DM31" i="8" s="1"/>
  <c r="DX24" i="8"/>
  <c r="DX31" i="8" s="1"/>
  <c r="CW24" i="8"/>
  <c r="CW31" i="8" s="1"/>
  <c r="BS24" i="8"/>
  <c r="BS31" i="8" s="1"/>
  <c r="IW24" i="8"/>
  <c r="CF24" i="8"/>
  <c r="CF31" i="8" s="1"/>
  <c r="BA24" i="8"/>
  <c r="BA31" i="8" s="1"/>
  <c r="DN24" i="8"/>
  <c r="DN31" i="8" s="1"/>
  <c r="DE24" i="8"/>
  <c r="DE31" i="8" s="1"/>
  <c r="DV24" i="8"/>
  <c r="DV31" i="8" s="1"/>
  <c r="HZ24" i="8"/>
  <c r="FZ24" i="8"/>
  <c r="FZ31" i="8" s="1"/>
  <c r="AP24" i="8"/>
  <c r="AP31" i="8" s="1"/>
  <c r="DK24" i="8"/>
  <c r="DK31" i="8" s="1"/>
  <c r="HS24" i="8"/>
  <c r="DL24" i="8"/>
  <c r="DL31" i="8" s="1"/>
  <c r="AN24" i="8"/>
  <c r="AN31" i="8" s="1"/>
  <c r="GE24" i="8"/>
  <c r="GE31" i="8" s="1"/>
  <c r="GH24" i="8"/>
  <c r="GH31" i="8" s="1"/>
  <c r="IB24" i="8"/>
  <c r="EK24" i="8"/>
  <c r="EK31" i="8" s="1"/>
  <c r="DD24" i="8"/>
  <c r="DD31" i="8" s="1"/>
  <c r="EQ24" i="8"/>
  <c r="EQ31" i="8" s="1"/>
  <c r="BY24" i="8"/>
  <c r="BY31" i="8" s="1"/>
  <c r="CG24" i="8"/>
  <c r="CG31" i="8" s="1"/>
  <c r="HD24" i="8"/>
  <c r="JH24" i="8"/>
  <c r="GS24" i="8"/>
  <c r="GS31" i="8" s="1"/>
  <c r="X24" i="8"/>
  <c r="X31" i="8" s="1"/>
  <c r="FV24" i="8"/>
  <c r="FV31" i="8" s="1"/>
  <c r="FD24" i="8"/>
  <c r="FD31" i="8" s="1"/>
  <c r="DJ24" i="8"/>
  <c r="DJ31" i="8" s="1"/>
  <c r="GV24" i="8"/>
  <c r="BN24" i="8"/>
  <c r="BN31" i="8" s="1"/>
  <c r="EM24" i="8"/>
  <c r="EM31" i="8" s="1"/>
  <c r="AO24" i="8"/>
  <c r="AO31" i="8" s="1"/>
  <c r="IK24" i="8"/>
  <c r="F24" i="8"/>
  <c r="BD24" i="8"/>
  <c r="BD31" i="8" s="1"/>
  <c r="JC24" i="8"/>
  <c r="IM24" i="8"/>
  <c r="FX24" i="8"/>
  <c r="FX31" i="8" s="1"/>
  <c r="GR24" i="8"/>
  <c r="GR31" i="8" s="1"/>
  <c r="JE24" i="8"/>
  <c r="Z24" i="8"/>
  <c r="Z31" i="8" s="1"/>
  <c r="HV24" i="8"/>
  <c r="HN24" i="8"/>
  <c r="HO24" i="8"/>
  <c r="EG24" i="8"/>
  <c r="EG31" i="8" s="1"/>
  <c r="IN24" i="8"/>
  <c r="CS24" i="8"/>
  <c r="CS31" i="8" s="1"/>
  <c r="CN24" i="8"/>
  <c r="CN31" i="8" s="1"/>
  <c r="JG24" i="8"/>
  <c r="IQ24" i="8"/>
  <c r="HW24" i="8"/>
  <c r="CB24" i="8"/>
  <c r="CB31" i="8" s="1"/>
  <c r="EI24" i="8"/>
  <c r="EI31" i="8" s="1"/>
  <c r="FU24" i="8"/>
  <c r="FU31" i="8" s="1"/>
  <c r="AI24" i="8"/>
  <c r="AI31" i="8" s="1"/>
  <c r="EZ24" i="8"/>
  <c r="EZ31" i="8" s="1"/>
  <c r="IS24" i="8"/>
  <c r="CY24" i="8"/>
  <c r="CY31" i="8" s="1"/>
  <c r="AM24" i="8"/>
  <c r="AM31" i="8" s="1"/>
  <c r="EB24" i="8"/>
  <c r="EB31" i="8" s="1"/>
  <c r="GY24" i="8"/>
  <c r="EV24" i="8"/>
  <c r="EV31" i="8" s="1"/>
  <c r="J24" i="8"/>
  <c r="AG24" i="8"/>
  <c r="AG31" i="8" s="1"/>
  <c r="DF24" i="8"/>
  <c r="DF31" i="8" s="1"/>
  <c r="AF24" i="8"/>
  <c r="AF31" i="8" s="1"/>
  <c r="JJ24" i="8"/>
  <c r="HA24" i="8"/>
  <c r="S24" i="8"/>
  <c r="GU24" i="8"/>
  <c r="FC24" i="8"/>
  <c r="FC31" i="8" s="1"/>
  <c r="IR24" i="8"/>
  <c r="EW24" i="8"/>
  <c r="EW31" i="8" s="1"/>
  <c r="JR24" i="8"/>
  <c r="JF24" i="8"/>
  <c r="AZ24" i="8"/>
  <c r="AZ31" i="8" s="1"/>
  <c r="Y24" i="8"/>
  <c r="Y31" i="8" s="1"/>
  <c r="BP24" i="8"/>
  <c r="BP31" i="8" s="1"/>
  <c r="CI24" i="8"/>
  <c r="CI31" i="8" s="1"/>
  <c r="CK24" i="8"/>
  <c r="CK31" i="8" s="1"/>
  <c r="BX24" i="8"/>
  <c r="BX31" i="8" s="1"/>
  <c r="HT24" i="8"/>
  <c r="AB24" i="8"/>
  <c r="AB31" i="8" s="1"/>
  <c r="IT24" i="8"/>
  <c r="DY24" i="8"/>
  <c r="DY31" i="8" s="1"/>
  <c r="JS24" i="8"/>
  <c r="II24" i="8"/>
  <c r="CA24" i="8"/>
  <c r="CA31" i="8" s="1"/>
  <c r="JI24" i="8"/>
  <c r="DA24" i="8"/>
  <c r="DA31" i="8" s="1"/>
  <c r="JA24" i="8"/>
  <c r="FH24" i="8"/>
  <c r="FH31" i="8" s="1"/>
  <c r="IZ24" i="8"/>
  <c r="IF24" i="8"/>
  <c r="JM24" i="8"/>
  <c r="DT24" i="8"/>
  <c r="DT31" i="8" s="1"/>
  <c r="IV24" i="8"/>
  <c r="DZ24" i="8"/>
  <c r="DZ31" i="8" s="1"/>
  <c r="HM24" i="8"/>
  <c r="BJ24" i="8"/>
  <c r="BJ31" i="8" s="1"/>
  <c r="GZ24" i="8"/>
  <c r="IX24" i="8"/>
  <c r="EJ24" i="8"/>
  <c r="EJ31" i="8" s="1"/>
  <c r="EF24" i="8"/>
  <c r="EF31" i="8" s="1"/>
  <c r="HF24" i="8"/>
  <c r="GK24" i="8"/>
  <c r="GK31" i="8" s="1"/>
  <c r="FK24" i="8"/>
  <c r="FK31" i="8" s="1"/>
  <c r="G24" i="8"/>
  <c r="FB24" i="8"/>
  <c r="FB31" i="8" s="1"/>
  <c r="JL24" i="8"/>
  <c r="E24" i="8"/>
  <c r="EP24" i="8"/>
  <c r="EP31" i="8" s="1"/>
  <c r="BI24" i="8"/>
  <c r="BI31" i="8" s="1"/>
  <c r="FL24" i="8"/>
  <c r="FL31" i="8" s="1"/>
  <c r="JT24" i="8"/>
  <c r="H24" i="8"/>
  <c r="GP24" i="8"/>
  <c r="GP31" i="8" s="1"/>
  <c r="AC24" i="8"/>
  <c r="AC31" i="8" s="1"/>
  <c r="HH24" i="8"/>
  <c r="FQ24" i="8"/>
  <c r="FQ31" i="8" s="1"/>
  <c r="GT24" i="8"/>
  <c r="GT31" i="8" s="1"/>
  <c r="AK24" i="8"/>
  <c r="AK31" i="8" s="1"/>
  <c r="AW24" i="8"/>
  <c r="AW31" i="8" s="1"/>
  <c r="FI24" i="8"/>
  <c r="FI31" i="8" s="1"/>
  <c r="GW24" i="8"/>
  <c r="CR24" i="8"/>
  <c r="CR31" i="8" s="1"/>
  <c r="AQ24" i="8"/>
  <c r="AQ31" i="8" s="1"/>
  <c r="EE24" i="8"/>
  <c r="EE31" i="8" s="1"/>
  <c r="HR24" i="8"/>
  <c r="CE24" i="8"/>
  <c r="CE31" i="8" s="1"/>
  <c r="AJ24" i="8"/>
  <c r="AJ31" i="8" s="1"/>
  <c r="C78" i="1" s="1"/>
  <c r="BE24" i="8"/>
  <c r="BE31" i="8" s="1"/>
  <c r="CL24" i="8"/>
  <c r="CL31" i="8" s="1"/>
  <c r="FP24" i="8"/>
  <c r="FP31" i="8" s="1"/>
  <c r="GC24" i="8"/>
  <c r="GC31" i="8" s="1"/>
  <c r="BF24" i="8"/>
  <c r="BF31" i="8" s="1"/>
  <c r="AE24" i="8"/>
  <c r="AE31" i="8" s="1"/>
  <c r="DW24" i="8"/>
  <c r="DW31" i="8" s="1"/>
  <c r="O24" i="8"/>
  <c r="BQ24" i="8"/>
  <c r="BQ31" i="8" s="1"/>
  <c r="JP24" i="8"/>
  <c r="GN24" i="8"/>
  <c r="GN31" i="8" s="1"/>
  <c r="JB24" i="8"/>
  <c r="DR24" i="8"/>
  <c r="DR31" i="8" s="1"/>
  <c r="C29" i="1"/>
  <c r="IY24" i="8"/>
  <c r="IG24" i="8"/>
  <c r="FW24" i="8"/>
  <c r="FW31" i="8" s="1"/>
  <c r="GG24" i="8"/>
  <c r="GG31" i="8" s="1"/>
  <c r="FY24" i="8"/>
  <c r="FY31" i="8" s="1"/>
  <c r="V24" i="8"/>
  <c r="FA24" i="8"/>
  <c r="FA31" i="8" s="1"/>
  <c r="W24" i="8"/>
  <c r="W31" i="8" s="1"/>
  <c r="HK24" i="8"/>
  <c r="FJ24" i="8"/>
  <c r="FJ31" i="8" s="1"/>
  <c r="I24" i="8"/>
  <c r="M24" i="8"/>
  <c r="DB24" i="8"/>
  <c r="DB31" i="8" s="1"/>
  <c r="BR24" i="8"/>
  <c r="BR31" i="8" s="1"/>
  <c r="EA24" i="8"/>
  <c r="EA31" i="8" s="1"/>
  <c r="CM24" i="8"/>
  <c r="CM31" i="8" s="1"/>
  <c r="FG24" i="8"/>
  <c r="FG31" i="8" s="1"/>
  <c r="HU24" i="8"/>
  <c r="CQ24" i="8"/>
  <c r="CQ31" i="8" s="1"/>
  <c r="GM24" i="8"/>
  <c r="GM31" i="8" s="1"/>
  <c r="BH24" i="8"/>
  <c r="BH31" i="8" s="1"/>
  <c r="HY24" i="8"/>
  <c r="CO24" i="8"/>
  <c r="CO31" i="8" s="1"/>
  <c r="IP24" i="8"/>
  <c r="GL24" i="8"/>
  <c r="GL31" i="8" s="1"/>
  <c r="IO24" i="8"/>
  <c r="AA24" i="8"/>
  <c r="AA31" i="8" s="1"/>
  <c r="CZ24" i="8"/>
  <c r="CZ31" i="8" s="1"/>
  <c r="BW24" i="8"/>
  <c r="BW31" i="8" s="1"/>
  <c r="ET24" i="8"/>
  <c r="ET31" i="8" s="1"/>
  <c r="CJ24" i="8"/>
  <c r="CJ31" i="8" s="1"/>
  <c r="FO24" i="8"/>
  <c r="FO31" i="8" s="1"/>
  <c r="EO24" i="8"/>
  <c r="EO31" i="8" s="1"/>
  <c r="ER24" i="8"/>
  <c r="ER31" i="8" s="1"/>
  <c r="HX24" i="8"/>
  <c r="ES24" i="8"/>
  <c r="ES31" i="8" s="1"/>
  <c r="EH24" i="8"/>
  <c r="EH31" i="8" s="1"/>
  <c r="EL24" i="8"/>
  <c r="EL31" i="8" s="1"/>
  <c r="EY24" i="8"/>
  <c r="EY31" i="8" s="1"/>
  <c r="BG24" i="8"/>
  <c r="BG31" i="8" s="1"/>
  <c r="EC24" i="8"/>
  <c r="EC31" i="8" s="1"/>
  <c r="AU24" i="8"/>
  <c r="AU31" i="8" s="1"/>
  <c r="K24" i="8"/>
  <c r="CP24" i="8"/>
  <c r="CP31" i="8" s="1"/>
  <c r="DU24" i="8"/>
  <c r="DU31" i="8" s="1"/>
  <c r="AD24" i="8"/>
  <c r="AD31" i="8" s="1"/>
  <c r="ID24" i="8"/>
  <c r="JN24" i="8"/>
  <c r="GJ24" i="8"/>
  <c r="GJ31" i="8" s="1"/>
  <c r="BZ24" i="8"/>
  <c r="BZ31" i="8" s="1"/>
  <c r="DQ24" i="8"/>
  <c r="DQ31" i="8" s="1"/>
  <c r="EX24" i="8"/>
  <c r="EX31" i="8" s="1"/>
  <c r="BT24" i="8"/>
  <c r="BT31" i="8" s="1"/>
  <c r="L24" i="8"/>
  <c r="GF24" i="8"/>
  <c r="GF31" i="8" s="1"/>
  <c r="CC24" i="8"/>
  <c r="CC31" i="8" s="1"/>
  <c r="JO24" i="8"/>
  <c r="BM24" i="8"/>
  <c r="BM31" i="8" s="1"/>
  <c r="HQ24" i="8"/>
  <c r="N24" i="8"/>
  <c r="JD24" i="8"/>
  <c r="FN24" i="8"/>
  <c r="FN31" i="8" s="1"/>
  <c r="P24" i="8"/>
  <c r="AV24" i="8"/>
  <c r="AV31" i="8" s="1"/>
  <c r="HI24" i="8"/>
  <c r="R24" i="8"/>
  <c r="HC24" i="8"/>
  <c r="AR24" i="8"/>
  <c r="AR31" i="8" s="1"/>
  <c r="DO24" i="8"/>
  <c r="DO31" i="8" s="1"/>
  <c r="FM24" i="8"/>
  <c r="FM31" i="8" s="1"/>
  <c r="GQ24" i="8"/>
  <c r="GQ31" i="8" s="1"/>
  <c r="IE24" i="8"/>
  <c r="HE24" i="8"/>
  <c r="HP24" i="8"/>
  <c r="T24" i="8"/>
  <c r="IJ24" i="8"/>
  <c r="AS24" i="8"/>
  <c r="AS31" i="8" s="1"/>
  <c r="CU24" i="8"/>
  <c r="CU31" i="8" s="1"/>
  <c r="GO24" i="8"/>
  <c r="GO31" i="8" s="1"/>
  <c r="U24" i="8"/>
  <c r="AH24" i="8"/>
  <c r="AH31" i="8" s="1"/>
  <c r="AG13" i="1"/>
  <c r="V13" i="1"/>
  <c r="U13" i="1"/>
  <c r="H10" i="1"/>
  <c r="Q13" i="1"/>
  <c r="Y13" i="1"/>
  <c r="AH13" i="1"/>
  <c r="AC13" i="1"/>
  <c r="T13" i="1"/>
  <c r="AB13" i="1"/>
  <c r="X18" i="8"/>
  <c r="X3" i="12" l="1"/>
  <c r="C41" i="11"/>
  <c r="B135" i="12" s="1"/>
  <c r="C46" i="11"/>
  <c r="B140" i="12" s="1"/>
  <c r="C47" i="11"/>
  <c r="B141" i="12" s="1"/>
  <c r="C40" i="11"/>
  <c r="B134" i="12" s="1"/>
  <c r="C42" i="11"/>
  <c r="B136" i="12" s="1"/>
  <c r="C44" i="11"/>
  <c r="B138" i="12" s="1"/>
  <c r="L95" i="6"/>
  <c r="E84" i="15"/>
  <c r="C69" i="15"/>
  <c r="C70" i="15" s="1"/>
  <c r="F77" i="6"/>
  <c r="F79" i="6" s="1"/>
  <c r="L77" i="6"/>
  <c r="L79" i="6" s="1"/>
  <c r="E69" i="15"/>
  <c r="E70" i="15" s="1"/>
  <c r="I95" i="6"/>
  <c r="D84" i="15"/>
  <c r="C84" i="15"/>
  <c r="F95" i="6"/>
  <c r="I77" i="6"/>
  <c r="I79" i="6" s="1"/>
  <c r="D69" i="15"/>
  <c r="D70" i="15" s="1"/>
  <c r="C43" i="11"/>
  <c r="B137" i="12" s="1"/>
  <c r="C68" i="6"/>
  <c r="C72" i="6" s="1"/>
  <c r="M5" i="1"/>
  <c r="C45" i="11"/>
  <c r="B139" i="12" s="1"/>
  <c r="C37" i="11"/>
  <c r="C39" i="11"/>
  <c r="B133" i="12" s="1"/>
  <c r="C38" i="11"/>
  <c r="B132" i="12" s="1"/>
  <c r="C36" i="11"/>
  <c r="JP26" i="8"/>
  <c r="JP31" i="8"/>
  <c r="IW26" i="8"/>
  <c r="IW27" i="8" s="1"/>
  <c r="IW31" i="8"/>
  <c r="HP26" i="8"/>
  <c r="HP27" i="8" s="1"/>
  <c r="HP31" i="8"/>
  <c r="HM26" i="8"/>
  <c r="HM27" i="8" s="1"/>
  <c r="HM31" i="8"/>
  <c r="HE31" i="8"/>
  <c r="HE26" i="8"/>
  <c r="HE27" i="8" s="1"/>
  <c r="M26" i="8"/>
  <c r="M31" i="8"/>
  <c r="IM26" i="8"/>
  <c r="IM27" i="8" s="1"/>
  <c r="IM31" i="8"/>
  <c r="JT26" i="8"/>
  <c r="JT31" i="8"/>
  <c r="JF26" i="8"/>
  <c r="JF31" i="8"/>
  <c r="IC31" i="8"/>
  <c r="IC26" i="8"/>
  <c r="IC27" i="8" s="1"/>
  <c r="IF31" i="8"/>
  <c r="IF26" i="8"/>
  <c r="IF27" i="8" s="1"/>
  <c r="IK31" i="8"/>
  <c r="IK26" i="8"/>
  <c r="IK27" i="8" s="1"/>
  <c r="HW31" i="8"/>
  <c r="HW26" i="8"/>
  <c r="HW27" i="8" s="1"/>
  <c r="HS26" i="8"/>
  <c r="HS27" i="8" s="1"/>
  <c r="HS31" i="8"/>
  <c r="HI26" i="8"/>
  <c r="HI27" i="8" s="1"/>
  <c r="HI31" i="8"/>
  <c r="IQ26" i="8"/>
  <c r="IQ27" i="8" s="1"/>
  <c r="IQ31" i="8"/>
  <c r="IP31" i="8"/>
  <c r="IP26" i="8"/>
  <c r="IP27" i="8" s="1"/>
  <c r="HR26" i="8"/>
  <c r="HR27" i="8" s="1"/>
  <c r="HR31" i="8"/>
  <c r="JI26" i="8"/>
  <c r="JI31" i="8"/>
  <c r="JG26" i="8"/>
  <c r="JG31" i="8"/>
  <c r="IH26" i="8"/>
  <c r="IH27" i="8" s="1"/>
  <c r="IH31" i="8"/>
  <c r="P26" i="8"/>
  <c r="P31" i="8"/>
  <c r="G31" i="8"/>
  <c r="G26" i="8"/>
  <c r="HA26" i="8"/>
  <c r="HA27" i="8" s="1"/>
  <c r="HA31" i="8"/>
  <c r="JD31" i="8"/>
  <c r="JD26" i="8"/>
  <c r="JS26" i="8"/>
  <c r="JS31" i="8"/>
  <c r="IN31" i="8"/>
  <c r="IN26" i="8"/>
  <c r="IN27" i="8" s="1"/>
  <c r="N26" i="8"/>
  <c r="N31" i="8"/>
  <c r="HF31" i="8"/>
  <c r="HF26" i="8"/>
  <c r="HF27" i="8" s="1"/>
  <c r="HJ31" i="8"/>
  <c r="HJ26" i="8"/>
  <c r="HJ27" i="8" s="1"/>
  <c r="HQ31" i="8"/>
  <c r="HQ26" i="8"/>
  <c r="HQ27" i="8" s="1"/>
  <c r="IT31" i="8"/>
  <c r="IT26" i="8"/>
  <c r="IT27" i="8" s="1"/>
  <c r="HO26" i="8"/>
  <c r="HO27" i="8" s="1"/>
  <c r="HO31" i="8"/>
  <c r="GX31" i="8"/>
  <c r="GX26" i="8"/>
  <c r="GX27" i="8" s="1"/>
  <c r="HL26" i="8"/>
  <c r="HL27" i="8" s="1"/>
  <c r="HL31" i="8"/>
  <c r="IJ31" i="8"/>
  <c r="IJ26" i="8"/>
  <c r="IJ27" i="8" s="1"/>
  <c r="GZ31" i="8"/>
  <c r="GZ26" i="8"/>
  <c r="GZ27" i="8" s="1"/>
  <c r="HX26" i="8"/>
  <c r="HX27" i="8" s="1"/>
  <c r="HX31" i="8"/>
  <c r="L31" i="8"/>
  <c r="L26" i="8"/>
  <c r="O26" i="8"/>
  <c r="O31" i="8"/>
  <c r="HG31" i="8"/>
  <c r="HG26" i="8"/>
  <c r="HG27" i="8" s="1"/>
  <c r="I31" i="8"/>
  <c r="I26" i="8"/>
  <c r="H31" i="8"/>
  <c r="H26" i="8"/>
  <c r="JC26" i="8"/>
  <c r="JC31" i="8"/>
  <c r="IB26" i="8"/>
  <c r="IB27" i="8" s="1"/>
  <c r="IB31" i="8"/>
  <c r="JM26" i="8"/>
  <c r="JM31" i="8"/>
  <c r="ID26" i="8"/>
  <c r="ID27" i="8" s="1"/>
  <c r="ID31" i="8"/>
  <c r="IR26" i="8"/>
  <c r="IR27" i="8" s="1"/>
  <c r="IR31" i="8"/>
  <c r="V31" i="8"/>
  <c r="JA26" i="8"/>
  <c r="JA27" i="8" s="1"/>
  <c r="JA31" i="8"/>
  <c r="JK26" i="8"/>
  <c r="JK31" i="8"/>
  <c r="JL26" i="8"/>
  <c r="JL31" i="8"/>
  <c r="GU26" i="8"/>
  <c r="GU27" i="8" s="1"/>
  <c r="GU31" i="8"/>
  <c r="IG26" i="8"/>
  <c r="IG27" i="8" s="1"/>
  <c r="IG31" i="8"/>
  <c r="JJ31" i="8"/>
  <c r="JJ26" i="8"/>
  <c r="HZ26" i="8"/>
  <c r="HZ27" i="8" s="1"/>
  <c r="HZ31" i="8"/>
  <c r="Q26" i="8"/>
  <c r="Q31" i="8"/>
  <c r="IL31" i="8"/>
  <c r="IL26" i="8"/>
  <c r="IL27" i="8" s="1"/>
  <c r="IY26" i="8"/>
  <c r="IY27" i="8" s="1"/>
  <c r="IY31" i="8"/>
  <c r="HU31" i="8"/>
  <c r="HU26" i="8"/>
  <c r="HU27" i="8" s="1"/>
  <c r="JB31" i="8"/>
  <c r="JB26" i="8"/>
  <c r="JB27" i="8" s="1"/>
  <c r="J26" i="8"/>
  <c r="J31" i="8"/>
  <c r="HN31" i="8"/>
  <c r="HN26" i="8"/>
  <c r="HN27" i="8" s="1"/>
  <c r="JH31" i="8"/>
  <c r="JH26" i="8"/>
  <c r="JQ26" i="8"/>
  <c r="JQ31" i="8"/>
  <c r="GY26" i="8"/>
  <c r="GY27" i="8" s="1"/>
  <c r="GY31" i="8"/>
  <c r="T26" i="8"/>
  <c r="T31" i="8"/>
  <c r="JE31" i="8"/>
  <c r="JE26" i="8"/>
  <c r="IU26" i="8"/>
  <c r="IU27" i="8" s="1"/>
  <c r="IU31" i="8"/>
  <c r="HH26" i="8"/>
  <c r="HH27" i="8" s="1"/>
  <c r="HH31" i="8"/>
  <c r="IE26" i="8"/>
  <c r="IE27" i="8" s="1"/>
  <c r="IE31" i="8"/>
  <c r="IV26" i="8"/>
  <c r="IV27" i="8" s="1"/>
  <c r="IV31" i="8"/>
  <c r="IS26" i="8"/>
  <c r="IS27" i="8" s="1"/>
  <c r="IS31" i="8"/>
  <c r="HK26" i="8"/>
  <c r="HK27" i="8" s="1"/>
  <c r="HK31" i="8"/>
  <c r="JR26" i="8"/>
  <c r="JR31" i="8"/>
  <c r="F26" i="8"/>
  <c r="F31" i="8"/>
  <c r="JN31" i="8"/>
  <c r="JN26" i="8"/>
  <c r="IZ26" i="8"/>
  <c r="IZ27" i="8" s="1"/>
  <c r="IZ31" i="8"/>
  <c r="HB31" i="8"/>
  <c r="HB26" i="8"/>
  <c r="HB27" i="8" s="1"/>
  <c r="HC31" i="8"/>
  <c r="HC26" i="8"/>
  <c r="HC27" i="8" s="1"/>
  <c r="R31" i="8"/>
  <c r="R26" i="8"/>
  <c r="IO31" i="8"/>
  <c r="IO26" i="8"/>
  <c r="IO27" i="8" s="1"/>
  <c r="E31" i="8"/>
  <c r="E26" i="8"/>
  <c r="S31" i="8"/>
  <c r="S26" i="8"/>
  <c r="GV26" i="8"/>
  <c r="GV27" i="8" s="1"/>
  <c r="GV31" i="8"/>
  <c r="K26" i="8"/>
  <c r="K31" i="8"/>
  <c r="HY26" i="8"/>
  <c r="HY27" i="8" s="1"/>
  <c r="HY31" i="8"/>
  <c r="II31" i="8"/>
  <c r="II26" i="8"/>
  <c r="II27" i="8" s="1"/>
  <c r="U31" i="8"/>
  <c r="GW26" i="8"/>
  <c r="GW27" i="8" s="1"/>
  <c r="GW31" i="8"/>
  <c r="JO26" i="8"/>
  <c r="JO31" i="8"/>
  <c r="IX26" i="8"/>
  <c r="IX27" i="8" s="1"/>
  <c r="IX31" i="8"/>
  <c r="HT26" i="8"/>
  <c r="HT27" i="8" s="1"/>
  <c r="HT31" i="8"/>
  <c r="HV31" i="8"/>
  <c r="HV26" i="8"/>
  <c r="HV27" i="8" s="1"/>
  <c r="HD26" i="8"/>
  <c r="HD27" i="8" s="1"/>
  <c r="HD31" i="8"/>
  <c r="IA26" i="8"/>
  <c r="IA27" i="8" s="1"/>
  <c r="IA31" i="8"/>
  <c r="X19" i="8"/>
  <c r="T98" i="12" l="1"/>
  <c r="B130" i="12"/>
  <c r="T97" i="12"/>
  <c r="B131" i="12"/>
  <c r="T99" i="12"/>
  <c r="D72" i="15"/>
  <c r="I82" i="6"/>
  <c r="I28" i="9"/>
  <c r="I33" i="9" s="1"/>
  <c r="I34" i="9" s="1"/>
  <c r="D88" i="15"/>
  <c r="I98" i="6"/>
  <c r="D91" i="15" s="1"/>
  <c r="L82" i="6"/>
  <c r="E72" i="15"/>
  <c r="F82" i="6"/>
  <c r="C72" i="15"/>
  <c r="L28" i="9"/>
  <c r="L33" i="9" s="1"/>
  <c r="L34" i="9" s="1"/>
  <c r="E88" i="15"/>
  <c r="L98" i="6"/>
  <c r="E91" i="15" s="1"/>
  <c r="C76" i="6"/>
  <c r="C91" i="6"/>
  <c r="C82" i="6"/>
  <c r="C83" i="6" s="1"/>
  <c r="F28" i="9"/>
  <c r="F33" i="9" s="1"/>
  <c r="F34" i="9" s="1"/>
  <c r="C88" i="15"/>
  <c r="F98" i="6"/>
  <c r="C91" i="15" s="1"/>
  <c r="C49" i="11"/>
  <c r="B143" i="12" s="1"/>
  <c r="L27" i="8"/>
  <c r="L34" i="8" s="1"/>
  <c r="L33" i="8"/>
  <c r="J101" i="6" s="1"/>
  <c r="JI27" i="8"/>
  <c r="JI34" i="8" s="1"/>
  <c r="JI33" i="8"/>
  <c r="Q27" i="8"/>
  <c r="Q34" i="8" s="1"/>
  <c r="Q33" i="8"/>
  <c r="O101" i="6" s="1"/>
  <c r="K27" i="8"/>
  <c r="K34" i="8" s="1"/>
  <c r="K33" i="8"/>
  <c r="I101" i="6" s="1"/>
  <c r="JJ27" i="8"/>
  <c r="JJ34" i="8" s="1"/>
  <c r="JJ33" i="8"/>
  <c r="JH101" i="6" s="1"/>
  <c r="JD27" i="8"/>
  <c r="JD34" i="8" s="1"/>
  <c r="JD33" i="8"/>
  <c r="JB101" i="6" s="1"/>
  <c r="JQ27" i="8"/>
  <c r="JQ34" i="8" s="1"/>
  <c r="JQ33" i="8"/>
  <c r="JO101" i="6" s="1"/>
  <c r="S33" i="8"/>
  <c r="Q101" i="6" s="1"/>
  <c r="S27" i="8"/>
  <c r="S34" i="8" s="1"/>
  <c r="JC33" i="8"/>
  <c r="JA101" i="6" s="1"/>
  <c r="JC27" i="8"/>
  <c r="JC34" i="8" s="1"/>
  <c r="E27" i="8"/>
  <c r="E34" i="8" s="1"/>
  <c r="E33" i="8"/>
  <c r="H27" i="8"/>
  <c r="H34" i="8" s="1"/>
  <c r="H33" i="8"/>
  <c r="F101" i="6" s="1"/>
  <c r="JO33" i="8"/>
  <c r="JM101" i="6" s="1"/>
  <c r="JO27" i="8"/>
  <c r="JO34" i="8" s="1"/>
  <c r="JG27" i="8"/>
  <c r="JG34" i="8" s="1"/>
  <c r="JG33" i="8"/>
  <c r="JE101" i="6" s="1"/>
  <c r="N33" i="8"/>
  <c r="L101" i="6" s="1"/>
  <c r="N27" i="8"/>
  <c r="N34" i="8" s="1"/>
  <c r="JN27" i="8"/>
  <c r="JN34" i="8" s="1"/>
  <c r="JN33" i="8"/>
  <c r="JL101" i="6" s="1"/>
  <c r="T27" i="8"/>
  <c r="T33" i="8"/>
  <c r="R101" i="6" s="1"/>
  <c r="JT27" i="8"/>
  <c r="JT34" i="8" s="1"/>
  <c r="JT33" i="8"/>
  <c r="JR101" i="6" s="1"/>
  <c r="F33" i="8"/>
  <c r="D101" i="6" s="1"/>
  <c r="D102" i="6" s="1"/>
  <c r="D106" i="6" s="1"/>
  <c r="F27" i="8"/>
  <c r="F34" i="8" s="1"/>
  <c r="JM27" i="8"/>
  <c r="JM34" i="8" s="1"/>
  <c r="JM33" i="8"/>
  <c r="JK101" i="6" s="1"/>
  <c r="M33" i="8"/>
  <c r="K101" i="6" s="1"/>
  <c r="M27" i="8"/>
  <c r="M34" i="8" s="1"/>
  <c r="JH27" i="8"/>
  <c r="JH34" i="8" s="1"/>
  <c r="JH33" i="8"/>
  <c r="JF101" i="6" s="1"/>
  <c r="G27" i="8"/>
  <c r="G34" i="8" s="1"/>
  <c r="G33" i="8"/>
  <c r="E101" i="6" s="1"/>
  <c r="I33" i="8"/>
  <c r="G101" i="6" s="1"/>
  <c r="I27" i="8"/>
  <c r="I34" i="8" s="1"/>
  <c r="J33" i="8"/>
  <c r="H101" i="6" s="1"/>
  <c r="J27" i="8"/>
  <c r="J34" i="8" s="1"/>
  <c r="R33" i="8"/>
  <c r="P101" i="6" s="1"/>
  <c r="R27" i="8"/>
  <c r="R34" i="8" s="1"/>
  <c r="JK27" i="8"/>
  <c r="JK34" i="8" s="1"/>
  <c r="JK33" i="8"/>
  <c r="JI101" i="6" s="1"/>
  <c r="JE33" i="8"/>
  <c r="JC101" i="6" s="1"/>
  <c r="JE27" i="8"/>
  <c r="JE34" i="8" s="1"/>
  <c r="JF27" i="8"/>
  <c r="JF34" i="8" s="1"/>
  <c r="JF33" i="8"/>
  <c r="JD101" i="6" s="1"/>
  <c r="JS33" i="8"/>
  <c r="JQ101" i="6" s="1"/>
  <c r="JS27" i="8"/>
  <c r="JS34" i="8" s="1"/>
  <c r="JR33" i="8"/>
  <c r="JP101" i="6" s="1"/>
  <c r="JR27" i="8"/>
  <c r="JR34" i="8" s="1"/>
  <c r="JL27" i="8"/>
  <c r="JL34" i="8" s="1"/>
  <c r="JL33" i="8"/>
  <c r="JJ101" i="6" s="1"/>
  <c r="P33" i="8"/>
  <c r="N101" i="6" s="1"/>
  <c r="P27" i="8"/>
  <c r="P34" i="8" s="1"/>
  <c r="O33" i="8"/>
  <c r="M101" i="6" s="1"/>
  <c r="O27" i="8"/>
  <c r="O34" i="8" s="1"/>
  <c r="JP33" i="8"/>
  <c r="JN101" i="6" s="1"/>
  <c r="JP27" i="8"/>
  <c r="JP34" i="8" s="1"/>
  <c r="Y14" i="8"/>
  <c r="C75" i="15" l="1"/>
  <c r="F83" i="6"/>
  <c r="C77" i="6"/>
  <c r="C79" i="6" s="1"/>
  <c r="B69" i="15"/>
  <c r="B70" i="15" s="1"/>
  <c r="C86" i="6"/>
  <c r="B76" i="15"/>
  <c r="B84" i="15"/>
  <c r="C95" i="6"/>
  <c r="B75" i="15"/>
  <c r="C75" i="11"/>
  <c r="L83" i="6"/>
  <c r="E75" i="15"/>
  <c r="C51" i="11"/>
  <c r="B3" i="12"/>
  <c r="D75" i="15"/>
  <c r="I83" i="6"/>
  <c r="D94" i="15"/>
  <c r="T34" i="8"/>
  <c r="U22" i="8"/>
  <c r="D104" i="6"/>
  <c r="D6" i="9" s="1"/>
  <c r="D7" i="9" s="1"/>
  <c r="C94" i="15"/>
  <c r="E94" i="15"/>
  <c r="F94" i="15"/>
  <c r="CO94" i="15"/>
  <c r="CK94" i="15"/>
  <c r="C101" i="6"/>
  <c r="M14" i="1" s="1"/>
  <c r="C94" i="11"/>
  <c r="B5" i="12" s="1"/>
  <c r="CJ94" i="15"/>
  <c r="CM94" i="15"/>
  <c r="CN94" i="15"/>
  <c r="Y94" i="11"/>
  <c r="X5" i="12" s="1"/>
  <c r="JG101" i="6"/>
  <c r="CL94" i="15" s="1"/>
  <c r="E102" i="6"/>
  <c r="Y17" i="8"/>
  <c r="C61" i="11" l="1"/>
  <c r="C65" i="11" s="1"/>
  <c r="B40" i="12"/>
  <c r="I86" i="6"/>
  <c r="D76" i="15"/>
  <c r="L86" i="6"/>
  <c r="E76" i="15"/>
  <c r="C98" i="6"/>
  <c r="B91" i="15" s="1"/>
  <c r="C28" i="9"/>
  <c r="C33" i="9" s="1"/>
  <c r="C34" i="9" s="1"/>
  <c r="B88" i="15"/>
  <c r="C87" i="6"/>
  <c r="B79" i="15"/>
  <c r="B80" i="15" s="1"/>
  <c r="F86" i="6"/>
  <c r="C76" i="15"/>
  <c r="C76" i="11"/>
  <c r="B72" i="15"/>
  <c r="C81" i="6"/>
  <c r="U25" i="8"/>
  <c r="U29" i="8"/>
  <c r="B17" i="12"/>
  <c r="B22" i="12"/>
  <c r="B23" i="12" s="1"/>
  <c r="X22" i="12"/>
  <c r="X23" i="12" s="1"/>
  <c r="X17" i="12"/>
  <c r="B94" i="15"/>
  <c r="B95" i="15"/>
  <c r="E104" i="6"/>
  <c r="E106" i="6"/>
  <c r="B99" i="15" s="1"/>
  <c r="Y18" i="8"/>
  <c r="D81" i="6" l="1"/>
  <c r="E81" i="6" s="1"/>
  <c r="F81" i="6" s="1"/>
  <c r="I87" i="6"/>
  <c r="D79" i="15"/>
  <c r="D80" i="15" s="1"/>
  <c r="L87" i="6"/>
  <c r="E79" i="15"/>
  <c r="E80" i="15" s="1"/>
  <c r="F87" i="6"/>
  <c r="C79" i="15"/>
  <c r="C80" i="15" s="1"/>
  <c r="C79" i="11"/>
  <c r="C80" i="11" s="1"/>
  <c r="C104" i="6"/>
  <c r="C6" i="9" s="1"/>
  <c r="C7" i="9" s="1"/>
  <c r="C84" i="11"/>
  <c r="C88" i="11" s="1"/>
  <c r="C69" i="11"/>
  <c r="C70" i="11" s="1"/>
  <c r="C72" i="11" s="1"/>
  <c r="U32" i="8"/>
  <c r="S70" i="6" s="1"/>
  <c r="U26" i="8"/>
  <c r="X35" i="12"/>
  <c r="X36" i="12" s="1"/>
  <c r="X18" i="12"/>
  <c r="B18" i="12"/>
  <c r="B35" i="12"/>
  <c r="B36" i="12" s="1"/>
  <c r="F102" i="6"/>
  <c r="E6" i="9"/>
  <c r="E7" i="9" s="1"/>
  <c r="Y19" i="8"/>
  <c r="B97" i="15" l="1"/>
  <c r="B74" i="15"/>
  <c r="C91" i="11"/>
  <c r="B9" i="12"/>
  <c r="G81" i="6"/>
  <c r="U33" i="8"/>
  <c r="S101" i="6" s="1"/>
  <c r="U27" i="8"/>
  <c r="S31" i="9"/>
  <c r="F104" i="6"/>
  <c r="F106" i="6"/>
  <c r="Z14" i="8"/>
  <c r="H81" i="6" l="1"/>
  <c r="T121" i="12"/>
  <c r="B12" i="12"/>
  <c r="U34" i="8"/>
  <c r="V22" i="8"/>
  <c r="G102" i="6"/>
  <c r="G106" i="6" s="1"/>
  <c r="H102" i="6" s="1"/>
  <c r="H104" i="6" s="1"/>
  <c r="H6" i="9" s="1"/>
  <c r="H7" i="9" s="1"/>
  <c r="F6" i="9"/>
  <c r="F7" i="9" s="1"/>
  <c r="Z17" i="8"/>
  <c r="I81" i="6" l="1"/>
  <c r="C74" i="15"/>
  <c r="V29" i="8"/>
  <c r="V25" i="8"/>
  <c r="H106" i="6"/>
  <c r="C99" i="15" s="1"/>
  <c r="G104" i="6"/>
  <c r="G6" i="9" s="1"/>
  <c r="G7" i="9" s="1"/>
  <c r="C95" i="15"/>
  <c r="Z18" i="8"/>
  <c r="J81" i="6" l="1"/>
  <c r="K81" i="6" s="1"/>
  <c r="L81" i="6" s="1"/>
  <c r="V32" i="8"/>
  <c r="T70" i="6" s="1"/>
  <c r="V26" i="8"/>
  <c r="I102" i="6"/>
  <c r="I106" i="6" s="1"/>
  <c r="C97" i="15"/>
  <c r="Z19" i="8"/>
  <c r="D74" i="15" l="1"/>
  <c r="M81" i="6"/>
  <c r="V33" i="8"/>
  <c r="T101" i="6" s="1"/>
  <c r="G94" i="15" s="1"/>
  <c r="V27" i="8"/>
  <c r="T31" i="9"/>
  <c r="G63" i="15"/>
  <c r="I104" i="6"/>
  <c r="I6" i="9" s="1"/>
  <c r="I7" i="9" s="1"/>
  <c r="J102" i="6"/>
  <c r="J104" i="6" s="1"/>
  <c r="J6" i="9" s="1"/>
  <c r="J7" i="9" s="1"/>
  <c r="AA14" i="8"/>
  <c r="N81" i="6" l="1"/>
  <c r="C74" i="11" s="1"/>
  <c r="V34" i="8"/>
  <c r="W22" i="8"/>
  <c r="J106" i="6"/>
  <c r="AA17" i="8"/>
  <c r="E74" i="15" l="1"/>
  <c r="W25" i="8"/>
  <c r="W29" i="8"/>
  <c r="K102" i="6"/>
  <c r="AA18" i="8"/>
  <c r="W32" i="8" l="1"/>
  <c r="U70" i="6" s="1"/>
  <c r="W26" i="8"/>
  <c r="K104" i="6"/>
  <c r="K106" i="6"/>
  <c r="D99" i="15" s="1"/>
  <c r="D95" i="15"/>
  <c r="AA19" i="8"/>
  <c r="W33" i="8" l="1"/>
  <c r="U101" i="6" s="1"/>
  <c r="W27" i="8"/>
  <c r="U31" i="9"/>
  <c r="K6" i="9"/>
  <c r="K7" i="9" s="1"/>
  <c r="D97" i="15"/>
  <c r="L102" i="6"/>
  <c r="AB14" i="8"/>
  <c r="W34" i="8" l="1"/>
  <c r="X22" i="8"/>
  <c r="L104" i="6"/>
  <c r="L106" i="6"/>
  <c r="AB17" i="8"/>
  <c r="X25" i="8" l="1"/>
  <c r="X29" i="8"/>
  <c r="M102" i="6"/>
  <c r="L6" i="9"/>
  <c r="L7" i="9" s="1"/>
  <c r="AB18" i="8"/>
  <c r="X32" i="8" l="1"/>
  <c r="X26" i="8"/>
  <c r="M104" i="6"/>
  <c r="M106" i="6"/>
  <c r="AB19" i="8"/>
  <c r="X33" i="8" l="1"/>
  <c r="V101" i="6" s="1"/>
  <c r="X27" i="8"/>
  <c r="V70" i="6"/>
  <c r="M6" i="9"/>
  <c r="M7" i="9" s="1"/>
  <c r="N102" i="6"/>
  <c r="AC14" i="8"/>
  <c r="V31" i="9" l="1"/>
  <c r="X34" i="8"/>
  <c r="Y22" i="8"/>
  <c r="N104" i="6"/>
  <c r="C95" i="11"/>
  <c r="N106" i="6"/>
  <c r="E95" i="15"/>
  <c r="AC17" i="8"/>
  <c r="Y25" i="8" l="1"/>
  <c r="Y29" i="8"/>
  <c r="E99" i="15"/>
  <c r="C99" i="11"/>
  <c r="N6" i="9"/>
  <c r="N7" i="9" s="1"/>
  <c r="E97" i="15"/>
  <c r="C97" i="11"/>
  <c r="AC18" i="8"/>
  <c r="Y26" i="8" l="1"/>
  <c r="Y32" i="8"/>
  <c r="AC19" i="8"/>
  <c r="W70" i="6" l="1"/>
  <c r="Y33" i="8"/>
  <c r="W101" i="6" s="1"/>
  <c r="H94" i="15" s="1"/>
  <c r="Y27" i="8"/>
  <c r="AD14" i="8"/>
  <c r="Z22" i="8" l="1"/>
  <c r="Y34" i="8"/>
  <c r="W31" i="9"/>
  <c r="H63" i="15"/>
  <c r="AD17" i="8"/>
  <c r="Z29" i="8" l="1"/>
  <c r="Z25" i="8"/>
  <c r="AD18" i="8"/>
  <c r="Z32" i="8" l="1"/>
  <c r="Z26" i="8"/>
  <c r="AD19" i="8"/>
  <c r="Z33" i="8" l="1"/>
  <c r="Z27" i="8"/>
  <c r="X70" i="6"/>
  <c r="D63" i="11"/>
  <c r="C4" i="12" s="1"/>
  <c r="AE14" i="8"/>
  <c r="AA22" i="8" l="1"/>
  <c r="Z34" i="8"/>
  <c r="X31" i="9"/>
  <c r="X101" i="6"/>
  <c r="AE17" i="8"/>
  <c r="AA29" i="8" l="1"/>
  <c r="AA25" i="8"/>
  <c r="AE18" i="8"/>
  <c r="AA26" i="8" l="1"/>
  <c r="AA32" i="8"/>
  <c r="Y70" i="6" s="1"/>
  <c r="AE19" i="8"/>
  <c r="Y31" i="9" l="1"/>
  <c r="AA33" i="8"/>
  <c r="AA27" i="8"/>
  <c r="AF14" i="8"/>
  <c r="AB22" i="8" l="1"/>
  <c r="AA34" i="8"/>
  <c r="Y101" i="6"/>
  <c r="AF17" i="8"/>
  <c r="AB25" i="8" l="1"/>
  <c r="AB29" i="8"/>
  <c r="AF18" i="8"/>
  <c r="E4" i="33" l="1"/>
  <c r="E6" i="33"/>
  <c r="AB26" i="8"/>
  <c r="AB32" i="8"/>
  <c r="Z70" i="6" s="1"/>
  <c r="AF19" i="8"/>
  <c r="Z31" i="9" l="1"/>
  <c r="I63" i="15"/>
  <c r="AB33" i="8"/>
  <c r="AB27" i="8"/>
  <c r="E12" i="33"/>
  <c r="AG14" i="8"/>
  <c r="C91" i="14" l="1"/>
  <c r="G8" i="2" s="1"/>
  <c r="H8" i="2" s="1"/>
  <c r="P44" i="6"/>
  <c r="P56" i="6" s="1"/>
  <c r="P58" i="6" s="1"/>
  <c r="P68" i="6" s="1"/>
  <c r="P72" i="6" s="1"/>
  <c r="R44" i="6"/>
  <c r="V44" i="6"/>
  <c r="V56" i="6" s="1"/>
  <c r="Q44" i="6"/>
  <c r="Q56" i="6" s="1"/>
  <c r="Q58" i="6" s="1"/>
  <c r="Q68" i="6" s="1"/>
  <c r="Q72" i="6" s="1"/>
  <c r="T44" i="6"/>
  <c r="T56" i="6" s="1"/>
  <c r="S44" i="6"/>
  <c r="S56" i="6" s="1"/>
  <c r="X44" i="6"/>
  <c r="Z44" i="6"/>
  <c r="Z56" i="6" s="1"/>
  <c r="O44" i="6"/>
  <c r="Y44" i="6"/>
  <c r="Y56" i="6" s="1"/>
  <c r="W44" i="6"/>
  <c r="W56" i="6" s="1"/>
  <c r="U44" i="6"/>
  <c r="AB34" i="8"/>
  <c r="U189" i="12" s="1"/>
  <c r="AC22" i="8"/>
  <c r="Z101" i="6"/>
  <c r="I94" i="15" s="1"/>
  <c r="D94" i="11"/>
  <c r="C5" i="12" s="1"/>
  <c r="AG17" i="8"/>
  <c r="X56" i="6" l="1"/>
  <c r="I37" i="15"/>
  <c r="I49" i="15" s="1"/>
  <c r="Q91" i="6"/>
  <c r="Q95" i="6" s="1"/>
  <c r="Q76" i="6"/>
  <c r="Q77" i="6" s="1"/>
  <c r="Q79" i="6" s="1"/>
  <c r="Q82" i="6" s="1"/>
  <c r="Q83" i="6" s="1"/>
  <c r="Q86" i="6" s="1"/>
  <c r="Q87" i="6" s="1"/>
  <c r="AC25" i="8"/>
  <c r="AC29" i="8"/>
  <c r="U56" i="6"/>
  <c r="H37" i="15"/>
  <c r="H49" i="15" s="1"/>
  <c r="P76" i="6"/>
  <c r="P77" i="6" s="1"/>
  <c r="P79" i="6" s="1"/>
  <c r="P82" i="6" s="1"/>
  <c r="P83" i="6" s="1"/>
  <c r="P86" i="6" s="1"/>
  <c r="P87" i="6" s="1"/>
  <c r="P91" i="6"/>
  <c r="P95" i="6" s="1"/>
  <c r="O56" i="6"/>
  <c r="D37" i="11"/>
  <c r="C131" i="12" s="1"/>
  <c r="F37" i="15"/>
  <c r="F49" i="15" s="1"/>
  <c r="F51" i="15" s="1"/>
  <c r="F61" i="15" s="1"/>
  <c r="F65" i="15" s="1"/>
  <c r="G37" i="15"/>
  <c r="G49" i="15" s="1"/>
  <c r="R56" i="6"/>
  <c r="AG18" i="8"/>
  <c r="D49" i="11" l="1"/>
  <c r="U97" i="12"/>
  <c r="N4" i="1"/>
  <c r="O58" i="6"/>
  <c r="O68" i="6" s="1"/>
  <c r="O72" i="6" s="1"/>
  <c r="P98" i="6"/>
  <c r="P28" i="9"/>
  <c r="P33" i="9" s="1"/>
  <c r="P34" i="9" s="1"/>
  <c r="AC32" i="8"/>
  <c r="AA70" i="6" s="1"/>
  <c r="AC26" i="8"/>
  <c r="Q98" i="6"/>
  <c r="Q28" i="9"/>
  <c r="Q33" i="9" s="1"/>
  <c r="Q34" i="9" s="1"/>
  <c r="AG19" i="8"/>
  <c r="C3" i="12" l="1"/>
  <c r="C143" i="12"/>
  <c r="AC33" i="8"/>
  <c r="AA101" i="6" s="1"/>
  <c r="AC27" i="8"/>
  <c r="O76" i="6"/>
  <c r="O91" i="6"/>
  <c r="AA31" i="9"/>
  <c r="AH14" i="8"/>
  <c r="C22" i="12" l="1"/>
  <c r="C23" i="12" s="1"/>
  <c r="C17" i="12"/>
  <c r="O95" i="6"/>
  <c r="F84" i="15"/>
  <c r="O77" i="6"/>
  <c r="O79" i="6" s="1"/>
  <c r="F69" i="15"/>
  <c r="F70" i="15" s="1"/>
  <c r="AD22" i="8"/>
  <c r="AC34" i="8"/>
  <c r="AH17" i="8"/>
  <c r="C35" i="12" l="1"/>
  <c r="C36" i="12" s="1"/>
  <c r="C18" i="12"/>
  <c r="AD29" i="8"/>
  <c r="AD25" i="8"/>
  <c r="O98" i="6"/>
  <c r="F88" i="15"/>
  <c r="O28" i="9"/>
  <c r="O33" i="9" s="1"/>
  <c r="O34" i="9" s="1"/>
  <c r="O81" i="6"/>
  <c r="O82" i="6"/>
  <c r="F72" i="15"/>
  <c r="AH18" i="8"/>
  <c r="F75" i="15" l="1"/>
  <c r="O83" i="6"/>
  <c r="P81" i="6"/>
  <c r="Q81" i="6" s="1"/>
  <c r="O102" i="6"/>
  <c r="F91" i="15"/>
  <c r="AD32" i="8"/>
  <c r="AB70" i="6" s="1"/>
  <c r="AD26" i="8"/>
  <c r="AH19" i="8"/>
  <c r="F74" i="15" l="1"/>
  <c r="O104" i="6"/>
  <c r="O106" i="6"/>
  <c r="P102" i="6" s="1"/>
  <c r="P104" i="6" s="1"/>
  <c r="P6" i="9" s="1"/>
  <c r="P7" i="9" s="1"/>
  <c r="AB31" i="9"/>
  <c r="AD33" i="8"/>
  <c r="AB101" i="6" s="1"/>
  <c r="AD27" i="8"/>
  <c r="O86" i="6"/>
  <c r="F76" i="15"/>
  <c r="AI14" i="8"/>
  <c r="P106" i="6" l="1"/>
  <c r="Q102" i="6" s="1"/>
  <c r="Q104" i="6" s="1"/>
  <c r="Q6" i="9" s="1"/>
  <c r="Q7" i="9" s="1"/>
  <c r="O87" i="6"/>
  <c r="F79" i="15"/>
  <c r="F80" i="15" s="1"/>
  <c r="AE22" i="8"/>
  <c r="AD34" i="8"/>
  <c r="O6" i="9"/>
  <c r="O7" i="9" s="1"/>
  <c r="AI17" i="8"/>
  <c r="F97" i="15" l="1"/>
  <c r="F95" i="15"/>
  <c r="Q106" i="6"/>
  <c r="AE29" i="8"/>
  <c r="AE25" i="8"/>
  <c r="AI18" i="8"/>
  <c r="F99" i="15" l="1"/>
  <c r="AE26" i="8"/>
  <c r="AE32" i="8"/>
  <c r="AC70" i="6" s="1"/>
  <c r="AI19" i="8"/>
  <c r="AC31" i="9" l="1"/>
  <c r="J63" i="15"/>
  <c r="AE33" i="8"/>
  <c r="AC101" i="6" s="1"/>
  <c r="J94" i="15" s="1"/>
  <c r="AE27" i="8"/>
  <c r="AJ14" i="8"/>
  <c r="AF22" i="8" l="1"/>
  <c r="AE34" i="8"/>
  <c r="AJ17" i="8"/>
  <c r="AF25" i="8" l="1"/>
  <c r="AF29" i="8"/>
  <c r="AJ18" i="8"/>
  <c r="AF26" i="8" l="1"/>
  <c r="AF32" i="8"/>
  <c r="AD70" i="6" s="1"/>
  <c r="AJ19" i="8"/>
  <c r="AD31" i="9" l="1"/>
  <c r="AF33" i="8"/>
  <c r="AD101" i="6" s="1"/>
  <c r="AF27" i="8"/>
  <c r="AK14" i="8"/>
  <c r="AG22" i="8" l="1"/>
  <c r="AF34" i="8"/>
  <c r="AK17" i="8"/>
  <c r="AG29" i="8" l="1"/>
  <c r="AG25" i="8"/>
  <c r="AK18" i="8"/>
  <c r="AG26" i="8" l="1"/>
  <c r="AG32" i="8"/>
  <c r="AE70" i="6" s="1"/>
  <c r="AK19" i="8"/>
  <c r="AE31" i="9" l="1"/>
  <c r="AG33" i="8"/>
  <c r="AE101" i="6" s="1"/>
  <c r="AG27" i="8"/>
  <c r="AL14" i="8"/>
  <c r="AG34" i="8" l="1"/>
  <c r="AH22" i="8"/>
  <c r="AL17" i="8"/>
  <c r="AH29" i="8" l="1"/>
  <c r="AH25" i="8"/>
  <c r="AL18" i="8"/>
  <c r="AH26" i="8" l="1"/>
  <c r="AH32" i="8"/>
  <c r="AF70" i="6" s="1"/>
  <c r="AL19" i="8"/>
  <c r="AF31" i="9" l="1"/>
  <c r="K63" i="15"/>
  <c r="AH33" i="8"/>
  <c r="AF101" i="6" s="1"/>
  <c r="K94" i="15" s="1"/>
  <c r="AH27" i="8"/>
  <c r="AM14" i="8"/>
  <c r="AH34" i="8" l="1"/>
  <c r="AI22" i="8"/>
  <c r="AM17" i="8"/>
  <c r="AI29" i="8" l="1"/>
  <c r="AI25" i="8"/>
  <c r="AM18" i="8"/>
  <c r="AI26" i="8" l="1"/>
  <c r="AI32" i="8"/>
  <c r="AG70" i="6" s="1"/>
  <c r="AM19" i="8"/>
  <c r="AG31" i="9" l="1"/>
  <c r="AI33" i="8"/>
  <c r="AG101" i="6" s="1"/>
  <c r="AI27" i="8"/>
  <c r="AN14" i="8"/>
  <c r="AJ22" i="8" l="1"/>
  <c r="AI34" i="8"/>
  <c r="AN17" i="8"/>
  <c r="AJ25" i="8" l="1"/>
  <c r="AJ29" i="8"/>
  <c r="AN18" i="8"/>
  <c r="AJ26" i="8" l="1"/>
  <c r="AJ32" i="8"/>
  <c r="AN19" i="8"/>
  <c r="AH70" i="6" l="1"/>
  <c r="AJ33" i="8"/>
  <c r="AH101" i="6" s="1"/>
  <c r="AJ27" i="8"/>
  <c r="AO14" i="8"/>
  <c r="AK22" i="8" l="1"/>
  <c r="AJ34" i="8"/>
  <c r="AH31" i="9"/>
  <c r="AO17" i="8"/>
  <c r="AK29" i="8" l="1"/>
  <c r="AK25" i="8"/>
  <c r="AO18" i="8"/>
  <c r="AK26" i="8" l="1"/>
  <c r="AK32" i="8"/>
  <c r="AO19" i="8"/>
  <c r="AI70" i="6" l="1"/>
  <c r="AK33" i="8"/>
  <c r="AI101" i="6" s="1"/>
  <c r="L94" i="15" s="1"/>
  <c r="AK27" i="8"/>
  <c r="AP14" i="8"/>
  <c r="AL22" i="8" l="1"/>
  <c r="AK34" i="8"/>
  <c r="AI31" i="9"/>
  <c r="L63" i="15"/>
  <c r="AP17" i="8"/>
  <c r="AL29" i="8" l="1"/>
  <c r="AL25" i="8"/>
  <c r="AP18" i="8"/>
  <c r="AL26" i="8" l="1"/>
  <c r="AL32" i="8"/>
  <c r="AP19" i="8"/>
  <c r="AJ70" i="6" l="1"/>
  <c r="E63" i="11"/>
  <c r="D4" i="12" s="1"/>
  <c r="AL33" i="8"/>
  <c r="AL27" i="8"/>
  <c r="AQ14" i="8"/>
  <c r="AM22" i="8" l="1"/>
  <c r="AL34" i="8"/>
  <c r="AJ101" i="6"/>
  <c r="AJ31" i="9"/>
  <c r="AQ17" i="8"/>
  <c r="AM29" i="8" l="1"/>
  <c r="AM25" i="8"/>
  <c r="AQ18" i="8"/>
  <c r="AM32" i="8" l="1"/>
  <c r="AK70" i="6" s="1"/>
  <c r="AM26" i="8"/>
  <c r="AQ19" i="8"/>
  <c r="AM33" i="8" l="1"/>
  <c r="AM27" i="8"/>
  <c r="AK31" i="9"/>
  <c r="AR14" i="8"/>
  <c r="AN22" i="8" l="1"/>
  <c r="AM34" i="8"/>
  <c r="AK101" i="6"/>
  <c r="AR17" i="8"/>
  <c r="AN25" i="8" l="1"/>
  <c r="AN29" i="8"/>
  <c r="AR18" i="8"/>
  <c r="F6" i="33" l="1"/>
  <c r="F4" i="33"/>
  <c r="AN26" i="8"/>
  <c r="AN32" i="8"/>
  <c r="AL70" i="6" s="1"/>
  <c r="AR19" i="8"/>
  <c r="F12" i="33" l="1"/>
  <c r="AL31" i="9"/>
  <c r="M63" i="15"/>
  <c r="AB44" i="6"/>
  <c r="AB56" i="6" s="1"/>
  <c r="AJ44" i="6"/>
  <c r="AA44" i="6"/>
  <c r="AK44" i="6"/>
  <c r="AK56" i="6" s="1"/>
  <c r="AL44" i="6"/>
  <c r="AL56" i="6" s="1"/>
  <c r="AF44" i="6"/>
  <c r="AF56" i="6" s="1"/>
  <c r="AG44" i="6"/>
  <c r="AE44" i="6"/>
  <c r="AE56" i="6" s="1"/>
  <c r="AC44" i="6"/>
  <c r="AC56" i="6" s="1"/>
  <c r="AD44" i="6"/>
  <c r="AH44" i="6"/>
  <c r="AH56" i="6" s="1"/>
  <c r="C76" i="1" s="1"/>
  <c r="AI44" i="6"/>
  <c r="AI56" i="6" s="1"/>
  <c r="AN33" i="8"/>
  <c r="AN27" i="8"/>
  <c r="AS14" i="8"/>
  <c r="AJ56" i="6" l="1"/>
  <c r="M37" i="15"/>
  <c r="M49" i="15" s="1"/>
  <c r="AN34" i="8"/>
  <c r="V189" i="12" s="1"/>
  <c r="AO22" i="8"/>
  <c r="AD56" i="6"/>
  <c r="K37" i="15"/>
  <c r="K49" i="15" s="1"/>
  <c r="AG56" i="6"/>
  <c r="L37" i="15"/>
  <c r="L49" i="15" s="1"/>
  <c r="AA56" i="6"/>
  <c r="J37" i="15"/>
  <c r="J49" i="15" s="1"/>
  <c r="E37" i="11"/>
  <c r="D131" i="12" s="1"/>
  <c r="AL101" i="6"/>
  <c r="M94" i="15" s="1"/>
  <c r="E94" i="11"/>
  <c r="D5" i="12" s="1"/>
  <c r="AS17" i="8"/>
  <c r="E49" i="11" l="1"/>
  <c r="V97" i="12"/>
  <c r="O4" i="1"/>
  <c r="M33" i="1"/>
  <c r="AO29" i="8"/>
  <c r="AO25" i="8"/>
  <c r="AS18" i="8"/>
  <c r="D3" i="12" l="1"/>
  <c r="D22" i="12" s="1"/>
  <c r="D23" i="12" s="1"/>
  <c r="D143" i="12"/>
  <c r="AO26" i="8"/>
  <c r="AO32" i="8"/>
  <c r="AM70" i="6" s="1"/>
  <c r="AS19" i="8"/>
  <c r="D17" i="12" l="1"/>
  <c r="AM31" i="9"/>
  <c r="AO33" i="8"/>
  <c r="AM101" i="6" s="1"/>
  <c r="AO27" i="8"/>
  <c r="AT14" i="8"/>
  <c r="D18" i="12" l="1"/>
  <c r="D35" i="12"/>
  <c r="D36" i="12" s="1"/>
  <c r="AP22" i="8"/>
  <c r="AO34" i="8"/>
  <c r="AT17" i="8"/>
  <c r="AP29" i="8" l="1"/>
  <c r="AP25" i="8"/>
  <c r="AT18" i="8"/>
  <c r="AP32" i="8" l="1"/>
  <c r="AN70" i="6" s="1"/>
  <c r="AP26" i="8"/>
  <c r="AT19" i="8"/>
  <c r="AP33" i="8" l="1"/>
  <c r="AN101" i="6" s="1"/>
  <c r="AP27" i="8"/>
  <c r="AN31" i="9"/>
  <c r="AU14" i="8"/>
  <c r="AQ22" i="8" l="1"/>
  <c r="AP34" i="8"/>
  <c r="AU17" i="8"/>
  <c r="AQ25" i="8" l="1"/>
  <c r="AQ29" i="8"/>
  <c r="AU18" i="8"/>
  <c r="AQ26" i="8" l="1"/>
  <c r="AQ32" i="8"/>
  <c r="AO70" i="6" s="1"/>
  <c r="AU19" i="8"/>
  <c r="AO31" i="9" l="1"/>
  <c r="N63" i="15"/>
  <c r="AQ33" i="8"/>
  <c r="AO101" i="6" s="1"/>
  <c r="N94" i="15" s="1"/>
  <c r="AQ27" i="8"/>
  <c r="AV14" i="8"/>
  <c r="AQ34" i="8" l="1"/>
  <c r="AR22" i="8"/>
  <c r="AV17" i="8"/>
  <c r="AR29" i="8" l="1"/>
  <c r="AR25" i="8"/>
  <c r="AV18" i="8"/>
  <c r="AR26" i="8" l="1"/>
  <c r="AR32" i="8"/>
  <c r="AP70" i="6" s="1"/>
  <c r="AV19" i="8"/>
  <c r="AP31" i="9" l="1"/>
  <c r="AR33" i="8"/>
  <c r="AP101" i="6" s="1"/>
  <c r="AR27" i="8"/>
  <c r="AW14" i="8"/>
  <c r="AS22" i="8" l="1"/>
  <c r="AR34" i="8"/>
  <c r="AW17" i="8"/>
  <c r="AS29" i="8" l="1"/>
  <c r="AS25" i="8"/>
  <c r="AW18" i="8"/>
  <c r="AS32" i="8" l="1"/>
  <c r="AQ70" i="6" s="1"/>
  <c r="AS26" i="8"/>
  <c r="AW19" i="8"/>
  <c r="AS33" i="8" l="1"/>
  <c r="AQ101" i="6" s="1"/>
  <c r="AS27" i="8"/>
  <c r="AQ31" i="9"/>
  <c r="AX14" i="8"/>
  <c r="AS34" i="8" l="1"/>
  <c r="AT22" i="8"/>
  <c r="AX17" i="8"/>
  <c r="AT29" i="8" l="1"/>
  <c r="AT25" i="8"/>
  <c r="AX18" i="8"/>
  <c r="AT26" i="8" l="1"/>
  <c r="AT32" i="8"/>
  <c r="AR70" i="6" s="1"/>
  <c r="AX19" i="8"/>
  <c r="AR31" i="9" l="1"/>
  <c r="O63" i="15"/>
  <c r="AT33" i="8"/>
  <c r="AR101" i="6" s="1"/>
  <c r="O94" i="15" s="1"/>
  <c r="AT27" i="8"/>
  <c r="AY14" i="8"/>
  <c r="AT34" i="8" l="1"/>
  <c r="AU22" i="8"/>
  <c r="AY17" i="8"/>
  <c r="AU25" i="8" l="1"/>
  <c r="AU29" i="8"/>
  <c r="AY18" i="8"/>
  <c r="AU26" i="8" l="1"/>
  <c r="AU32" i="8"/>
  <c r="AS70" i="6" s="1"/>
  <c r="AY19" i="8"/>
  <c r="AS31" i="9" l="1"/>
  <c r="AU33" i="8"/>
  <c r="AS101" i="6" s="1"/>
  <c r="AU27" i="8"/>
  <c r="AZ14" i="8"/>
  <c r="AU34" i="8" l="1"/>
  <c r="AV22" i="8"/>
  <c r="AZ17" i="8"/>
  <c r="AV29" i="8" l="1"/>
  <c r="AV25" i="8"/>
  <c r="AZ18" i="8"/>
  <c r="AV26" i="8" l="1"/>
  <c r="AV32" i="8"/>
  <c r="AT70" i="6" s="1"/>
  <c r="AZ19" i="8"/>
  <c r="AT31" i="9" l="1"/>
  <c r="AV33" i="8"/>
  <c r="AT101" i="6" s="1"/>
  <c r="AV27" i="8"/>
  <c r="BA14" i="8"/>
  <c r="AW22" i="8" l="1"/>
  <c r="AV34" i="8"/>
  <c r="BA17" i="8"/>
  <c r="AW29" i="8" l="1"/>
  <c r="AW25" i="8"/>
  <c r="BA18" i="8"/>
  <c r="AW32" i="8" l="1"/>
  <c r="AU70" i="6" s="1"/>
  <c r="AW26" i="8"/>
  <c r="BA19" i="8"/>
  <c r="AW33" i="8" l="1"/>
  <c r="AU101" i="6" s="1"/>
  <c r="P94" i="15" s="1"/>
  <c r="AW27" i="8"/>
  <c r="AU31" i="9"/>
  <c r="P63" i="15"/>
  <c r="BB14" i="8"/>
  <c r="AX22" i="8" l="1"/>
  <c r="AW34" i="8"/>
  <c r="BB17" i="8"/>
  <c r="AX25" i="8" l="1"/>
  <c r="AX29" i="8"/>
  <c r="BB18" i="8"/>
  <c r="AX26" i="8" l="1"/>
  <c r="AX32" i="8"/>
  <c r="BB19" i="8"/>
  <c r="AV70" i="6" l="1"/>
  <c r="AX33" i="8"/>
  <c r="AX27" i="8"/>
  <c r="BC14" i="8"/>
  <c r="AV101" i="6" l="1"/>
  <c r="AX34" i="8"/>
  <c r="AY22" i="8"/>
  <c r="AV31" i="9"/>
  <c r="BC17" i="8"/>
  <c r="AY25" i="8" l="1"/>
  <c r="AY29" i="8"/>
  <c r="BC18" i="8"/>
  <c r="AY32" i="8" l="1"/>
  <c r="AY26" i="8"/>
  <c r="BC19" i="8"/>
  <c r="AY33" i="8" l="1"/>
  <c r="AY27" i="8"/>
  <c r="AW70" i="6"/>
  <c r="BD14" i="8"/>
  <c r="AW31" i="9" l="1"/>
  <c r="AZ22" i="8"/>
  <c r="AY34" i="8"/>
  <c r="AW101" i="6"/>
  <c r="BD17" i="8"/>
  <c r="AZ29" i="8" l="1"/>
  <c r="AZ25" i="8"/>
  <c r="BD18" i="8"/>
  <c r="AZ26" i="8" l="1"/>
  <c r="AZ32" i="8"/>
  <c r="G6" i="33"/>
  <c r="G4" i="33"/>
  <c r="BD19" i="8"/>
  <c r="G12" i="33" l="1"/>
  <c r="AP44" i="6" s="1"/>
  <c r="AX70" i="6"/>
  <c r="F63" i="11"/>
  <c r="E4" i="12" s="1"/>
  <c r="AZ33" i="8"/>
  <c r="AZ27" i="8"/>
  <c r="BE14" i="8"/>
  <c r="AO44" i="6" l="1"/>
  <c r="AO56" i="6" s="1"/>
  <c r="AQ44" i="6"/>
  <c r="AQ56" i="6" s="1"/>
  <c r="AV44" i="6"/>
  <c r="AT44" i="6"/>
  <c r="AT56" i="6" s="1"/>
  <c r="AW44" i="6"/>
  <c r="AW56" i="6" s="1"/>
  <c r="AU44" i="6"/>
  <c r="AU56" i="6" s="1"/>
  <c r="AN44" i="6"/>
  <c r="AN56" i="6" s="1"/>
  <c r="AR44" i="6"/>
  <c r="AR56" i="6" s="1"/>
  <c r="AX44" i="6"/>
  <c r="AX56" i="6" s="1"/>
  <c r="AS44" i="6"/>
  <c r="AM44" i="6"/>
  <c r="AM56" i="6" s="1"/>
  <c r="AZ34" i="8"/>
  <c r="W189" i="12" s="1"/>
  <c r="BA22" i="8"/>
  <c r="AV56" i="6"/>
  <c r="Q37" i="15"/>
  <c r="Q49" i="15" s="1"/>
  <c r="AX101" i="6"/>
  <c r="Q94" i="15" s="1"/>
  <c r="F94" i="11"/>
  <c r="E5" i="12" s="1"/>
  <c r="AX31" i="9"/>
  <c r="Q63" i="15"/>
  <c r="AP56" i="6"/>
  <c r="BE17" i="8"/>
  <c r="N37" i="15" l="1"/>
  <c r="N49" i="15" s="1"/>
  <c r="F37" i="11"/>
  <c r="E131" i="12" s="1"/>
  <c r="N149" i="12" s="1"/>
  <c r="P37" i="15"/>
  <c r="P49" i="15" s="1"/>
  <c r="O37" i="15"/>
  <c r="O49" i="15" s="1"/>
  <c r="AS56" i="6"/>
  <c r="P4" i="1" s="1"/>
  <c r="F49" i="11"/>
  <c r="W97" i="12"/>
  <c r="BA25" i="8"/>
  <c r="BA29" i="8"/>
  <c r="BE18" i="8"/>
  <c r="N33" i="1" l="1"/>
  <c r="E3" i="12"/>
  <c r="E17" i="12" s="1"/>
  <c r="E18" i="12" s="1"/>
  <c r="E143" i="12"/>
  <c r="BA26" i="8"/>
  <c r="BA32" i="8"/>
  <c r="AY70" i="6" s="1"/>
  <c r="BE19" i="8"/>
  <c r="E35" i="12" l="1"/>
  <c r="E36" i="12" s="1"/>
  <c r="E22" i="12"/>
  <c r="E23" i="12" s="1"/>
  <c r="AY31" i="9"/>
  <c r="BA33" i="8"/>
  <c r="AY101" i="6" s="1"/>
  <c r="BA27" i="8"/>
  <c r="BF14" i="8"/>
  <c r="BB22" i="8" l="1"/>
  <c r="BA34" i="8"/>
  <c r="BF17" i="8"/>
  <c r="BB29" i="8" l="1"/>
  <c r="BB25" i="8"/>
  <c r="BF18" i="8"/>
  <c r="BB32" i="8" l="1"/>
  <c r="AZ70" i="6" s="1"/>
  <c r="BB26" i="8"/>
  <c r="BF19" i="8"/>
  <c r="BB33" i="8" l="1"/>
  <c r="AZ101" i="6" s="1"/>
  <c r="BB27" i="8"/>
  <c r="AZ31" i="9"/>
  <c r="BG14" i="8"/>
  <c r="BC22" i="8" l="1"/>
  <c r="BB34" i="8"/>
  <c r="BG17" i="8"/>
  <c r="BC25" i="8" l="1"/>
  <c r="BC29" i="8"/>
  <c r="BG18" i="8"/>
  <c r="BC32" i="8" l="1"/>
  <c r="BA70" i="6" s="1"/>
  <c r="BC26" i="8"/>
  <c r="BG19" i="8"/>
  <c r="BC33" i="8" l="1"/>
  <c r="BA101" i="6" s="1"/>
  <c r="R94" i="15" s="1"/>
  <c r="BC27" i="8"/>
  <c r="BA31" i="9"/>
  <c r="R63" i="15"/>
  <c r="BH14" i="8"/>
  <c r="BD22" i="8" l="1"/>
  <c r="BC34" i="8"/>
  <c r="BH17" i="8"/>
  <c r="BD25" i="8" l="1"/>
  <c r="BD29" i="8"/>
  <c r="BH18" i="8"/>
  <c r="BD32" i="8" l="1"/>
  <c r="BB70" i="6" s="1"/>
  <c r="BD26" i="8"/>
  <c r="BH19" i="8"/>
  <c r="BD33" i="8" l="1"/>
  <c r="BB101" i="6" s="1"/>
  <c r="BD27" i="8"/>
  <c r="BB31" i="9"/>
  <c r="BI14" i="8"/>
  <c r="BE22" i="8" l="1"/>
  <c r="BD34" i="8"/>
  <c r="BI17" i="8"/>
  <c r="BE29" i="8" l="1"/>
  <c r="BE25" i="8"/>
  <c r="BI18" i="8"/>
  <c r="BE32" i="8" l="1"/>
  <c r="BC70" i="6" s="1"/>
  <c r="BE26" i="8"/>
  <c r="BI19" i="8"/>
  <c r="BE33" i="8" l="1"/>
  <c r="BC101" i="6" s="1"/>
  <c r="BE27" i="8"/>
  <c r="BC31" i="9"/>
  <c r="BJ14" i="8"/>
  <c r="BF22" i="8" l="1"/>
  <c r="BE34" i="8"/>
  <c r="BJ17" i="8"/>
  <c r="BF25" i="8" l="1"/>
  <c r="BF29" i="8"/>
  <c r="BJ18" i="8"/>
  <c r="BF26" i="8" l="1"/>
  <c r="BF32" i="8"/>
  <c r="BD70" i="6" s="1"/>
  <c r="BJ19" i="8"/>
  <c r="BD31" i="9" l="1"/>
  <c r="S63" i="15"/>
  <c r="BF33" i="8"/>
  <c r="BD101" i="6" s="1"/>
  <c r="S94" i="15" s="1"/>
  <c r="BF27" i="8"/>
  <c r="BK14" i="8"/>
  <c r="BG22" i="8" l="1"/>
  <c r="BF34" i="8"/>
  <c r="BK17" i="8"/>
  <c r="BG25" i="8" l="1"/>
  <c r="BG29" i="8"/>
  <c r="BK18" i="8"/>
  <c r="BG26" i="8" l="1"/>
  <c r="BG32" i="8"/>
  <c r="BE70" i="6" s="1"/>
  <c r="BK19" i="8"/>
  <c r="BE31" i="9" l="1"/>
  <c r="BG33" i="8"/>
  <c r="BE101" i="6" s="1"/>
  <c r="BG27" i="8"/>
  <c r="BL14" i="8"/>
  <c r="BH22" i="8" l="1"/>
  <c r="BG34" i="8"/>
  <c r="BL17" i="8"/>
  <c r="BH25" i="8" l="1"/>
  <c r="BH29" i="8"/>
  <c r="BL18" i="8"/>
  <c r="BH32" i="8" l="1"/>
  <c r="BF70" i="6" s="1"/>
  <c r="BH26" i="8"/>
  <c r="BL19" i="8"/>
  <c r="BH33" i="8" l="1"/>
  <c r="BF101" i="6" s="1"/>
  <c r="BH27" i="8"/>
  <c r="BF31" i="9"/>
  <c r="BM14" i="8"/>
  <c r="BH34" i="8" l="1"/>
  <c r="BI22" i="8"/>
  <c r="BM17" i="8"/>
  <c r="BI29" i="8" l="1"/>
  <c r="BI25" i="8"/>
  <c r="BM18" i="8"/>
  <c r="BI26" i="8" l="1"/>
  <c r="BI32" i="8"/>
  <c r="BG70" i="6" s="1"/>
  <c r="BM19" i="8"/>
  <c r="BG31" i="9" l="1"/>
  <c r="T63" i="15"/>
  <c r="BI33" i="8"/>
  <c r="BG101" i="6" s="1"/>
  <c r="T94" i="15" s="1"/>
  <c r="BI27" i="8"/>
  <c r="BN14" i="8"/>
  <c r="BI34" i="8" l="1"/>
  <c r="BJ22" i="8"/>
  <c r="BN17" i="8"/>
  <c r="BJ25" i="8" l="1"/>
  <c r="BJ29" i="8"/>
  <c r="BN18" i="8"/>
  <c r="BJ26" i="8" l="1"/>
  <c r="BJ32" i="8"/>
  <c r="BN19" i="8"/>
  <c r="BH70" i="6" l="1"/>
  <c r="BJ33" i="8"/>
  <c r="BJ27" i="8"/>
  <c r="BO14" i="8"/>
  <c r="BK22" i="8" l="1"/>
  <c r="BJ34" i="8"/>
  <c r="BH101" i="6"/>
  <c r="BH31" i="9"/>
  <c r="BO17" i="8"/>
  <c r="BK25" i="8" l="1"/>
  <c r="BK29" i="8"/>
  <c r="BO18" i="8"/>
  <c r="BK32" i="8" l="1"/>
  <c r="BK26" i="8"/>
  <c r="BO19" i="8"/>
  <c r="BK33" i="8" l="1"/>
  <c r="BK27" i="8"/>
  <c r="BI70" i="6"/>
  <c r="BP14" i="8"/>
  <c r="BI31" i="9" l="1"/>
  <c r="BL22" i="8"/>
  <c r="BK34" i="8"/>
  <c r="BI101" i="6"/>
  <c r="BP17" i="8"/>
  <c r="BL25" i="8" l="1"/>
  <c r="BL29" i="8"/>
  <c r="BP18" i="8"/>
  <c r="H6" i="33" l="1"/>
  <c r="H4" i="33"/>
  <c r="BL32" i="8"/>
  <c r="BL26" i="8"/>
  <c r="BP19" i="8"/>
  <c r="H12" i="33" l="1"/>
  <c r="BG44" i="6" s="1"/>
  <c r="BG56" i="6" s="1"/>
  <c r="BL33" i="8"/>
  <c r="BL27" i="8"/>
  <c r="BJ70" i="6"/>
  <c r="G63" i="11"/>
  <c r="F4" i="12" s="1"/>
  <c r="BQ14" i="8"/>
  <c r="BD44" i="6" l="1"/>
  <c r="BD56" i="6" s="1"/>
  <c r="BA44" i="6"/>
  <c r="BA56" i="6" s="1"/>
  <c r="BE44" i="6"/>
  <c r="BE56" i="6" s="1"/>
  <c r="AZ44" i="6"/>
  <c r="AZ56" i="6" s="1"/>
  <c r="AY44" i="6"/>
  <c r="AY56" i="6" s="1"/>
  <c r="BF44" i="6"/>
  <c r="BF56" i="6" s="1"/>
  <c r="BH44" i="6"/>
  <c r="BH56" i="6" s="1"/>
  <c r="BC44" i="6"/>
  <c r="BC56" i="6" s="1"/>
  <c r="BB44" i="6"/>
  <c r="BB56" i="6" s="1"/>
  <c r="BJ44" i="6"/>
  <c r="BJ56" i="6" s="1"/>
  <c r="BI44" i="6"/>
  <c r="BI56" i="6" s="1"/>
  <c r="BJ31" i="9"/>
  <c r="U63" i="15"/>
  <c r="BM22" i="8"/>
  <c r="BL34" i="8"/>
  <c r="X189" i="12" s="1"/>
  <c r="BJ101" i="6"/>
  <c r="U94" i="15" s="1"/>
  <c r="G94" i="11"/>
  <c r="F5" i="12" s="1"/>
  <c r="BQ17" i="8"/>
  <c r="S37" i="15" l="1"/>
  <c r="S49" i="15" s="1"/>
  <c r="T37" i="15"/>
  <c r="T49" i="15" s="1"/>
  <c r="U37" i="15"/>
  <c r="U49" i="15" s="1"/>
  <c r="R37" i="15"/>
  <c r="R49" i="15" s="1"/>
  <c r="G37" i="11"/>
  <c r="F131" i="12" s="1"/>
  <c r="O33" i="1"/>
  <c r="Q4" i="1"/>
  <c r="BM25" i="8"/>
  <c r="BM29" i="8"/>
  <c r="BQ18" i="8"/>
  <c r="G49" i="11" l="1"/>
  <c r="X97" i="12"/>
  <c r="BM26" i="8"/>
  <c r="BM32" i="8"/>
  <c r="BK70" i="6" s="1"/>
  <c r="BQ19" i="8"/>
  <c r="F3" i="12" l="1"/>
  <c r="F17" i="12" s="1"/>
  <c r="F18" i="12" s="1"/>
  <c r="F143" i="12"/>
  <c r="BK31" i="9"/>
  <c r="BM33" i="8"/>
  <c r="BK101" i="6" s="1"/>
  <c r="BM27" i="8"/>
  <c r="BR14" i="8"/>
  <c r="F22" i="12" l="1"/>
  <c r="F23" i="12" s="1"/>
  <c r="F35" i="12"/>
  <c r="F36" i="12" s="1"/>
  <c r="BN22" i="8"/>
  <c r="BM34" i="8"/>
  <c r="BR17" i="8"/>
  <c r="BN29" i="8" l="1"/>
  <c r="BN25" i="8"/>
  <c r="BR18" i="8"/>
  <c r="BN26" i="8" l="1"/>
  <c r="BN32" i="8"/>
  <c r="BL70" i="6" s="1"/>
  <c r="BR19" i="8"/>
  <c r="BL31" i="9" l="1"/>
  <c r="BN33" i="8"/>
  <c r="BL101" i="6" s="1"/>
  <c r="BN27" i="8"/>
  <c r="BS14" i="8"/>
  <c r="BO22" i="8" l="1"/>
  <c r="BN34" i="8"/>
  <c r="BS17" i="8"/>
  <c r="BO25" i="8" l="1"/>
  <c r="BO29" i="8"/>
  <c r="BS18" i="8"/>
  <c r="BO26" i="8" l="1"/>
  <c r="BO32" i="8"/>
  <c r="BM70" i="6" s="1"/>
  <c r="BS19" i="8"/>
  <c r="BM31" i="9" l="1"/>
  <c r="V63" i="15"/>
  <c r="BO33" i="8"/>
  <c r="BM101" i="6" s="1"/>
  <c r="V94" i="15" s="1"/>
  <c r="BO27" i="8"/>
  <c r="BT14" i="8"/>
  <c r="BP22" i="8" l="1"/>
  <c r="BO34" i="8"/>
  <c r="BT17" i="8"/>
  <c r="BP25" i="8" l="1"/>
  <c r="BP29" i="8"/>
  <c r="BT18" i="8"/>
  <c r="BP32" i="8" l="1"/>
  <c r="BN70" i="6" s="1"/>
  <c r="BP26" i="8"/>
  <c r="BT19" i="8"/>
  <c r="BP33" i="8" l="1"/>
  <c r="BN101" i="6" s="1"/>
  <c r="BP27" i="8"/>
  <c r="BN31" i="9"/>
  <c r="BU14" i="8"/>
  <c r="BP34" i="8" l="1"/>
  <c r="BQ22" i="8"/>
  <c r="BU17" i="8"/>
  <c r="BQ25" i="8" l="1"/>
  <c r="BQ29" i="8"/>
  <c r="BU18" i="8"/>
  <c r="BQ26" i="8" l="1"/>
  <c r="BQ32" i="8"/>
  <c r="BO70" i="6" s="1"/>
  <c r="BU19" i="8"/>
  <c r="BO31" i="9" l="1"/>
  <c r="BQ33" i="8"/>
  <c r="BO101" i="6" s="1"/>
  <c r="BQ27" i="8"/>
  <c r="BV14" i="8"/>
  <c r="BR22" i="8" l="1"/>
  <c r="BQ34" i="8"/>
  <c r="BV17" i="8"/>
  <c r="BR29" i="8" l="1"/>
  <c r="BR25" i="8"/>
  <c r="BV18" i="8"/>
  <c r="BR32" i="8" l="1"/>
  <c r="BP70" i="6" s="1"/>
  <c r="BR26" i="8"/>
  <c r="BV19" i="8"/>
  <c r="BR33" i="8" l="1"/>
  <c r="BP101" i="6" s="1"/>
  <c r="W94" i="15" s="1"/>
  <c r="BR27" i="8"/>
  <c r="BP31" i="9"/>
  <c r="W63" i="15"/>
  <c r="BW14" i="8"/>
  <c r="BR34" i="8" l="1"/>
  <c r="BS22" i="8"/>
  <c r="BW17" i="8"/>
  <c r="BS25" i="8" l="1"/>
  <c r="BS29" i="8"/>
  <c r="BW18" i="8"/>
  <c r="BS26" i="8" l="1"/>
  <c r="BS32" i="8"/>
  <c r="BQ70" i="6" s="1"/>
  <c r="BW19" i="8"/>
  <c r="BQ31" i="9" l="1"/>
  <c r="BS33" i="8"/>
  <c r="BQ101" i="6" s="1"/>
  <c r="BS27" i="8"/>
  <c r="BX14" i="8"/>
  <c r="BS34" i="8" l="1"/>
  <c r="BT22" i="8"/>
  <c r="BX17" i="8"/>
  <c r="BT29" i="8" l="1"/>
  <c r="BT25" i="8"/>
  <c r="BX18" i="8"/>
  <c r="BT26" i="8" l="1"/>
  <c r="BT32" i="8"/>
  <c r="BR70" i="6" s="1"/>
  <c r="BX19" i="8"/>
  <c r="BR31" i="9" l="1"/>
  <c r="BT33" i="8"/>
  <c r="BR101" i="6" s="1"/>
  <c r="BT27" i="8"/>
  <c r="BY14" i="8"/>
  <c r="BT34" i="8" l="1"/>
  <c r="BU22" i="8"/>
  <c r="BY17" i="8"/>
  <c r="BU29" i="8" l="1"/>
  <c r="BU25" i="8"/>
  <c r="BY18" i="8"/>
  <c r="BU32" i="8" l="1"/>
  <c r="BS70" i="6" s="1"/>
  <c r="BU26" i="8"/>
  <c r="BY19" i="8"/>
  <c r="BU33" i="8" l="1"/>
  <c r="BS101" i="6" s="1"/>
  <c r="X94" i="15" s="1"/>
  <c r="BU27" i="8"/>
  <c r="BS31" i="9"/>
  <c r="X63" i="15"/>
  <c r="BZ14" i="8"/>
  <c r="BV22" i="8" l="1"/>
  <c r="BU34" i="8"/>
  <c r="BZ17" i="8"/>
  <c r="BV25" i="8" l="1"/>
  <c r="BV29" i="8"/>
  <c r="BZ18" i="8"/>
  <c r="BV26" i="8" l="1"/>
  <c r="BV32" i="8"/>
  <c r="BZ19" i="8"/>
  <c r="BT70" i="6" l="1"/>
  <c r="BV33" i="8"/>
  <c r="BV27" i="8"/>
  <c r="CA14" i="8"/>
  <c r="BW22" i="8" l="1"/>
  <c r="BV34" i="8"/>
  <c r="BT101" i="6"/>
  <c r="BT31" i="9"/>
  <c r="CA17" i="8"/>
  <c r="BW29" i="8" l="1"/>
  <c r="BW25" i="8"/>
  <c r="CA18" i="8"/>
  <c r="BW26" i="8" l="1"/>
  <c r="BW32" i="8"/>
  <c r="CA19" i="8"/>
  <c r="BU70" i="6" l="1"/>
  <c r="BW33" i="8"/>
  <c r="BW27" i="8"/>
  <c r="CB14" i="8"/>
  <c r="BX22" i="8" l="1"/>
  <c r="BW34" i="8"/>
  <c r="BU101" i="6"/>
  <c r="BU31" i="9"/>
  <c r="CB17" i="8"/>
  <c r="BX25" i="8" l="1"/>
  <c r="BX29" i="8"/>
  <c r="CB18" i="8"/>
  <c r="I6" i="33" l="1"/>
  <c r="I4" i="33"/>
  <c r="BX32" i="8"/>
  <c r="BX26" i="8"/>
  <c r="CB19" i="8"/>
  <c r="I12" i="33" l="1"/>
  <c r="BR44" i="6" s="1"/>
  <c r="BR56" i="6" s="1"/>
  <c r="BX33" i="8"/>
  <c r="BX27" i="8"/>
  <c r="BV70" i="6"/>
  <c r="H63" i="11"/>
  <c r="G4" i="12" s="1"/>
  <c r="CC14" i="8"/>
  <c r="BS44" i="6" l="1"/>
  <c r="BS56" i="6" s="1"/>
  <c r="BT44" i="6"/>
  <c r="BT56" i="6" s="1"/>
  <c r="BK44" i="6"/>
  <c r="BM44" i="6"/>
  <c r="BM56" i="6" s="1"/>
  <c r="BO44" i="6"/>
  <c r="BO56" i="6" s="1"/>
  <c r="BL44" i="6"/>
  <c r="BL56" i="6" s="1"/>
  <c r="BQ44" i="6"/>
  <c r="BQ56" i="6" s="1"/>
  <c r="BV44" i="6"/>
  <c r="BV56" i="6" s="1"/>
  <c r="BU44" i="6"/>
  <c r="BU56" i="6" s="1"/>
  <c r="BN44" i="6"/>
  <c r="BN56" i="6" s="1"/>
  <c r="BP44" i="6"/>
  <c r="BP56" i="6" s="1"/>
  <c r="BX34" i="8"/>
  <c r="Y189" i="12" s="1"/>
  <c r="BY22" i="8"/>
  <c r="BV31" i="9"/>
  <c r="Y63" i="15"/>
  <c r="BV101" i="6"/>
  <c r="Y94" i="15" s="1"/>
  <c r="H94" i="11"/>
  <c r="G5" i="12" s="1"/>
  <c r="CC17" i="8"/>
  <c r="V37" i="15" l="1"/>
  <c r="V49" i="15" s="1"/>
  <c r="BK56" i="6"/>
  <c r="P33" i="1" s="1"/>
  <c r="Y37" i="15"/>
  <c r="Y49" i="15" s="1"/>
  <c r="H37" i="11"/>
  <c r="G131" i="12" s="1"/>
  <c r="X37" i="15"/>
  <c r="X49" i="15" s="1"/>
  <c r="W37" i="15"/>
  <c r="W49" i="15" s="1"/>
  <c r="BY25" i="8"/>
  <c r="BY29" i="8"/>
  <c r="CC18" i="8"/>
  <c r="R4" i="1" l="1"/>
  <c r="H49" i="11"/>
  <c r="Y97" i="12"/>
  <c r="BY26" i="8"/>
  <c r="BY32" i="8"/>
  <c r="BW70" i="6" s="1"/>
  <c r="CC19" i="8"/>
  <c r="G3" i="12" l="1"/>
  <c r="G22" i="12" s="1"/>
  <c r="G23" i="12" s="1"/>
  <c r="G143" i="12"/>
  <c r="BW31" i="9"/>
  <c r="BY33" i="8"/>
  <c r="BW101" i="6" s="1"/>
  <c r="BY27" i="8"/>
  <c r="CD14" i="8"/>
  <c r="G17" i="12" l="1"/>
  <c r="G18" i="12" s="1"/>
  <c r="BY34" i="8"/>
  <c r="BZ22" i="8"/>
  <c r="CD17" i="8"/>
  <c r="G35" i="12" l="1"/>
  <c r="G36" i="12" s="1"/>
  <c r="BZ25" i="8"/>
  <c r="BZ29" i="8"/>
  <c r="CD18" i="8"/>
  <c r="BZ26" i="8" l="1"/>
  <c r="BZ32" i="8"/>
  <c r="BX70" i="6" s="1"/>
  <c r="CD19" i="8"/>
  <c r="BX31" i="9" l="1"/>
  <c r="BZ33" i="8"/>
  <c r="BX101" i="6" s="1"/>
  <c r="BZ27" i="8"/>
  <c r="CE14" i="8"/>
  <c r="BZ34" i="8" l="1"/>
  <c r="CA22" i="8"/>
  <c r="CE17" i="8"/>
  <c r="CA25" i="8" l="1"/>
  <c r="CA29" i="8"/>
  <c r="CE18" i="8"/>
  <c r="CA32" i="8" l="1"/>
  <c r="BY70" i="6" s="1"/>
  <c r="CA26" i="8"/>
  <c r="CE19" i="8"/>
  <c r="CA33" i="8" l="1"/>
  <c r="BY101" i="6" s="1"/>
  <c r="Z94" i="15" s="1"/>
  <c r="CA27" i="8"/>
  <c r="BY31" i="9"/>
  <c r="Z63" i="15"/>
  <c r="CF14" i="8"/>
  <c r="CA34" i="8" l="1"/>
  <c r="CB22" i="8"/>
  <c r="CF17" i="8"/>
  <c r="CB25" i="8" l="1"/>
  <c r="CB29" i="8"/>
  <c r="CF18" i="8"/>
  <c r="CB26" i="8" l="1"/>
  <c r="CB32" i="8"/>
  <c r="BZ70" i="6" s="1"/>
  <c r="CF19" i="8"/>
  <c r="BZ31" i="9" l="1"/>
  <c r="CB33" i="8"/>
  <c r="BZ101" i="6" s="1"/>
  <c r="CB27" i="8"/>
  <c r="CG14" i="8"/>
  <c r="CB34" i="8" l="1"/>
  <c r="CC22" i="8"/>
  <c r="CG17" i="8"/>
  <c r="CC29" i="8" l="1"/>
  <c r="CC25" i="8"/>
  <c r="CG18" i="8"/>
  <c r="CC32" i="8" l="1"/>
  <c r="CA70" i="6" s="1"/>
  <c r="CC26" i="8"/>
  <c r="CG19" i="8"/>
  <c r="CC33" i="8" l="1"/>
  <c r="CA101" i="6" s="1"/>
  <c r="CC27" i="8"/>
  <c r="CA31" i="9"/>
  <c r="CH14" i="8"/>
  <c r="CD22" i="8" l="1"/>
  <c r="CC34" i="8"/>
  <c r="CH17" i="8"/>
  <c r="CD29" i="8" l="1"/>
  <c r="CD25" i="8"/>
  <c r="CH18" i="8"/>
  <c r="CD26" i="8" l="1"/>
  <c r="CD32" i="8"/>
  <c r="CB70" i="6" s="1"/>
  <c r="CH19" i="8"/>
  <c r="CB31" i="9" l="1"/>
  <c r="AA63" i="15"/>
  <c r="CD33" i="8"/>
  <c r="CB101" i="6" s="1"/>
  <c r="AA94" i="15" s="1"/>
  <c r="CD27" i="8"/>
  <c r="CI14" i="8"/>
  <c r="CE22" i="8" l="1"/>
  <c r="CD34" i="8"/>
  <c r="CI17" i="8"/>
  <c r="CE29" i="8" l="1"/>
  <c r="CE25" i="8"/>
  <c r="CI18" i="8"/>
  <c r="CE26" i="8" l="1"/>
  <c r="CE32" i="8"/>
  <c r="CC70" i="6" s="1"/>
  <c r="CI19" i="8"/>
  <c r="CC31" i="9" l="1"/>
  <c r="CE33" i="8"/>
  <c r="CC101" i="6" s="1"/>
  <c r="CE27" i="8"/>
  <c r="CJ14" i="8"/>
  <c r="CE34" i="8" l="1"/>
  <c r="CF22" i="8"/>
  <c r="CJ17" i="8"/>
  <c r="CF29" i="8" l="1"/>
  <c r="CF25" i="8"/>
  <c r="CJ18" i="8"/>
  <c r="CF32" i="8" l="1"/>
  <c r="CD70" i="6" s="1"/>
  <c r="CF26" i="8"/>
  <c r="CJ19" i="8"/>
  <c r="CF33" i="8" l="1"/>
  <c r="CD101" i="6" s="1"/>
  <c r="CF27" i="8"/>
  <c r="CD31" i="9"/>
  <c r="CK14" i="8"/>
  <c r="CG22" i="8" l="1"/>
  <c r="CF34" i="8"/>
  <c r="CK17" i="8"/>
  <c r="CG29" i="8" l="1"/>
  <c r="CG25" i="8"/>
  <c r="CK18" i="8"/>
  <c r="CG32" i="8" l="1"/>
  <c r="CE70" i="6" s="1"/>
  <c r="CG26" i="8"/>
  <c r="CK19" i="8"/>
  <c r="CG33" i="8" l="1"/>
  <c r="CE101" i="6" s="1"/>
  <c r="AB94" i="15" s="1"/>
  <c r="CG27" i="8"/>
  <c r="CE31" i="9"/>
  <c r="AB63" i="15"/>
  <c r="CL14" i="8"/>
  <c r="CH22" i="8" l="1"/>
  <c r="CG34" i="8"/>
  <c r="CL17" i="8"/>
  <c r="CH25" i="8" l="1"/>
  <c r="CH29" i="8"/>
  <c r="CL18" i="8"/>
  <c r="CH26" i="8" l="1"/>
  <c r="CH32" i="8"/>
  <c r="CL19" i="8"/>
  <c r="CF70" i="6" l="1"/>
  <c r="CH33" i="8"/>
  <c r="CH27" i="8"/>
  <c r="CM14" i="8"/>
  <c r="CI22" i="8" l="1"/>
  <c r="CH34" i="8"/>
  <c r="CF101" i="6"/>
  <c r="CF31" i="9"/>
  <c r="CM17" i="8"/>
  <c r="CI29" i="8" l="1"/>
  <c r="CI25" i="8"/>
  <c r="CM18" i="8"/>
  <c r="CI32" i="8" l="1"/>
  <c r="CI26" i="8"/>
  <c r="CM19" i="8"/>
  <c r="CI33" i="8" l="1"/>
  <c r="CI27" i="8"/>
  <c r="CG70" i="6"/>
  <c r="CN14" i="8"/>
  <c r="CG31" i="9" l="1"/>
  <c r="CI34" i="8"/>
  <c r="CJ22" i="8"/>
  <c r="CG101" i="6"/>
  <c r="CN17" i="8"/>
  <c r="CJ25" i="8" l="1"/>
  <c r="CJ29" i="8"/>
  <c r="CN18" i="8"/>
  <c r="J6" i="33" l="1"/>
  <c r="J4" i="33"/>
  <c r="CJ26" i="8"/>
  <c r="CJ32" i="8"/>
  <c r="CN19" i="8"/>
  <c r="J12" i="33" l="1"/>
  <c r="BZ44" i="6" s="1"/>
  <c r="CH70" i="6"/>
  <c r="I63" i="11"/>
  <c r="H4" i="12" s="1"/>
  <c r="CJ33" i="8"/>
  <c r="CJ27" i="8"/>
  <c r="CO14" i="8"/>
  <c r="BY44" i="6" l="1"/>
  <c r="BY56" i="6" s="1"/>
  <c r="BX44" i="6"/>
  <c r="BX56" i="6" s="1"/>
  <c r="BW44" i="6"/>
  <c r="CH44" i="6"/>
  <c r="CH56" i="6" s="1"/>
  <c r="CG44" i="6"/>
  <c r="CG56" i="6" s="1"/>
  <c r="CF44" i="6"/>
  <c r="CF56" i="6" s="1"/>
  <c r="CC44" i="6"/>
  <c r="CC56" i="6" s="1"/>
  <c r="CE44" i="6"/>
  <c r="CE56" i="6" s="1"/>
  <c r="CD44" i="6"/>
  <c r="CD56" i="6" s="1"/>
  <c r="CB44" i="6"/>
  <c r="CB56" i="6" s="1"/>
  <c r="CA44" i="6"/>
  <c r="CA56" i="6" s="1"/>
  <c r="CH101" i="6"/>
  <c r="AC94" i="15" s="1"/>
  <c r="I94" i="11"/>
  <c r="H5" i="12" s="1"/>
  <c r="CK22" i="8"/>
  <c r="CJ34" i="8"/>
  <c r="Z189" i="12" s="1"/>
  <c r="CH31" i="9"/>
  <c r="AC63" i="15"/>
  <c r="AB37" i="15"/>
  <c r="AB49" i="15" s="1"/>
  <c r="BZ56" i="6"/>
  <c r="CO17" i="8"/>
  <c r="Z37" i="15" l="1"/>
  <c r="Z49" i="15" s="1"/>
  <c r="AC37" i="15"/>
  <c r="AC49" i="15" s="1"/>
  <c r="BW56" i="6"/>
  <c r="Q33" i="1" s="1"/>
  <c r="I37" i="11"/>
  <c r="H131" i="12" s="1"/>
  <c r="AA37" i="15"/>
  <c r="AA49" i="15" s="1"/>
  <c r="CK25" i="8"/>
  <c r="CK29" i="8"/>
  <c r="CO18" i="8"/>
  <c r="S4" i="1" l="1"/>
  <c r="I49" i="11"/>
  <c r="Z97" i="12"/>
  <c r="CK26" i="8"/>
  <c r="CK32" i="8"/>
  <c r="CI70" i="6" s="1"/>
  <c r="CO19" i="8"/>
  <c r="H3" i="12" l="1"/>
  <c r="H22" i="12" s="1"/>
  <c r="H23" i="12" s="1"/>
  <c r="H143" i="12"/>
  <c r="CI31" i="9"/>
  <c r="CK33" i="8"/>
  <c r="CI101" i="6" s="1"/>
  <c r="CK27" i="8"/>
  <c r="CP14" i="8"/>
  <c r="H17" i="12" l="1"/>
  <c r="H35" i="12" s="1"/>
  <c r="H36" i="12" s="1"/>
  <c r="CL22" i="8"/>
  <c r="CK34" i="8"/>
  <c r="CP17" i="8"/>
  <c r="H18" i="12" l="1"/>
  <c r="CL29" i="8"/>
  <c r="CL25" i="8"/>
  <c r="CP18" i="8"/>
  <c r="CL32" i="8" l="1"/>
  <c r="CJ70" i="6" s="1"/>
  <c r="CL26" i="8"/>
  <c r="CP19" i="8"/>
  <c r="CL33" i="8" l="1"/>
  <c r="CJ101" i="6" s="1"/>
  <c r="CL27" i="8"/>
  <c r="CJ31" i="9"/>
  <c r="CQ14" i="8"/>
  <c r="CL34" i="8" l="1"/>
  <c r="CM22" i="8"/>
  <c r="CQ17" i="8"/>
  <c r="CM25" i="8" l="1"/>
  <c r="CM29" i="8"/>
  <c r="CQ18" i="8"/>
  <c r="CM26" i="8" l="1"/>
  <c r="CM32" i="8"/>
  <c r="CK70" i="6" s="1"/>
  <c r="CQ19" i="8"/>
  <c r="CK31" i="9" l="1"/>
  <c r="AD63" i="15"/>
  <c r="CM33" i="8"/>
  <c r="CK101" i="6" s="1"/>
  <c r="AD94" i="15" s="1"/>
  <c r="CM27" i="8"/>
  <c r="CR14" i="8"/>
  <c r="CM34" i="8" l="1"/>
  <c r="CN22" i="8"/>
  <c r="CR17" i="8"/>
  <c r="CN25" i="8" l="1"/>
  <c r="CN29" i="8"/>
  <c r="CR18" i="8"/>
  <c r="CN26" i="8" l="1"/>
  <c r="CN32" i="8"/>
  <c r="CL70" i="6" s="1"/>
  <c r="CR19" i="8"/>
  <c r="CL31" i="9" l="1"/>
  <c r="CN33" i="8"/>
  <c r="CL101" i="6" s="1"/>
  <c r="CN27" i="8"/>
  <c r="CS14" i="8"/>
  <c r="CO22" i="8" l="1"/>
  <c r="CN34" i="8"/>
  <c r="CS17" i="8"/>
  <c r="CO29" i="8" l="1"/>
  <c r="CO25" i="8"/>
  <c r="CS18" i="8"/>
  <c r="CO26" i="8" l="1"/>
  <c r="CO32" i="8"/>
  <c r="CM70" i="6" s="1"/>
  <c r="CS19" i="8"/>
  <c r="CM31" i="9" l="1"/>
  <c r="CO33" i="8"/>
  <c r="CM101" i="6" s="1"/>
  <c r="CO27" i="8"/>
  <c r="CT14" i="8"/>
  <c r="CO34" i="8" l="1"/>
  <c r="CP22" i="8"/>
  <c r="CT17" i="8"/>
  <c r="CP25" i="8" l="1"/>
  <c r="CP29" i="8"/>
  <c r="CT18" i="8"/>
  <c r="CP26" i="8" l="1"/>
  <c r="CP32" i="8"/>
  <c r="CN70" i="6" s="1"/>
  <c r="CT19" i="8"/>
  <c r="CN31" i="9" l="1"/>
  <c r="AE63" i="15"/>
  <c r="CP33" i="8"/>
  <c r="CN101" i="6" s="1"/>
  <c r="AE94" i="15" s="1"/>
  <c r="CP27" i="8"/>
  <c r="CU14" i="8"/>
  <c r="CP34" i="8" l="1"/>
  <c r="CQ22" i="8"/>
  <c r="CU17" i="8"/>
  <c r="CQ29" i="8" l="1"/>
  <c r="CQ25" i="8"/>
  <c r="CU18" i="8"/>
  <c r="CQ26" i="8" l="1"/>
  <c r="CQ32" i="8"/>
  <c r="CO70" i="6" s="1"/>
  <c r="CU19" i="8"/>
  <c r="CO31" i="9" l="1"/>
  <c r="CQ33" i="8"/>
  <c r="CO101" i="6" s="1"/>
  <c r="CQ27" i="8"/>
  <c r="CV14" i="8"/>
  <c r="CR22" i="8" l="1"/>
  <c r="CQ34" i="8"/>
  <c r="CV17" i="8"/>
  <c r="CR25" i="8" l="1"/>
  <c r="CR29" i="8"/>
  <c r="CV18" i="8"/>
  <c r="CR26" i="8" l="1"/>
  <c r="CR32" i="8"/>
  <c r="CP70" i="6" s="1"/>
  <c r="CV19" i="8"/>
  <c r="CP31" i="9" l="1"/>
  <c r="CR33" i="8"/>
  <c r="CP101" i="6" s="1"/>
  <c r="CR27" i="8"/>
  <c r="CW14" i="8"/>
  <c r="CS22" i="8" l="1"/>
  <c r="CR34" i="8"/>
  <c r="CW17" i="8"/>
  <c r="CS25" i="8" l="1"/>
  <c r="CS29" i="8"/>
  <c r="CW18" i="8"/>
  <c r="CS26" i="8" l="1"/>
  <c r="CS32" i="8"/>
  <c r="CQ70" i="6" s="1"/>
  <c r="CW19" i="8"/>
  <c r="CQ31" i="9" l="1"/>
  <c r="AF63" i="15"/>
  <c r="CS33" i="8"/>
  <c r="CQ101" i="6" s="1"/>
  <c r="AF94" i="15" s="1"/>
  <c r="CS27" i="8"/>
  <c r="CX14" i="8"/>
  <c r="CS34" i="8" l="1"/>
  <c r="CT22" i="8"/>
  <c r="CX17" i="8"/>
  <c r="CT25" i="8" l="1"/>
  <c r="CT29" i="8"/>
  <c r="CX18" i="8"/>
  <c r="CT32" i="8" l="1"/>
  <c r="CT26" i="8"/>
  <c r="CX19" i="8"/>
  <c r="CT33" i="8" l="1"/>
  <c r="CT27" i="8"/>
  <c r="CR70" i="6"/>
  <c r="CY14" i="8"/>
  <c r="CR31" i="9" l="1"/>
  <c r="CT34" i="8"/>
  <c r="CU22" i="8"/>
  <c r="CR101" i="6"/>
  <c r="CY17" i="8"/>
  <c r="CU29" i="8" l="1"/>
  <c r="CU25" i="8"/>
  <c r="CY18" i="8"/>
  <c r="CU26" i="8" l="1"/>
  <c r="CU32" i="8"/>
  <c r="CY19" i="8"/>
  <c r="CS70" i="6" l="1"/>
  <c r="CU33" i="8"/>
  <c r="CU27" i="8"/>
  <c r="CZ14" i="8"/>
  <c r="CU34" i="8" l="1"/>
  <c r="CV22" i="8"/>
  <c r="CS101" i="6"/>
  <c r="CS31" i="9"/>
  <c r="CZ17" i="8"/>
  <c r="CV25" i="8" l="1"/>
  <c r="CV29" i="8"/>
  <c r="CZ18" i="8"/>
  <c r="K4" i="33" l="1"/>
  <c r="K6" i="33"/>
  <c r="CV32" i="8"/>
  <c r="CV26" i="8"/>
  <c r="CZ19" i="8"/>
  <c r="CV33" i="8" l="1"/>
  <c r="CV27" i="8"/>
  <c r="CT70" i="6"/>
  <c r="J63" i="11"/>
  <c r="I4" i="12" s="1"/>
  <c r="K12" i="33"/>
  <c r="DA14" i="8"/>
  <c r="CI44" i="6" l="1"/>
  <c r="CN44" i="6"/>
  <c r="CN56" i="6" s="1"/>
  <c r="CJ44" i="6"/>
  <c r="CJ56" i="6" s="1"/>
  <c r="CP44" i="6"/>
  <c r="CP56" i="6" s="1"/>
  <c r="CS44" i="6"/>
  <c r="CS56" i="6" s="1"/>
  <c r="CL44" i="6"/>
  <c r="CO44" i="6"/>
  <c r="CT44" i="6"/>
  <c r="CT56" i="6" s="1"/>
  <c r="CQ44" i="6"/>
  <c r="CQ56" i="6" s="1"/>
  <c r="CR44" i="6"/>
  <c r="CK44" i="6"/>
  <c r="CK56" i="6" s="1"/>
  <c r="CM44" i="6"/>
  <c r="CM56" i="6" s="1"/>
  <c r="CT31" i="9"/>
  <c r="AG63" i="15"/>
  <c r="CW22" i="8"/>
  <c r="CV34" i="8"/>
  <c r="AA189" i="12" s="1"/>
  <c r="CT101" i="6"/>
  <c r="AG94" i="15" s="1"/>
  <c r="J94" i="11"/>
  <c r="I5" i="12" s="1"/>
  <c r="DA17" i="8"/>
  <c r="CO56" i="6" l="1"/>
  <c r="AF37" i="15"/>
  <c r="AF49" i="15" s="1"/>
  <c r="CW25" i="8"/>
  <c r="CW29" i="8"/>
  <c r="CR56" i="6"/>
  <c r="AG37" i="15"/>
  <c r="AG49" i="15" s="1"/>
  <c r="CL56" i="6"/>
  <c r="AE37" i="15"/>
  <c r="AE49" i="15" s="1"/>
  <c r="CI56" i="6"/>
  <c r="AD37" i="15"/>
  <c r="AD49" i="15" s="1"/>
  <c r="J37" i="11"/>
  <c r="I131" i="12" s="1"/>
  <c r="DA18" i="8"/>
  <c r="J49" i="11" l="1"/>
  <c r="AA97" i="12"/>
  <c r="CW32" i="8"/>
  <c r="CU70" i="6" s="1"/>
  <c r="CW26" i="8"/>
  <c r="T4" i="1"/>
  <c r="R33" i="1"/>
  <c r="DA19" i="8"/>
  <c r="I3" i="12" l="1"/>
  <c r="I17" i="12" s="1"/>
  <c r="I18" i="12" s="1"/>
  <c r="I143" i="12"/>
  <c r="CU31" i="9"/>
  <c r="CW33" i="8"/>
  <c r="CU101" i="6" s="1"/>
  <c r="CW27" i="8"/>
  <c r="DB14" i="8"/>
  <c r="I35" i="12" l="1"/>
  <c r="I36" i="12" s="1"/>
  <c r="I22" i="12"/>
  <c r="I23" i="12" s="1"/>
  <c r="CW34" i="8"/>
  <c r="CX22" i="8"/>
  <c r="DB17" i="8"/>
  <c r="CX25" i="8" l="1"/>
  <c r="CX29" i="8"/>
  <c r="DB18" i="8"/>
  <c r="CX26" i="8" l="1"/>
  <c r="CX32" i="8"/>
  <c r="CV70" i="6" s="1"/>
  <c r="DB19" i="8"/>
  <c r="CV31" i="9" l="1"/>
  <c r="CX33" i="8"/>
  <c r="CV101" i="6" s="1"/>
  <c r="CX27" i="8"/>
  <c r="DC14" i="8"/>
  <c r="CY22" i="8" l="1"/>
  <c r="CX34" i="8"/>
  <c r="DC17" i="8"/>
  <c r="CY29" i="8" l="1"/>
  <c r="CY25" i="8"/>
  <c r="DC18" i="8"/>
  <c r="CY32" i="8" l="1"/>
  <c r="CW70" i="6" s="1"/>
  <c r="CY26" i="8"/>
  <c r="DC19" i="8"/>
  <c r="CY33" i="8" l="1"/>
  <c r="CW101" i="6" s="1"/>
  <c r="AH94" i="15" s="1"/>
  <c r="CY27" i="8"/>
  <c r="CW31" i="9"/>
  <c r="AH63" i="15"/>
  <c r="DD14" i="8"/>
  <c r="CY34" i="8" l="1"/>
  <c r="CZ22" i="8"/>
  <c r="DD17" i="8"/>
  <c r="CZ29" i="8" l="1"/>
  <c r="CZ25" i="8"/>
  <c r="DD18" i="8"/>
  <c r="CZ26" i="8" l="1"/>
  <c r="CZ32" i="8"/>
  <c r="CX70" i="6" s="1"/>
  <c r="DD19" i="8"/>
  <c r="CX31" i="9" l="1"/>
  <c r="CZ33" i="8"/>
  <c r="CX101" i="6" s="1"/>
  <c r="CZ27" i="8"/>
  <c r="DE14" i="8"/>
  <c r="CZ34" i="8" l="1"/>
  <c r="DA22" i="8"/>
  <c r="DE17" i="8"/>
  <c r="DA25" i="8" l="1"/>
  <c r="DA29" i="8"/>
  <c r="DE18" i="8"/>
  <c r="DA32" i="8" l="1"/>
  <c r="CY70" i="6" s="1"/>
  <c r="DA26" i="8"/>
  <c r="DE19" i="8"/>
  <c r="DA33" i="8" l="1"/>
  <c r="CY101" i="6" s="1"/>
  <c r="DA27" i="8"/>
  <c r="CY31" i="9"/>
  <c r="DF14" i="8"/>
  <c r="DB22" i="8" l="1"/>
  <c r="DA34" i="8"/>
  <c r="DF17" i="8"/>
  <c r="DB25" i="8" l="1"/>
  <c r="DB29" i="8"/>
  <c r="DF18" i="8"/>
  <c r="DB26" i="8" l="1"/>
  <c r="DB32" i="8"/>
  <c r="CZ70" i="6" s="1"/>
  <c r="DF19" i="8"/>
  <c r="CZ31" i="9" l="1"/>
  <c r="AI63" i="15"/>
  <c r="DB33" i="8"/>
  <c r="CZ101" i="6" s="1"/>
  <c r="AI94" i="15" s="1"/>
  <c r="DB27" i="8"/>
  <c r="DG14" i="8"/>
  <c r="DB34" i="8" l="1"/>
  <c r="DC22" i="8"/>
  <c r="DG17" i="8"/>
  <c r="DC29" i="8" l="1"/>
  <c r="DC25" i="8"/>
  <c r="DG18" i="8"/>
  <c r="DC32" i="8" l="1"/>
  <c r="DA70" i="6" s="1"/>
  <c r="DC26" i="8"/>
  <c r="DG19" i="8"/>
  <c r="DC33" i="8" l="1"/>
  <c r="DA101" i="6" s="1"/>
  <c r="DC27" i="8"/>
  <c r="DA31" i="9"/>
  <c r="DH14" i="8"/>
  <c r="DD22" i="8" l="1"/>
  <c r="DC34" i="8"/>
  <c r="DH17" i="8"/>
  <c r="DD25" i="8" l="1"/>
  <c r="DD29" i="8"/>
  <c r="DH18" i="8"/>
  <c r="DD26" i="8" l="1"/>
  <c r="DD32" i="8"/>
  <c r="DB70" i="6" s="1"/>
  <c r="DH19" i="8"/>
  <c r="DB31" i="9" l="1"/>
  <c r="DD33" i="8"/>
  <c r="DB101" i="6" s="1"/>
  <c r="DD27" i="8"/>
  <c r="DI14" i="8"/>
  <c r="DE22" i="8" l="1"/>
  <c r="DD34" i="8"/>
  <c r="DI17" i="8"/>
  <c r="DE25" i="8" l="1"/>
  <c r="DE29" i="8"/>
  <c r="DI18" i="8"/>
  <c r="DE32" i="8" l="1"/>
  <c r="DC70" i="6" s="1"/>
  <c r="DE26" i="8"/>
  <c r="DI19" i="8"/>
  <c r="DE33" i="8" l="1"/>
  <c r="DC101" i="6" s="1"/>
  <c r="AJ94" i="15" s="1"/>
  <c r="DE27" i="8"/>
  <c r="DC31" i="9"/>
  <c r="AJ63" i="15"/>
  <c r="DJ14" i="8"/>
  <c r="DF22" i="8" l="1"/>
  <c r="DE34" i="8"/>
  <c r="DJ17" i="8"/>
  <c r="DF29" i="8" l="1"/>
  <c r="DF25" i="8"/>
  <c r="DJ18" i="8"/>
  <c r="DF32" i="8" l="1"/>
  <c r="DF26" i="8"/>
  <c r="DJ19" i="8"/>
  <c r="DF33" i="8" l="1"/>
  <c r="DF27" i="8"/>
  <c r="DD70" i="6"/>
  <c r="DK14" i="8"/>
  <c r="DD31" i="9" l="1"/>
  <c r="DG22" i="8"/>
  <c r="DF34" i="8"/>
  <c r="DD101" i="6"/>
  <c r="DK17" i="8"/>
  <c r="DG29" i="8" l="1"/>
  <c r="DG25" i="8"/>
  <c r="DK18" i="8"/>
  <c r="DG26" i="8" l="1"/>
  <c r="DG32" i="8"/>
  <c r="DK19" i="8"/>
  <c r="DE70" i="6" l="1"/>
  <c r="DG33" i="8"/>
  <c r="DG27" i="8"/>
  <c r="DL14" i="8"/>
  <c r="DG34" i="8" l="1"/>
  <c r="DH22" i="8"/>
  <c r="DE101" i="6"/>
  <c r="DE31" i="9"/>
  <c r="DL17" i="8"/>
  <c r="DH29" i="8" l="1"/>
  <c r="DH25" i="8"/>
  <c r="DL18" i="8"/>
  <c r="DH32" i="8" l="1"/>
  <c r="DH26" i="8"/>
  <c r="L6" i="33"/>
  <c r="L4" i="33"/>
  <c r="DL19" i="8"/>
  <c r="L12" i="33" l="1"/>
  <c r="CV44" i="6" s="1"/>
  <c r="CV56" i="6" s="1"/>
  <c r="DB44" i="6"/>
  <c r="DB56" i="6" s="1"/>
  <c r="DD44" i="6"/>
  <c r="DA44" i="6"/>
  <c r="CY44" i="6"/>
  <c r="CY56" i="6" s="1"/>
  <c r="DH33" i="8"/>
  <c r="DH27" i="8"/>
  <c r="DF70" i="6"/>
  <c r="K63" i="11"/>
  <c r="J4" i="12" s="1"/>
  <c r="DM14" i="8"/>
  <c r="DE44" i="6" l="1"/>
  <c r="DE56" i="6" s="1"/>
  <c r="CU44" i="6"/>
  <c r="DF44" i="6"/>
  <c r="DF56" i="6" s="1"/>
  <c r="CZ44" i="6"/>
  <c r="CZ56" i="6" s="1"/>
  <c r="DC44" i="6"/>
  <c r="DC56" i="6" s="1"/>
  <c r="CW44" i="6"/>
  <c r="CW56" i="6" s="1"/>
  <c r="CX44" i="6"/>
  <c r="CX56" i="6" s="1"/>
  <c r="DD56" i="6"/>
  <c r="DI22" i="8"/>
  <c r="DH34" i="8"/>
  <c r="AB189" i="12" s="1"/>
  <c r="DF31" i="9"/>
  <c r="AK63" i="15"/>
  <c r="DF101" i="6"/>
  <c r="AK94" i="15" s="1"/>
  <c r="K94" i="11"/>
  <c r="J5" i="12" s="1"/>
  <c r="DA56" i="6"/>
  <c r="DM17" i="8"/>
  <c r="AJ37" i="15" l="1"/>
  <c r="AJ49" i="15" s="1"/>
  <c r="AH37" i="15"/>
  <c r="AH49" i="15" s="1"/>
  <c r="AK37" i="15"/>
  <c r="AK49" i="15" s="1"/>
  <c r="CU56" i="6"/>
  <c r="S33" i="1" s="1"/>
  <c r="K37" i="11"/>
  <c r="J131" i="12" s="1"/>
  <c r="AI37" i="15"/>
  <c r="AI49" i="15" s="1"/>
  <c r="DI29" i="8"/>
  <c r="DI25" i="8"/>
  <c r="DM18" i="8"/>
  <c r="AB97" i="12" l="1"/>
  <c r="U4" i="1"/>
  <c r="K49" i="11"/>
  <c r="J3" i="12" s="1"/>
  <c r="J17" i="12" s="1"/>
  <c r="J18" i="12" s="1"/>
  <c r="DI26" i="8"/>
  <c r="DI32" i="8"/>
  <c r="DG70" i="6" s="1"/>
  <c r="DM19" i="8"/>
  <c r="J143" i="12" l="1"/>
  <c r="J35" i="12"/>
  <c r="J36" i="12" s="1"/>
  <c r="J22" i="12"/>
  <c r="J23" i="12" s="1"/>
  <c r="DG31" i="9"/>
  <c r="DI33" i="8"/>
  <c r="DG101" i="6" s="1"/>
  <c r="DI27" i="8"/>
  <c r="DN14" i="8"/>
  <c r="DI34" i="8" l="1"/>
  <c r="DJ22" i="8"/>
  <c r="DN17" i="8"/>
  <c r="DJ29" i="8" l="1"/>
  <c r="DJ25" i="8"/>
  <c r="DN18" i="8"/>
  <c r="DJ26" i="8" l="1"/>
  <c r="DJ32" i="8"/>
  <c r="DH70" i="6" s="1"/>
  <c r="DN19" i="8"/>
  <c r="DH31" i="9" l="1"/>
  <c r="DJ33" i="8"/>
  <c r="DH101" i="6" s="1"/>
  <c r="DJ27" i="8"/>
  <c r="DO14" i="8"/>
  <c r="DK22" i="8" l="1"/>
  <c r="DJ34" i="8"/>
  <c r="DO17" i="8"/>
  <c r="DK29" i="8" l="1"/>
  <c r="DK25" i="8"/>
  <c r="DO18" i="8"/>
  <c r="DK26" i="8" l="1"/>
  <c r="DK32" i="8"/>
  <c r="DI70" i="6" s="1"/>
  <c r="DO19" i="8"/>
  <c r="DI31" i="9" l="1"/>
  <c r="AL63" i="15"/>
  <c r="DK33" i="8"/>
  <c r="DI101" i="6" s="1"/>
  <c r="AL94" i="15" s="1"/>
  <c r="DK27" i="8"/>
  <c r="DP14" i="8"/>
  <c r="DK34" i="8" l="1"/>
  <c r="DL22" i="8"/>
  <c r="DP17" i="8"/>
  <c r="DL29" i="8" l="1"/>
  <c r="DL25" i="8"/>
  <c r="DP18" i="8"/>
  <c r="DL26" i="8" l="1"/>
  <c r="DL32" i="8"/>
  <c r="DJ70" i="6" s="1"/>
  <c r="DP19" i="8"/>
  <c r="DJ31" i="9" l="1"/>
  <c r="DL33" i="8"/>
  <c r="DJ101" i="6" s="1"/>
  <c r="DL27" i="8"/>
  <c r="DQ14" i="8"/>
  <c r="DL34" i="8" l="1"/>
  <c r="DM22" i="8"/>
  <c r="DQ17" i="8"/>
  <c r="DM25" i="8" l="1"/>
  <c r="DM29" i="8"/>
  <c r="DQ18" i="8"/>
  <c r="DM26" i="8" l="1"/>
  <c r="DM32" i="8"/>
  <c r="DK70" i="6" s="1"/>
  <c r="DQ19" i="8"/>
  <c r="DK31" i="9" l="1"/>
  <c r="DM33" i="8"/>
  <c r="DK101" i="6" s="1"/>
  <c r="DM27" i="8"/>
  <c r="DR14" i="8"/>
  <c r="DN22" i="8" l="1"/>
  <c r="DM34" i="8"/>
  <c r="DR17" i="8"/>
  <c r="DN25" i="8" l="1"/>
  <c r="DN29" i="8"/>
  <c r="DR18" i="8"/>
  <c r="DN26" i="8" l="1"/>
  <c r="DN32" i="8"/>
  <c r="DL70" i="6" s="1"/>
  <c r="DR19" i="8"/>
  <c r="DL31" i="9" l="1"/>
  <c r="AM63" i="15"/>
  <c r="DN33" i="8"/>
  <c r="DL101" i="6" s="1"/>
  <c r="AM94" i="15" s="1"/>
  <c r="DN27" i="8"/>
  <c r="DS14" i="8"/>
  <c r="DO22" i="8" l="1"/>
  <c r="DN34" i="8"/>
  <c r="DS17" i="8"/>
  <c r="DO29" i="8" l="1"/>
  <c r="DO25" i="8"/>
  <c r="DS18" i="8"/>
  <c r="DO26" i="8" l="1"/>
  <c r="DO32" i="8"/>
  <c r="DM70" i="6" s="1"/>
  <c r="DS19" i="8"/>
  <c r="DM31" i="9" l="1"/>
  <c r="DO33" i="8"/>
  <c r="DM101" i="6" s="1"/>
  <c r="DO27" i="8"/>
  <c r="DT14" i="8"/>
  <c r="DP22" i="8" l="1"/>
  <c r="DO34" i="8"/>
  <c r="DT17" i="8"/>
  <c r="DP25" i="8" l="1"/>
  <c r="DP29" i="8"/>
  <c r="DT18" i="8"/>
  <c r="DP26" i="8" l="1"/>
  <c r="DP32" i="8"/>
  <c r="DN70" i="6" s="1"/>
  <c r="DT19" i="8"/>
  <c r="DN31" i="9" l="1"/>
  <c r="DP33" i="8"/>
  <c r="DN101" i="6" s="1"/>
  <c r="DP27" i="8"/>
  <c r="DU14" i="8"/>
  <c r="DQ22" i="8" l="1"/>
  <c r="DP34" i="8"/>
  <c r="DU17" i="8"/>
  <c r="DQ29" i="8" l="1"/>
  <c r="DQ25" i="8"/>
  <c r="DU18" i="8"/>
  <c r="DQ32" i="8" l="1"/>
  <c r="DO70" i="6" s="1"/>
  <c r="DQ26" i="8"/>
  <c r="DU19" i="8"/>
  <c r="DQ33" i="8" l="1"/>
  <c r="DO101" i="6" s="1"/>
  <c r="AN94" i="15" s="1"/>
  <c r="DQ27" i="8"/>
  <c r="DO31" i="9"/>
  <c r="AN63" i="15"/>
  <c r="DV14" i="8"/>
  <c r="DR22" i="8" l="1"/>
  <c r="DQ34" i="8"/>
  <c r="DV17" i="8"/>
  <c r="DR25" i="8" l="1"/>
  <c r="DR29" i="8"/>
  <c r="DV18" i="8"/>
  <c r="DR32" i="8" l="1"/>
  <c r="DR26" i="8"/>
  <c r="DV19" i="8"/>
  <c r="DR33" i="8" l="1"/>
  <c r="DR27" i="8"/>
  <c r="DP70" i="6"/>
  <c r="DW14" i="8"/>
  <c r="DP31" i="9" l="1"/>
  <c r="DS22" i="8"/>
  <c r="DR34" i="8"/>
  <c r="DP101" i="6"/>
  <c r="DW17" i="8"/>
  <c r="DS25" i="8" l="1"/>
  <c r="DS29" i="8"/>
  <c r="DW18" i="8"/>
  <c r="DS32" i="8" l="1"/>
  <c r="DS26" i="8"/>
  <c r="DW19" i="8"/>
  <c r="DS33" i="8" l="1"/>
  <c r="DS27" i="8"/>
  <c r="DQ70" i="6"/>
  <c r="DX14" i="8"/>
  <c r="DQ31" i="9" l="1"/>
  <c r="DT22" i="8"/>
  <c r="DS34" i="8"/>
  <c r="DQ101" i="6"/>
  <c r="DX17" i="8"/>
  <c r="DT25" i="8" l="1"/>
  <c r="DT29" i="8"/>
  <c r="DX18" i="8"/>
  <c r="M6" i="33" l="1"/>
  <c r="M4" i="33"/>
  <c r="DT32" i="8"/>
  <c r="DT26" i="8"/>
  <c r="DX19" i="8"/>
  <c r="M12" i="33" l="1"/>
  <c r="DT33" i="8"/>
  <c r="DT27" i="8"/>
  <c r="DR70" i="6"/>
  <c r="L63" i="11"/>
  <c r="K4" i="12" s="1"/>
  <c r="DG44" i="6"/>
  <c r="DI44" i="6"/>
  <c r="DI56" i="6" s="1"/>
  <c r="DH44" i="6"/>
  <c r="DH56" i="6" s="1"/>
  <c r="DJ44" i="6"/>
  <c r="DO44" i="6"/>
  <c r="DO56" i="6" s="1"/>
  <c r="DQ44" i="6"/>
  <c r="DQ56" i="6" s="1"/>
  <c r="DP44" i="6"/>
  <c r="DN44" i="6"/>
  <c r="DN56" i="6" s="1"/>
  <c r="DL44" i="6"/>
  <c r="DL56" i="6" s="1"/>
  <c r="DM44" i="6"/>
  <c r="DK44" i="6"/>
  <c r="DK56" i="6" s="1"/>
  <c r="DR44" i="6"/>
  <c r="DR56" i="6" s="1"/>
  <c r="DY14" i="8"/>
  <c r="AO37" i="15" l="1"/>
  <c r="AO49" i="15" s="1"/>
  <c r="DP56" i="6"/>
  <c r="DJ56" i="6"/>
  <c r="AM37" i="15"/>
  <c r="AM49" i="15" s="1"/>
  <c r="DG56" i="6"/>
  <c r="AL37" i="15"/>
  <c r="AL49" i="15" s="1"/>
  <c r="L37" i="11"/>
  <c r="K131" i="12" s="1"/>
  <c r="DM56" i="6"/>
  <c r="AN37" i="15"/>
  <c r="AN49" i="15" s="1"/>
  <c r="DR31" i="9"/>
  <c r="AO63" i="15"/>
  <c r="DT34" i="8"/>
  <c r="AC189" i="12" s="1"/>
  <c r="DU22" i="8"/>
  <c r="DR101" i="6"/>
  <c r="AO94" i="15" s="1"/>
  <c r="L94" i="11"/>
  <c r="K5" i="12" s="1"/>
  <c r="DY17" i="8"/>
  <c r="L49" i="11" l="1"/>
  <c r="AC97" i="12"/>
  <c r="V4" i="1"/>
  <c r="T33" i="1"/>
  <c r="DU25" i="8"/>
  <c r="DU29" i="8"/>
  <c r="DY18" i="8"/>
  <c r="K3" i="12" l="1"/>
  <c r="K22" i="12" s="1"/>
  <c r="K23" i="12" s="1"/>
  <c r="K143" i="12"/>
  <c r="DU32" i="8"/>
  <c r="DS70" i="6" s="1"/>
  <c r="DU26" i="8"/>
  <c r="DY19" i="8"/>
  <c r="K17" i="12" l="1"/>
  <c r="K35" i="12" s="1"/>
  <c r="K36" i="12" s="1"/>
  <c r="DU33" i="8"/>
  <c r="DS101" i="6" s="1"/>
  <c r="DU27" i="8"/>
  <c r="DS31" i="9"/>
  <c r="DZ14" i="8"/>
  <c r="K18" i="12" l="1"/>
  <c r="DV22" i="8"/>
  <c r="DU34" i="8"/>
  <c r="DZ17" i="8"/>
  <c r="DV25" i="8" l="1"/>
  <c r="DV29" i="8"/>
  <c r="DZ18" i="8"/>
  <c r="DV32" i="8" l="1"/>
  <c r="DT70" i="6" s="1"/>
  <c r="DV26" i="8"/>
  <c r="DZ19" i="8"/>
  <c r="DV33" i="8" l="1"/>
  <c r="DT101" i="6" s="1"/>
  <c r="DV27" i="8"/>
  <c r="DT31" i="9"/>
  <c r="EA14" i="8"/>
  <c r="DW22" i="8" l="1"/>
  <c r="DV34" i="8"/>
  <c r="EA17" i="8"/>
  <c r="DW29" i="8" l="1"/>
  <c r="DW25" i="8"/>
  <c r="EA18" i="8"/>
  <c r="DW32" i="8" l="1"/>
  <c r="DU70" i="6" s="1"/>
  <c r="DW26" i="8"/>
  <c r="EA19" i="8"/>
  <c r="DW33" i="8" l="1"/>
  <c r="DU101" i="6" s="1"/>
  <c r="AP94" i="15" s="1"/>
  <c r="DW27" i="8"/>
  <c r="DU31" i="9"/>
  <c r="AP63" i="15"/>
  <c r="EB14" i="8"/>
  <c r="DX22" i="8" l="1"/>
  <c r="DW34" i="8"/>
  <c r="EB17" i="8"/>
  <c r="DX25" i="8" l="1"/>
  <c r="DX29" i="8"/>
  <c r="EB18" i="8"/>
  <c r="DX26" i="8" l="1"/>
  <c r="DX32" i="8"/>
  <c r="DV70" i="6" s="1"/>
  <c r="EB19" i="8"/>
  <c r="DV31" i="9" l="1"/>
  <c r="DX33" i="8"/>
  <c r="DV101" i="6" s="1"/>
  <c r="DX27" i="8"/>
  <c r="EC14" i="8"/>
  <c r="DY22" i="8" l="1"/>
  <c r="DX34" i="8"/>
  <c r="EC17" i="8"/>
  <c r="DY29" i="8" l="1"/>
  <c r="DY25" i="8"/>
  <c r="EC18" i="8"/>
  <c r="DY26" i="8" l="1"/>
  <c r="DY32" i="8"/>
  <c r="DW70" i="6" s="1"/>
  <c r="EC19" i="8"/>
  <c r="DW31" i="9" l="1"/>
  <c r="DY33" i="8"/>
  <c r="DW101" i="6" s="1"/>
  <c r="DY27" i="8"/>
  <c r="ED14" i="8"/>
  <c r="DY34" i="8" l="1"/>
  <c r="DZ22" i="8"/>
  <c r="ED17" i="8"/>
  <c r="DZ25" i="8" l="1"/>
  <c r="DZ29" i="8"/>
  <c r="ED18" i="8"/>
  <c r="DZ32" i="8" l="1"/>
  <c r="DX70" i="6" s="1"/>
  <c r="DZ26" i="8"/>
  <c r="ED19" i="8"/>
  <c r="DZ33" i="8" l="1"/>
  <c r="DX101" i="6" s="1"/>
  <c r="AQ94" i="15" s="1"/>
  <c r="DZ27" i="8"/>
  <c r="DX31" i="9"/>
  <c r="AQ63" i="15"/>
  <c r="EE14" i="8"/>
  <c r="EA22" i="8" l="1"/>
  <c r="DZ34" i="8"/>
  <c r="EE17" i="8"/>
  <c r="EA25" i="8" l="1"/>
  <c r="EA29" i="8"/>
  <c r="EE18" i="8"/>
  <c r="EA26" i="8" l="1"/>
  <c r="EA32" i="8"/>
  <c r="DY70" i="6" s="1"/>
  <c r="EE19" i="8"/>
  <c r="DY31" i="9" l="1"/>
  <c r="EA33" i="8"/>
  <c r="DY101" i="6" s="1"/>
  <c r="EA27" i="8"/>
  <c r="EF14" i="8"/>
  <c r="EB22" i="8" l="1"/>
  <c r="EA34" i="8"/>
  <c r="EF17" i="8"/>
  <c r="EB25" i="8" l="1"/>
  <c r="EB29" i="8"/>
  <c r="EF18" i="8"/>
  <c r="EB26" i="8" l="1"/>
  <c r="EB32" i="8"/>
  <c r="DZ70" i="6" s="1"/>
  <c r="EF19" i="8"/>
  <c r="DZ31" i="9" l="1"/>
  <c r="EB33" i="8"/>
  <c r="DZ101" i="6" s="1"/>
  <c r="EB27" i="8"/>
  <c r="EG14" i="8"/>
  <c r="EB34" i="8" l="1"/>
  <c r="EC22" i="8"/>
  <c r="EG17" i="8"/>
  <c r="EC25" i="8" l="1"/>
  <c r="EC29" i="8"/>
  <c r="EG18" i="8"/>
  <c r="EC26" i="8" l="1"/>
  <c r="EC32" i="8"/>
  <c r="EA70" i="6" s="1"/>
  <c r="EG19" i="8"/>
  <c r="EA31" i="9" l="1"/>
  <c r="AR63" i="15"/>
  <c r="EC33" i="8"/>
  <c r="EA101" i="6" s="1"/>
  <c r="AR94" i="15" s="1"/>
  <c r="EC27" i="8"/>
  <c r="EH14" i="8"/>
  <c r="ED22" i="8" l="1"/>
  <c r="EC34" i="8"/>
  <c r="EH17" i="8"/>
  <c r="ED25" i="8" l="1"/>
  <c r="ED29" i="8"/>
  <c r="EH18" i="8"/>
  <c r="ED32" i="8" l="1"/>
  <c r="ED26" i="8"/>
  <c r="EH19" i="8"/>
  <c r="ED33" i="8" l="1"/>
  <c r="ED27" i="8"/>
  <c r="EB70" i="6"/>
  <c r="EI14" i="8"/>
  <c r="EE22" i="8" l="1"/>
  <c r="ED34" i="8"/>
  <c r="EB31" i="9"/>
  <c r="EB101" i="6"/>
  <c r="EI17" i="8"/>
  <c r="EE29" i="8" l="1"/>
  <c r="EE25" i="8"/>
  <c r="EI18" i="8"/>
  <c r="EE32" i="8" l="1"/>
  <c r="EE26" i="8"/>
  <c r="EI19" i="8"/>
  <c r="EE33" i="8" l="1"/>
  <c r="EE27" i="8"/>
  <c r="EC70" i="6"/>
  <c r="EJ14" i="8"/>
  <c r="EC31" i="9" l="1"/>
  <c r="EE34" i="8"/>
  <c r="EF22" i="8"/>
  <c r="EC101" i="6"/>
  <c r="EJ17" i="8"/>
  <c r="EF25" i="8" l="1"/>
  <c r="EF29" i="8"/>
  <c r="EJ18" i="8"/>
  <c r="N6" i="33" l="1"/>
  <c r="N4" i="33"/>
  <c r="EF26" i="8"/>
  <c r="EF32" i="8"/>
  <c r="EJ19" i="8"/>
  <c r="N12" i="33" l="1"/>
  <c r="ED70" i="6"/>
  <c r="M63" i="11"/>
  <c r="L4" i="12" s="1"/>
  <c r="B200" i="12" s="1"/>
  <c r="EF33" i="8"/>
  <c r="EF27" i="8"/>
  <c r="DS44" i="6"/>
  <c r="DX44" i="6"/>
  <c r="DX56" i="6" s="1"/>
  <c r="EC44" i="6"/>
  <c r="EC56" i="6" s="1"/>
  <c r="DY44" i="6"/>
  <c r="EB44" i="6"/>
  <c r="DU44" i="6"/>
  <c r="DU56" i="6" s="1"/>
  <c r="DW44" i="6"/>
  <c r="DW56" i="6" s="1"/>
  <c r="ED44" i="6"/>
  <c r="ED56" i="6" s="1"/>
  <c r="DZ44" i="6"/>
  <c r="DZ56" i="6" s="1"/>
  <c r="DT44" i="6"/>
  <c r="DT56" i="6" s="1"/>
  <c r="EA44" i="6"/>
  <c r="EA56" i="6" s="1"/>
  <c r="DV44" i="6"/>
  <c r="EK14" i="8"/>
  <c r="DV56" i="6" l="1"/>
  <c r="AQ37" i="15"/>
  <c r="AQ49" i="15" s="1"/>
  <c r="EB56" i="6"/>
  <c r="AS37" i="15"/>
  <c r="AS49" i="15" s="1"/>
  <c r="DY56" i="6"/>
  <c r="AR37" i="15"/>
  <c r="AR49" i="15" s="1"/>
  <c r="DS56" i="6"/>
  <c r="M37" i="11"/>
  <c r="AP37" i="15"/>
  <c r="AP49" i="15" s="1"/>
  <c r="EF34" i="8"/>
  <c r="AD189" i="12" s="1"/>
  <c r="EG22" i="8"/>
  <c r="ED101" i="6"/>
  <c r="AS94" i="15" s="1"/>
  <c r="M94" i="11"/>
  <c r="L5" i="12" s="1"/>
  <c r="B201" i="12" s="1"/>
  <c r="ED31" i="9"/>
  <c r="AS63" i="15"/>
  <c r="EK17" i="8"/>
  <c r="M49" i="11" l="1"/>
  <c r="L3" i="12" s="1"/>
  <c r="B199" i="12" s="1"/>
  <c r="L131" i="12"/>
  <c r="EG29" i="8"/>
  <c r="EG25" i="8"/>
  <c r="W4" i="1"/>
  <c r="U33" i="1"/>
  <c r="EK18" i="8"/>
  <c r="L143" i="12" l="1"/>
  <c r="L22" i="12"/>
  <c r="L23" i="12" s="1"/>
  <c r="L17" i="12"/>
  <c r="L18" i="12" s="1"/>
  <c r="EG32" i="8"/>
  <c r="EE70" i="6" s="1"/>
  <c r="EG26" i="8"/>
  <c r="EK19" i="8"/>
  <c r="L35" i="12" l="1"/>
  <c r="L36" i="12" s="1"/>
  <c r="EG33" i="8"/>
  <c r="EE101" i="6" s="1"/>
  <c r="EG27" i="8"/>
  <c r="EE31" i="9"/>
  <c r="EL14" i="8"/>
  <c r="EH22" i="8" l="1"/>
  <c r="EG34" i="8"/>
  <c r="EL17" i="8"/>
  <c r="EH29" i="8" l="1"/>
  <c r="EH25" i="8"/>
  <c r="EL18" i="8"/>
  <c r="EH26" i="8" l="1"/>
  <c r="EH32" i="8"/>
  <c r="EF70" i="6" s="1"/>
  <c r="EL19" i="8"/>
  <c r="EF31" i="9" l="1"/>
  <c r="EH33" i="8"/>
  <c r="EF101" i="6" s="1"/>
  <c r="EH27" i="8"/>
  <c r="EM14" i="8"/>
  <c r="EH34" i="8" l="1"/>
  <c r="EI22" i="8"/>
  <c r="EM17" i="8"/>
  <c r="EI29" i="8" l="1"/>
  <c r="EI25" i="8"/>
  <c r="EM18" i="8"/>
  <c r="EI32" i="8" l="1"/>
  <c r="EG70" i="6" s="1"/>
  <c r="EI26" i="8"/>
  <c r="EM19" i="8"/>
  <c r="EI33" i="8" l="1"/>
  <c r="EG101" i="6" s="1"/>
  <c r="AT94" i="15" s="1"/>
  <c r="EI27" i="8"/>
  <c r="EG31" i="9"/>
  <c r="AT63" i="15"/>
  <c r="EN14" i="8"/>
  <c r="EI34" i="8" l="1"/>
  <c r="EJ22" i="8"/>
  <c r="EN17" i="8"/>
  <c r="EJ25" i="8" l="1"/>
  <c r="EJ29" i="8"/>
  <c r="EN18" i="8"/>
  <c r="EJ32" i="8" l="1"/>
  <c r="EH70" i="6" s="1"/>
  <c r="EJ26" i="8"/>
  <c r="EM22" i="8"/>
  <c r="EN19" i="8"/>
  <c r="EJ33" i="8" l="1"/>
  <c r="EH101" i="6" s="1"/>
  <c r="EJ27" i="8"/>
  <c r="EH31" i="9"/>
  <c r="EM25" i="8"/>
  <c r="EM29" i="8"/>
  <c r="EO14" i="8"/>
  <c r="EK22" i="8" l="1"/>
  <c r="EJ34" i="8"/>
  <c r="EM26" i="8"/>
  <c r="EM32" i="8"/>
  <c r="EK70" i="6" s="1"/>
  <c r="EK31" i="9" s="1"/>
  <c r="EO17" i="8"/>
  <c r="EK29" i="8" l="1"/>
  <c r="EK25" i="8"/>
  <c r="EM33" i="8"/>
  <c r="EK101" i="6" s="1"/>
  <c r="EM27" i="8"/>
  <c r="EO18" i="8"/>
  <c r="EK26" i="8" l="1"/>
  <c r="EK32" i="8"/>
  <c r="EI70" i="6" s="1"/>
  <c r="EM34" i="8"/>
  <c r="EN22" i="8"/>
  <c r="EO19" i="8"/>
  <c r="EI31" i="9" l="1"/>
  <c r="EK33" i="8"/>
  <c r="EI101" i="6" s="1"/>
  <c r="EK27" i="8"/>
  <c r="EN29" i="8"/>
  <c r="EN25" i="8"/>
  <c r="EP14" i="8"/>
  <c r="EK34" i="8" l="1"/>
  <c r="EL22" i="8"/>
  <c r="EN26" i="8"/>
  <c r="EN32" i="8"/>
  <c r="EL70" i="6" s="1"/>
  <c r="EL31" i="9" s="1"/>
  <c r="EP17" i="8"/>
  <c r="EL29" i="8" l="1"/>
  <c r="EL25" i="8"/>
  <c r="EN33" i="8"/>
  <c r="EL101" i="6" s="1"/>
  <c r="EN27" i="8"/>
  <c r="EP18" i="8"/>
  <c r="EL26" i="8" l="1"/>
  <c r="EL32" i="8"/>
  <c r="EJ70" i="6" s="1"/>
  <c r="EO22" i="8"/>
  <c r="EN34" i="8"/>
  <c r="EP19" i="8"/>
  <c r="EJ31" i="9" l="1"/>
  <c r="AU63" i="15"/>
  <c r="EL33" i="8"/>
  <c r="EJ101" i="6" s="1"/>
  <c r="AU94" i="15" s="1"/>
  <c r="EL27" i="8"/>
  <c r="EL34" i="8" s="1"/>
  <c r="EO29" i="8"/>
  <c r="EO25" i="8"/>
  <c r="EQ14" i="8"/>
  <c r="EO26" i="8" l="1"/>
  <c r="EO32" i="8"/>
  <c r="EM70" i="6" s="1"/>
  <c r="EQ17" i="8"/>
  <c r="AV63" i="15" l="1"/>
  <c r="EM31" i="9"/>
  <c r="EO33" i="8"/>
  <c r="EM101" i="6" s="1"/>
  <c r="AV94" i="15" s="1"/>
  <c r="EO27" i="8"/>
  <c r="EQ18" i="8"/>
  <c r="EP22" i="8" l="1"/>
  <c r="EO34" i="8"/>
  <c r="EQ19" i="8"/>
  <c r="EP29" i="8" l="1"/>
  <c r="EP25" i="8"/>
  <c r="ER14" i="8"/>
  <c r="EP26" i="8" l="1"/>
  <c r="EP32" i="8"/>
  <c r="EN70" i="6" s="1"/>
  <c r="EN31" i="9" s="1"/>
  <c r="ER17" i="8"/>
  <c r="EP33" i="8" l="1"/>
  <c r="EN101" i="6" s="1"/>
  <c r="EP27" i="8"/>
  <c r="ER18" i="8"/>
  <c r="EQ22" i="8" l="1"/>
  <c r="EP34" i="8"/>
  <c r="ER19" i="8"/>
  <c r="EQ29" i="8" l="1"/>
  <c r="EQ25" i="8"/>
  <c r="ES14" i="8"/>
  <c r="EQ26" i="8" l="1"/>
  <c r="EQ32" i="8"/>
  <c r="EO70" i="6" s="1"/>
  <c r="EO31" i="9" s="1"/>
  <c r="ES17" i="8"/>
  <c r="EQ33" i="8" l="1"/>
  <c r="EO101" i="6" s="1"/>
  <c r="EQ27" i="8"/>
  <c r="ES18" i="8"/>
  <c r="EQ34" i="8" l="1"/>
  <c r="ER22" i="8"/>
  <c r="ES19" i="8"/>
  <c r="ER29" i="8" l="1"/>
  <c r="ER25" i="8"/>
  <c r="ET14" i="8"/>
  <c r="O6" i="33" l="1"/>
  <c r="O4" i="33"/>
  <c r="O12" i="33" s="1"/>
  <c r="ER26" i="8"/>
  <c r="ER32" i="8"/>
  <c r="ET17" i="8"/>
  <c r="EJ44" i="6" l="1"/>
  <c r="EJ56" i="6" s="1"/>
  <c r="EM44" i="6"/>
  <c r="EM56" i="6" s="1"/>
  <c r="EL44" i="6"/>
  <c r="EL56" i="6" s="1"/>
  <c r="EK44" i="6"/>
  <c r="EG44" i="6"/>
  <c r="EG56" i="6" s="1"/>
  <c r="EN44" i="6"/>
  <c r="EO44" i="6"/>
  <c r="EO56" i="6" s="1"/>
  <c r="EF44" i="6"/>
  <c r="EF56" i="6" s="1"/>
  <c r="EP44" i="6"/>
  <c r="EP56" i="6" s="1"/>
  <c r="EE44" i="6"/>
  <c r="EH44" i="6"/>
  <c r="EI44" i="6"/>
  <c r="EI56" i="6" s="1"/>
  <c r="EP70" i="6"/>
  <c r="N63" i="11"/>
  <c r="M4" i="12" s="1"/>
  <c r="ER33" i="8"/>
  <c r="ER27" i="8"/>
  <c r="ET18" i="8"/>
  <c r="EH56" i="6" l="1"/>
  <c r="AU37" i="15"/>
  <c r="AU49" i="15" s="1"/>
  <c r="EE56" i="6"/>
  <c r="AT37" i="15"/>
  <c r="AT49" i="15" s="1"/>
  <c r="N37" i="11"/>
  <c r="EN56" i="6"/>
  <c r="AW37" i="15"/>
  <c r="AW49" i="15" s="1"/>
  <c r="EK56" i="6"/>
  <c r="AV37" i="15"/>
  <c r="AV49" i="15" s="1"/>
  <c r="N94" i="11"/>
  <c r="M5" i="12" s="1"/>
  <c r="EP101" i="6"/>
  <c r="AW94" i="15" s="1"/>
  <c r="ER34" i="8"/>
  <c r="AE189" i="12" s="1"/>
  <c r="ES22" i="8"/>
  <c r="AW63" i="15"/>
  <c r="EP31" i="9"/>
  <c r="ET19" i="8"/>
  <c r="N49" i="11" l="1"/>
  <c r="M3" i="12" s="1"/>
  <c r="M131" i="12"/>
  <c r="V33" i="1"/>
  <c r="X4" i="1"/>
  <c r="ES25" i="8"/>
  <c r="ES29" i="8"/>
  <c r="EU14" i="8"/>
  <c r="M143" i="12" l="1"/>
  <c r="M17" i="12"/>
  <c r="M35" i="12" s="1"/>
  <c r="M36" i="12" s="1"/>
  <c r="M22" i="12"/>
  <c r="M23" i="12" s="1"/>
  <c r="ES26" i="8"/>
  <c r="ES32" i="8"/>
  <c r="EQ70" i="6" s="1"/>
  <c r="EQ31" i="9" s="1"/>
  <c r="EU17" i="8"/>
  <c r="M18" i="12" l="1"/>
  <c r="ES33" i="8"/>
  <c r="EQ101" i="6" s="1"/>
  <c r="ES27" i="8"/>
  <c r="EU18" i="8"/>
  <c r="ET22" i="8" l="1"/>
  <c r="ES34" i="8"/>
  <c r="EU19" i="8"/>
  <c r="ET25" i="8" l="1"/>
  <c r="ET29" i="8"/>
  <c r="EV14" i="8"/>
  <c r="ET26" i="8" l="1"/>
  <c r="ET32" i="8"/>
  <c r="ER70" i="6" s="1"/>
  <c r="ER31" i="9" s="1"/>
  <c r="EV17" i="8"/>
  <c r="ET33" i="8" l="1"/>
  <c r="ER101" i="6" s="1"/>
  <c r="ET27" i="8"/>
  <c r="EV18" i="8"/>
  <c r="EU22" i="8" l="1"/>
  <c r="ET34" i="8"/>
  <c r="EV19" i="8"/>
  <c r="EU29" i="8" l="1"/>
  <c r="EU25" i="8"/>
  <c r="EW14" i="8"/>
  <c r="EU26" i="8" l="1"/>
  <c r="EU32" i="8"/>
  <c r="ES70" i="6" s="1"/>
  <c r="EW17" i="8"/>
  <c r="AX63" i="15" l="1"/>
  <c r="ES31" i="9"/>
  <c r="EU33" i="8"/>
  <c r="ES101" i="6" s="1"/>
  <c r="AX94" i="15" s="1"/>
  <c r="EU27" i="8"/>
  <c r="EW18" i="8"/>
  <c r="EV22" i="8" l="1"/>
  <c r="EU34" i="8"/>
  <c r="EW19" i="8"/>
  <c r="EV29" i="8" l="1"/>
  <c r="EV25" i="8"/>
  <c r="EX14" i="8"/>
  <c r="EV32" i="8" l="1"/>
  <c r="ET70" i="6" s="1"/>
  <c r="ET31" i="9" s="1"/>
  <c r="EV26" i="8"/>
  <c r="EX17" i="8"/>
  <c r="EV33" i="8" l="1"/>
  <c r="ET101" i="6" s="1"/>
  <c r="EV27" i="8"/>
  <c r="EX18" i="8"/>
  <c r="EV34" i="8" l="1"/>
  <c r="EW22" i="8"/>
  <c r="EX19" i="8"/>
  <c r="EW29" i="8" l="1"/>
  <c r="EW25" i="8"/>
  <c r="EY14" i="8"/>
  <c r="EW26" i="8" l="1"/>
  <c r="EW32" i="8"/>
  <c r="EU70" i="6" s="1"/>
  <c r="EU31" i="9" s="1"/>
  <c r="EY17" i="8"/>
  <c r="EW33" i="8" l="1"/>
  <c r="EU101" i="6" s="1"/>
  <c r="EW27" i="8"/>
  <c r="EY18" i="8"/>
  <c r="EW34" i="8" l="1"/>
  <c r="EX22" i="8"/>
  <c r="EY19" i="8"/>
  <c r="EX29" i="8" l="1"/>
  <c r="EX25" i="8"/>
  <c r="EZ14" i="8"/>
  <c r="EX26" i="8" l="1"/>
  <c r="EX32" i="8"/>
  <c r="EV70" i="6" s="1"/>
  <c r="EZ17" i="8"/>
  <c r="AY63" i="15" l="1"/>
  <c r="EV31" i="9"/>
  <c r="EX33" i="8"/>
  <c r="EV101" i="6" s="1"/>
  <c r="AY94" i="15" s="1"/>
  <c r="EX27" i="8"/>
  <c r="EZ18" i="8"/>
  <c r="EY22" i="8" l="1"/>
  <c r="EX34" i="8"/>
  <c r="EZ19" i="8"/>
  <c r="EY29" i="8" l="1"/>
  <c r="EY25" i="8"/>
  <c r="FA14" i="8"/>
  <c r="EY26" i="8" l="1"/>
  <c r="EY32" i="8"/>
  <c r="EW70" i="6" s="1"/>
  <c r="EW31" i="9" s="1"/>
  <c r="FA17" i="8"/>
  <c r="EY33" i="8" l="1"/>
  <c r="EW101" i="6" s="1"/>
  <c r="EY27" i="8"/>
  <c r="FA18" i="8"/>
  <c r="EZ22" i="8" l="1"/>
  <c r="EY34" i="8"/>
  <c r="FA19" i="8"/>
  <c r="EZ29" i="8" l="1"/>
  <c r="EZ25" i="8"/>
  <c r="FB14" i="8"/>
  <c r="EZ26" i="8" l="1"/>
  <c r="EZ32" i="8"/>
  <c r="EX70" i="6" s="1"/>
  <c r="EX31" i="9" s="1"/>
  <c r="FB17" i="8"/>
  <c r="EZ33" i="8" l="1"/>
  <c r="EX101" i="6" s="1"/>
  <c r="EZ27" i="8"/>
  <c r="FB18" i="8"/>
  <c r="EZ34" i="8" l="1"/>
  <c r="FA22" i="8"/>
  <c r="FB19" i="8"/>
  <c r="FA29" i="8" l="1"/>
  <c r="FA25" i="8"/>
  <c r="FC14" i="8"/>
  <c r="FA26" i="8" l="1"/>
  <c r="FA32" i="8"/>
  <c r="EY70" i="6" s="1"/>
  <c r="FC17" i="8"/>
  <c r="AZ63" i="15" l="1"/>
  <c r="EY31" i="9"/>
  <c r="FA33" i="8"/>
  <c r="EY101" i="6" s="1"/>
  <c r="AZ94" i="15" s="1"/>
  <c r="FA27" i="8"/>
  <c r="FC18" i="8"/>
  <c r="FB22" i="8" l="1"/>
  <c r="FA34" i="8"/>
  <c r="FC19" i="8"/>
  <c r="FB29" i="8" l="1"/>
  <c r="FB25" i="8"/>
  <c r="FD14" i="8"/>
  <c r="FB26" i="8" l="1"/>
  <c r="FB32" i="8"/>
  <c r="EZ70" i="6" s="1"/>
  <c r="EZ31" i="9" s="1"/>
  <c r="FD17" i="8"/>
  <c r="FB33" i="8" l="1"/>
  <c r="EZ101" i="6" s="1"/>
  <c r="FB27" i="8"/>
  <c r="FD18" i="8"/>
  <c r="FB34" i="8" l="1"/>
  <c r="FC22" i="8"/>
  <c r="FD19" i="8"/>
  <c r="FC29" i="8" l="1"/>
  <c r="FC25" i="8"/>
  <c r="FE14" i="8"/>
  <c r="FC26" i="8" l="1"/>
  <c r="FC32" i="8"/>
  <c r="FA70" i="6" s="1"/>
  <c r="FA31" i="9" s="1"/>
  <c r="FE17" i="8"/>
  <c r="FC33" i="8" l="1"/>
  <c r="FA101" i="6" s="1"/>
  <c r="FC27" i="8"/>
  <c r="FE18" i="8"/>
  <c r="FD22" i="8" l="1"/>
  <c r="FC34" i="8"/>
  <c r="FE19" i="8"/>
  <c r="FD29" i="8" l="1"/>
  <c r="FD25" i="8"/>
  <c r="FF14" i="8"/>
  <c r="P6" i="33" l="1"/>
  <c r="P4" i="33"/>
  <c r="FD26" i="8"/>
  <c r="FD32" i="8"/>
  <c r="FF17" i="8"/>
  <c r="P12" i="33" l="1"/>
  <c r="EY44" i="6" s="1"/>
  <c r="EY56" i="6" s="1"/>
  <c r="O63" i="11"/>
  <c r="N4" i="12" s="1"/>
  <c r="FB70" i="6"/>
  <c r="FD33" i="8"/>
  <c r="FD27" i="8"/>
  <c r="FF18" i="8"/>
  <c r="ES44" i="6" l="1"/>
  <c r="ES56" i="6" s="1"/>
  <c r="ER44" i="6"/>
  <c r="ER56" i="6" s="1"/>
  <c r="EX44" i="6"/>
  <c r="EX56" i="6" s="1"/>
  <c r="EU44" i="6"/>
  <c r="EU56" i="6" s="1"/>
  <c r="ET44" i="6"/>
  <c r="ET56" i="6" s="1"/>
  <c r="EQ44" i="6"/>
  <c r="EQ56" i="6" s="1"/>
  <c r="FB44" i="6"/>
  <c r="FB56" i="6" s="1"/>
  <c r="FA44" i="6"/>
  <c r="FA56" i="6" s="1"/>
  <c r="EW44" i="6"/>
  <c r="EW56" i="6" s="1"/>
  <c r="EZ44" i="6"/>
  <c r="EZ56" i="6" s="1"/>
  <c r="EV44" i="6"/>
  <c r="EV56" i="6" s="1"/>
  <c r="FB101" i="6"/>
  <c r="BA94" i="15" s="1"/>
  <c r="O94" i="11"/>
  <c r="N5" i="12" s="1"/>
  <c r="BA63" i="15"/>
  <c r="FB31" i="9"/>
  <c r="FE22" i="8"/>
  <c r="FD34" i="8"/>
  <c r="AF189" i="12" s="1"/>
  <c r="FF19" i="8"/>
  <c r="AX37" i="15" l="1"/>
  <c r="AX49" i="15" s="1"/>
  <c r="BA37" i="15"/>
  <c r="BA49" i="15" s="1"/>
  <c r="AY37" i="15"/>
  <c r="AY49" i="15" s="1"/>
  <c r="O37" i="11"/>
  <c r="AZ37" i="15"/>
  <c r="AZ49" i="15" s="1"/>
  <c r="W33" i="1"/>
  <c r="Y4" i="1"/>
  <c r="FE25" i="8"/>
  <c r="FE29" i="8"/>
  <c r="FG14" i="8"/>
  <c r="O49" i="11" l="1"/>
  <c r="N3" i="12" s="1"/>
  <c r="N22" i="12" s="1"/>
  <c r="N23" i="12" s="1"/>
  <c r="N131" i="12"/>
  <c r="FE26" i="8"/>
  <c r="FE32" i="8"/>
  <c r="FC70" i="6" s="1"/>
  <c r="FC31" i="9" s="1"/>
  <c r="FG17" i="8"/>
  <c r="N143" i="12" l="1"/>
  <c r="N17" i="12"/>
  <c r="N35" i="12" s="1"/>
  <c r="N36" i="12" s="1"/>
  <c r="FE33" i="8"/>
  <c r="FC101" i="6" s="1"/>
  <c r="FE27" i="8"/>
  <c r="FG18" i="8"/>
  <c r="N18" i="12" l="1"/>
  <c r="FF22" i="8"/>
  <c r="FE34" i="8"/>
  <c r="FG19" i="8"/>
  <c r="FF25" i="8" l="1"/>
  <c r="FF29" i="8"/>
  <c r="FH14" i="8"/>
  <c r="FF26" i="8" l="1"/>
  <c r="FF32" i="8"/>
  <c r="FD70" i="6" s="1"/>
  <c r="FD31" i="9" s="1"/>
  <c r="FH17" i="8"/>
  <c r="FF33" i="8" l="1"/>
  <c r="FD101" i="6" s="1"/>
  <c r="FF27" i="8"/>
  <c r="FH18" i="8"/>
  <c r="FG22" i="8" l="1"/>
  <c r="FF34" i="8"/>
  <c r="FH19" i="8"/>
  <c r="FG29" i="8" l="1"/>
  <c r="FG25" i="8"/>
  <c r="FI14" i="8"/>
  <c r="FG26" i="8" l="1"/>
  <c r="FG32" i="8"/>
  <c r="FE70" i="6" s="1"/>
  <c r="FI17" i="8"/>
  <c r="BB63" i="15" l="1"/>
  <c r="FE31" i="9"/>
  <c r="FG33" i="8"/>
  <c r="FE101" i="6" s="1"/>
  <c r="BB94" i="15" s="1"/>
  <c r="FG27" i="8"/>
  <c r="FI18" i="8"/>
  <c r="FG34" i="8" l="1"/>
  <c r="FH22" i="8"/>
  <c r="FI19" i="8"/>
  <c r="FH29" i="8" l="1"/>
  <c r="FH25" i="8"/>
  <c r="FJ14" i="8"/>
  <c r="FH26" i="8" l="1"/>
  <c r="FH32" i="8"/>
  <c r="FF70" i="6" s="1"/>
  <c r="FF31" i="9" s="1"/>
  <c r="FJ17" i="8"/>
  <c r="FH33" i="8" l="1"/>
  <c r="FF101" i="6" s="1"/>
  <c r="FH27" i="8"/>
  <c r="FJ18" i="8"/>
  <c r="FI22" i="8" l="1"/>
  <c r="FH34" i="8"/>
  <c r="FJ19" i="8"/>
  <c r="FI29" i="8" l="1"/>
  <c r="FI25" i="8"/>
  <c r="FK14" i="8"/>
  <c r="FI26" i="8" l="1"/>
  <c r="FI32" i="8"/>
  <c r="FG70" i="6" s="1"/>
  <c r="FG31" i="9" s="1"/>
  <c r="FK17" i="8"/>
  <c r="FI33" i="8" l="1"/>
  <c r="FG101" i="6" s="1"/>
  <c r="FI27" i="8"/>
  <c r="FK18" i="8"/>
  <c r="FJ22" i="8" l="1"/>
  <c r="FI34" i="8"/>
  <c r="FK19" i="8"/>
  <c r="FJ29" i="8" l="1"/>
  <c r="FJ25" i="8"/>
  <c r="FL14" i="8"/>
  <c r="FJ26" i="8" l="1"/>
  <c r="FJ32" i="8"/>
  <c r="FH70" i="6" s="1"/>
  <c r="FL17" i="8"/>
  <c r="BC63" i="15" l="1"/>
  <c r="FH31" i="9"/>
  <c r="FJ33" i="8"/>
  <c r="FH101" i="6" s="1"/>
  <c r="BC94" i="15" s="1"/>
  <c r="FJ27" i="8"/>
  <c r="FL18" i="8"/>
  <c r="FK22" i="8" l="1"/>
  <c r="FJ34" i="8"/>
  <c r="FL19" i="8"/>
  <c r="FK29" i="8" l="1"/>
  <c r="FK25" i="8"/>
  <c r="FM14" i="8"/>
  <c r="FK26" i="8" l="1"/>
  <c r="FK32" i="8"/>
  <c r="FI70" i="6" s="1"/>
  <c r="FI31" i="9" s="1"/>
  <c r="FM17" i="8"/>
  <c r="FK33" i="8" l="1"/>
  <c r="FI101" i="6" s="1"/>
  <c r="FK27" i="8"/>
  <c r="FM18" i="8"/>
  <c r="FK34" i="8" l="1"/>
  <c r="FL22" i="8"/>
  <c r="FM19" i="8"/>
  <c r="FL29" i="8" l="1"/>
  <c r="FL25" i="8"/>
  <c r="FN14" i="8"/>
  <c r="FL26" i="8" l="1"/>
  <c r="FL32" i="8"/>
  <c r="FJ70" i="6" s="1"/>
  <c r="FJ31" i="9" s="1"/>
  <c r="FN17" i="8"/>
  <c r="FL33" i="8" l="1"/>
  <c r="FJ101" i="6" s="1"/>
  <c r="FL27" i="8"/>
  <c r="FN18" i="8"/>
  <c r="FM22" i="8" l="1"/>
  <c r="FL34" i="8"/>
  <c r="FN19" i="8"/>
  <c r="FM29" i="8" l="1"/>
  <c r="FM25" i="8"/>
  <c r="FO14" i="8"/>
  <c r="FM26" i="8" l="1"/>
  <c r="FM32" i="8"/>
  <c r="FK70" i="6" s="1"/>
  <c r="FO17" i="8"/>
  <c r="BD63" i="15" l="1"/>
  <c r="FK31" i="9"/>
  <c r="FM33" i="8"/>
  <c r="FK101" i="6" s="1"/>
  <c r="BD94" i="15" s="1"/>
  <c r="FM27" i="8"/>
  <c r="FO18" i="8"/>
  <c r="FM34" i="8" l="1"/>
  <c r="FN22" i="8"/>
  <c r="FO19" i="8"/>
  <c r="FN29" i="8" l="1"/>
  <c r="FN25" i="8"/>
  <c r="FP14" i="8"/>
  <c r="FN32" i="8" l="1"/>
  <c r="FL70" i="6" s="1"/>
  <c r="FL31" i="9" s="1"/>
  <c r="FN26" i="8"/>
  <c r="FP17" i="8"/>
  <c r="FN33" i="8" l="1"/>
  <c r="FL101" i="6" s="1"/>
  <c r="FN27" i="8"/>
  <c r="FP18" i="8"/>
  <c r="FO22" i="8" l="1"/>
  <c r="FN34" i="8"/>
  <c r="FP19" i="8"/>
  <c r="FO29" i="8" l="1"/>
  <c r="FO25" i="8"/>
  <c r="FQ14" i="8"/>
  <c r="FO26" i="8" l="1"/>
  <c r="FO32" i="8"/>
  <c r="FM70" i="6" s="1"/>
  <c r="FM31" i="9" s="1"/>
  <c r="FQ17" i="8"/>
  <c r="FO33" i="8" l="1"/>
  <c r="FM101" i="6" s="1"/>
  <c r="FO27" i="8"/>
  <c r="FQ18" i="8"/>
  <c r="FO34" i="8" l="1"/>
  <c r="FP22" i="8"/>
  <c r="FQ19" i="8"/>
  <c r="FP29" i="8" l="1"/>
  <c r="FP25" i="8"/>
  <c r="FR14" i="8"/>
  <c r="Q6" i="33" l="1"/>
  <c r="Q4" i="33"/>
  <c r="Q12" i="33" s="1"/>
  <c r="FP26" i="8"/>
  <c r="FP32" i="8"/>
  <c r="FR17" i="8"/>
  <c r="FH44" i="6" l="1"/>
  <c r="FH56" i="6" s="1"/>
  <c r="FI44" i="6"/>
  <c r="FF44" i="6"/>
  <c r="FD44" i="6"/>
  <c r="FD56" i="6" s="1"/>
  <c r="FE44" i="6"/>
  <c r="FE56" i="6" s="1"/>
  <c r="FL44" i="6"/>
  <c r="FG44" i="6"/>
  <c r="FG56" i="6" s="1"/>
  <c r="FN44" i="6"/>
  <c r="FN56" i="6" s="1"/>
  <c r="FJ44" i="6"/>
  <c r="FJ56" i="6" s="1"/>
  <c r="FC44" i="6"/>
  <c r="FK44" i="6"/>
  <c r="FK56" i="6" s="1"/>
  <c r="FM44" i="6"/>
  <c r="FM56" i="6" s="1"/>
  <c r="FN70" i="6"/>
  <c r="P63" i="11"/>
  <c r="O4" i="12" s="1"/>
  <c r="FP33" i="8"/>
  <c r="FP27" i="8"/>
  <c r="FR18" i="8"/>
  <c r="FC56" i="6" l="1"/>
  <c r="BB37" i="15"/>
  <c r="BB49" i="15" s="1"/>
  <c r="P37" i="11"/>
  <c r="FI56" i="6"/>
  <c r="BD37" i="15"/>
  <c r="BD49" i="15" s="1"/>
  <c r="FL56" i="6"/>
  <c r="BE37" i="15"/>
  <c r="BE49" i="15" s="1"/>
  <c r="FF56" i="6"/>
  <c r="BC37" i="15"/>
  <c r="BC49" i="15" s="1"/>
  <c r="P94" i="11"/>
  <c r="O5" i="12" s="1"/>
  <c r="FN101" i="6"/>
  <c r="BE94" i="15" s="1"/>
  <c r="FP34" i="8"/>
  <c r="AG189" i="12" s="1"/>
  <c r="FQ22" i="8"/>
  <c r="BE63" i="15"/>
  <c r="FN31" i="9"/>
  <c r="FR19" i="8"/>
  <c r="P49" i="11" l="1"/>
  <c r="O3" i="12" s="1"/>
  <c r="O131" i="12"/>
  <c r="X33" i="1"/>
  <c r="Z4" i="1"/>
  <c r="FQ25" i="8"/>
  <c r="FQ29" i="8"/>
  <c r="FS14" i="8"/>
  <c r="O143" i="12" l="1"/>
  <c r="O22" i="12"/>
  <c r="O23" i="12" s="1"/>
  <c r="O17" i="12"/>
  <c r="O35" i="12" s="1"/>
  <c r="O36" i="12" s="1"/>
  <c r="FQ26" i="8"/>
  <c r="FQ32" i="8"/>
  <c r="FO70" i="6" s="1"/>
  <c r="FO31" i="9" s="1"/>
  <c r="FS17" i="8"/>
  <c r="O18" i="12" l="1"/>
  <c r="FQ33" i="8"/>
  <c r="FO101" i="6" s="1"/>
  <c r="FQ27" i="8"/>
  <c r="FS18" i="8"/>
  <c r="FR22" i="8" l="1"/>
  <c r="FQ34" i="8"/>
  <c r="FS19" i="8"/>
  <c r="FR29" i="8" l="1"/>
  <c r="FR25" i="8"/>
  <c r="FT14" i="8"/>
  <c r="FR26" i="8" l="1"/>
  <c r="FR32" i="8"/>
  <c r="FP70" i="6" s="1"/>
  <c r="FP31" i="9" s="1"/>
  <c r="FT17" i="8"/>
  <c r="FR33" i="8" l="1"/>
  <c r="FP101" i="6" s="1"/>
  <c r="FR27" i="8"/>
  <c r="FT18" i="8"/>
  <c r="FS22" i="8" l="1"/>
  <c r="FR34" i="8"/>
  <c r="FT19" i="8"/>
  <c r="FS29" i="8" l="1"/>
  <c r="FS25" i="8"/>
  <c r="FU14" i="8"/>
  <c r="FS26" i="8" l="1"/>
  <c r="FS32" i="8"/>
  <c r="FQ70" i="6" s="1"/>
  <c r="FU17" i="8"/>
  <c r="BF63" i="15" l="1"/>
  <c r="FQ31" i="9"/>
  <c r="FS33" i="8"/>
  <c r="FQ101" i="6" s="1"/>
  <c r="BF94" i="15" s="1"/>
  <c r="FS27" i="8"/>
  <c r="FU18" i="8"/>
  <c r="FT22" i="8" l="1"/>
  <c r="FS34" i="8"/>
  <c r="FU19" i="8"/>
  <c r="FT29" i="8" l="1"/>
  <c r="FT25" i="8"/>
  <c r="FV14" i="8"/>
  <c r="FT26" i="8" l="1"/>
  <c r="FT32" i="8"/>
  <c r="FR70" i="6" s="1"/>
  <c r="FR31" i="9" s="1"/>
  <c r="FV17" i="8"/>
  <c r="FT33" i="8" l="1"/>
  <c r="FR101" i="6" s="1"/>
  <c r="FT27" i="8"/>
  <c r="FV18" i="8"/>
  <c r="FU22" i="8" l="1"/>
  <c r="FT34" i="8"/>
  <c r="FV19" i="8"/>
  <c r="FU29" i="8" l="1"/>
  <c r="FU25" i="8"/>
  <c r="FW14" i="8"/>
  <c r="FU32" i="8" l="1"/>
  <c r="FS70" i="6" s="1"/>
  <c r="FS31" i="9" s="1"/>
  <c r="FU26" i="8"/>
  <c r="FW17" i="8"/>
  <c r="FU33" i="8" l="1"/>
  <c r="FS101" i="6" s="1"/>
  <c r="FU27" i="8"/>
  <c r="FW18" i="8"/>
  <c r="FU34" i="8" l="1"/>
  <c r="FV22" i="8"/>
  <c r="FW19" i="8"/>
  <c r="FV29" i="8" l="1"/>
  <c r="FV25" i="8"/>
  <c r="FX14" i="8"/>
  <c r="FV26" i="8" l="1"/>
  <c r="FV32" i="8"/>
  <c r="FT70" i="6" s="1"/>
  <c r="FX17" i="8"/>
  <c r="BG63" i="15" l="1"/>
  <c r="FT31" i="9"/>
  <c r="FV33" i="8"/>
  <c r="FT101" i="6" s="1"/>
  <c r="BG94" i="15" s="1"/>
  <c r="FV27" i="8"/>
  <c r="FX18" i="8"/>
  <c r="FW22" i="8" l="1"/>
  <c r="FV34" i="8"/>
  <c r="FX19" i="8"/>
  <c r="FW29" i="8" l="1"/>
  <c r="FW25" i="8"/>
  <c r="FY14" i="8"/>
  <c r="FW26" i="8" l="1"/>
  <c r="FW32" i="8"/>
  <c r="FU70" i="6" s="1"/>
  <c r="FU31" i="9" s="1"/>
  <c r="FY17" i="8"/>
  <c r="FW33" i="8" l="1"/>
  <c r="FU101" i="6" s="1"/>
  <c r="FW27" i="8"/>
  <c r="FY18" i="8"/>
  <c r="FW34" i="8" l="1"/>
  <c r="FX22" i="8"/>
  <c r="FY19" i="8"/>
  <c r="FX29" i="8" l="1"/>
  <c r="FX25" i="8"/>
  <c r="FZ14" i="8"/>
  <c r="FX32" i="8" l="1"/>
  <c r="FV70" i="6" s="1"/>
  <c r="FV31" i="9" s="1"/>
  <c r="FX26" i="8"/>
  <c r="FZ17" i="8"/>
  <c r="FX33" i="8" l="1"/>
  <c r="FV101" i="6" s="1"/>
  <c r="FX27" i="8"/>
  <c r="FZ18" i="8"/>
  <c r="FY22" i="8" l="1"/>
  <c r="FX34" i="8"/>
  <c r="FZ19" i="8"/>
  <c r="FY29" i="8" l="1"/>
  <c r="FY25" i="8"/>
  <c r="GA14" i="8"/>
  <c r="FY26" i="8" l="1"/>
  <c r="FY32" i="8"/>
  <c r="FW70" i="6" s="1"/>
  <c r="GA17" i="8"/>
  <c r="BH63" i="15" l="1"/>
  <c r="FW31" i="9"/>
  <c r="FY33" i="8"/>
  <c r="FW101" i="6" s="1"/>
  <c r="BH94" i="15" s="1"/>
  <c r="FY27" i="8"/>
  <c r="GA18" i="8"/>
  <c r="FY34" i="8" l="1"/>
  <c r="FZ22" i="8"/>
  <c r="GA19" i="8"/>
  <c r="FZ29" i="8" l="1"/>
  <c r="FZ25" i="8"/>
  <c r="GB14" i="8"/>
  <c r="FZ26" i="8" l="1"/>
  <c r="FZ32" i="8"/>
  <c r="FX70" i="6" s="1"/>
  <c r="FX31" i="9" s="1"/>
  <c r="GB17" i="8"/>
  <c r="FZ33" i="8" l="1"/>
  <c r="FX101" i="6" s="1"/>
  <c r="FZ27" i="8"/>
  <c r="GB18" i="8"/>
  <c r="FZ34" i="8" l="1"/>
  <c r="GA22" i="8"/>
  <c r="GB19" i="8"/>
  <c r="GA29" i="8" l="1"/>
  <c r="GA25" i="8"/>
  <c r="GC14" i="8"/>
  <c r="GA32" i="8" l="1"/>
  <c r="FY70" i="6" s="1"/>
  <c r="FY31" i="9" s="1"/>
  <c r="GA26" i="8"/>
  <c r="GC17" i="8"/>
  <c r="GA33" i="8" l="1"/>
  <c r="FY101" i="6" s="1"/>
  <c r="GA27" i="8"/>
  <c r="GC18" i="8"/>
  <c r="GB22" i="8" l="1"/>
  <c r="GA34" i="8"/>
  <c r="GC19" i="8"/>
  <c r="GB29" i="8" l="1"/>
  <c r="GB25" i="8"/>
  <c r="GD14" i="8"/>
  <c r="R6" i="33" l="1"/>
  <c r="R4" i="33"/>
  <c r="GB32" i="8"/>
  <c r="GB26" i="8"/>
  <c r="GD17" i="8"/>
  <c r="R12" i="33" l="1"/>
  <c r="FU44" i="6" s="1"/>
  <c r="FT44" i="6"/>
  <c r="FT56" i="6" s="1"/>
  <c r="FV44" i="6"/>
  <c r="FV56" i="6" s="1"/>
  <c r="FX44" i="6"/>
  <c r="FO44" i="6"/>
  <c r="FQ44" i="6"/>
  <c r="FQ56" i="6" s="1"/>
  <c r="FW44" i="6"/>
  <c r="FW56" i="6" s="1"/>
  <c r="FZ44" i="6"/>
  <c r="FZ56" i="6" s="1"/>
  <c r="FR44" i="6"/>
  <c r="FY44" i="6"/>
  <c r="FY56" i="6" s="1"/>
  <c r="FS44" i="6"/>
  <c r="FS56" i="6" s="1"/>
  <c r="FP44" i="6"/>
  <c r="FP56" i="6" s="1"/>
  <c r="GB33" i="8"/>
  <c r="GB27" i="8"/>
  <c r="FZ70" i="6"/>
  <c r="Q63" i="11"/>
  <c r="P4" i="12" s="1"/>
  <c r="GD18" i="8"/>
  <c r="FX56" i="6" l="1"/>
  <c r="BI37" i="15"/>
  <c r="BI49" i="15" s="1"/>
  <c r="FR56" i="6"/>
  <c r="BG37" i="15"/>
  <c r="BG49" i="15" s="1"/>
  <c r="FO56" i="6"/>
  <c r="BF37" i="15"/>
  <c r="BF49" i="15" s="1"/>
  <c r="Q37" i="11"/>
  <c r="FU56" i="6"/>
  <c r="BH37" i="15"/>
  <c r="BH49" i="15" s="1"/>
  <c r="BI63" i="15"/>
  <c r="FZ31" i="9"/>
  <c r="GC22" i="8"/>
  <c r="GB34" i="8"/>
  <c r="AH189" i="12" s="1"/>
  <c r="Q94" i="11"/>
  <c r="P5" i="12" s="1"/>
  <c r="FZ101" i="6"/>
  <c r="BI94" i="15" s="1"/>
  <c r="GD19" i="8"/>
  <c r="Q49" i="11" l="1"/>
  <c r="P3" i="12" s="1"/>
  <c r="P131" i="12"/>
  <c r="Y33" i="1"/>
  <c r="AA4" i="1"/>
  <c r="GC25" i="8"/>
  <c r="GC29" i="8"/>
  <c r="GE14" i="8"/>
  <c r="P17" i="12" l="1"/>
  <c r="P18" i="12" s="1"/>
  <c r="P22" i="12"/>
  <c r="P23" i="12" s="1"/>
  <c r="P143" i="12"/>
  <c r="GC26" i="8"/>
  <c r="GC32" i="8"/>
  <c r="GA70" i="6" s="1"/>
  <c r="GA31" i="9" s="1"/>
  <c r="GE17" i="8"/>
  <c r="P35" i="12" l="1"/>
  <c r="P36" i="12" s="1"/>
  <c r="GC33" i="8"/>
  <c r="GA101" i="6" s="1"/>
  <c r="GC27" i="8"/>
  <c r="GE18" i="8"/>
  <c r="GD22" i="8" l="1"/>
  <c r="GC34" i="8"/>
  <c r="GE19" i="8"/>
  <c r="GD25" i="8" l="1"/>
  <c r="GD29" i="8"/>
  <c r="GF14" i="8"/>
  <c r="GD26" i="8" l="1"/>
  <c r="GD32" i="8"/>
  <c r="GB70" i="6" s="1"/>
  <c r="GB31" i="9" s="1"/>
  <c r="GF17" i="8"/>
  <c r="GD33" i="8" l="1"/>
  <c r="GB101" i="6" s="1"/>
  <c r="GD27" i="8"/>
  <c r="GF18" i="8"/>
  <c r="GE22" i="8" l="1"/>
  <c r="GD34" i="8"/>
  <c r="GF19" i="8"/>
  <c r="GE29" i="8" l="1"/>
  <c r="GE25" i="8"/>
  <c r="GG14" i="8"/>
  <c r="GE26" i="8" l="1"/>
  <c r="GE32" i="8"/>
  <c r="GC70" i="6" s="1"/>
  <c r="GG17" i="8"/>
  <c r="GC31" i="9" l="1"/>
  <c r="BJ63" i="15"/>
  <c r="GE33" i="8"/>
  <c r="GC101" i="6" s="1"/>
  <c r="BJ94" i="15" s="1"/>
  <c r="GE27" i="8"/>
  <c r="GG18" i="8"/>
  <c r="GF22" i="8" l="1"/>
  <c r="GE34" i="8"/>
  <c r="GG19" i="8"/>
  <c r="GF29" i="8" l="1"/>
  <c r="GF25" i="8"/>
  <c r="GH14" i="8"/>
  <c r="GF26" i="8" l="1"/>
  <c r="GF32" i="8"/>
  <c r="GD70" i="6" s="1"/>
  <c r="GD31" i="9" s="1"/>
  <c r="GH17" i="8"/>
  <c r="GF33" i="8" l="1"/>
  <c r="GD101" i="6" s="1"/>
  <c r="GF27" i="8"/>
  <c r="GH18" i="8"/>
  <c r="GG22" i="8" l="1"/>
  <c r="GF34" i="8"/>
  <c r="GH19" i="8"/>
  <c r="GG29" i="8" l="1"/>
  <c r="GG25" i="8"/>
  <c r="GI14" i="8"/>
  <c r="GG26" i="8" l="1"/>
  <c r="GG32" i="8"/>
  <c r="GE70" i="6" s="1"/>
  <c r="GE31" i="9" s="1"/>
  <c r="GI17" i="8"/>
  <c r="GG33" i="8" l="1"/>
  <c r="GE101" i="6" s="1"/>
  <c r="GG27" i="8"/>
  <c r="GI18" i="8"/>
  <c r="GH22" i="8" l="1"/>
  <c r="GG34" i="8"/>
  <c r="GI19" i="8"/>
  <c r="GH29" i="8" l="1"/>
  <c r="GH25" i="8"/>
  <c r="GJ14" i="8"/>
  <c r="GH26" i="8" l="1"/>
  <c r="GH32" i="8"/>
  <c r="GF70" i="6" s="1"/>
  <c r="GJ17" i="8"/>
  <c r="BK63" i="15" l="1"/>
  <c r="GF31" i="9"/>
  <c r="GH33" i="8"/>
  <c r="GF101" i="6" s="1"/>
  <c r="BK94" i="15" s="1"/>
  <c r="GH27" i="8"/>
  <c r="GJ18" i="8"/>
  <c r="GI22" i="8" l="1"/>
  <c r="GH34" i="8"/>
  <c r="GJ19" i="8"/>
  <c r="GI29" i="8" l="1"/>
  <c r="GI25" i="8"/>
  <c r="GK14" i="8"/>
  <c r="GI26" i="8" l="1"/>
  <c r="GI32" i="8"/>
  <c r="GG70" i="6" s="1"/>
  <c r="GG31" i="9" s="1"/>
  <c r="GK17" i="8"/>
  <c r="GI33" i="8" l="1"/>
  <c r="GG101" i="6" s="1"/>
  <c r="GI27" i="8"/>
  <c r="GK18" i="8"/>
  <c r="GJ22" i="8" l="1"/>
  <c r="GI34" i="8"/>
  <c r="GK19" i="8"/>
  <c r="GJ29" i="8" l="1"/>
  <c r="GJ25" i="8"/>
  <c r="GL14" i="8"/>
  <c r="GJ26" i="8" l="1"/>
  <c r="GJ32" i="8"/>
  <c r="GH70" i="6" s="1"/>
  <c r="GH31" i="9" s="1"/>
  <c r="GL17" i="8"/>
  <c r="GJ33" i="8" l="1"/>
  <c r="GH101" i="6" s="1"/>
  <c r="GJ27" i="8"/>
  <c r="GL18" i="8"/>
  <c r="GK22" i="8" l="1"/>
  <c r="GJ34" i="8"/>
  <c r="GL19" i="8"/>
  <c r="GK29" i="8" l="1"/>
  <c r="GK25" i="8"/>
  <c r="GM14" i="8"/>
  <c r="GK26" i="8" l="1"/>
  <c r="GK32" i="8"/>
  <c r="GI70" i="6" s="1"/>
  <c r="GM17" i="8"/>
  <c r="BL63" i="15" l="1"/>
  <c r="GI31" i="9"/>
  <c r="GK33" i="8"/>
  <c r="GI101" i="6" s="1"/>
  <c r="BL94" i="15" s="1"/>
  <c r="GK27" i="8"/>
  <c r="GM18" i="8"/>
  <c r="GK34" i="8" l="1"/>
  <c r="GL22" i="8"/>
  <c r="GM19" i="8"/>
  <c r="GL29" i="8" l="1"/>
  <c r="GL25" i="8"/>
  <c r="GN14" i="8"/>
  <c r="GL32" i="8" l="1"/>
  <c r="GJ70" i="6" s="1"/>
  <c r="GJ31" i="9" s="1"/>
  <c r="GL26" i="8"/>
  <c r="GN17" i="8"/>
  <c r="GL33" i="8" l="1"/>
  <c r="GJ101" i="6" s="1"/>
  <c r="GL27" i="8"/>
  <c r="GN18" i="8"/>
  <c r="GM22" i="8" l="1"/>
  <c r="GL34" i="8"/>
  <c r="GN19" i="8"/>
  <c r="GM29" i="8" l="1"/>
  <c r="GM25" i="8"/>
  <c r="GO14" i="8"/>
  <c r="GM26" i="8" l="1"/>
  <c r="GM32" i="8"/>
  <c r="GK70" i="6" s="1"/>
  <c r="GK31" i="9" s="1"/>
  <c r="GO17" i="8"/>
  <c r="GM33" i="8" l="1"/>
  <c r="GK101" i="6" s="1"/>
  <c r="GM27" i="8"/>
  <c r="GO18" i="8"/>
  <c r="GM34" i="8" l="1"/>
  <c r="GN22" i="8"/>
  <c r="GO19" i="8"/>
  <c r="GN29" i="8" l="1"/>
  <c r="GN25" i="8"/>
  <c r="GP14" i="8"/>
  <c r="S6" i="33" l="1"/>
  <c r="S4" i="33"/>
  <c r="GN26" i="8"/>
  <c r="GN32" i="8"/>
  <c r="GP17" i="8"/>
  <c r="S12" i="33" l="1"/>
  <c r="GI44" i="6" s="1"/>
  <c r="GI56" i="6" s="1"/>
  <c r="GG44" i="6"/>
  <c r="GH44" i="6"/>
  <c r="GH56" i="6" s="1"/>
  <c r="GD44" i="6"/>
  <c r="GJ44" i="6"/>
  <c r="GF44" i="6"/>
  <c r="GF56" i="6" s="1"/>
  <c r="GA44" i="6"/>
  <c r="GK44" i="6"/>
  <c r="GK56" i="6" s="1"/>
  <c r="GC44" i="6"/>
  <c r="GC56" i="6" s="1"/>
  <c r="GE44" i="6"/>
  <c r="GE56" i="6" s="1"/>
  <c r="GL44" i="6"/>
  <c r="GL56" i="6" s="1"/>
  <c r="GL70" i="6"/>
  <c r="R63" i="11"/>
  <c r="Q4" i="12" s="1"/>
  <c r="GN33" i="8"/>
  <c r="GN27" i="8"/>
  <c r="GP18" i="8"/>
  <c r="GB44" i="6" l="1"/>
  <c r="GB56" i="6" s="1"/>
  <c r="GD56" i="6"/>
  <c r="BK37" i="15"/>
  <c r="BK49" i="15" s="1"/>
  <c r="GA56" i="6"/>
  <c r="BJ37" i="15"/>
  <c r="BJ49" i="15" s="1"/>
  <c r="R37" i="11"/>
  <c r="GJ56" i="6"/>
  <c r="BM37" i="15"/>
  <c r="BM49" i="15" s="1"/>
  <c r="GG56" i="6"/>
  <c r="BL37" i="15"/>
  <c r="BL49" i="15" s="1"/>
  <c r="GN34" i="8"/>
  <c r="AI189" i="12" s="1"/>
  <c r="GO22" i="8"/>
  <c r="R94" i="11"/>
  <c r="Q5" i="12" s="1"/>
  <c r="GL101" i="6"/>
  <c r="BM94" i="15" s="1"/>
  <c r="BM63" i="15"/>
  <c r="GL31" i="9"/>
  <c r="GP19" i="8"/>
  <c r="R49" i="11" l="1"/>
  <c r="Q3" i="12" s="1"/>
  <c r="Q131" i="12"/>
  <c r="AB4" i="1"/>
  <c r="Z33" i="1"/>
  <c r="GO25" i="8"/>
  <c r="GO29" i="8"/>
  <c r="GQ14" i="8"/>
  <c r="Q143" i="12" l="1"/>
  <c r="Q22" i="12"/>
  <c r="Q23" i="12" s="1"/>
  <c r="Q17" i="12"/>
  <c r="Q35" i="12" s="1"/>
  <c r="Q36" i="12" s="1"/>
  <c r="GO26" i="8"/>
  <c r="GO32" i="8"/>
  <c r="GM70" i="6" s="1"/>
  <c r="GM31" i="9" s="1"/>
  <c r="GQ17" i="8"/>
  <c r="Q18" i="12" l="1"/>
  <c r="GO33" i="8"/>
  <c r="GM101" i="6" s="1"/>
  <c r="GO27" i="8"/>
  <c r="GQ18" i="8"/>
  <c r="GP22" i="8" l="1"/>
  <c r="GO34" i="8"/>
  <c r="GQ19" i="8"/>
  <c r="GP25" i="8" l="1"/>
  <c r="GP29" i="8"/>
  <c r="GR14" i="8"/>
  <c r="GP26" i="8" l="1"/>
  <c r="GP32" i="8"/>
  <c r="GN70" i="6" s="1"/>
  <c r="GN31" i="9" s="1"/>
  <c r="GR17" i="8"/>
  <c r="GP33" i="8" l="1"/>
  <c r="GN101" i="6" s="1"/>
  <c r="GP27" i="8"/>
  <c r="GR18" i="8"/>
  <c r="GQ22" i="8" l="1"/>
  <c r="GP34" i="8"/>
  <c r="GR19" i="8"/>
  <c r="GQ29" i="8" l="1"/>
  <c r="GQ25" i="8"/>
  <c r="GS14" i="8"/>
  <c r="GQ26" i="8" l="1"/>
  <c r="GQ32" i="8"/>
  <c r="GO70" i="6" s="1"/>
  <c r="GS17" i="8"/>
  <c r="GO31" i="9" l="1"/>
  <c r="BN63" i="15"/>
  <c r="GQ33" i="8"/>
  <c r="GO101" i="6" s="1"/>
  <c r="BN94" i="15" s="1"/>
  <c r="GQ27" i="8"/>
  <c r="GS18" i="8"/>
  <c r="GR22" i="8" l="1"/>
  <c r="GQ34" i="8"/>
  <c r="GS19" i="8"/>
  <c r="GR29" i="8" l="1"/>
  <c r="GR25" i="8"/>
  <c r="GT14" i="8"/>
  <c r="GR26" i="8" l="1"/>
  <c r="GR32" i="8"/>
  <c r="GP70" i="6" s="1"/>
  <c r="GP31" i="9" s="1"/>
  <c r="GT17" i="8"/>
  <c r="GR33" i="8" l="1"/>
  <c r="GP101" i="6" s="1"/>
  <c r="GR27" i="8"/>
  <c r="GT18" i="8"/>
  <c r="GS22" i="8" l="1"/>
  <c r="GR34" i="8"/>
  <c r="GT19" i="8"/>
  <c r="GS29" i="8" l="1"/>
  <c r="GS25" i="8"/>
  <c r="GU14" i="8"/>
  <c r="GS32" i="8" l="1"/>
  <c r="GQ70" i="6" s="1"/>
  <c r="GQ31" i="9" s="1"/>
  <c r="GS26" i="8"/>
  <c r="GU17" i="8"/>
  <c r="GU29" i="8"/>
  <c r="GS33" i="8" l="1"/>
  <c r="GQ101" i="6" s="1"/>
  <c r="GS27" i="8"/>
  <c r="GU32" i="8"/>
  <c r="GS70" i="6" s="1"/>
  <c r="GU18" i="8"/>
  <c r="GT22" i="8" l="1"/>
  <c r="GS34" i="8"/>
  <c r="GU33" i="8"/>
  <c r="GS101" i="6" s="1"/>
  <c r="GU19" i="8"/>
  <c r="GS31" i="9"/>
  <c r="GT29" i="8" l="1"/>
  <c r="GT25" i="8"/>
  <c r="GV14" i="8"/>
  <c r="GU34" i="8"/>
  <c r="GT26" i="8" l="1"/>
  <c r="GT32" i="8"/>
  <c r="GR70" i="6" s="1"/>
  <c r="GV17" i="8"/>
  <c r="GV29" i="8"/>
  <c r="BO63" i="15" l="1"/>
  <c r="GR31" i="9"/>
  <c r="GT33" i="8"/>
  <c r="GR101" i="6" s="1"/>
  <c r="BO94" i="15" s="1"/>
  <c r="GT27" i="8"/>
  <c r="GT34" i="8" s="1"/>
  <c r="GV32" i="8"/>
  <c r="GT70" i="6" s="1"/>
  <c r="GV18" i="8"/>
  <c r="GV33" i="8" l="1"/>
  <c r="GT101" i="6" s="1"/>
  <c r="GV19" i="8"/>
  <c r="GT31" i="9"/>
  <c r="GW14" i="8" l="1"/>
  <c r="GV34" i="8"/>
  <c r="GW29" i="8" l="1"/>
  <c r="GW17" i="8"/>
  <c r="GW32" i="8" l="1"/>
  <c r="GU70" i="6" s="1"/>
  <c r="BP63" i="15" s="1"/>
  <c r="GW18" i="8"/>
  <c r="GW33" i="8" l="1"/>
  <c r="GU101" i="6" s="1"/>
  <c r="BP94" i="15" s="1"/>
  <c r="GW19" i="8"/>
  <c r="GU31" i="9"/>
  <c r="GX14" i="8" l="1"/>
  <c r="GW34" i="8"/>
  <c r="GX29" i="8" l="1"/>
  <c r="GX17" i="8"/>
  <c r="GX32" i="8" l="1"/>
  <c r="GV70" i="6" s="1"/>
  <c r="GX18" i="8"/>
  <c r="GX33" i="8" l="1"/>
  <c r="GV101" i="6" s="1"/>
  <c r="GX19" i="8"/>
  <c r="GV31" i="9"/>
  <c r="GY14" i="8" l="1"/>
  <c r="GX34" i="8"/>
  <c r="GY17" i="8" l="1"/>
  <c r="GY29" i="8"/>
  <c r="GY32" i="8" l="1"/>
  <c r="GW70" i="6" s="1"/>
  <c r="GY18" i="8"/>
  <c r="GY33" i="8" l="1"/>
  <c r="GW101" i="6" s="1"/>
  <c r="GY19" i="8"/>
  <c r="GW31" i="9"/>
  <c r="GZ14" i="8" l="1"/>
  <c r="GY34" i="8"/>
  <c r="GZ29" i="8" l="1"/>
  <c r="GZ17" i="8"/>
  <c r="T6" i="33" l="1"/>
  <c r="T4" i="33"/>
  <c r="GZ32" i="8"/>
  <c r="GZ18" i="8"/>
  <c r="T12" i="33" l="1"/>
  <c r="GT44" i="6" s="1"/>
  <c r="GT56" i="6" s="1"/>
  <c r="GS44" i="6"/>
  <c r="GR44" i="6"/>
  <c r="GR56" i="6" s="1"/>
  <c r="GO44" i="6"/>
  <c r="GO56" i="6" s="1"/>
  <c r="GN44" i="6"/>
  <c r="GN56" i="6" s="1"/>
  <c r="GQ44" i="6"/>
  <c r="GQ56" i="6" s="1"/>
  <c r="GX44" i="6"/>
  <c r="GX56" i="6" s="1"/>
  <c r="GM44" i="6"/>
  <c r="GV44" i="6"/>
  <c r="GW44" i="6"/>
  <c r="GW56" i="6" s="1"/>
  <c r="GX70" i="6"/>
  <c r="S63" i="11"/>
  <c r="GZ33" i="8"/>
  <c r="GZ19" i="8"/>
  <c r="GP44" i="6" l="1"/>
  <c r="GU44" i="6"/>
  <c r="GU56" i="6" s="1"/>
  <c r="GM56" i="6"/>
  <c r="BN37" i="15"/>
  <c r="BN49" i="15" s="1"/>
  <c r="GV56" i="6"/>
  <c r="BQ37" i="15"/>
  <c r="BQ49" i="15" s="1"/>
  <c r="GS56" i="6"/>
  <c r="GP56" i="6"/>
  <c r="BO37" i="15"/>
  <c r="BO49" i="15" s="1"/>
  <c r="GX31" i="9"/>
  <c r="BQ63" i="15"/>
  <c r="GX101" i="6"/>
  <c r="BQ94" i="15" s="1"/>
  <c r="S94" i="11"/>
  <c r="R5" i="12" s="1"/>
  <c r="R4" i="12"/>
  <c r="HA14" i="8"/>
  <c r="GZ34" i="8"/>
  <c r="AJ189" i="12" s="1"/>
  <c r="S37" i="11" l="1"/>
  <c r="R131" i="12" s="1"/>
  <c r="BP37" i="15"/>
  <c r="BP49" i="15" s="1"/>
  <c r="S49" i="11"/>
  <c r="R3" i="12" s="1"/>
  <c r="R17" i="12" s="1"/>
  <c r="AA33" i="1"/>
  <c r="AC4" i="1"/>
  <c r="HA29" i="8"/>
  <c r="HA17" i="8"/>
  <c r="R143" i="12" l="1"/>
  <c r="R22" i="12"/>
  <c r="R23" i="12" s="1"/>
  <c r="R35" i="12"/>
  <c r="R36" i="12" s="1"/>
  <c r="R18" i="12"/>
  <c r="HA32" i="8"/>
  <c r="HA18" i="8"/>
  <c r="GY70" i="6" l="1"/>
  <c r="HA33" i="8"/>
  <c r="HA19" i="8"/>
  <c r="GY31" i="9" l="1"/>
  <c r="GY101" i="6"/>
  <c r="HB14" i="8"/>
  <c r="HA34" i="8"/>
  <c r="HB29" i="8" l="1"/>
  <c r="HB17" i="8"/>
  <c r="HB32" i="8" l="1"/>
  <c r="HB18" i="8"/>
  <c r="GZ70" i="6" l="1"/>
  <c r="HB33" i="8"/>
  <c r="HB19" i="8"/>
  <c r="GZ31" i="9" l="1"/>
  <c r="GZ101" i="6"/>
  <c r="HC14" i="8"/>
  <c r="HB34" i="8"/>
  <c r="HC29" i="8" l="1"/>
  <c r="HC17" i="8"/>
  <c r="HC32" i="8" l="1"/>
  <c r="HC18" i="8"/>
  <c r="HA70" i="6" l="1"/>
  <c r="BR63" i="15" s="1"/>
  <c r="HC33" i="8"/>
  <c r="HC19" i="8"/>
  <c r="HA31" i="9" l="1"/>
  <c r="HA101" i="6"/>
  <c r="BR94" i="15" s="1"/>
  <c r="HD14" i="8"/>
  <c r="HC34" i="8"/>
  <c r="HD17" i="8" l="1"/>
  <c r="HD29" i="8"/>
  <c r="HD32" i="8" l="1"/>
  <c r="HD18" i="8"/>
  <c r="HB70" i="6" l="1"/>
  <c r="HD33" i="8"/>
  <c r="HD19" i="8"/>
  <c r="HB31" i="9" l="1"/>
  <c r="HB101" i="6"/>
  <c r="HE14" i="8"/>
  <c r="HD34" i="8"/>
  <c r="HE17" i="8" l="1"/>
  <c r="HE29" i="8"/>
  <c r="HE32" i="8" l="1"/>
  <c r="HE18" i="8"/>
  <c r="HC70" i="6" l="1"/>
  <c r="HE33" i="8"/>
  <c r="HE19" i="8"/>
  <c r="HC31" i="9" l="1"/>
  <c r="HC101" i="6"/>
  <c r="HF14" i="8"/>
  <c r="HE34" i="8"/>
  <c r="HF17" i="8" l="1"/>
  <c r="HF29" i="8"/>
  <c r="HF32" i="8" l="1"/>
  <c r="HD70" i="6" s="1"/>
  <c r="BS63" i="15" s="1"/>
  <c r="HF18" i="8"/>
  <c r="HF33" i="8" l="1"/>
  <c r="HD101" i="6" s="1"/>
  <c r="BS94" i="15" s="1"/>
  <c r="HF19" i="8"/>
  <c r="HD31" i="9"/>
  <c r="HG14" i="8" l="1"/>
  <c r="HF34" i="8"/>
  <c r="HG17" i="8" l="1"/>
  <c r="HG29" i="8"/>
  <c r="HG32" i="8" l="1"/>
  <c r="HE70" i="6" s="1"/>
  <c r="HG18" i="8"/>
  <c r="HE31" i="9" l="1"/>
  <c r="HG33" i="8"/>
  <c r="HE101" i="6" s="1"/>
  <c r="HG19" i="8"/>
  <c r="HH14" i="8" l="1"/>
  <c r="HG34" i="8"/>
  <c r="HH17" i="8" l="1"/>
  <c r="HH29" i="8"/>
  <c r="HH32" i="8" l="1"/>
  <c r="HF70" i="6" s="1"/>
  <c r="HH18" i="8"/>
  <c r="HH33" i="8" l="1"/>
  <c r="HF101" i="6" s="1"/>
  <c r="HH19" i="8"/>
  <c r="HF31" i="9"/>
  <c r="HI14" i="8" l="1"/>
  <c r="HH34" i="8"/>
  <c r="HI17" i="8" l="1"/>
  <c r="HI29" i="8"/>
  <c r="HI32" i="8" l="1"/>
  <c r="HG70" i="6" s="1"/>
  <c r="BT63" i="15" s="1"/>
  <c r="HI18" i="8"/>
  <c r="HI33" i="8" l="1"/>
  <c r="HG101" i="6" s="1"/>
  <c r="BT94" i="15" s="1"/>
  <c r="HI19" i="8"/>
  <c r="HG31" i="9"/>
  <c r="HJ14" i="8" l="1"/>
  <c r="HI34" i="8"/>
  <c r="HJ29" i="8" l="1"/>
  <c r="HJ17" i="8"/>
  <c r="HJ32" i="8" l="1"/>
  <c r="HJ18" i="8"/>
  <c r="HH70" i="6" l="1"/>
  <c r="T63" i="11"/>
  <c r="HJ33" i="8"/>
  <c r="HH101" i="6" s="1"/>
  <c r="HJ19" i="8"/>
  <c r="HH31" i="9" l="1"/>
  <c r="S4" i="12"/>
  <c r="HK14" i="8"/>
  <c r="HJ34" i="8"/>
  <c r="HK29" i="8" l="1"/>
  <c r="HK17" i="8"/>
  <c r="HK32" i="8" l="1"/>
  <c r="HI70" i="6" s="1"/>
  <c r="HK18" i="8"/>
  <c r="HK33" i="8" l="1"/>
  <c r="HI101" i="6" s="1"/>
  <c r="HK19" i="8"/>
  <c r="HI31" i="9"/>
  <c r="HL14" i="8" l="1"/>
  <c r="HK34" i="8"/>
  <c r="HL29" i="8" l="1"/>
  <c r="HL17" i="8"/>
  <c r="U6" i="33" l="1"/>
  <c r="U4" i="33"/>
  <c r="HL32" i="8"/>
  <c r="HJ70" i="6" s="1"/>
  <c r="BU63" i="15" s="1"/>
  <c r="HL18" i="8"/>
  <c r="U12" i="33" l="1"/>
  <c r="HG44" i="6" s="1"/>
  <c r="HG56" i="6" s="1"/>
  <c r="HL33" i="8"/>
  <c r="HL19" i="8"/>
  <c r="HJ31" i="9"/>
  <c r="GZ44" i="6" l="1"/>
  <c r="GZ56" i="6" s="1"/>
  <c r="HS44" i="6"/>
  <c r="HS56" i="6" s="1"/>
  <c r="HM44" i="6"/>
  <c r="HM56" i="6" s="1"/>
  <c r="HH44" i="6"/>
  <c r="HH56" i="6" s="1"/>
  <c r="HA44" i="6"/>
  <c r="HA56" i="6" s="1"/>
  <c r="HT44" i="6"/>
  <c r="HT56" i="6" s="1"/>
  <c r="HQ44" i="6"/>
  <c r="HQ56" i="6" s="1"/>
  <c r="HJ44" i="6"/>
  <c r="HJ56" i="6" s="1"/>
  <c r="HB44" i="6"/>
  <c r="HB56" i="6" s="1"/>
  <c r="HO44" i="6"/>
  <c r="HO56" i="6" s="1"/>
  <c r="HN44" i="6"/>
  <c r="HI44" i="6"/>
  <c r="HI56" i="6" s="1"/>
  <c r="HE44" i="6"/>
  <c r="HE56" i="6" s="1"/>
  <c r="HK44" i="6"/>
  <c r="HF44" i="6"/>
  <c r="HF56" i="6" s="1"/>
  <c r="GY44" i="6"/>
  <c r="GY56" i="6" s="1"/>
  <c r="HC44" i="6"/>
  <c r="HC56" i="6" s="1"/>
  <c r="HL44" i="6"/>
  <c r="HL56" i="6" s="1"/>
  <c r="HV44" i="6"/>
  <c r="HV56" i="6" s="1"/>
  <c r="HP44" i="6"/>
  <c r="HP56" i="6" s="1"/>
  <c r="HR44" i="6"/>
  <c r="HR56" i="6" s="1"/>
  <c r="HD44" i="6"/>
  <c r="HD56" i="6" s="1"/>
  <c r="HU44" i="6"/>
  <c r="HU56" i="6" s="1"/>
  <c r="HJ101" i="6"/>
  <c r="BU94" i="15" s="1"/>
  <c r="T94" i="11"/>
  <c r="S5" i="12" s="1"/>
  <c r="HM14" i="8"/>
  <c r="HL34" i="8"/>
  <c r="BV37" i="15" l="1"/>
  <c r="BV49" i="15" s="1"/>
  <c r="BX37" i="15"/>
  <c r="BX49" i="15" s="1"/>
  <c r="BW37" i="15"/>
  <c r="BW49" i="15" s="1"/>
  <c r="BT37" i="15"/>
  <c r="BT49" i="15" s="1"/>
  <c r="HN56" i="6"/>
  <c r="HK56" i="6"/>
  <c r="BS37" i="15"/>
  <c r="BS49" i="15" s="1"/>
  <c r="U37" i="11"/>
  <c r="U49" i="11" s="1"/>
  <c r="T3" i="12" s="1"/>
  <c r="BR37" i="15"/>
  <c r="BR49" i="15" s="1"/>
  <c r="BY37" i="15"/>
  <c r="BY49" i="15" s="1"/>
  <c r="T37" i="11"/>
  <c r="T49" i="11" s="1"/>
  <c r="S143" i="12" s="1"/>
  <c r="BU37" i="15"/>
  <c r="BU49" i="15" s="1"/>
  <c r="AB33" i="1"/>
  <c r="AD4" i="1"/>
  <c r="HM17" i="8"/>
  <c r="HM29" i="8"/>
  <c r="AC33" i="1" l="1"/>
  <c r="T131" i="12"/>
  <c r="AE4" i="1"/>
  <c r="S131" i="12"/>
  <c r="S3" i="12"/>
  <c r="S22" i="12" s="1"/>
  <c r="S23" i="12" s="1"/>
  <c r="T143" i="12"/>
  <c r="HM32" i="8"/>
  <c r="HM18" i="8"/>
  <c r="S17" i="12" l="1"/>
  <c r="S35" i="12" s="1"/>
  <c r="S36" i="12" s="1"/>
  <c r="HK70" i="6"/>
  <c r="HK31" i="9" s="1"/>
  <c r="HM33" i="8"/>
  <c r="HM19" i="8"/>
  <c r="S18" i="12" l="1"/>
  <c r="HK101" i="6"/>
  <c r="HN14" i="8"/>
  <c r="HM34" i="8"/>
  <c r="HN17" i="8" l="1"/>
  <c r="HN29" i="8"/>
  <c r="HN32" i="8" l="1"/>
  <c r="HN18" i="8"/>
  <c r="HL70" i="6" l="1"/>
  <c r="HN33" i="8"/>
  <c r="HN19" i="8"/>
  <c r="HL31" i="9" l="1"/>
  <c r="HL101" i="6"/>
  <c r="HO14" i="8"/>
  <c r="HN34" i="8"/>
  <c r="HO17" i="8" l="1"/>
  <c r="HO29" i="8"/>
  <c r="HO32" i="8" l="1"/>
  <c r="HO18" i="8"/>
  <c r="HM70" i="6" l="1"/>
  <c r="HO33" i="8"/>
  <c r="HO19" i="8"/>
  <c r="HM31" i="9" l="1"/>
  <c r="BV63" i="15"/>
  <c r="HM101" i="6"/>
  <c r="HP14" i="8"/>
  <c r="HO34" i="8"/>
  <c r="BV94" i="15" l="1"/>
  <c r="HP29" i="8"/>
  <c r="HP17" i="8"/>
  <c r="HP32" i="8" l="1"/>
  <c r="HP18" i="8"/>
  <c r="HN70" i="6" l="1"/>
  <c r="HP33" i="8"/>
  <c r="HP19" i="8"/>
  <c r="HN31" i="9" l="1"/>
  <c r="HN101" i="6"/>
  <c r="HQ14" i="8"/>
  <c r="HP34" i="8"/>
  <c r="HQ29" i="8" l="1"/>
  <c r="HQ17" i="8"/>
  <c r="HQ32" i="8" l="1"/>
  <c r="HQ18" i="8"/>
  <c r="HO70" i="6" l="1"/>
  <c r="HQ33" i="8"/>
  <c r="HQ19" i="8"/>
  <c r="HO31" i="9" l="1"/>
  <c r="HO101" i="6"/>
  <c r="HR14" i="8"/>
  <c r="HQ34" i="8"/>
  <c r="HR29" i="8" l="1"/>
  <c r="HR17" i="8"/>
  <c r="HR32" i="8" l="1"/>
  <c r="HP70" i="6" s="1"/>
  <c r="BW63" i="15" s="1"/>
  <c r="HR18" i="8"/>
  <c r="HR33" i="8" l="1"/>
  <c r="HP101" i="6" s="1"/>
  <c r="BW94" i="15" s="1"/>
  <c r="HR19" i="8"/>
  <c r="HP31" i="9"/>
  <c r="HS14" i="8" l="1"/>
  <c r="HR34" i="8"/>
  <c r="HS17" i="8" l="1"/>
  <c r="HS29" i="8"/>
  <c r="HS32" i="8" l="1"/>
  <c r="HQ70" i="6" s="1"/>
  <c r="HS18" i="8"/>
  <c r="HS33" i="8" l="1"/>
  <c r="HQ101" i="6" s="1"/>
  <c r="HS19" i="8"/>
  <c r="HQ31" i="9"/>
  <c r="HT14" i="8" l="1"/>
  <c r="HS34" i="8"/>
  <c r="HT29" i="8" l="1"/>
  <c r="HT17" i="8"/>
  <c r="HT32" i="8" l="1"/>
  <c r="HR70" i="6" s="1"/>
  <c r="HT18" i="8"/>
  <c r="HT33" i="8" l="1"/>
  <c r="HR101" i="6" s="1"/>
  <c r="HT19" i="8"/>
  <c r="HR31" i="9"/>
  <c r="HU14" i="8" l="1"/>
  <c r="HT34" i="8"/>
  <c r="HU29" i="8" l="1"/>
  <c r="HU17" i="8"/>
  <c r="HU32" i="8" l="1"/>
  <c r="HS70" i="6" s="1"/>
  <c r="BX63" i="15" s="1"/>
  <c r="HU18" i="8"/>
  <c r="HU33" i="8" l="1"/>
  <c r="HS101" i="6" s="1"/>
  <c r="BX94" i="15" s="1"/>
  <c r="HU19" i="8"/>
  <c r="HS31" i="9"/>
  <c r="HV14" i="8" l="1"/>
  <c r="HU34" i="8"/>
  <c r="HV29" i="8" l="1"/>
  <c r="HV17" i="8"/>
  <c r="HV32" i="8" l="1"/>
  <c r="HT70" i="6" s="1"/>
  <c r="HV18" i="8"/>
  <c r="HV33" i="8" l="1"/>
  <c r="HT101" i="6" s="1"/>
  <c r="HV19" i="8"/>
  <c r="HT31" i="9"/>
  <c r="HW14" i="8" l="1"/>
  <c r="HV34" i="8"/>
  <c r="HW17" i="8" l="1"/>
  <c r="HW29" i="8"/>
  <c r="HW32" i="8" l="1"/>
  <c r="HU70" i="6" s="1"/>
  <c r="HW18" i="8"/>
  <c r="HW33" i="8" l="1"/>
  <c r="HU101" i="6" s="1"/>
  <c r="HW19" i="8"/>
  <c r="HU31" i="9"/>
  <c r="HX14" i="8" l="1"/>
  <c r="HW34" i="8"/>
  <c r="HX29" i="8" l="1"/>
  <c r="HX17" i="8"/>
  <c r="V6" i="33" l="1"/>
  <c r="V4" i="33"/>
  <c r="HX32" i="8"/>
  <c r="HX18" i="8"/>
  <c r="V12" i="33" l="1"/>
  <c r="IH44" i="6" s="1"/>
  <c r="IH56" i="6" s="1"/>
  <c r="HY44" i="6"/>
  <c r="HY56" i="6" s="1"/>
  <c r="HZ44" i="6"/>
  <c r="HX44" i="6"/>
  <c r="HX56" i="6" s="1"/>
  <c r="IA44" i="6"/>
  <c r="IA56" i="6" s="1"/>
  <c r="IE44" i="6"/>
  <c r="IE56" i="6" s="1"/>
  <c r="HW44" i="6"/>
  <c r="IF44" i="6"/>
  <c r="ID44" i="6"/>
  <c r="ID56" i="6" s="1"/>
  <c r="IB44" i="6"/>
  <c r="IB56" i="6" s="1"/>
  <c r="IC44" i="6"/>
  <c r="IG44" i="6"/>
  <c r="IG56" i="6" s="1"/>
  <c r="HV70" i="6"/>
  <c r="BY63" i="15" s="1"/>
  <c r="U63" i="11"/>
  <c r="HX33" i="8"/>
  <c r="HX19" i="8"/>
  <c r="HW56" i="6" l="1"/>
  <c r="BZ37" i="15"/>
  <c r="BZ49" i="15" s="1"/>
  <c r="V37" i="11"/>
  <c r="IC56" i="6"/>
  <c r="CB37" i="15"/>
  <c r="CB49" i="15" s="1"/>
  <c r="IF56" i="6"/>
  <c r="CC37" i="15"/>
  <c r="CC49" i="15" s="1"/>
  <c r="HZ56" i="6"/>
  <c r="CA37" i="15"/>
  <c r="CA49" i="15" s="1"/>
  <c r="HV31" i="9"/>
  <c r="HV101" i="6"/>
  <c r="BY94" i="15" s="1"/>
  <c r="U94" i="11"/>
  <c r="T5" i="12" s="1"/>
  <c r="T4" i="12"/>
  <c r="HY14" i="8"/>
  <c r="HX34" i="8"/>
  <c r="V49" i="11" l="1"/>
  <c r="U3" i="12" s="1"/>
  <c r="U131" i="12"/>
  <c r="AD33" i="1"/>
  <c r="AF4" i="1"/>
  <c r="T17" i="12"/>
  <c r="T22" i="12"/>
  <c r="T23" i="12" s="1"/>
  <c r="HY29" i="8"/>
  <c r="HY17" i="8"/>
  <c r="U143" i="12" l="1"/>
  <c r="T35" i="12"/>
  <c r="T36" i="12" s="1"/>
  <c r="T18" i="12"/>
  <c r="HY32" i="8"/>
  <c r="HY18" i="8"/>
  <c r="HW70" i="6" l="1"/>
  <c r="HW31" i="9" s="1"/>
  <c r="HY33" i="8"/>
  <c r="HY19" i="8"/>
  <c r="HW101" i="6" l="1"/>
  <c r="HZ14" i="8"/>
  <c r="HY34" i="8"/>
  <c r="HZ17" i="8" l="1"/>
  <c r="HZ29" i="8"/>
  <c r="HZ32" i="8" l="1"/>
  <c r="HZ18" i="8"/>
  <c r="HX70" i="6" l="1"/>
  <c r="HZ33" i="8"/>
  <c r="HZ19" i="8"/>
  <c r="HX31" i="9" l="1"/>
  <c r="HX101" i="6"/>
  <c r="IA14" i="8"/>
  <c r="HZ34" i="8"/>
  <c r="IA29" i="8" l="1"/>
  <c r="IA17" i="8"/>
  <c r="IA32" i="8" l="1"/>
  <c r="IA18" i="8"/>
  <c r="HY70" i="6" l="1"/>
  <c r="HY31" i="9" s="1"/>
  <c r="IA33" i="8"/>
  <c r="IA19" i="8"/>
  <c r="BZ63" i="15" l="1"/>
  <c r="HY101" i="6"/>
  <c r="BZ94" i="15" s="1"/>
  <c r="IB14" i="8"/>
  <c r="IA34" i="8"/>
  <c r="IB29" i="8" l="1"/>
  <c r="IB17" i="8"/>
  <c r="IB32" i="8" l="1"/>
  <c r="IB18" i="8"/>
  <c r="HZ70" i="6" l="1"/>
  <c r="IB33" i="8"/>
  <c r="IB19" i="8"/>
  <c r="HZ31" i="9" l="1"/>
  <c r="HZ101" i="6"/>
  <c r="IC14" i="8"/>
  <c r="IB34" i="8"/>
  <c r="IC17" i="8" l="1"/>
  <c r="IC29" i="8"/>
  <c r="IC32" i="8" l="1"/>
  <c r="IC18" i="8"/>
  <c r="IA70" i="6" l="1"/>
  <c r="IC33" i="8"/>
  <c r="IC19" i="8"/>
  <c r="IA31" i="9" l="1"/>
  <c r="IA101" i="6"/>
  <c r="ID14" i="8"/>
  <c r="IC34" i="8"/>
  <c r="ID29" i="8" l="1"/>
  <c r="ID17" i="8"/>
  <c r="ID32" i="8" l="1"/>
  <c r="IB70" i="6" s="1"/>
  <c r="CA63" i="15" s="1"/>
  <c r="ID18" i="8"/>
  <c r="IB31" i="9" l="1"/>
  <c r="ID33" i="8"/>
  <c r="IB101" i="6" s="1"/>
  <c r="CA94" i="15" s="1"/>
  <c r="ID19" i="8"/>
  <c r="IE14" i="8" l="1"/>
  <c r="ID34" i="8"/>
  <c r="IE29" i="8" l="1"/>
  <c r="IE17" i="8"/>
  <c r="IE32" i="8" l="1"/>
  <c r="IC70" i="6" s="1"/>
  <c r="IE18" i="8"/>
  <c r="IE33" i="8" l="1"/>
  <c r="IC101" i="6" s="1"/>
  <c r="IE19" i="8"/>
  <c r="IC31" i="9"/>
  <c r="IF14" i="8" l="1"/>
  <c r="IE34" i="8"/>
  <c r="IF29" i="8" l="1"/>
  <c r="IF17" i="8"/>
  <c r="IF32" i="8" l="1"/>
  <c r="ID70" i="6" s="1"/>
  <c r="IF18" i="8"/>
  <c r="IF33" i="8" l="1"/>
  <c r="ID101" i="6" s="1"/>
  <c r="IF19" i="8"/>
  <c r="ID31" i="9"/>
  <c r="IG14" i="8" l="1"/>
  <c r="IF34" i="8"/>
  <c r="IG29" i="8" l="1"/>
  <c r="IG17" i="8"/>
  <c r="IG32" i="8" l="1"/>
  <c r="IE70" i="6" s="1"/>
  <c r="CB63" i="15" s="1"/>
  <c r="IG18" i="8"/>
  <c r="IG33" i="8" l="1"/>
  <c r="IE101" i="6" s="1"/>
  <c r="CB94" i="15" s="1"/>
  <c r="IG19" i="8"/>
  <c r="IE31" i="9"/>
  <c r="IH14" i="8" l="1"/>
  <c r="IG34" i="8"/>
  <c r="IH17" i="8" l="1"/>
  <c r="IH29" i="8"/>
  <c r="IH32" i="8" l="1"/>
  <c r="IF70" i="6" s="1"/>
  <c r="IH18" i="8"/>
  <c r="IH33" i="8" l="1"/>
  <c r="IF101" i="6" s="1"/>
  <c r="IH19" i="8"/>
  <c r="IF31" i="9"/>
  <c r="II14" i="8" l="1"/>
  <c r="IH34" i="8"/>
  <c r="II17" i="8" l="1"/>
  <c r="II29" i="8"/>
  <c r="II32" i="8" l="1"/>
  <c r="IG70" i="6" s="1"/>
  <c r="II18" i="8"/>
  <c r="II33" i="8" l="1"/>
  <c r="IG101" i="6" s="1"/>
  <c r="II19" i="8"/>
  <c r="IG31" i="9"/>
  <c r="IJ14" i="8" l="1"/>
  <c r="II34" i="8"/>
  <c r="IJ29" i="8" l="1"/>
  <c r="IJ17" i="8"/>
  <c r="W6" i="33" l="1"/>
  <c r="W4" i="33"/>
  <c r="IJ32" i="8"/>
  <c r="IJ18" i="8"/>
  <c r="W12" i="33" l="1"/>
  <c r="IN44" i="6" s="1"/>
  <c r="IN56" i="6" s="1"/>
  <c r="IR44" i="6"/>
  <c r="IJ44" i="6"/>
  <c r="IJ56" i="6" s="1"/>
  <c r="IP44" i="6"/>
  <c r="IP56" i="6" s="1"/>
  <c r="IM44" i="6"/>
  <c r="IM56" i="6" s="1"/>
  <c r="IK44" i="6"/>
  <c r="IK56" i="6" s="1"/>
  <c r="IL44" i="6"/>
  <c r="IS44" i="6"/>
  <c r="IS56" i="6" s="1"/>
  <c r="II44" i="6"/>
  <c r="IQ44" i="6"/>
  <c r="IQ56" i="6" s="1"/>
  <c r="IT44" i="6"/>
  <c r="IT56" i="6" s="1"/>
  <c r="IH70" i="6"/>
  <c r="CC63" i="15" s="1"/>
  <c r="V63" i="11"/>
  <c r="IJ33" i="8"/>
  <c r="IJ19" i="8"/>
  <c r="IO44" i="6" l="1"/>
  <c r="II56" i="6"/>
  <c r="CD37" i="15"/>
  <c r="CD49" i="15" s="1"/>
  <c r="W37" i="11"/>
  <c r="IO56" i="6"/>
  <c r="CF37" i="15"/>
  <c r="CF49" i="15" s="1"/>
  <c r="IL56" i="6"/>
  <c r="CE37" i="15"/>
  <c r="CE49" i="15" s="1"/>
  <c r="IR56" i="6"/>
  <c r="CG37" i="15"/>
  <c r="CG49" i="15" s="1"/>
  <c r="IH31" i="9"/>
  <c r="U4" i="12"/>
  <c r="IH101" i="6"/>
  <c r="CC94" i="15" s="1"/>
  <c r="V94" i="11"/>
  <c r="U5" i="12" s="1"/>
  <c r="IK14" i="8"/>
  <c r="IJ34" i="8"/>
  <c r="W49" i="11" l="1"/>
  <c r="V3" i="12" s="1"/>
  <c r="V131" i="12"/>
  <c r="AE33" i="1"/>
  <c r="AG4" i="1"/>
  <c r="U17" i="12"/>
  <c r="U22" i="12"/>
  <c r="U23" i="12" s="1"/>
  <c r="IK17" i="8"/>
  <c r="IK29" i="8"/>
  <c r="V143" i="12" l="1"/>
  <c r="U18" i="12"/>
  <c r="U35" i="12"/>
  <c r="U36" i="12" s="1"/>
  <c r="IK32" i="8"/>
  <c r="IK18" i="8"/>
  <c r="II70" i="6" l="1"/>
  <c r="IK33" i="8"/>
  <c r="IK19" i="8"/>
  <c r="II31" i="9" l="1"/>
  <c r="II101" i="6"/>
  <c r="IL14" i="8"/>
  <c r="IK34" i="8"/>
  <c r="IL29" i="8" l="1"/>
  <c r="IL17" i="8"/>
  <c r="IL32" i="8" l="1"/>
  <c r="IL18" i="8"/>
  <c r="IJ70" i="6" l="1"/>
  <c r="IL33" i="8"/>
  <c r="IL19" i="8"/>
  <c r="IJ31" i="9" l="1"/>
  <c r="IJ101" i="6"/>
  <c r="IM14" i="8"/>
  <c r="IL34" i="8"/>
  <c r="IM29" i="8" l="1"/>
  <c r="IM17" i="8"/>
  <c r="IM32" i="8" l="1"/>
  <c r="IM18" i="8"/>
  <c r="IK70" i="6" l="1"/>
  <c r="IM33" i="8"/>
  <c r="IM19" i="8"/>
  <c r="IK31" i="9" l="1"/>
  <c r="CD63" i="15"/>
  <c r="IK101" i="6"/>
  <c r="CD94" i="15" s="1"/>
  <c r="IN14" i="8"/>
  <c r="IM34" i="8"/>
  <c r="IN17" i="8" l="1"/>
  <c r="IN29" i="8"/>
  <c r="IN32" i="8" l="1"/>
  <c r="IN18" i="8"/>
  <c r="IL70" i="6" l="1"/>
  <c r="IL31" i="9" s="1"/>
  <c r="IN33" i="8"/>
  <c r="IN19" i="8"/>
  <c r="IL101" i="6" l="1"/>
  <c r="IO14" i="8"/>
  <c r="IN34" i="8"/>
  <c r="IO17" i="8" l="1"/>
  <c r="IO29" i="8"/>
  <c r="IO32" i="8" l="1"/>
  <c r="IO18" i="8"/>
  <c r="IM70" i="6" l="1"/>
  <c r="IM31" i="9" s="1"/>
  <c r="IO33" i="8"/>
  <c r="IO19" i="8"/>
  <c r="IM101" i="6" l="1"/>
  <c r="IP14" i="8"/>
  <c r="IO34" i="8"/>
  <c r="IP29" i="8" l="1"/>
  <c r="IP17" i="8"/>
  <c r="IP32" i="8" l="1"/>
  <c r="IN70" i="6" s="1"/>
  <c r="CE63" i="15" s="1"/>
  <c r="IP18" i="8"/>
  <c r="IP33" i="8" l="1"/>
  <c r="IN101" i="6" s="1"/>
  <c r="CE94" i="15" s="1"/>
  <c r="IP19" i="8"/>
  <c r="IN31" i="9"/>
  <c r="IQ14" i="8" l="1"/>
  <c r="IP34" i="8"/>
  <c r="IQ29" i="8" l="1"/>
  <c r="IQ17" i="8"/>
  <c r="IQ32" i="8" l="1"/>
  <c r="IO70" i="6" s="1"/>
  <c r="IQ18" i="8"/>
  <c r="IO31" i="9" l="1"/>
  <c r="IQ33" i="8"/>
  <c r="IO101" i="6" s="1"/>
  <c r="IQ19" i="8"/>
  <c r="IR14" i="8" l="1"/>
  <c r="IQ34" i="8"/>
  <c r="IR29" i="8" l="1"/>
  <c r="IR17" i="8"/>
  <c r="IR32" i="8" l="1"/>
  <c r="IP70" i="6" s="1"/>
  <c r="IR18" i="8"/>
  <c r="IP31" i="9" l="1"/>
  <c r="IR33" i="8"/>
  <c r="IP101" i="6" s="1"/>
  <c r="IR19" i="8"/>
  <c r="IS14" i="8" l="1"/>
  <c r="IR34" i="8"/>
  <c r="IS29" i="8" l="1"/>
  <c r="IS17" i="8"/>
  <c r="IS32" i="8" l="1"/>
  <c r="IQ70" i="6" s="1"/>
  <c r="CF63" i="15" s="1"/>
  <c r="IS18" i="8"/>
  <c r="IQ31" i="9" l="1"/>
  <c r="IS33" i="8"/>
  <c r="IQ101" i="6" s="1"/>
  <c r="CF94" i="15" s="1"/>
  <c r="IS19" i="8"/>
  <c r="IT14" i="8" l="1"/>
  <c r="IS34" i="8"/>
  <c r="IT17" i="8" l="1"/>
  <c r="IT29" i="8"/>
  <c r="IT32" i="8" l="1"/>
  <c r="IR70" i="6" s="1"/>
  <c r="IT18" i="8"/>
  <c r="IT33" i="8" l="1"/>
  <c r="IR101" i="6" s="1"/>
  <c r="IT19" i="8"/>
  <c r="IR31" i="9"/>
  <c r="IU14" i="8" l="1"/>
  <c r="IT34" i="8"/>
  <c r="IU17" i="8" l="1"/>
  <c r="IU29" i="8"/>
  <c r="IU32" i="8" l="1"/>
  <c r="IS70" i="6" s="1"/>
  <c r="IU18" i="8"/>
  <c r="IU33" i="8" l="1"/>
  <c r="IS101" i="6" s="1"/>
  <c r="IU19" i="8"/>
  <c r="IS31" i="9"/>
  <c r="IV14" i="8" l="1"/>
  <c r="IU34" i="8"/>
  <c r="IV29" i="8" l="1"/>
  <c r="IV17" i="8"/>
  <c r="X6" i="33" l="1"/>
  <c r="X4" i="33"/>
  <c r="X12" i="33" s="1"/>
  <c r="IV32" i="8"/>
  <c r="IV18" i="8"/>
  <c r="JF44" i="6" l="1"/>
  <c r="JF56" i="6" s="1"/>
  <c r="IU44" i="6"/>
  <c r="IV44" i="6"/>
  <c r="IV56" i="6" s="1"/>
  <c r="IX44" i="6"/>
  <c r="JB44" i="6"/>
  <c r="JB56" i="6" s="1"/>
  <c r="IY44" i="6"/>
  <c r="IY56" i="6" s="1"/>
  <c r="JC44" i="6"/>
  <c r="JC56" i="6" s="1"/>
  <c r="IZ44" i="6"/>
  <c r="IZ56" i="6" s="1"/>
  <c r="IW44" i="6"/>
  <c r="IW56" i="6" s="1"/>
  <c r="JD44" i="6"/>
  <c r="JE44" i="6"/>
  <c r="JE56" i="6" s="1"/>
  <c r="JA44" i="6"/>
  <c r="IT70" i="6"/>
  <c r="CG63" i="15" s="1"/>
  <c r="W63" i="11"/>
  <c r="IV33" i="8"/>
  <c r="IV19" i="8"/>
  <c r="JA56" i="6" l="1"/>
  <c r="CJ37" i="15"/>
  <c r="CJ49" i="15" s="1"/>
  <c r="JD56" i="6"/>
  <c r="CK37" i="15"/>
  <c r="CK49" i="15" s="1"/>
  <c r="IX56" i="6"/>
  <c r="CI37" i="15"/>
  <c r="CI49" i="15" s="1"/>
  <c r="IU56" i="6"/>
  <c r="CH37" i="15"/>
  <c r="CH49" i="15" s="1"/>
  <c r="X37" i="11"/>
  <c r="IT31" i="9"/>
  <c r="IT101" i="6"/>
  <c r="CG94" i="15" s="1"/>
  <c r="W94" i="11"/>
  <c r="V5" i="12" s="1"/>
  <c r="V4" i="12"/>
  <c r="IW14" i="8"/>
  <c r="IV34" i="8"/>
  <c r="AH4" i="1" l="1"/>
  <c r="AF33" i="1"/>
  <c r="X49" i="11"/>
  <c r="W3" i="12" s="1"/>
  <c r="W131" i="12"/>
  <c r="V17" i="12"/>
  <c r="V22" i="12"/>
  <c r="V23" i="12" s="1"/>
  <c r="IW29" i="8"/>
  <c r="IW17" i="8"/>
  <c r="W143" i="12" l="1"/>
  <c r="V35" i="12"/>
  <c r="V36" i="12" s="1"/>
  <c r="V18" i="12"/>
  <c r="IW32" i="8"/>
  <c r="IU70" i="6" s="1"/>
  <c r="IW18" i="8"/>
  <c r="IW33" i="8" l="1"/>
  <c r="IW19" i="8"/>
  <c r="IU31" i="9"/>
  <c r="IU101" i="6" l="1"/>
  <c r="IX14" i="8"/>
  <c r="IW34" i="8"/>
  <c r="IX29" i="8" l="1"/>
  <c r="IX17" i="8"/>
  <c r="IX32" i="8" l="1"/>
  <c r="IV70" i="6" s="1"/>
  <c r="IX18" i="8"/>
  <c r="IX33" i="8" l="1"/>
  <c r="IX19" i="8"/>
  <c r="IV31" i="9"/>
  <c r="IV101" i="6" l="1"/>
  <c r="IY14" i="8"/>
  <c r="IX34" i="8"/>
  <c r="IY29" i="8" l="1"/>
  <c r="IY17" i="8"/>
  <c r="IY32" i="8" l="1"/>
  <c r="IW70" i="6" s="1"/>
  <c r="CH63" i="15" s="1"/>
  <c r="IY18" i="8"/>
  <c r="IY33" i="8" l="1"/>
  <c r="IY19" i="8"/>
  <c r="IW31" i="9"/>
  <c r="IW101" i="6" l="1"/>
  <c r="CH94" i="15" s="1"/>
  <c r="IZ14" i="8"/>
  <c r="IY34" i="8"/>
  <c r="IZ17" i="8" l="1"/>
  <c r="IZ29" i="8"/>
  <c r="IZ32" i="8" l="1"/>
  <c r="IX70" i="6" s="1"/>
  <c r="IZ18" i="8"/>
  <c r="IZ33" i="8" l="1"/>
  <c r="IZ19" i="8"/>
  <c r="IX31" i="9"/>
  <c r="IX101" i="6" l="1"/>
  <c r="JA14" i="8"/>
  <c r="IZ34" i="8"/>
  <c r="JA17" i="8" l="1"/>
  <c r="JA29" i="8"/>
  <c r="JA32" i="8" l="1"/>
  <c r="IY70" i="6" s="1"/>
  <c r="JA18" i="8"/>
  <c r="JA33" i="8" l="1"/>
  <c r="JA19" i="8"/>
  <c r="IY31" i="9"/>
  <c r="IY101" i="6" l="1"/>
  <c r="JB14" i="8"/>
  <c r="JA34" i="8"/>
  <c r="JB29" i="8" l="1"/>
  <c r="JB17" i="8"/>
  <c r="JB32" i="8" l="1"/>
  <c r="IZ70" i="6" s="1"/>
  <c r="CI63" i="15" s="1"/>
  <c r="JB18" i="8"/>
  <c r="JB33" i="8" l="1"/>
  <c r="JB19" i="8"/>
  <c r="JB34" i="8" s="1"/>
  <c r="IZ31" i="9"/>
  <c r="M7" i="1"/>
  <c r="M10" i="1" s="1"/>
  <c r="N7" i="1"/>
  <c r="O7" i="1"/>
  <c r="P7" i="1"/>
  <c r="Q7" i="1"/>
  <c r="R7" i="1"/>
  <c r="S7" i="1"/>
  <c r="T7" i="1"/>
  <c r="U7" i="1"/>
  <c r="V7" i="1"/>
  <c r="W7" i="1"/>
  <c r="X7" i="1"/>
  <c r="Y7" i="1"/>
  <c r="Z7" i="1"/>
  <c r="AA7" i="1"/>
  <c r="AB7" i="1"/>
  <c r="AC7" i="1"/>
  <c r="AD7" i="1"/>
  <c r="AE7" i="1"/>
  <c r="AF7" i="1"/>
  <c r="AG7" i="1"/>
  <c r="AH7" i="1"/>
  <c r="IZ101" i="6" l="1"/>
  <c r="X94" i="11"/>
  <c r="W5" i="12" s="1"/>
  <c r="N14" i="1"/>
  <c r="O14" i="1"/>
  <c r="P14" i="1"/>
  <c r="Q14" i="1"/>
  <c r="R14" i="1"/>
  <c r="S14" i="1"/>
  <c r="T14" i="1"/>
  <c r="U14" i="1"/>
  <c r="V14" i="1"/>
  <c r="W14" i="1"/>
  <c r="X14" i="1"/>
  <c r="Y14" i="1"/>
  <c r="Z14" i="1"/>
  <c r="AA14" i="1"/>
  <c r="AB14" i="1"/>
  <c r="AC14" i="1"/>
  <c r="AD14" i="1"/>
  <c r="AE14" i="1"/>
  <c r="AF14" i="1"/>
  <c r="AG14" i="1"/>
  <c r="CI94" i="15" l="1"/>
  <c r="AI14" i="1"/>
  <c r="AH14" i="1"/>
  <c r="W17" i="12"/>
  <c r="W22" i="12"/>
  <c r="W23" i="12" s="1"/>
  <c r="W18" i="12" l="1"/>
  <c r="W35" i="12"/>
  <c r="W36" i="12" s="1"/>
  <c r="M16" i="1" l="1"/>
  <c r="B28" i="16" l="1"/>
  <c r="E4" i="16"/>
  <c r="E28" i="16" l="1"/>
  <c r="E30" i="16" s="1"/>
  <c r="E32" i="16" s="1"/>
  <c r="K1" i="23"/>
  <c r="C31" i="14"/>
  <c r="C32" i="14" s="1"/>
  <c r="J25" i="16"/>
  <c r="M25" i="16" s="1"/>
  <c r="J33" i="16"/>
  <c r="M33" i="16" s="1"/>
  <c r="B48" i="16"/>
  <c r="E48" i="16" s="1"/>
  <c r="J21" i="16"/>
  <c r="M21" i="16" s="1"/>
  <c r="J5" i="16"/>
  <c r="M5" i="16" s="1"/>
  <c r="J19" i="16"/>
  <c r="M19" i="16" s="1"/>
  <c r="J27" i="16"/>
  <c r="M27" i="16" s="1"/>
  <c r="J8" i="16"/>
  <c r="M8" i="16" s="1"/>
  <c r="J4" i="16"/>
  <c r="M4" i="16" s="1"/>
  <c r="J15" i="16"/>
  <c r="M15" i="16" s="1"/>
  <c r="J32" i="16"/>
  <c r="M32" i="16" s="1"/>
  <c r="J31" i="16"/>
  <c r="M31" i="16" s="1"/>
  <c r="J7" i="16"/>
  <c r="M7" i="16" s="1"/>
  <c r="J18" i="16"/>
  <c r="M18" i="16" s="1"/>
  <c r="B43" i="16"/>
  <c r="E43" i="16" s="1"/>
  <c r="J24" i="16"/>
  <c r="M24" i="16" s="1"/>
  <c r="B40" i="16"/>
  <c r="B46" i="16"/>
  <c r="E46" i="16" s="1"/>
  <c r="J13" i="16"/>
  <c r="M13" i="16" s="1"/>
  <c r="B49" i="16"/>
  <c r="E49" i="16" s="1"/>
  <c r="J22" i="16"/>
  <c r="M22" i="16" s="1"/>
  <c r="B42" i="16"/>
  <c r="E42" i="16" s="1"/>
  <c r="B50" i="16"/>
  <c r="E50" i="16" s="1"/>
  <c r="B47" i="16"/>
  <c r="E47" i="16" s="1"/>
  <c r="J29" i="16"/>
  <c r="M29" i="16" s="1"/>
  <c r="J34" i="16"/>
  <c r="M34" i="16" s="1"/>
  <c r="J20" i="16"/>
  <c r="M20" i="16" s="1"/>
  <c r="B45" i="16"/>
  <c r="E45" i="16" s="1"/>
  <c r="B44" i="16"/>
  <c r="E44" i="16" s="1"/>
  <c r="J6" i="16"/>
  <c r="M6" i="16" s="1"/>
  <c r="J10" i="16"/>
  <c r="M10" i="16" s="1"/>
  <c r="J14" i="16"/>
  <c r="M14" i="16" s="1"/>
  <c r="J26" i="16"/>
  <c r="M26" i="16" s="1"/>
  <c r="B51" i="16"/>
  <c r="E51" i="16" s="1"/>
  <c r="B41" i="16"/>
  <c r="E41" i="16" s="1"/>
  <c r="J9" i="16"/>
  <c r="M9" i="16" s="1"/>
  <c r="J30" i="16"/>
  <c r="M30" i="16" s="1"/>
  <c r="J16" i="16"/>
  <c r="M16" i="16" s="1"/>
  <c r="J17" i="16"/>
  <c r="M17" i="16" s="1"/>
  <c r="J23" i="16"/>
  <c r="M23" i="16" s="1"/>
  <c r="J11" i="16"/>
  <c r="M11" i="16" s="1"/>
  <c r="J28" i="16"/>
  <c r="M28" i="16" s="1"/>
  <c r="J12" i="16"/>
  <c r="M12" i="16" s="1"/>
  <c r="E33" i="16" l="1"/>
  <c r="D25" i="2"/>
  <c r="D26" i="2"/>
  <c r="B52" i="16"/>
  <c r="E40" i="16"/>
  <c r="E52" i="16" s="1"/>
  <c r="R28" i="6" l="1"/>
  <c r="R37" i="6" s="1"/>
  <c r="R58" i="6" s="1"/>
  <c r="R68" i="6" s="1"/>
  <c r="R72" i="6" s="1"/>
  <c r="S28" i="6"/>
  <c r="S37" i="6" s="1"/>
  <c r="S58" i="6" s="1"/>
  <c r="S68" i="6" s="1"/>
  <c r="S72" i="6" s="1"/>
  <c r="T28" i="6"/>
  <c r="T37" i="6" s="1"/>
  <c r="T58" i="6" s="1"/>
  <c r="T68" i="6" s="1"/>
  <c r="T72" i="6" s="1"/>
  <c r="AT28" i="6"/>
  <c r="AT37" i="6" s="1"/>
  <c r="AT58" i="6" s="1"/>
  <c r="AT68" i="6" s="1"/>
  <c r="AT72" i="6" s="1"/>
  <c r="AR28" i="6"/>
  <c r="AR37" i="6" s="1"/>
  <c r="AR58" i="6" s="1"/>
  <c r="AR68" i="6" s="1"/>
  <c r="AR72" i="6" s="1"/>
  <c r="V28" i="6"/>
  <c r="V37" i="6" s="1"/>
  <c r="V58" i="6" s="1"/>
  <c r="V68" i="6" s="1"/>
  <c r="V72" i="6" s="1"/>
  <c r="AB28" i="6"/>
  <c r="AB37" i="6" s="1"/>
  <c r="AB58" i="6" s="1"/>
  <c r="AB68" i="6" s="1"/>
  <c r="AB72" i="6" s="1"/>
  <c r="AH28" i="6"/>
  <c r="AH37" i="6" s="1"/>
  <c r="AE28" i="6"/>
  <c r="AE37" i="6" s="1"/>
  <c r="AE58" i="6" s="1"/>
  <c r="AE68" i="6" s="1"/>
  <c r="AE72" i="6" s="1"/>
  <c r="Y28" i="6"/>
  <c r="Y37" i="6" s="1"/>
  <c r="Y58" i="6" s="1"/>
  <c r="Y68" i="6" s="1"/>
  <c r="Y72" i="6" s="1"/>
  <c r="BD28" i="6"/>
  <c r="BD37" i="6" s="1"/>
  <c r="BD58" i="6" s="1"/>
  <c r="BD68" i="6" s="1"/>
  <c r="BD72" i="6" s="1"/>
  <c r="BC28" i="6"/>
  <c r="BC37" i="6" s="1"/>
  <c r="BC58" i="6" s="1"/>
  <c r="BC68" i="6" s="1"/>
  <c r="BC72" i="6" s="1"/>
  <c r="AQ28" i="6"/>
  <c r="AQ37" i="6" s="1"/>
  <c r="AQ58" i="6" s="1"/>
  <c r="AQ68" i="6" s="1"/>
  <c r="AQ72" i="6" s="1"/>
  <c r="AL28" i="6"/>
  <c r="AL37" i="6" s="1"/>
  <c r="AL58" i="6" s="1"/>
  <c r="AL68" i="6" s="1"/>
  <c r="AL72" i="6" s="1"/>
  <c r="AI28" i="6"/>
  <c r="AI37" i="6" s="1"/>
  <c r="AI58" i="6" s="1"/>
  <c r="AI68" i="6" s="1"/>
  <c r="AI72" i="6" s="1"/>
  <c r="AX28" i="6"/>
  <c r="AX37" i="6" s="1"/>
  <c r="AX58" i="6" s="1"/>
  <c r="AX68" i="6" s="1"/>
  <c r="AX72" i="6" s="1"/>
  <c r="AZ28" i="6"/>
  <c r="AZ37" i="6" s="1"/>
  <c r="AZ58" i="6" s="1"/>
  <c r="AZ68" i="6" s="1"/>
  <c r="AZ72" i="6" s="1"/>
  <c r="AU28" i="6"/>
  <c r="AU37" i="6" s="1"/>
  <c r="AU58" i="6" s="1"/>
  <c r="AU68" i="6" s="1"/>
  <c r="AU72" i="6" s="1"/>
  <c r="AK28" i="6"/>
  <c r="AK37" i="6" s="1"/>
  <c r="AK58" i="6" s="1"/>
  <c r="AK68" i="6" s="1"/>
  <c r="AK72" i="6" s="1"/>
  <c r="AW28" i="6"/>
  <c r="AW37" i="6" s="1"/>
  <c r="AW58" i="6" s="1"/>
  <c r="AW68" i="6" s="1"/>
  <c r="AW72" i="6" s="1"/>
  <c r="BA28" i="6"/>
  <c r="BA37" i="6" s="1"/>
  <c r="BA58" i="6" s="1"/>
  <c r="BA68" i="6" s="1"/>
  <c r="BA72" i="6" s="1"/>
  <c r="AF28" i="6"/>
  <c r="AF37" i="6" s="1"/>
  <c r="AF58" i="6" s="1"/>
  <c r="AF68" i="6" s="1"/>
  <c r="AF72" i="6" s="1"/>
  <c r="W28" i="6"/>
  <c r="W37" i="6" s="1"/>
  <c r="W58" i="6" s="1"/>
  <c r="W68" i="6" s="1"/>
  <c r="W72" i="6" s="1"/>
  <c r="AN28" i="6"/>
  <c r="AN37" i="6" s="1"/>
  <c r="AN58" i="6" s="1"/>
  <c r="AN68" i="6" s="1"/>
  <c r="AN72" i="6" s="1"/>
  <c r="AO28" i="6"/>
  <c r="AO37" i="6" s="1"/>
  <c r="AO58" i="6" s="1"/>
  <c r="AO68" i="6" s="1"/>
  <c r="AO72" i="6" s="1"/>
  <c r="AC28" i="6"/>
  <c r="AC37" i="6" s="1"/>
  <c r="AC58" i="6" s="1"/>
  <c r="AC68" i="6" s="1"/>
  <c r="AC72" i="6" s="1"/>
  <c r="BO28" i="6"/>
  <c r="BO37" i="6" s="1"/>
  <c r="BO58" i="6" s="1"/>
  <c r="BO68" i="6" s="1"/>
  <c r="BO72" i="6" s="1"/>
  <c r="DX28" i="6"/>
  <c r="DX37" i="6" s="1"/>
  <c r="DX58" i="6" s="1"/>
  <c r="DX68" i="6" s="1"/>
  <c r="DX72" i="6" s="1"/>
  <c r="CA28" i="6"/>
  <c r="CA37" i="6" s="1"/>
  <c r="CA58" i="6" s="1"/>
  <c r="CA68" i="6" s="1"/>
  <c r="CA72" i="6" s="1"/>
  <c r="DZ28" i="6"/>
  <c r="DZ37" i="6" s="1"/>
  <c r="DZ58" i="6" s="1"/>
  <c r="DZ68" i="6" s="1"/>
  <c r="DZ72" i="6" s="1"/>
  <c r="BJ28" i="6"/>
  <c r="BJ37" i="6" s="1"/>
  <c r="BJ58" i="6" s="1"/>
  <c r="BJ68" i="6" s="1"/>
  <c r="BJ72" i="6" s="1"/>
  <c r="BM28" i="6"/>
  <c r="BM37" i="6" s="1"/>
  <c r="BM58" i="6" s="1"/>
  <c r="BM68" i="6" s="1"/>
  <c r="BM72" i="6" s="1"/>
  <c r="CM28" i="6"/>
  <c r="CM37" i="6" s="1"/>
  <c r="CM58" i="6" s="1"/>
  <c r="CM68" i="6" s="1"/>
  <c r="CM72" i="6" s="1"/>
  <c r="CJ28" i="6"/>
  <c r="CJ37" i="6" s="1"/>
  <c r="CJ58" i="6" s="1"/>
  <c r="CJ68" i="6" s="1"/>
  <c r="CJ72" i="6" s="1"/>
  <c r="CY28" i="6"/>
  <c r="CY37" i="6" s="1"/>
  <c r="CY58" i="6" s="1"/>
  <c r="CY68" i="6" s="1"/>
  <c r="CY72" i="6" s="1"/>
  <c r="BY28" i="6"/>
  <c r="BY37" i="6" s="1"/>
  <c r="BY58" i="6" s="1"/>
  <c r="BY68" i="6" s="1"/>
  <c r="BY72" i="6" s="1"/>
  <c r="DQ28" i="6"/>
  <c r="DQ37" i="6" s="1"/>
  <c r="DQ58" i="6" s="1"/>
  <c r="DQ68" i="6" s="1"/>
  <c r="DQ72" i="6" s="1"/>
  <c r="CT28" i="6"/>
  <c r="CT37" i="6" s="1"/>
  <c r="CT58" i="6" s="1"/>
  <c r="CT68" i="6" s="1"/>
  <c r="CT72" i="6" s="1"/>
  <c r="ID28" i="6"/>
  <c r="ID37" i="6" s="1"/>
  <c r="ID58" i="6" s="1"/>
  <c r="ID68" i="6" s="1"/>
  <c r="ID72" i="6" s="1"/>
  <c r="ES28" i="6"/>
  <c r="ES37" i="6" s="1"/>
  <c r="ES58" i="6" s="1"/>
  <c r="ES68" i="6" s="1"/>
  <c r="ES72" i="6" s="1"/>
  <c r="FG28" i="6"/>
  <c r="FG37" i="6" s="1"/>
  <c r="FG58" i="6" s="1"/>
  <c r="FG68" i="6" s="1"/>
  <c r="FG72" i="6" s="1"/>
  <c r="CN28" i="6"/>
  <c r="CN37" i="6" s="1"/>
  <c r="CN58" i="6" s="1"/>
  <c r="CN68" i="6" s="1"/>
  <c r="CN72" i="6" s="1"/>
  <c r="IE28" i="6"/>
  <c r="IE37" i="6" s="1"/>
  <c r="IE58" i="6" s="1"/>
  <c r="IE68" i="6" s="1"/>
  <c r="IE72" i="6" s="1"/>
  <c r="BG28" i="6"/>
  <c r="BG37" i="6" s="1"/>
  <c r="BG58" i="6" s="1"/>
  <c r="BG68" i="6" s="1"/>
  <c r="BG72" i="6" s="1"/>
  <c r="DB28" i="6"/>
  <c r="DB37" i="6" s="1"/>
  <c r="DB58" i="6" s="1"/>
  <c r="DB68" i="6" s="1"/>
  <c r="DB72" i="6" s="1"/>
  <c r="EL28" i="6"/>
  <c r="EL37" i="6" s="1"/>
  <c r="EL58" i="6" s="1"/>
  <c r="EL68" i="6" s="1"/>
  <c r="EL72" i="6" s="1"/>
  <c r="DF28" i="6"/>
  <c r="DF37" i="6" s="1"/>
  <c r="DF58" i="6" s="1"/>
  <c r="DF68" i="6" s="1"/>
  <c r="DF72" i="6" s="1"/>
  <c r="DU28" i="6"/>
  <c r="DU37" i="6" s="1"/>
  <c r="DU58" i="6" s="1"/>
  <c r="DU68" i="6" s="1"/>
  <c r="DU72" i="6" s="1"/>
  <c r="BR28" i="6"/>
  <c r="BR37" i="6" s="1"/>
  <c r="BR58" i="6" s="1"/>
  <c r="BR68" i="6" s="1"/>
  <c r="BR72" i="6" s="1"/>
  <c r="BS28" i="6"/>
  <c r="BS37" i="6" s="1"/>
  <c r="BS58" i="6" s="1"/>
  <c r="BS68" i="6" s="1"/>
  <c r="BS72" i="6" s="1"/>
  <c r="CV28" i="6"/>
  <c r="CV37" i="6" s="1"/>
  <c r="CV58" i="6" s="1"/>
  <c r="CV68" i="6" s="1"/>
  <c r="CV72" i="6" s="1"/>
  <c r="BI28" i="6"/>
  <c r="BI37" i="6" s="1"/>
  <c r="BI58" i="6" s="1"/>
  <c r="BI68" i="6" s="1"/>
  <c r="BI72" i="6" s="1"/>
  <c r="DW28" i="6"/>
  <c r="DW37" i="6" s="1"/>
  <c r="DW58" i="6" s="1"/>
  <c r="DW68" i="6" s="1"/>
  <c r="DW72" i="6" s="1"/>
  <c r="EU28" i="6"/>
  <c r="EU37" i="6" s="1"/>
  <c r="EU58" i="6" s="1"/>
  <c r="EU68" i="6" s="1"/>
  <c r="EU72" i="6" s="1"/>
  <c r="HG28" i="6"/>
  <c r="HG37" i="6" s="1"/>
  <c r="HG58" i="6" s="1"/>
  <c r="HG68" i="6" s="1"/>
  <c r="HG72" i="6" s="1"/>
  <c r="CG28" i="6"/>
  <c r="CG37" i="6" s="1"/>
  <c r="CG58" i="6" s="1"/>
  <c r="CG68" i="6" s="1"/>
  <c r="CG72" i="6" s="1"/>
  <c r="CE28" i="6"/>
  <c r="CE37" i="6" s="1"/>
  <c r="CE58" i="6" s="1"/>
  <c r="CE68" i="6" s="1"/>
  <c r="CE72" i="6" s="1"/>
  <c r="GL28" i="6"/>
  <c r="GL37" i="6" s="1"/>
  <c r="GL58" i="6" s="1"/>
  <c r="GL68" i="6" s="1"/>
  <c r="GL72" i="6" s="1"/>
  <c r="DI28" i="6"/>
  <c r="DI37" i="6" s="1"/>
  <c r="DI58" i="6" s="1"/>
  <c r="DI68" i="6" s="1"/>
  <c r="DI72" i="6" s="1"/>
  <c r="EF28" i="6"/>
  <c r="EF37" i="6" s="1"/>
  <c r="EF58" i="6" s="1"/>
  <c r="EF68" i="6" s="1"/>
  <c r="EF72" i="6" s="1"/>
  <c r="GR28" i="6"/>
  <c r="GR37" i="6" s="1"/>
  <c r="GR58" i="6" s="1"/>
  <c r="GR68" i="6" s="1"/>
  <c r="GR72" i="6" s="1"/>
  <c r="GN28" i="6"/>
  <c r="GN37" i="6" s="1"/>
  <c r="GN58" i="6" s="1"/>
  <c r="GN68" i="6" s="1"/>
  <c r="GN72" i="6" s="1"/>
  <c r="BU28" i="6"/>
  <c r="BU37" i="6" s="1"/>
  <c r="BU58" i="6" s="1"/>
  <c r="BU68" i="6" s="1"/>
  <c r="BU72" i="6" s="1"/>
  <c r="EY28" i="6"/>
  <c r="EY37" i="6" s="1"/>
  <c r="EY58" i="6" s="1"/>
  <c r="EY68" i="6" s="1"/>
  <c r="EY72" i="6" s="1"/>
  <c r="EM28" i="6"/>
  <c r="EM37" i="6" s="1"/>
  <c r="EM58" i="6" s="1"/>
  <c r="EM68" i="6" s="1"/>
  <c r="EM72" i="6" s="1"/>
  <c r="IQ28" i="6"/>
  <c r="IQ37" i="6" s="1"/>
  <c r="IQ58" i="6" s="1"/>
  <c r="IQ68" i="6" s="1"/>
  <c r="IQ72" i="6" s="1"/>
  <c r="GZ28" i="6"/>
  <c r="GZ37" i="6" s="1"/>
  <c r="GZ58" i="6" s="1"/>
  <c r="GZ68" i="6" s="1"/>
  <c r="GZ72" i="6" s="1"/>
  <c r="DO28" i="6"/>
  <c r="DO37" i="6" s="1"/>
  <c r="DO58" i="6" s="1"/>
  <c r="DO68" i="6" s="1"/>
  <c r="DO72" i="6" s="1"/>
  <c r="DC28" i="6"/>
  <c r="DC37" i="6" s="1"/>
  <c r="DC58" i="6" s="1"/>
  <c r="DC68" i="6" s="1"/>
  <c r="DC72" i="6" s="1"/>
  <c r="GF28" i="6"/>
  <c r="GF37" i="6" s="1"/>
  <c r="GF58" i="6" s="1"/>
  <c r="GF68" i="6" s="1"/>
  <c r="GF72" i="6" s="1"/>
  <c r="HU28" i="6"/>
  <c r="HU37" i="6" s="1"/>
  <c r="HU58" i="6" s="1"/>
  <c r="HU68" i="6" s="1"/>
  <c r="HU72" i="6" s="1"/>
  <c r="IA28" i="6"/>
  <c r="IA37" i="6" s="1"/>
  <c r="IA58" i="6" s="1"/>
  <c r="IA68" i="6" s="1"/>
  <c r="IA72" i="6" s="1"/>
  <c r="GB28" i="6"/>
  <c r="GB37" i="6" s="1"/>
  <c r="GB58" i="6" s="1"/>
  <c r="GB68" i="6" s="1"/>
  <c r="GB72" i="6" s="1"/>
  <c r="HC28" i="6"/>
  <c r="HC37" i="6" s="1"/>
  <c r="HC58" i="6" s="1"/>
  <c r="HC68" i="6" s="1"/>
  <c r="HC72" i="6" s="1"/>
  <c r="DL28" i="6"/>
  <c r="DL37" i="6" s="1"/>
  <c r="DL58" i="6" s="1"/>
  <c r="DL68" i="6" s="1"/>
  <c r="DL72" i="6" s="1"/>
  <c r="CZ28" i="6"/>
  <c r="CZ37" i="6" s="1"/>
  <c r="CZ58" i="6" s="1"/>
  <c r="CZ68" i="6" s="1"/>
  <c r="CZ72" i="6" s="1"/>
  <c r="HS28" i="6"/>
  <c r="HS37" i="6" s="1"/>
  <c r="HS58" i="6" s="1"/>
  <c r="HS68" i="6" s="1"/>
  <c r="HS72" i="6" s="1"/>
  <c r="DT28" i="6"/>
  <c r="DT37" i="6" s="1"/>
  <c r="DT58" i="6" s="1"/>
  <c r="DT68" i="6" s="1"/>
  <c r="DT72" i="6" s="1"/>
  <c r="EA28" i="6"/>
  <c r="EA37" i="6" s="1"/>
  <c r="EA58" i="6" s="1"/>
  <c r="EA68" i="6" s="1"/>
  <c r="EA72" i="6" s="1"/>
  <c r="CK28" i="6"/>
  <c r="CK37" i="6" s="1"/>
  <c r="CK58" i="6" s="1"/>
  <c r="CK68" i="6" s="1"/>
  <c r="CK72" i="6" s="1"/>
  <c r="GO28" i="6"/>
  <c r="GO37" i="6" s="1"/>
  <c r="GO58" i="6" s="1"/>
  <c r="GO68" i="6" s="1"/>
  <c r="GO72" i="6" s="1"/>
  <c r="FP28" i="6"/>
  <c r="FP37" i="6" s="1"/>
  <c r="FP58" i="6" s="1"/>
  <c r="FP68" i="6" s="1"/>
  <c r="FP72" i="6" s="1"/>
  <c r="CP28" i="6"/>
  <c r="CP37" i="6" s="1"/>
  <c r="CP58" i="6" s="1"/>
  <c r="CP68" i="6" s="1"/>
  <c r="CP72" i="6" s="1"/>
  <c r="GX28" i="6"/>
  <c r="GX37" i="6" s="1"/>
  <c r="GX58" i="6" s="1"/>
  <c r="GX68" i="6" s="1"/>
  <c r="GX72" i="6" s="1"/>
  <c r="FY28" i="6"/>
  <c r="FY37" i="6" s="1"/>
  <c r="FY58" i="6" s="1"/>
  <c r="FY68" i="6" s="1"/>
  <c r="FY72" i="6" s="1"/>
  <c r="BX28" i="6"/>
  <c r="BX37" i="6" s="1"/>
  <c r="BX58" i="6" s="1"/>
  <c r="BX68" i="6" s="1"/>
  <c r="BX72" i="6" s="1"/>
  <c r="FZ28" i="6"/>
  <c r="FZ37" i="6" s="1"/>
  <c r="FZ58" i="6" s="1"/>
  <c r="FZ68" i="6" s="1"/>
  <c r="FZ72" i="6" s="1"/>
  <c r="CW28" i="6"/>
  <c r="CW37" i="6" s="1"/>
  <c r="CW58" i="6" s="1"/>
  <c r="CW68" i="6" s="1"/>
  <c r="CW72" i="6" s="1"/>
  <c r="HF28" i="6"/>
  <c r="HF37" i="6" s="1"/>
  <c r="HF58" i="6" s="1"/>
  <c r="HF68" i="6" s="1"/>
  <c r="HF72" i="6" s="1"/>
  <c r="ER28" i="6"/>
  <c r="ER37" i="6" s="1"/>
  <c r="ER58" i="6" s="1"/>
  <c r="ER68" i="6" s="1"/>
  <c r="ER72" i="6" s="1"/>
  <c r="HR28" i="6"/>
  <c r="HR37" i="6" s="1"/>
  <c r="HR58" i="6" s="1"/>
  <c r="HR68" i="6" s="1"/>
  <c r="HR72" i="6" s="1"/>
  <c r="GI28" i="6"/>
  <c r="GI37" i="6" s="1"/>
  <c r="GI58" i="6" s="1"/>
  <c r="GI68" i="6" s="1"/>
  <c r="GI72" i="6" s="1"/>
  <c r="JC28" i="6"/>
  <c r="JC37" i="6" s="1"/>
  <c r="JC58" i="6" s="1"/>
  <c r="JC68" i="6" s="1"/>
  <c r="JC72" i="6" s="1"/>
  <c r="IV28" i="6"/>
  <c r="IV37" i="6" s="1"/>
  <c r="IV58" i="6" s="1"/>
  <c r="IV68" i="6" s="1"/>
  <c r="IV72" i="6" s="1"/>
  <c r="DN28" i="6"/>
  <c r="DN37" i="6" s="1"/>
  <c r="DN58" i="6" s="1"/>
  <c r="DN68" i="6" s="1"/>
  <c r="DN72" i="6" s="1"/>
  <c r="CH28" i="6"/>
  <c r="CH37" i="6" s="1"/>
  <c r="CH58" i="6" s="1"/>
  <c r="CH68" i="6" s="1"/>
  <c r="CH72" i="6" s="1"/>
  <c r="GK28" i="6"/>
  <c r="GK37" i="6" s="1"/>
  <c r="GK58" i="6" s="1"/>
  <c r="GK68" i="6" s="1"/>
  <c r="GK72" i="6" s="1"/>
  <c r="FM28" i="6"/>
  <c r="FM37" i="6" s="1"/>
  <c r="FM58" i="6" s="1"/>
  <c r="FM68" i="6" s="1"/>
  <c r="FM72" i="6" s="1"/>
  <c r="FK28" i="6"/>
  <c r="FK37" i="6" s="1"/>
  <c r="FK58" i="6" s="1"/>
  <c r="FK68" i="6" s="1"/>
  <c r="FK72" i="6" s="1"/>
  <c r="HM28" i="6"/>
  <c r="HM37" i="6" s="1"/>
  <c r="HM58" i="6" s="1"/>
  <c r="HM68" i="6" s="1"/>
  <c r="HM72" i="6" s="1"/>
  <c r="DR28" i="6"/>
  <c r="DR37" i="6" s="1"/>
  <c r="DR58" i="6" s="1"/>
  <c r="DR68" i="6" s="1"/>
  <c r="DR72" i="6" s="1"/>
  <c r="IW28" i="6"/>
  <c r="IW37" i="6" s="1"/>
  <c r="IW58" i="6" s="1"/>
  <c r="IW68" i="6" s="1"/>
  <c r="IW72" i="6" s="1"/>
  <c r="CD28" i="6"/>
  <c r="CD37" i="6" s="1"/>
  <c r="CD58" i="6" s="1"/>
  <c r="CD68" i="6" s="1"/>
  <c r="CD72" i="6" s="1"/>
  <c r="BF28" i="6"/>
  <c r="BF37" i="6" s="1"/>
  <c r="BF58" i="6" s="1"/>
  <c r="BF68" i="6" s="1"/>
  <c r="BF72" i="6" s="1"/>
  <c r="IP28" i="6"/>
  <c r="IP37" i="6" s="1"/>
  <c r="IP58" i="6" s="1"/>
  <c r="IP68" i="6" s="1"/>
  <c r="IP72" i="6" s="1"/>
  <c r="JB28" i="6"/>
  <c r="JB37" i="6" s="1"/>
  <c r="JB58" i="6" s="1"/>
  <c r="JB68" i="6" s="1"/>
  <c r="JB72" i="6" s="1"/>
  <c r="HX28" i="6"/>
  <c r="HX37" i="6" s="1"/>
  <c r="HX58" i="6" s="1"/>
  <c r="HX68" i="6" s="1"/>
  <c r="HX72" i="6" s="1"/>
  <c r="EP28" i="6"/>
  <c r="EP37" i="6" s="1"/>
  <c r="EP58" i="6" s="1"/>
  <c r="EP68" i="6" s="1"/>
  <c r="EP72" i="6" s="1"/>
  <c r="EV28" i="6"/>
  <c r="EV37" i="6" s="1"/>
  <c r="EV58" i="6" s="1"/>
  <c r="EV68" i="6" s="1"/>
  <c r="EV72" i="6" s="1"/>
  <c r="FT28" i="6"/>
  <c r="FT37" i="6" s="1"/>
  <c r="FT58" i="6" s="1"/>
  <c r="FT68" i="6" s="1"/>
  <c r="FT72" i="6" s="1"/>
  <c r="JH28" i="6"/>
  <c r="JH37" i="6" s="1"/>
  <c r="JH58" i="6" s="1"/>
  <c r="JH68" i="6" s="1"/>
  <c r="JH72" i="6" s="1"/>
  <c r="EO28" i="6"/>
  <c r="EO37" i="6" s="1"/>
  <c r="EO58" i="6" s="1"/>
  <c r="EO68" i="6" s="1"/>
  <c r="EO72" i="6" s="1"/>
  <c r="HJ28" i="6"/>
  <c r="HJ37" i="6" s="1"/>
  <c r="HJ58" i="6" s="1"/>
  <c r="HJ68" i="6" s="1"/>
  <c r="HJ72" i="6" s="1"/>
  <c r="BP28" i="6"/>
  <c r="BP37" i="6" s="1"/>
  <c r="BP58" i="6" s="1"/>
  <c r="BP68" i="6" s="1"/>
  <c r="BP72" i="6" s="1"/>
  <c r="FW28" i="6"/>
  <c r="FW37" i="6" s="1"/>
  <c r="FW58" i="6" s="1"/>
  <c r="FW68" i="6" s="1"/>
  <c r="FW72" i="6" s="1"/>
  <c r="IK28" i="6"/>
  <c r="IK37" i="6" s="1"/>
  <c r="IK58" i="6" s="1"/>
  <c r="IK68" i="6" s="1"/>
  <c r="IK72" i="6" s="1"/>
  <c r="FA28" i="6"/>
  <c r="FA37" i="6" s="1"/>
  <c r="FA58" i="6" s="1"/>
  <c r="FA68" i="6" s="1"/>
  <c r="FA72" i="6" s="1"/>
  <c r="HO28" i="6"/>
  <c r="HO37" i="6" s="1"/>
  <c r="HO58" i="6" s="1"/>
  <c r="HO68" i="6" s="1"/>
  <c r="HO72" i="6" s="1"/>
  <c r="FD28" i="6"/>
  <c r="FD37" i="6" s="1"/>
  <c r="FD58" i="6" s="1"/>
  <c r="FD68" i="6" s="1"/>
  <c r="FD72" i="6" s="1"/>
  <c r="FJ28" i="6"/>
  <c r="FJ37" i="6" s="1"/>
  <c r="FJ58" i="6" s="1"/>
  <c r="FJ68" i="6" s="1"/>
  <c r="FJ72" i="6" s="1"/>
  <c r="IB28" i="6"/>
  <c r="IB37" i="6" s="1"/>
  <c r="IB58" i="6" s="1"/>
  <c r="IB68" i="6" s="1"/>
  <c r="IB72" i="6" s="1"/>
  <c r="GU28" i="6"/>
  <c r="GU37" i="6" s="1"/>
  <c r="GU58" i="6" s="1"/>
  <c r="GU68" i="6" s="1"/>
  <c r="GU72" i="6" s="1"/>
  <c r="CB28" i="6"/>
  <c r="CB37" i="6" s="1"/>
  <c r="CB58" i="6" s="1"/>
  <c r="CB68" i="6" s="1"/>
  <c r="CB72" i="6" s="1"/>
  <c r="EX28" i="6"/>
  <c r="EX37" i="6" s="1"/>
  <c r="EX58" i="6" s="1"/>
  <c r="EX68" i="6" s="1"/>
  <c r="EX72" i="6" s="1"/>
  <c r="CS28" i="6"/>
  <c r="CS37" i="6" s="1"/>
  <c r="CS58" i="6" s="1"/>
  <c r="CS68" i="6" s="1"/>
  <c r="CS72" i="6" s="1"/>
  <c r="FB28" i="6"/>
  <c r="FB37" i="6" s="1"/>
  <c r="FB58" i="6" s="1"/>
  <c r="FB68" i="6" s="1"/>
  <c r="FB72" i="6" s="1"/>
  <c r="JI28" i="6"/>
  <c r="JI37" i="6" s="1"/>
  <c r="JI58" i="6" s="1"/>
  <c r="JI68" i="6" s="1"/>
  <c r="JI72" i="6" s="1"/>
  <c r="HD28" i="6"/>
  <c r="HD37" i="6" s="1"/>
  <c r="HD58" i="6" s="1"/>
  <c r="HD68" i="6" s="1"/>
  <c r="HD72" i="6" s="1"/>
  <c r="BV28" i="6"/>
  <c r="BV37" i="6" s="1"/>
  <c r="BV58" i="6" s="1"/>
  <c r="BV68" i="6" s="1"/>
  <c r="BV72" i="6" s="1"/>
  <c r="JF28" i="6"/>
  <c r="JF37" i="6" s="1"/>
  <c r="JF58" i="6" s="1"/>
  <c r="JF68" i="6" s="1"/>
  <c r="JF72" i="6" s="1"/>
  <c r="HY28" i="6"/>
  <c r="HY37" i="6" s="1"/>
  <c r="HY58" i="6" s="1"/>
  <c r="HY68" i="6" s="1"/>
  <c r="HY72" i="6" s="1"/>
  <c r="IT28" i="6"/>
  <c r="IT37" i="6" s="1"/>
  <c r="IT58" i="6" s="1"/>
  <c r="IT68" i="6" s="1"/>
  <c r="IT72" i="6" s="1"/>
  <c r="ED28" i="6"/>
  <c r="ED37" i="6" s="1"/>
  <c r="ED58" i="6" s="1"/>
  <c r="ED68" i="6" s="1"/>
  <c r="ED72" i="6" s="1"/>
  <c r="FV28" i="6"/>
  <c r="FV37" i="6" s="1"/>
  <c r="FV58" i="6" s="1"/>
  <c r="FV68" i="6" s="1"/>
  <c r="FV72" i="6" s="1"/>
  <c r="CQ28" i="6"/>
  <c r="CQ37" i="6" s="1"/>
  <c r="CQ58" i="6" s="1"/>
  <c r="CQ68" i="6" s="1"/>
  <c r="CQ72" i="6" s="1"/>
  <c r="JK28" i="6"/>
  <c r="JK37" i="6" s="1"/>
  <c r="JK58" i="6" s="1"/>
  <c r="JK68" i="6" s="1"/>
  <c r="JK72" i="6" s="1"/>
  <c r="IZ28" i="6"/>
  <c r="IZ37" i="6" s="1"/>
  <c r="IZ58" i="6" s="1"/>
  <c r="IZ68" i="6" s="1"/>
  <c r="IZ72" i="6" s="1"/>
  <c r="GE28" i="6"/>
  <c r="GE37" i="6" s="1"/>
  <c r="GE58" i="6" s="1"/>
  <c r="GE68" i="6" s="1"/>
  <c r="GE72" i="6" s="1"/>
  <c r="HL28" i="6"/>
  <c r="HL37" i="6" s="1"/>
  <c r="HL58" i="6" s="1"/>
  <c r="HL68" i="6" s="1"/>
  <c r="HL72" i="6" s="1"/>
  <c r="GH28" i="6"/>
  <c r="GH37" i="6" s="1"/>
  <c r="GH58" i="6" s="1"/>
  <c r="GH68" i="6" s="1"/>
  <c r="GH72" i="6" s="1"/>
  <c r="GQ28" i="6"/>
  <c r="GQ37" i="6" s="1"/>
  <c r="GQ58" i="6" s="1"/>
  <c r="GQ68" i="6" s="1"/>
  <c r="GQ72" i="6" s="1"/>
  <c r="DE28" i="6"/>
  <c r="DE37" i="6" s="1"/>
  <c r="DE58" i="6" s="1"/>
  <c r="DE68" i="6" s="1"/>
  <c r="DE72" i="6" s="1"/>
  <c r="JN28" i="6"/>
  <c r="JN37" i="6" s="1"/>
  <c r="JN58" i="6" s="1"/>
  <c r="JN68" i="6" s="1"/>
  <c r="JN72" i="6" s="1"/>
  <c r="HV28" i="6"/>
  <c r="HV37" i="6" s="1"/>
  <c r="HV58" i="6" s="1"/>
  <c r="HV68" i="6" s="1"/>
  <c r="HV72" i="6" s="1"/>
  <c r="BL28" i="6"/>
  <c r="BL37" i="6" s="1"/>
  <c r="BL58" i="6" s="1"/>
  <c r="BL68" i="6" s="1"/>
  <c r="BL72" i="6" s="1"/>
  <c r="IS28" i="6"/>
  <c r="IS37" i="6" s="1"/>
  <c r="IS58" i="6" s="1"/>
  <c r="IS68" i="6" s="1"/>
  <c r="IS72" i="6" s="1"/>
  <c r="IN28" i="6"/>
  <c r="IN37" i="6" s="1"/>
  <c r="IN58" i="6" s="1"/>
  <c r="IN68" i="6" s="1"/>
  <c r="IN72" i="6" s="1"/>
  <c r="GW28" i="6"/>
  <c r="GW37" i="6" s="1"/>
  <c r="GW58" i="6" s="1"/>
  <c r="GW68" i="6" s="1"/>
  <c r="GW72" i="6" s="1"/>
  <c r="EG28" i="6"/>
  <c r="EG37" i="6" s="1"/>
  <c r="EG58" i="6" s="1"/>
  <c r="EG68" i="6" s="1"/>
  <c r="EG72" i="6" s="1"/>
  <c r="HI28" i="6"/>
  <c r="HI37" i="6" s="1"/>
  <c r="HI58" i="6" s="1"/>
  <c r="HI68" i="6" s="1"/>
  <c r="HI72" i="6" s="1"/>
  <c r="DK28" i="6"/>
  <c r="DK37" i="6" s="1"/>
  <c r="DK58" i="6" s="1"/>
  <c r="DK68" i="6" s="1"/>
  <c r="DK72" i="6" s="1"/>
  <c r="JE28" i="6"/>
  <c r="JE37" i="6" s="1"/>
  <c r="JE58" i="6" s="1"/>
  <c r="JE68" i="6" s="1"/>
  <c r="JE72" i="6" s="1"/>
  <c r="GT28" i="6"/>
  <c r="GT37" i="6" s="1"/>
  <c r="GT58" i="6" s="1"/>
  <c r="GT68" i="6" s="1"/>
  <c r="GT72" i="6" s="1"/>
  <c r="IM28" i="6"/>
  <c r="IM37" i="6" s="1"/>
  <c r="IM58" i="6" s="1"/>
  <c r="IM68" i="6" s="1"/>
  <c r="IM72" i="6" s="1"/>
  <c r="FH28" i="6"/>
  <c r="FH37" i="6" s="1"/>
  <c r="FH58" i="6" s="1"/>
  <c r="FH68" i="6" s="1"/>
  <c r="FH72" i="6" s="1"/>
  <c r="HP28" i="6"/>
  <c r="HP37" i="6" s="1"/>
  <c r="HP58" i="6" s="1"/>
  <c r="HP68" i="6" s="1"/>
  <c r="HP72" i="6" s="1"/>
  <c r="FE28" i="6"/>
  <c r="FE37" i="6" s="1"/>
  <c r="FE58" i="6" s="1"/>
  <c r="FE68" i="6" s="1"/>
  <c r="FE72" i="6" s="1"/>
  <c r="FQ28" i="6"/>
  <c r="FQ37" i="6" s="1"/>
  <c r="FQ58" i="6" s="1"/>
  <c r="FQ68" i="6" s="1"/>
  <c r="FQ72" i="6" s="1"/>
  <c r="JL28" i="6"/>
  <c r="JL37" i="6" s="1"/>
  <c r="JL58" i="6" s="1"/>
  <c r="JL68" i="6" s="1"/>
  <c r="JL72" i="6" s="1"/>
  <c r="FS28" i="6"/>
  <c r="FS37" i="6" s="1"/>
  <c r="FS58" i="6" s="1"/>
  <c r="FS68" i="6" s="1"/>
  <c r="FS72" i="6" s="1"/>
  <c r="IH28" i="6"/>
  <c r="IH37" i="6" s="1"/>
  <c r="IH58" i="6" s="1"/>
  <c r="IH68" i="6" s="1"/>
  <c r="IH72" i="6" s="1"/>
  <c r="HA28" i="6"/>
  <c r="HA37" i="6" s="1"/>
  <c r="HA58" i="6" s="1"/>
  <c r="HA68" i="6" s="1"/>
  <c r="HA72" i="6" s="1"/>
  <c r="FN28" i="6"/>
  <c r="FN37" i="6" s="1"/>
  <c r="FN58" i="6" s="1"/>
  <c r="FN68" i="6" s="1"/>
  <c r="FN72" i="6" s="1"/>
  <c r="EI28" i="6"/>
  <c r="EI37" i="6" s="1"/>
  <c r="EI58" i="6" s="1"/>
  <c r="EI68" i="6" s="1"/>
  <c r="EI72" i="6" s="1"/>
  <c r="JQ28" i="6"/>
  <c r="JQ37" i="6" s="1"/>
  <c r="JQ58" i="6" s="1"/>
  <c r="JQ68" i="6" s="1"/>
  <c r="JQ72" i="6" s="1"/>
  <c r="EC28" i="6"/>
  <c r="EC37" i="6" s="1"/>
  <c r="EC58" i="6" s="1"/>
  <c r="EC68" i="6" s="1"/>
  <c r="EC72" i="6" s="1"/>
  <c r="JO28" i="6"/>
  <c r="JO37" i="6" s="1"/>
  <c r="JO58" i="6" s="1"/>
  <c r="JO68" i="6" s="1"/>
  <c r="JO72" i="6" s="1"/>
  <c r="IJ28" i="6"/>
  <c r="IJ37" i="6" s="1"/>
  <c r="IJ58" i="6" s="1"/>
  <c r="IJ68" i="6" s="1"/>
  <c r="IJ72" i="6" s="1"/>
  <c r="GC28" i="6"/>
  <c r="GC37" i="6" s="1"/>
  <c r="GC58" i="6" s="1"/>
  <c r="GC68" i="6" s="1"/>
  <c r="GC72" i="6" s="1"/>
  <c r="EJ28" i="6"/>
  <c r="EJ37" i="6" s="1"/>
  <c r="EJ58" i="6" s="1"/>
  <c r="EJ68" i="6" s="1"/>
  <c r="EJ72" i="6" s="1"/>
  <c r="IG28" i="6"/>
  <c r="IG37" i="6" s="1"/>
  <c r="IG58" i="6" s="1"/>
  <c r="IG68" i="6" s="1"/>
  <c r="IG72" i="6" s="1"/>
  <c r="IY28" i="6"/>
  <c r="IY37" i="6" s="1"/>
  <c r="IY58" i="6" s="1"/>
  <c r="IY68" i="6" s="1"/>
  <c r="IY72" i="6" s="1"/>
  <c r="JR28" i="6"/>
  <c r="JR37" i="6" s="1"/>
  <c r="JR58" i="6" s="1"/>
  <c r="JR68" i="6" s="1"/>
  <c r="JR72" i="6" s="1"/>
  <c r="DH28" i="6"/>
  <c r="DH37" i="6" s="1"/>
  <c r="DH58" i="6" s="1"/>
  <c r="DH68" i="6" s="1"/>
  <c r="DH72" i="6" s="1"/>
  <c r="G5" i="15" l="1"/>
  <c r="G21" i="15" s="1"/>
  <c r="G30" i="15" s="1"/>
  <c r="G51" i="15" s="1"/>
  <c r="G61" i="15" s="1"/>
  <c r="G65" i="15" s="1"/>
  <c r="S91" i="6"/>
  <c r="S95" i="6" s="1"/>
  <c r="S76" i="6"/>
  <c r="S77" i="6" s="1"/>
  <c r="S79" i="6" s="1"/>
  <c r="R76" i="6"/>
  <c r="R77" i="6" s="1"/>
  <c r="R79" i="6" s="1"/>
  <c r="R91" i="6"/>
  <c r="R95" i="6" s="1"/>
  <c r="T76" i="6"/>
  <c r="T91" i="6"/>
  <c r="Z28" i="6"/>
  <c r="Z37" i="6" s="1"/>
  <c r="Z58" i="6" s="1"/>
  <c r="Z68" i="6" s="1"/>
  <c r="Z72" i="6" s="1"/>
  <c r="Z91" i="6" s="1"/>
  <c r="Z95" i="6" s="1"/>
  <c r="DH76" i="6"/>
  <c r="DH77" i="6" s="1"/>
  <c r="DH79" i="6" s="1"/>
  <c r="DH91" i="6"/>
  <c r="DH95" i="6" s="1"/>
  <c r="GC76" i="6"/>
  <c r="GC77" i="6" s="1"/>
  <c r="AZ5" i="15"/>
  <c r="AZ21" i="15" s="1"/>
  <c r="AZ30" i="15" s="1"/>
  <c r="AZ51" i="15" s="1"/>
  <c r="AZ61" i="15" s="1"/>
  <c r="AZ65" i="15" s="1"/>
  <c r="EW28" i="6"/>
  <c r="EW37" i="6" s="1"/>
  <c r="EW58" i="6" s="1"/>
  <c r="EW68" i="6" s="1"/>
  <c r="EW72" i="6" s="1"/>
  <c r="BD5" i="15"/>
  <c r="BD21" i="15" s="1"/>
  <c r="BD30" i="15" s="1"/>
  <c r="BD51" i="15" s="1"/>
  <c r="BD61" i="15" s="1"/>
  <c r="BD65" i="15" s="1"/>
  <c r="FI28" i="6"/>
  <c r="FI37" i="6" s="1"/>
  <c r="FI58" i="6" s="1"/>
  <c r="FI68" i="6" s="1"/>
  <c r="FI72" i="6" s="1"/>
  <c r="CJ5" i="15"/>
  <c r="CJ21" i="15" s="1"/>
  <c r="CJ30" i="15" s="1"/>
  <c r="CJ51" i="15" s="1"/>
  <c r="CJ61" i="15" s="1"/>
  <c r="CJ65" i="15" s="1"/>
  <c r="JA28" i="6"/>
  <c r="JA37" i="6" s="1"/>
  <c r="JA58" i="6" s="1"/>
  <c r="JA68" i="6" s="1"/>
  <c r="JA72" i="6" s="1"/>
  <c r="HN28" i="6"/>
  <c r="HN37" i="6" s="1"/>
  <c r="HN58" i="6" s="1"/>
  <c r="HN68" i="6" s="1"/>
  <c r="HN72" i="6" s="1"/>
  <c r="BW5" i="15"/>
  <c r="BW21" i="15" s="1"/>
  <c r="BW30" i="15" s="1"/>
  <c r="BW51" i="15" s="1"/>
  <c r="BW61" i="15" s="1"/>
  <c r="BW65" i="15" s="1"/>
  <c r="EC76" i="6"/>
  <c r="EC77" i="6" s="1"/>
  <c r="EC79" i="6" s="1"/>
  <c r="BG5" i="15"/>
  <c r="BG21" i="15" s="1"/>
  <c r="BG30" i="15" s="1"/>
  <c r="BG51" i="15" s="1"/>
  <c r="BG61" i="15" s="1"/>
  <c r="BG65" i="15" s="1"/>
  <c r="FR28" i="6"/>
  <c r="FR37" i="6" s="1"/>
  <c r="FR58" i="6" s="1"/>
  <c r="FR68" i="6" s="1"/>
  <c r="FR72" i="6" s="1"/>
  <c r="BC5" i="15"/>
  <c r="BC21" i="15" s="1"/>
  <c r="BC30" i="15" s="1"/>
  <c r="BC51" i="15" s="1"/>
  <c r="BC61" i="15" s="1"/>
  <c r="BC65" i="15" s="1"/>
  <c r="FF28" i="6"/>
  <c r="FF37" i="6" s="1"/>
  <c r="FF58" i="6" s="1"/>
  <c r="FF68" i="6" s="1"/>
  <c r="FF72" i="6" s="1"/>
  <c r="HA76" i="6"/>
  <c r="HA77" i="6" s="1"/>
  <c r="HA79" i="6" s="1"/>
  <c r="FS76" i="6"/>
  <c r="FS77" i="6" s="1"/>
  <c r="FQ76" i="6"/>
  <c r="FQ77" i="6" s="1"/>
  <c r="FQ79" i="6" s="1"/>
  <c r="Q28" i="1"/>
  <c r="I5" i="11"/>
  <c r="Z66" i="12" s="1"/>
  <c r="Z5" i="15"/>
  <c r="Z21" i="15" s="1"/>
  <c r="Z30" i="15" s="1"/>
  <c r="Z51" i="15" s="1"/>
  <c r="Z61" i="15" s="1"/>
  <c r="Z65" i="15" s="1"/>
  <c r="BW28" i="6"/>
  <c r="AO5" i="15"/>
  <c r="AO21" i="15" s="1"/>
  <c r="AO30" i="15" s="1"/>
  <c r="AO51" i="15" s="1"/>
  <c r="AO61" i="15" s="1"/>
  <c r="AO65" i="15" s="1"/>
  <c r="DP28" i="6"/>
  <c r="DP37" i="6" s="1"/>
  <c r="DP58" i="6" s="1"/>
  <c r="DP68" i="6" s="1"/>
  <c r="DP72" i="6" s="1"/>
  <c r="HI76" i="6"/>
  <c r="HI77" i="6" s="1"/>
  <c r="HI79" i="6" s="1"/>
  <c r="IN76" i="6"/>
  <c r="IN77" i="6" s="1"/>
  <c r="IN79" i="6" s="1"/>
  <c r="BL76" i="6"/>
  <c r="BL77" i="6" s="1"/>
  <c r="BL79" i="6" s="1"/>
  <c r="BL91" i="6"/>
  <c r="BL95" i="6" s="1"/>
  <c r="CX28" i="6"/>
  <c r="CX37" i="6" s="1"/>
  <c r="CX58" i="6" s="1"/>
  <c r="CX68" i="6" s="1"/>
  <c r="CX72" i="6" s="1"/>
  <c r="AI5" i="15"/>
  <c r="AI21" i="15" s="1"/>
  <c r="AI30" i="15" s="1"/>
  <c r="AI51" i="15" s="1"/>
  <c r="AI61" i="15" s="1"/>
  <c r="AI65" i="15" s="1"/>
  <c r="GH76" i="6"/>
  <c r="GH77" i="6" s="1"/>
  <c r="GH79" i="6" s="1"/>
  <c r="BO5" i="15"/>
  <c r="BO21" i="15" s="1"/>
  <c r="BO30" i="15" s="1"/>
  <c r="BO51" i="15" s="1"/>
  <c r="BO61" i="15" s="1"/>
  <c r="BO65" i="15" s="1"/>
  <c r="GP28" i="6"/>
  <c r="GP37" i="6" s="1"/>
  <c r="GP58" i="6" s="1"/>
  <c r="GP68" i="6" s="1"/>
  <c r="GP72" i="6" s="1"/>
  <c r="CQ76" i="6"/>
  <c r="CQ77" i="6" s="1"/>
  <c r="CQ79" i="6" s="1"/>
  <c r="CQ91" i="6"/>
  <c r="CQ95" i="6" s="1"/>
  <c r="IT76" i="6"/>
  <c r="IT77" i="6" s="1"/>
  <c r="IT79" i="6" s="1"/>
  <c r="T28" i="1"/>
  <c r="AL5" i="15"/>
  <c r="AL21" i="15" s="1"/>
  <c r="AL30" i="15" s="1"/>
  <c r="AL51" i="15" s="1"/>
  <c r="AL61" i="15" s="1"/>
  <c r="AL65" i="15" s="1"/>
  <c r="L5" i="11"/>
  <c r="AC66" i="12" s="1"/>
  <c r="DG28" i="6"/>
  <c r="CO5" i="15"/>
  <c r="CO21" i="15" s="1"/>
  <c r="CO30" i="15" s="1"/>
  <c r="CO51" i="15" s="1"/>
  <c r="CO61" i="15" s="1"/>
  <c r="CO65" i="15" s="1"/>
  <c r="JP28" i="6"/>
  <c r="JP37" i="6" s="1"/>
  <c r="JP58" i="6" s="1"/>
  <c r="JP68" i="6" s="1"/>
  <c r="JP72" i="6" s="1"/>
  <c r="FB76" i="6"/>
  <c r="FB77" i="6" s="1"/>
  <c r="FB79" i="6" s="1"/>
  <c r="BH5" i="15"/>
  <c r="BH21" i="15" s="1"/>
  <c r="BH30" i="15" s="1"/>
  <c r="BH51" i="15" s="1"/>
  <c r="BH61" i="15" s="1"/>
  <c r="BH65" i="15" s="1"/>
  <c r="FU28" i="6"/>
  <c r="FU37" i="6" s="1"/>
  <c r="FU58" i="6" s="1"/>
  <c r="FU68" i="6" s="1"/>
  <c r="FU72" i="6" s="1"/>
  <c r="FD76" i="6"/>
  <c r="FD77" i="6" s="1"/>
  <c r="IK76" i="6"/>
  <c r="IK77" i="6" s="1"/>
  <c r="IK79" i="6" s="1"/>
  <c r="HJ76" i="6"/>
  <c r="HJ77" i="6" s="1"/>
  <c r="HJ79" i="6" s="1"/>
  <c r="JH76" i="6"/>
  <c r="JH77" i="6" s="1"/>
  <c r="JH79" i="6" s="1"/>
  <c r="HX76" i="6"/>
  <c r="HX77" i="6" s="1"/>
  <c r="HX79" i="6" s="1"/>
  <c r="CD76" i="6"/>
  <c r="CD77" i="6" s="1"/>
  <c r="CD79" i="6" s="1"/>
  <c r="CD91" i="6"/>
  <c r="CD95" i="6" s="1"/>
  <c r="HM76" i="6"/>
  <c r="HM77" i="6" s="1"/>
  <c r="HM79" i="6" s="1"/>
  <c r="CH76" i="6"/>
  <c r="CH77" i="6" s="1"/>
  <c r="CH79" i="6" s="1"/>
  <c r="CH91" i="6"/>
  <c r="CH95" i="6" s="1"/>
  <c r="GI76" i="6"/>
  <c r="GI77" i="6" s="1"/>
  <c r="AK5" i="15"/>
  <c r="AK21" i="15" s="1"/>
  <c r="AK30" i="15" s="1"/>
  <c r="AK51" i="15" s="1"/>
  <c r="AK61" i="15" s="1"/>
  <c r="AK65" i="15" s="1"/>
  <c r="DD28" i="6"/>
  <c r="DD37" i="6" s="1"/>
  <c r="DD58" i="6" s="1"/>
  <c r="DD68" i="6" s="1"/>
  <c r="DD72" i="6" s="1"/>
  <c r="CW76" i="6"/>
  <c r="CW77" i="6" s="1"/>
  <c r="CW79" i="6" s="1"/>
  <c r="CW91" i="6"/>
  <c r="CW95" i="6" s="1"/>
  <c r="GX76" i="6"/>
  <c r="GX77" i="6" s="1"/>
  <c r="GX79" i="6" s="1"/>
  <c r="CK91" i="6"/>
  <c r="CK95" i="6" s="1"/>
  <c r="CK76" i="6"/>
  <c r="CK77" i="6" s="1"/>
  <c r="CK79" i="6" s="1"/>
  <c r="CZ91" i="6"/>
  <c r="CZ95" i="6" s="1"/>
  <c r="CZ76" i="6"/>
  <c r="CZ77" i="6" s="1"/>
  <c r="CZ79" i="6" s="1"/>
  <c r="IA76" i="6"/>
  <c r="IA77" i="6" s="1"/>
  <c r="IA79" i="6" s="1"/>
  <c r="DC76" i="6"/>
  <c r="DC77" i="6" s="1"/>
  <c r="DC79" i="6" s="1"/>
  <c r="DC91" i="6"/>
  <c r="DC95" i="6" s="1"/>
  <c r="EM76" i="6"/>
  <c r="EM77" i="6" s="1"/>
  <c r="GR76" i="6"/>
  <c r="GR77" i="6" s="1"/>
  <c r="CE76" i="6"/>
  <c r="CE77" i="6" s="1"/>
  <c r="CE79" i="6" s="1"/>
  <c r="CE91" i="6"/>
  <c r="CE95" i="6" s="1"/>
  <c r="DW76" i="6"/>
  <c r="DW77" i="6" s="1"/>
  <c r="DW79" i="6" s="1"/>
  <c r="BR91" i="6"/>
  <c r="BR95" i="6" s="1"/>
  <c r="BR76" i="6"/>
  <c r="BR77" i="6" s="1"/>
  <c r="BR79" i="6" s="1"/>
  <c r="DB76" i="6"/>
  <c r="DB77" i="6" s="1"/>
  <c r="DB79" i="6" s="1"/>
  <c r="DB91" i="6"/>
  <c r="DB95" i="6" s="1"/>
  <c r="CN91" i="6"/>
  <c r="CN95" i="6" s="1"/>
  <c r="CN76" i="6"/>
  <c r="CN77" i="6" s="1"/>
  <c r="CN79" i="6" s="1"/>
  <c r="ES76" i="6"/>
  <c r="ES77" i="6" s="1"/>
  <c r="CT76" i="6"/>
  <c r="CT77" i="6" s="1"/>
  <c r="CT79" i="6" s="1"/>
  <c r="CT91" i="6"/>
  <c r="CT95" i="6" s="1"/>
  <c r="AJ5" i="15"/>
  <c r="AJ21" i="15" s="1"/>
  <c r="AJ30" i="15" s="1"/>
  <c r="AJ51" i="15" s="1"/>
  <c r="AJ61" i="15" s="1"/>
  <c r="AJ65" i="15" s="1"/>
  <c r="DA28" i="6"/>
  <c r="DA37" i="6" s="1"/>
  <c r="DA58" i="6" s="1"/>
  <c r="DA68" i="6" s="1"/>
  <c r="DA72" i="6" s="1"/>
  <c r="CM76" i="6"/>
  <c r="CM77" i="6" s="1"/>
  <c r="CM79" i="6" s="1"/>
  <c r="CM91" i="6"/>
  <c r="CM95" i="6" s="1"/>
  <c r="CA76" i="6"/>
  <c r="CA77" i="6" s="1"/>
  <c r="CA79" i="6" s="1"/>
  <c r="CA91" i="6"/>
  <c r="CA95" i="6" s="1"/>
  <c r="Q5" i="15"/>
  <c r="Q21" i="15" s="1"/>
  <c r="Q30" i="15" s="1"/>
  <c r="Q51" i="15" s="1"/>
  <c r="Q61" i="15" s="1"/>
  <c r="Q65" i="15" s="1"/>
  <c r="AV28" i="6"/>
  <c r="AV37" i="6" s="1"/>
  <c r="AV58" i="6" s="1"/>
  <c r="AV68" i="6" s="1"/>
  <c r="AV72" i="6" s="1"/>
  <c r="AN76" i="6"/>
  <c r="AN77" i="6" s="1"/>
  <c r="AN79" i="6" s="1"/>
  <c r="AN91" i="6"/>
  <c r="AN95" i="6" s="1"/>
  <c r="AF91" i="6"/>
  <c r="AF95" i="6" s="1"/>
  <c r="AF76" i="6"/>
  <c r="AF77" i="6" s="1"/>
  <c r="AF79" i="6" s="1"/>
  <c r="S5" i="15"/>
  <c r="S21" i="15" s="1"/>
  <c r="S30" i="15" s="1"/>
  <c r="S51" i="15" s="1"/>
  <c r="S61" i="15" s="1"/>
  <c r="S65" i="15" s="1"/>
  <c r="BB28" i="6"/>
  <c r="BB37" i="6" s="1"/>
  <c r="BB58" i="6" s="1"/>
  <c r="BB68" i="6" s="1"/>
  <c r="BB72" i="6" s="1"/>
  <c r="AU76" i="6"/>
  <c r="AU77" i="6" s="1"/>
  <c r="AU79" i="6" s="1"/>
  <c r="AU91" i="6"/>
  <c r="AU95" i="6" s="1"/>
  <c r="AX76" i="6"/>
  <c r="AX77" i="6" s="1"/>
  <c r="AX79" i="6" s="1"/>
  <c r="AX91" i="6"/>
  <c r="AX95" i="6" s="1"/>
  <c r="AQ91" i="6"/>
  <c r="AQ95" i="6" s="1"/>
  <c r="AQ76" i="6"/>
  <c r="AQ77" i="6" s="1"/>
  <c r="AQ79" i="6" s="1"/>
  <c r="Y76" i="6"/>
  <c r="Y77" i="6" s="1"/>
  <c r="Y79" i="6" s="1"/>
  <c r="Y91" i="6"/>
  <c r="Y95" i="6" s="1"/>
  <c r="V76" i="6"/>
  <c r="V77" i="6" s="1"/>
  <c r="V79" i="6" s="1"/>
  <c r="V91" i="6"/>
  <c r="V95" i="6" s="1"/>
  <c r="V5" i="15"/>
  <c r="V21" i="15" s="1"/>
  <c r="V30" i="15" s="1"/>
  <c r="V51" i="15" s="1"/>
  <c r="V61" i="15" s="1"/>
  <c r="V65" i="15" s="1"/>
  <c r="P28" i="1"/>
  <c r="H5" i="11"/>
  <c r="BK28" i="6"/>
  <c r="AU5" i="15"/>
  <c r="AU21" i="15" s="1"/>
  <c r="AU30" i="15" s="1"/>
  <c r="AU51" i="15" s="1"/>
  <c r="AU61" i="15" s="1"/>
  <c r="AU65" i="15" s="1"/>
  <c r="EH28" i="6"/>
  <c r="EH37" i="6" s="1"/>
  <c r="EH58" i="6" s="1"/>
  <c r="EH68" i="6" s="1"/>
  <c r="EH72" i="6" s="1"/>
  <c r="BV5" i="15"/>
  <c r="BV21" i="15" s="1"/>
  <c r="BV30" i="15" s="1"/>
  <c r="BV51" i="15" s="1"/>
  <c r="BV61" i="15" s="1"/>
  <c r="BV65" i="15" s="1"/>
  <c r="AC28" i="1"/>
  <c r="HK28" i="6"/>
  <c r="U5" i="11"/>
  <c r="IY76" i="6"/>
  <c r="IY77" i="6" s="1"/>
  <c r="CC5" i="15"/>
  <c r="CC21" i="15" s="1"/>
  <c r="CC30" i="15" s="1"/>
  <c r="CC51" i="15" s="1"/>
  <c r="CC61" i="15" s="1"/>
  <c r="CC65" i="15" s="1"/>
  <c r="IF28" i="6"/>
  <c r="IF37" i="6" s="1"/>
  <c r="IF58" i="6" s="1"/>
  <c r="IF68" i="6" s="1"/>
  <c r="IF72" i="6" s="1"/>
  <c r="U28" i="1"/>
  <c r="M5" i="11"/>
  <c r="AP5" i="15"/>
  <c r="AP21" i="15" s="1"/>
  <c r="AP30" i="15" s="1"/>
  <c r="AP51" i="15" s="1"/>
  <c r="AP61" i="15" s="1"/>
  <c r="AP65" i="15" s="1"/>
  <c r="DS28" i="6"/>
  <c r="CA5" i="15"/>
  <c r="CA21" i="15" s="1"/>
  <c r="CA30" i="15" s="1"/>
  <c r="CA51" i="15" s="1"/>
  <c r="CA61" i="15" s="1"/>
  <c r="CA65" i="15" s="1"/>
  <c r="HZ28" i="6"/>
  <c r="HZ37" i="6" s="1"/>
  <c r="HZ58" i="6" s="1"/>
  <c r="HZ68" i="6" s="1"/>
  <c r="HZ72" i="6" s="1"/>
  <c r="BY5" i="15"/>
  <c r="BY21" i="15" s="1"/>
  <c r="BY30" i="15" s="1"/>
  <c r="BY51" i="15" s="1"/>
  <c r="BY61" i="15" s="1"/>
  <c r="BY65" i="15" s="1"/>
  <c r="HT28" i="6"/>
  <c r="HT37" i="6" s="1"/>
  <c r="HT58" i="6" s="1"/>
  <c r="HT68" i="6" s="1"/>
  <c r="HT72" i="6" s="1"/>
  <c r="CM5" i="15"/>
  <c r="CM21" i="15" s="1"/>
  <c r="CM30" i="15" s="1"/>
  <c r="CM51" i="15" s="1"/>
  <c r="CM61" i="15" s="1"/>
  <c r="CM65" i="15" s="1"/>
  <c r="JJ28" i="6"/>
  <c r="JJ37" i="6" s="1"/>
  <c r="JJ58" i="6" s="1"/>
  <c r="JJ68" i="6" s="1"/>
  <c r="JJ72" i="6" s="1"/>
  <c r="EJ76" i="6"/>
  <c r="EJ77" i="6" s="1"/>
  <c r="EJ79" i="6" s="1"/>
  <c r="IJ76" i="6"/>
  <c r="IJ77" i="6" s="1"/>
  <c r="BL5" i="15"/>
  <c r="BL21" i="15" s="1"/>
  <c r="BL30" i="15" s="1"/>
  <c r="BL51" i="15" s="1"/>
  <c r="BL61" i="15" s="1"/>
  <c r="BL65" i="15" s="1"/>
  <c r="GG28" i="6"/>
  <c r="GG37" i="6" s="1"/>
  <c r="GG58" i="6" s="1"/>
  <c r="GG68" i="6" s="1"/>
  <c r="GG72" i="6" s="1"/>
  <c r="Z28" i="1"/>
  <c r="BJ5" i="15"/>
  <c r="BJ21" i="15" s="1"/>
  <c r="BJ30" i="15" s="1"/>
  <c r="BJ51" i="15" s="1"/>
  <c r="BJ61" i="15" s="1"/>
  <c r="BJ65" i="15" s="1"/>
  <c r="R5" i="11"/>
  <c r="GA28" i="6"/>
  <c r="X28" i="1"/>
  <c r="BB5" i="15"/>
  <c r="BB21" i="15" s="1"/>
  <c r="BB30" i="15" s="1"/>
  <c r="BB51" i="15" s="1"/>
  <c r="BB61" i="15" s="1"/>
  <c r="BB65" i="15" s="1"/>
  <c r="FC28" i="6"/>
  <c r="P5" i="11"/>
  <c r="BU5" i="15"/>
  <c r="BU21" i="15" s="1"/>
  <c r="BU30" i="15" s="1"/>
  <c r="BU51" i="15" s="1"/>
  <c r="BU61" i="15" s="1"/>
  <c r="BU65" i="15" s="1"/>
  <c r="HH28" i="6"/>
  <c r="HH37" i="6" s="1"/>
  <c r="HH58" i="6" s="1"/>
  <c r="HH68" i="6" s="1"/>
  <c r="HH72" i="6" s="1"/>
  <c r="CI5" i="15"/>
  <c r="CI21" i="15" s="1"/>
  <c r="CI30" i="15" s="1"/>
  <c r="CI51" i="15" s="1"/>
  <c r="CI61" i="15" s="1"/>
  <c r="CI65" i="15" s="1"/>
  <c r="IX28" i="6"/>
  <c r="IX37" i="6" s="1"/>
  <c r="IX58" i="6" s="1"/>
  <c r="IX68" i="6" s="1"/>
  <c r="IX72" i="6" s="1"/>
  <c r="K5" i="11"/>
  <c r="AB66" i="12" s="1"/>
  <c r="AH5" i="15"/>
  <c r="AH21" i="15" s="1"/>
  <c r="AH30" i="15" s="1"/>
  <c r="AH51" i="15" s="1"/>
  <c r="AH61" i="15" s="1"/>
  <c r="AH65" i="15" s="1"/>
  <c r="S28" i="1"/>
  <c r="CU28" i="6"/>
  <c r="BA5" i="15"/>
  <c r="BA21" i="15" s="1"/>
  <c r="BA30" i="15" s="1"/>
  <c r="BA51" i="15" s="1"/>
  <c r="BA61" i="15" s="1"/>
  <c r="BA65" i="15" s="1"/>
  <c r="EZ28" i="6"/>
  <c r="EZ37" i="6" s="1"/>
  <c r="EZ58" i="6" s="1"/>
  <c r="EZ68" i="6" s="1"/>
  <c r="EZ72" i="6" s="1"/>
  <c r="Y28" i="1"/>
  <c r="Q5" i="11"/>
  <c r="BF5" i="15"/>
  <c r="BF21" i="15" s="1"/>
  <c r="BF30" i="15" s="1"/>
  <c r="BF51" i="15" s="1"/>
  <c r="BF61" i="15" s="1"/>
  <c r="BF65" i="15" s="1"/>
  <c r="FO28" i="6"/>
  <c r="FE76" i="6"/>
  <c r="FE77" i="6" s="1"/>
  <c r="FE79" i="6" s="1"/>
  <c r="IM76" i="6"/>
  <c r="IM77" i="6" s="1"/>
  <c r="IM79" i="6" s="1"/>
  <c r="GT76" i="6"/>
  <c r="GT77" i="6" s="1"/>
  <c r="GT79" i="6" s="1"/>
  <c r="EG76" i="6"/>
  <c r="EG77" i="6" s="1"/>
  <c r="BM5" i="15"/>
  <c r="BM21" i="15" s="1"/>
  <c r="BM30" i="15" s="1"/>
  <c r="BM51" i="15" s="1"/>
  <c r="BM61" i="15" s="1"/>
  <c r="BM65" i="15" s="1"/>
  <c r="GJ28" i="6"/>
  <c r="GJ37" i="6" s="1"/>
  <c r="GJ58" i="6" s="1"/>
  <c r="GJ68" i="6" s="1"/>
  <c r="GJ72" i="6" s="1"/>
  <c r="HV76" i="6"/>
  <c r="HV77" i="6" s="1"/>
  <c r="W28" i="1"/>
  <c r="AX5" i="15"/>
  <c r="AX21" i="15" s="1"/>
  <c r="AX30" i="15" s="1"/>
  <c r="AX51" i="15" s="1"/>
  <c r="AX61" i="15" s="1"/>
  <c r="AX65" i="15" s="1"/>
  <c r="O5" i="11"/>
  <c r="EQ28" i="6"/>
  <c r="HL76" i="6"/>
  <c r="HL77" i="6" s="1"/>
  <c r="HL79" i="6" s="1"/>
  <c r="BE5" i="15"/>
  <c r="BE21" i="15" s="1"/>
  <c r="BE30" i="15" s="1"/>
  <c r="BE51" i="15" s="1"/>
  <c r="BE61" i="15" s="1"/>
  <c r="BE65" i="15" s="1"/>
  <c r="FL28" i="6"/>
  <c r="FL37" i="6" s="1"/>
  <c r="FL58" i="6" s="1"/>
  <c r="FL68" i="6" s="1"/>
  <c r="FL72" i="6" s="1"/>
  <c r="BT5" i="15"/>
  <c r="BT21" i="15" s="1"/>
  <c r="BT30" i="15" s="1"/>
  <c r="BT51" i="15" s="1"/>
  <c r="BT61" i="15" s="1"/>
  <c r="BT65" i="15" s="1"/>
  <c r="HE28" i="6"/>
  <c r="HE37" i="6" s="1"/>
  <c r="HE58" i="6" s="1"/>
  <c r="HE68" i="6" s="1"/>
  <c r="HE72" i="6" s="1"/>
  <c r="HY76" i="6"/>
  <c r="HY77" i="6" s="1"/>
  <c r="HY79" i="6" s="1"/>
  <c r="AA5" i="15"/>
  <c r="AA21" i="15" s="1"/>
  <c r="AA30" i="15" s="1"/>
  <c r="AA51" i="15" s="1"/>
  <c r="AA61" i="15" s="1"/>
  <c r="AA65" i="15" s="1"/>
  <c r="BZ28" i="6"/>
  <c r="BZ37" i="6" s="1"/>
  <c r="BZ58" i="6" s="1"/>
  <c r="BZ68" i="6" s="1"/>
  <c r="BZ72" i="6" s="1"/>
  <c r="HD76" i="6"/>
  <c r="HD77" i="6" s="1"/>
  <c r="CS91" i="6"/>
  <c r="CS95" i="6" s="1"/>
  <c r="CS76" i="6"/>
  <c r="CS77" i="6" s="1"/>
  <c r="CS79" i="6" s="1"/>
  <c r="GU76" i="6"/>
  <c r="GU77" i="6" s="1"/>
  <c r="GU79" i="6" s="1"/>
  <c r="U5" i="15"/>
  <c r="U21" i="15" s="1"/>
  <c r="U30" i="15" s="1"/>
  <c r="U51" i="15" s="1"/>
  <c r="U61" i="15" s="1"/>
  <c r="U65" i="15" s="1"/>
  <c r="BH28" i="6"/>
  <c r="BH37" i="6" s="1"/>
  <c r="BH58" i="6" s="1"/>
  <c r="BH68" i="6" s="1"/>
  <c r="BH72" i="6" s="1"/>
  <c r="FW76" i="6"/>
  <c r="FW77" i="6" s="1"/>
  <c r="FW79" i="6" s="1"/>
  <c r="AA28" i="1"/>
  <c r="S5" i="11"/>
  <c r="BN5" i="15"/>
  <c r="BN21" i="15" s="1"/>
  <c r="BN30" i="15" s="1"/>
  <c r="BN51" i="15" s="1"/>
  <c r="BN61" i="15" s="1"/>
  <c r="BN65" i="15" s="1"/>
  <c r="GM28" i="6"/>
  <c r="FT76" i="6"/>
  <c r="FT77" i="6" s="1"/>
  <c r="FT79" i="6" s="1"/>
  <c r="JB76" i="6"/>
  <c r="JB77" i="6" s="1"/>
  <c r="IW76" i="6"/>
  <c r="IW77" i="6" s="1"/>
  <c r="IW79" i="6" s="1"/>
  <c r="FK76" i="6"/>
  <c r="FK77" i="6" s="1"/>
  <c r="FK79" i="6" s="1"/>
  <c r="DN76" i="6"/>
  <c r="DN77" i="6" s="1"/>
  <c r="BI5" i="15"/>
  <c r="BI21" i="15" s="1"/>
  <c r="BI30" i="15" s="1"/>
  <c r="BI51" i="15" s="1"/>
  <c r="BI61" i="15" s="1"/>
  <c r="BI65" i="15" s="1"/>
  <c r="FX28" i="6"/>
  <c r="FX37" i="6" s="1"/>
  <c r="FX58" i="6" s="1"/>
  <c r="FX68" i="6" s="1"/>
  <c r="FX72" i="6" s="1"/>
  <c r="AN5" i="15"/>
  <c r="AN21" i="15" s="1"/>
  <c r="AN30" i="15" s="1"/>
  <c r="AN51" i="15" s="1"/>
  <c r="AN61" i="15" s="1"/>
  <c r="AN65" i="15" s="1"/>
  <c r="DM28" i="6"/>
  <c r="DM37" i="6" s="1"/>
  <c r="DM58" i="6" s="1"/>
  <c r="DM68" i="6" s="1"/>
  <c r="DM72" i="6" s="1"/>
  <c r="FZ76" i="6"/>
  <c r="FZ77" i="6" s="1"/>
  <c r="CP76" i="6"/>
  <c r="CP77" i="6" s="1"/>
  <c r="CP79" i="6" s="1"/>
  <c r="CP91" i="6"/>
  <c r="CP95" i="6" s="1"/>
  <c r="EA76" i="6"/>
  <c r="EA77" i="6" s="1"/>
  <c r="EA79" i="6" s="1"/>
  <c r="DL76" i="6"/>
  <c r="DL77" i="6" s="1"/>
  <c r="DL79" i="6" s="1"/>
  <c r="DL91" i="6"/>
  <c r="DL95" i="6" s="1"/>
  <c r="HU76" i="6"/>
  <c r="HU77" i="6" s="1"/>
  <c r="HU79" i="6" s="1"/>
  <c r="DO76" i="6"/>
  <c r="DO77" i="6" s="1"/>
  <c r="EY76" i="6"/>
  <c r="EY77" i="6" s="1"/>
  <c r="EY79" i="6" s="1"/>
  <c r="EF76" i="6"/>
  <c r="EF77" i="6" s="1"/>
  <c r="EF79" i="6" s="1"/>
  <c r="CG76" i="6"/>
  <c r="CG77" i="6" s="1"/>
  <c r="CG79" i="6" s="1"/>
  <c r="CG91" i="6"/>
  <c r="CG95" i="6" s="1"/>
  <c r="BI76" i="6"/>
  <c r="BI77" i="6" s="1"/>
  <c r="BI79" i="6" s="1"/>
  <c r="BI91" i="6"/>
  <c r="BI95" i="6" s="1"/>
  <c r="DU76" i="6"/>
  <c r="DU77" i="6" s="1"/>
  <c r="DU79" i="6" s="1"/>
  <c r="AS5" i="15"/>
  <c r="AS21" i="15" s="1"/>
  <c r="AS30" i="15" s="1"/>
  <c r="AS51" i="15" s="1"/>
  <c r="AS61" i="15" s="1"/>
  <c r="AS65" i="15" s="1"/>
  <c r="EB28" i="6"/>
  <c r="EB37" i="6" s="1"/>
  <c r="EB58" i="6" s="1"/>
  <c r="EB68" i="6" s="1"/>
  <c r="EB72" i="6" s="1"/>
  <c r="AF5" i="15"/>
  <c r="AF21" i="15" s="1"/>
  <c r="AF30" i="15" s="1"/>
  <c r="AF51" i="15" s="1"/>
  <c r="AF61" i="15" s="1"/>
  <c r="AF65" i="15" s="1"/>
  <c r="CO28" i="6"/>
  <c r="CO37" i="6" s="1"/>
  <c r="CO58" i="6" s="1"/>
  <c r="CO68" i="6" s="1"/>
  <c r="CO72" i="6" s="1"/>
  <c r="CC28" i="6"/>
  <c r="CC37" i="6" s="1"/>
  <c r="CC58" i="6" s="1"/>
  <c r="CC68" i="6" s="1"/>
  <c r="CC72" i="6" s="1"/>
  <c r="AB5" i="15"/>
  <c r="AB21" i="15" s="1"/>
  <c r="AB30" i="15" s="1"/>
  <c r="AB51" i="15" s="1"/>
  <c r="AB61" i="15" s="1"/>
  <c r="AB65" i="15" s="1"/>
  <c r="DQ76" i="6"/>
  <c r="DQ77" i="6" s="1"/>
  <c r="AE5" i="15"/>
  <c r="AE21" i="15" s="1"/>
  <c r="AE30" i="15" s="1"/>
  <c r="AE51" i="15" s="1"/>
  <c r="AE61" i="15" s="1"/>
  <c r="AE65" i="15" s="1"/>
  <c r="CL28" i="6"/>
  <c r="CL37" i="6" s="1"/>
  <c r="CL58" i="6" s="1"/>
  <c r="CL68" i="6" s="1"/>
  <c r="CL72" i="6" s="1"/>
  <c r="BM91" i="6"/>
  <c r="BM95" i="6" s="1"/>
  <c r="BM76" i="6"/>
  <c r="BM77" i="6" s="1"/>
  <c r="BM79" i="6" s="1"/>
  <c r="DX76" i="6"/>
  <c r="DX77" i="6" s="1"/>
  <c r="AC76" i="6"/>
  <c r="AC77" i="6" s="1"/>
  <c r="AC79" i="6" s="1"/>
  <c r="AC91" i="6"/>
  <c r="AC95" i="6" s="1"/>
  <c r="I5" i="15"/>
  <c r="I21" i="15" s="1"/>
  <c r="I30" i="15" s="1"/>
  <c r="I51" i="15" s="1"/>
  <c r="I61" i="15" s="1"/>
  <c r="I65" i="15" s="1"/>
  <c r="X28" i="6"/>
  <c r="X37" i="6" s="1"/>
  <c r="X58" i="6" s="1"/>
  <c r="X68" i="6" s="1"/>
  <c r="X72" i="6" s="1"/>
  <c r="BA76" i="6"/>
  <c r="BA77" i="6" s="1"/>
  <c r="BA79" i="6" s="1"/>
  <c r="BA91" i="6"/>
  <c r="BA95" i="6" s="1"/>
  <c r="J5" i="15"/>
  <c r="J21" i="15" s="1"/>
  <c r="J30" i="15" s="1"/>
  <c r="J51" i="15" s="1"/>
  <c r="J61" i="15" s="1"/>
  <c r="J65" i="15" s="1"/>
  <c r="E5" i="11"/>
  <c r="M28" i="1"/>
  <c r="AA28" i="6"/>
  <c r="AI91" i="6"/>
  <c r="AI95" i="6" s="1"/>
  <c r="AI76" i="6"/>
  <c r="AI77" i="6" s="1"/>
  <c r="AI79" i="6" s="1"/>
  <c r="BC91" i="6"/>
  <c r="BC95" i="6" s="1"/>
  <c r="BC76" i="6"/>
  <c r="BC77" i="6" s="1"/>
  <c r="BC79" i="6" s="1"/>
  <c r="AE76" i="6"/>
  <c r="AE77" i="6" s="1"/>
  <c r="AE79" i="6" s="1"/>
  <c r="AE91" i="6"/>
  <c r="AE95" i="6" s="1"/>
  <c r="T5" i="15"/>
  <c r="T21" i="15" s="1"/>
  <c r="T30" i="15" s="1"/>
  <c r="T51" i="15" s="1"/>
  <c r="T61" i="15" s="1"/>
  <c r="T65" i="15" s="1"/>
  <c r="BE28" i="6"/>
  <c r="BE37" i="6" s="1"/>
  <c r="BE58" i="6" s="1"/>
  <c r="BE68" i="6" s="1"/>
  <c r="BE72" i="6" s="1"/>
  <c r="IG76" i="6"/>
  <c r="IG77" i="6" s="1"/>
  <c r="IG79" i="6" s="1"/>
  <c r="R28" i="1"/>
  <c r="J5" i="11"/>
  <c r="AA66" i="12" s="1"/>
  <c r="AD5" i="15"/>
  <c r="AD21" i="15" s="1"/>
  <c r="AD30" i="15" s="1"/>
  <c r="AD51" i="15" s="1"/>
  <c r="AD61" i="15" s="1"/>
  <c r="AD65" i="15" s="1"/>
  <c r="CI28" i="6"/>
  <c r="AD28" i="1"/>
  <c r="V5" i="11"/>
  <c r="BZ5" i="15"/>
  <c r="BZ21" i="15" s="1"/>
  <c r="BZ30" i="15" s="1"/>
  <c r="BZ51" i="15" s="1"/>
  <c r="BZ61" i="15" s="1"/>
  <c r="BZ65" i="15" s="1"/>
  <c r="HW28" i="6"/>
  <c r="AY5" i="15"/>
  <c r="AY21" i="15" s="1"/>
  <c r="AY30" i="15" s="1"/>
  <c r="AY51" i="15" s="1"/>
  <c r="AY61" i="15" s="1"/>
  <c r="AY65" i="15" s="1"/>
  <c r="ET28" i="6"/>
  <c r="ET37" i="6" s="1"/>
  <c r="ET58" i="6" s="1"/>
  <c r="ET68" i="6" s="1"/>
  <c r="ET72" i="6" s="1"/>
  <c r="CE5" i="15"/>
  <c r="CE21" i="15" s="1"/>
  <c r="CE30" i="15" s="1"/>
  <c r="CE51" i="15" s="1"/>
  <c r="CE61" i="15" s="1"/>
  <c r="CE65" i="15" s="1"/>
  <c r="IL28" i="6"/>
  <c r="IL37" i="6" s="1"/>
  <c r="IL58" i="6" s="1"/>
  <c r="IL68" i="6" s="1"/>
  <c r="IL72" i="6" s="1"/>
  <c r="AW5" i="15"/>
  <c r="AW21" i="15" s="1"/>
  <c r="AW30" i="15" s="1"/>
  <c r="AW51" i="15" s="1"/>
  <c r="AW61" i="15" s="1"/>
  <c r="AW65" i="15" s="1"/>
  <c r="EN28" i="6"/>
  <c r="EN37" i="6" s="1"/>
  <c r="EN58" i="6" s="1"/>
  <c r="EN68" i="6" s="1"/>
  <c r="EN72" i="6" s="1"/>
  <c r="AQ5" i="15"/>
  <c r="AQ21" i="15" s="1"/>
  <c r="AQ30" i="15" s="1"/>
  <c r="AQ51" i="15" s="1"/>
  <c r="AQ61" i="15" s="1"/>
  <c r="AQ65" i="15" s="1"/>
  <c r="DV28" i="6"/>
  <c r="DV37" i="6" s="1"/>
  <c r="DV58" i="6" s="1"/>
  <c r="DV68" i="6" s="1"/>
  <c r="DV72" i="6" s="1"/>
  <c r="CN5" i="15"/>
  <c r="CN21" i="15" s="1"/>
  <c r="CN30" i="15" s="1"/>
  <c r="CN51" i="15" s="1"/>
  <c r="CN61" i="15" s="1"/>
  <c r="CN65" i="15" s="1"/>
  <c r="JM28" i="6"/>
  <c r="JM37" i="6" s="1"/>
  <c r="JM58" i="6" s="1"/>
  <c r="JM68" i="6" s="1"/>
  <c r="JM72" i="6" s="1"/>
  <c r="EI76" i="6"/>
  <c r="EI77" i="6" s="1"/>
  <c r="EI79" i="6" s="1"/>
  <c r="IH76" i="6"/>
  <c r="IH77" i="6" s="1"/>
  <c r="IH79" i="6" s="1"/>
  <c r="BP5" i="15"/>
  <c r="BP21" i="15" s="1"/>
  <c r="BP30" i="15" s="1"/>
  <c r="BP51" i="15" s="1"/>
  <c r="BP61" i="15" s="1"/>
  <c r="BP65" i="15" s="1"/>
  <c r="GS28" i="6"/>
  <c r="GS37" i="6" s="1"/>
  <c r="GS58" i="6" s="1"/>
  <c r="GS68" i="6" s="1"/>
  <c r="GS72" i="6" s="1"/>
  <c r="HP76" i="6"/>
  <c r="HP77" i="6" s="1"/>
  <c r="HP79" i="6" s="1"/>
  <c r="CB5" i="15"/>
  <c r="CB21" i="15" s="1"/>
  <c r="CB30" i="15" s="1"/>
  <c r="CB51" i="15" s="1"/>
  <c r="CB61" i="15" s="1"/>
  <c r="CB65" i="15" s="1"/>
  <c r="IC28" i="6"/>
  <c r="IC37" i="6" s="1"/>
  <c r="IC58" i="6" s="1"/>
  <c r="IC68" i="6" s="1"/>
  <c r="IC72" i="6" s="1"/>
  <c r="JE76" i="6"/>
  <c r="JE77" i="6" s="1"/>
  <c r="JE79" i="6" s="1"/>
  <c r="GW76" i="6"/>
  <c r="GW77" i="6" s="1"/>
  <c r="X5" i="15"/>
  <c r="X21" i="15" s="1"/>
  <c r="X30" i="15" s="1"/>
  <c r="X51" i="15" s="1"/>
  <c r="X61" i="15" s="1"/>
  <c r="X65" i="15" s="1"/>
  <c r="BQ28" i="6"/>
  <c r="BQ37" i="6" s="1"/>
  <c r="BQ58" i="6" s="1"/>
  <c r="BQ68" i="6" s="1"/>
  <c r="BQ72" i="6" s="1"/>
  <c r="JN76" i="6"/>
  <c r="JN77" i="6" s="1"/>
  <c r="DE91" i="6"/>
  <c r="DE95" i="6" s="1"/>
  <c r="DE76" i="6"/>
  <c r="DE77" i="6" s="1"/>
  <c r="DE79" i="6" s="1"/>
  <c r="GE76" i="6"/>
  <c r="GE77" i="6" s="1"/>
  <c r="GE79" i="6" s="1"/>
  <c r="JK76" i="6"/>
  <c r="JK77" i="6" s="1"/>
  <c r="JK79" i="6" s="1"/>
  <c r="FV76" i="6"/>
  <c r="FV77" i="6" s="1"/>
  <c r="FV79" i="6" s="1"/>
  <c r="JF76" i="6"/>
  <c r="JF77" i="6" s="1"/>
  <c r="JF79" i="6" s="1"/>
  <c r="CG5" i="15"/>
  <c r="CG21" i="15" s="1"/>
  <c r="CG30" i="15" s="1"/>
  <c r="CG51" i="15" s="1"/>
  <c r="CG61" i="15" s="1"/>
  <c r="CG65" i="15" s="1"/>
  <c r="IR28" i="6"/>
  <c r="IR37" i="6" s="1"/>
  <c r="IR58" i="6" s="1"/>
  <c r="IR68" i="6" s="1"/>
  <c r="IR72" i="6" s="1"/>
  <c r="AE28" i="1"/>
  <c r="CD5" i="15"/>
  <c r="CD21" i="15" s="1"/>
  <c r="CD30" i="15" s="1"/>
  <c r="CD51" i="15" s="1"/>
  <c r="CD61" i="15" s="1"/>
  <c r="CD65" i="15" s="1"/>
  <c r="W5" i="11"/>
  <c r="II28" i="6"/>
  <c r="EX76" i="6"/>
  <c r="EX77" i="6" s="1"/>
  <c r="IB76" i="6"/>
  <c r="IB77" i="6" s="1"/>
  <c r="IB79" i="6" s="1"/>
  <c r="HO76" i="6"/>
  <c r="HO77" i="6" s="1"/>
  <c r="BP76" i="6"/>
  <c r="BP77" i="6" s="1"/>
  <c r="BP79" i="6" s="1"/>
  <c r="BP91" i="6"/>
  <c r="BP95" i="6" s="1"/>
  <c r="BQ5" i="15"/>
  <c r="BQ21" i="15" s="1"/>
  <c r="BQ30" i="15" s="1"/>
  <c r="BQ51" i="15" s="1"/>
  <c r="BQ61" i="15" s="1"/>
  <c r="BQ65" i="15" s="1"/>
  <c r="GV28" i="6"/>
  <c r="GV37" i="6" s="1"/>
  <c r="GV58" i="6" s="1"/>
  <c r="GV68" i="6" s="1"/>
  <c r="GV72" i="6" s="1"/>
  <c r="EV76" i="6"/>
  <c r="EV77" i="6" s="1"/>
  <c r="EV79" i="6" s="1"/>
  <c r="IP76" i="6"/>
  <c r="IP77" i="6" s="1"/>
  <c r="IP79" i="6" s="1"/>
  <c r="DR76" i="6"/>
  <c r="DR77" i="6" s="1"/>
  <c r="DR79" i="6" s="1"/>
  <c r="FM76" i="6"/>
  <c r="FM77" i="6" s="1"/>
  <c r="FM79" i="6" s="1"/>
  <c r="IV76" i="6"/>
  <c r="IV77" i="6" s="1"/>
  <c r="IV79" i="6" s="1"/>
  <c r="AT5" i="15"/>
  <c r="AT21" i="15" s="1"/>
  <c r="AT30" i="15" s="1"/>
  <c r="AT51" i="15" s="1"/>
  <c r="AT61" i="15" s="1"/>
  <c r="AT65" i="15" s="1"/>
  <c r="N5" i="11"/>
  <c r="V28" i="1"/>
  <c r="EE28" i="6"/>
  <c r="ER76" i="6"/>
  <c r="ER77" i="6" s="1"/>
  <c r="ER79" i="6" s="1"/>
  <c r="BX91" i="6"/>
  <c r="BX95" i="6" s="1"/>
  <c r="BX76" i="6"/>
  <c r="BX77" i="6" s="1"/>
  <c r="BX79" i="6" s="1"/>
  <c r="FP76" i="6"/>
  <c r="FP77" i="6" s="1"/>
  <c r="FP79" i="6" s="1"/>
  <c r="DT76" i="6"/>
  <c r="DT77" i="6" s="1"/>
  <c r="DT79" i="6" s="1"/>
  <c r="HC76" i="6"/>
  <c r="HC77" i="6" s="1"/>
  <c r="AV5" i="15"/>
  <c r="AV21" i="15" s="1"/>
  <c r="AV30" i="15" s="1"/>
  <c r="AV51" i="15" s="1"/>
  <c r="AV61" i="15" s="1"/>
  <c r="AV65" i="15" s="1"/>
  <c r="EK28" i="6"/>
  <c r="EK37" i="6" s="1"/>
  <c r="EK58" i="6" s="1"/>
  <c r="EK68" i="6" s="1"/>
  <c r="EK72" i="6" s="1"/>
  <c r="GZ76" i="6"/>
  <c r="GZ77" i="6" s="1"/>
  <c r="GZ79" i="6" s="1"/>
  <c r="BU76" i="6"/>
  <c r="BU77" i="6" s="1"/>
  <c r="BU79" i="6" s="1"/>
  <c r="BU91" i="6"/>
  <c r="BU95" i="6" s="1"/>
  <c r="DI76" i="6"/>
  <c r="DI77" i="6" s="1"/>
  <c r="DI79" i="6" s="1"/>
  <c r="DI91" i="6"/>
  <c r="DI95" i="6" s="1"/>
  <c r="HG76" i="6"/>
  <c r="HG77" i="6" s="1"/>
  <c r="HG79" i="6" s="1"/>
  <c r="CV91" i="6"/>
  <c r="CV95" i="6" s="1"/>
  <c r="CV76" i="6"/>
  <c r="CV77" i="6" s="1"/>
  <c r="CV79" i="6" s="1"/>
  <c r="DF91" i="6"/>
  <c r="DF95" i="6" s="1"/>
  <c r="DF76" i="6"/>
  <c r="DF77" i="6" s="1"/>
  <c r="DF79" i="6" s="1"/>
  <c r="BG76" i="6"/>
  <c r="BG77" i="6" s="1"/>
  <c r="BG79" i="6" s="1"/>
  <c r="BG91" i="6"/>
  <c r="BG95" i="6" s="1"/>
  <c r="FG76" i="6"/>
  <c r="FG77" i="6" s="1"/>
  <c r="AM5" i="15"/>
  <c r="AM21" i="15" s="1"/>
  <c r="AM30" i="15" s="1"/>
  <c r="AM51" i="15" s="1"/>
  <c r="AM61" i="15" s="1"/>
  <c r="AM65" i="15" s="1"/>
  <c r="DJ28" i="6"/>
  <c r="DJ37" i="6" s="1"/>
  <c r="DJ58" i="6" s="1"/>
  <c r="DJ68" i="6" s="1"/>
  <c r="DJ72" i="6" s="1"/>
  <c r="AG5" i="15"/>
  <c r="AG21" i="15" s="1"/>
  <c r="AG30" i="15" s="1"/>
  <c r="AG51" i="15" s="1"/>
  <c r="AG61" i="15" s="1"/>
  <c r="AG65" i="15" s="1"/>
  <c r="CR28" i="6"/>
  <c r="CR37" i="6" s="1"/>
  <c r="CR58" i="6" s="1"/>
  <c r="CR68" i="6" s="1"/>
  <c r="CR72" i="6" s="1"/>
  <c r="CY76" i="6"/>
  <c r="CY77" i="6" s="1"/>
  <c r="CY79" i="6" s="1"/>
  <c r="CY91" i="6"/>
  <c r="CY95" i="6" s="1"/>
  <c r="BJ91" i="6"/>
  <c r="BJ95" i="6" s="1"/>
  <c r="BJ76" i="6"/>
  <c r="BJ77" i="6" s="1"/>
  <c r="BJ79" i="6" s="1"/>
  <c r="BO91" i="6"/>
  <c r="BO95" i="6" s="1"/>
  <c r="BO76" i="6"/>
  <c r="BO77" i="6" s="1"/>
  <c r="BO79" i="6" s="1"/>
  <c r="AO76" i="6"/>
  <c r="AO77" i="6" s="1"/>
  <c r="AO79" i="6" s="1"/>
  <c r="AO91" i="6"/>
  <c r="AO95" i="6" s="1"/>
  <c r="W76" i="6"/>
  <c r="W77" i="6" s="1"/>
  <c r="W79" i="6" s="1"/>
  <c r="W91" i="6"/>
  <c r="W95" i="6" s="1"/>
  <c r="C41" i="1"/>
  <c r="L5" i="15"/>
  <c r="L21" i="15" s="1"/>
  <c r="L30" i="15" s="1"/>
  <c r="L51" i="15" s="1"/>
  <c r="L61" i="15" s="1"/>
  <c r="L65" i="15" s="1"/>
  <c r="AG28" i="6"/>
  <c r="AK76" i="6"/>
  <c r="AK77" i="6" s="1"/>
  <c r="AK79" i="6" s="1"/>
  <c r="AK91" i="6"/>
  <c r="AK95" i="6" s="1"/>
  <c r="AZ76" i="6"/>
  <c r="AZ77" i="6" s="1"/>
  <c r="AZ79" i="6" s="1"/>
  <c r="AZ91" i="6"/>
  <c r="AZ95" i="6" s="1"/>
  <c r="AL91" i="6"/>
  <c r="AL95" i="6" s="1"/>
  <c r="AL76" i="6"/>
  <c r="AL77" i="6" s="1"/>
  <c r="AL79" i="6" s="1"/>
  <c r="O5" i="15"/>
  <c r="O21" i="15" s="1"/>
  <c r="O30" i="15" s="1"/>
  <c r="O51" i="15" s="1"/>
  <c r="O61" i="15" s="1"/>
  <c r="O65" i="15" s="1"/>
  <c r="AP28" i="6"/>
  <c r="AP37" i="6" s="1"/>
  <c r="AP58" i="6" s="1"/>
  <c r="AP68" i="6" s="1"/>
  <c r="AP72" i="6" s="1"/>
  <c r="AH58" i="6"/>
  <c r="C75" i="1"/>
  <c r="AR91" i="6"/>
  <c r="AR95" i="6" s="1"/>
  <c r="AR76" i="6"/>
  <c r="AR77" i="6" s="1"/>
  <c r="AR79" i="6" s="1"/>
  <c r="JR76" i="6"/>
  <c r="JR77" i="6" s="1"/>
  <c r="JR79" i="6" s="1"/>
  <c r="CF5" i="15"/>
  <c r="CF21" i="15" s="1"/>
  <c r="CF30" i="15" s="1"/>
  <c r="CF51" i="15" s="1"/>
  <c r="CF61" i="15" s="1"/>
  <c r="CF65" i="15" s="1"/>
  <c r="IO28" i="6"/>
  <c r="IO37" i="6" s="1"/>
  <c r="IO58" i="6" s="1"/>
  <c r="IO68" i="6" s="1"/>
  <c r="IO72" i="6" s="1"/>
  <c r="AB28" i="1"/>
  <c r="BR5" i="15"/>
  <c r="BR21" i="15" s="1"/>
  <c r="BR30" i="15" s="1"/>
  <c r="BR51" i="15" s="1"/>
  <c r="BR61" i="15" s="1"/>
  <c r="BR65" i="15" s="1"/>
  <c r="GY28" i="6"/>
  <c r="T5" i="11"/>
  <c r="JO76" i="6"/>
  <c r="JO77" i="6" s="1"/>
  <c r="JO79" i="6" s="1"/>
  <c r="JQ76" i="6"/>
  <c r="JQ77" i="6" s="1"/>
  <c r="JQ79" i="6" s="1"/>
  <c r="BK5" i="15"/>
  <c r="BK21" i="15" s="1"/>
  <c r="BK30" i="15" s="1"/>
  <c r="BK51" i="15" s="1"/>
  <c r="BK61" i="15" s="1"/>
  <c r="BK65" i="15" s="1"/>
  <c r="GD28" i="6"/>
  <c r="GD37" i="6" s="1"/>
  <c r="GD58" i="6" s="1"/>
  <c r="GD68" i="6" s="1"/>
  <c r="GD72" i="6" s="1"/>
  <c r="FN76" i="6"/>
  <c r="FN77" i="6" s="1"/>
  <c r="FN79" i="6" s="1"/>
  <c r="CK5" i="15"/>
  <c r="CK21" i="15" s="1"/>
  <c r="CK30" i="15" s="1"/>
  <c r="CK51" i="15" s="1"/>
  <c r="CK61" i="15" s="1"/>
  <c r="CK65" i="15" s="1"/>
  <c r="JD28" i="6"/>
  <c r="JD37" i="6" s="1"/>
  <c r="JD58" i="6" s="1"/>
  <c r="JD68" i="6" s="1"/>
  <c r="JD72" i="6" s="1"/>
  <c r="JL76" i="6"/>
  <c r="JL77" i="6" s="1"/>
  <c r="JL79" i="6" s="1"/>
  <c r="FH76" i="6"/>
  <c r="FH77" i="6" s="1"/>
  <c r="FH79" i="6" s="1"/>
  <c r="Y5" i="15"/>
  <c r="Y21" i="15" s="1"/>
  <c r="Y30" i="15" s="1"/>
  <c r="Y51" i="15" s="1"/>
  <c r="Y61" i="15" s="1"/>
  <c r="Y65" i="15" s="1"/>
  <c r="BT28" i="6"/>
  <c r="BT37" i="6" s="1"/>
  <c r="BT58" i="6" s="1"/>
  <c r="BT68" i="6" s="1"/>
  <c r="BT72" i="6" s="1"/>
  <c r="DK91" i="6"/>
  <c r="DK95" i="6" s="1"/>
  <c r="DK76" i="6"/>
  <c r="DK77" i="6" s="1"/>
  <c r="DK79" i="6" s="1"/>
  <c r="CL5" i="15"/>
  <c r="CL21" i="15" s="1"/>
  <c r="CL30" i="15" s="1"/>
  <c r="CL51" i="15" s="1"/>
  <c r="CL61" i="15" s="1"/>
  <c r="CL65" i="15" s="1"/>
  <c r="AG28" i="1"/>
  <c r="Y5" i="11"/>
  <c r="JG28" i="6"/>
  <c r="IS76" i="6"/>
  <c r="IS77" i="6" s="1"/>
  <c r="IS79" i="6" s="1"/>
  <c r="AF28" i="1"/>
  <c r="CH5" i="15"/>
  <c r="CH21" i="15" s="1"/>
  <c r="CH30" i="15" s="1"/>
  <c r="CH51" i="15" s="1"/>
  <c r="CH61" i="15" s="1"/>
  <c r="CH65" i="15" s="1"/>
  <c r="IU28" i="6"/>
  <c r="X5" i="11"/>
  <c r="GQ76" i="6"/>
  <c r="GQ77" i="6" s="1"/>
  <c r="GQ79" i="6" s="1"/>
  <c r="IZ76" i="6"/>
  <c r="IZ77" i="6" s="1"/>
  <c r="IZ79" i="6" s="1"/>
  <c r="AR5" i="15"/>
  <c r="AR21" i="15" s="1"/>
  <c r="AR30" i="15" s="1"/>
  <c r="AR51" i="15" s="1"/>
  <c r="AR61" i="15" s="1"/>
  <c r="AR65" i="15" s="1"/>
  <c r="DY28" i="6"/>
  <c r="DY37" i="6" s="1"/>
  <c r="DY58" i="6" s="1"/>
  <c r="DY68" i="6" s="1"/>
  <c r="DY72" i="6" s="1"/>
  <c r="ED76" i="6"/>
  <c r="ED77" i="6" s="1"/>
  <c r="AC5" i="15"/>
  <c r="AC21" i="15" s="1"/>
  <c r="AC30" i="15" s="1"/>
  <c r="AC51" i="15" s="1"/>
  <c r="AC61" i="15" s="1"/>
  <c r="AC65" i="15" s="1"/>
  <c r="CF28" i="6"/>
  <c r="CF37" i="6" s="1"/>
  <c r="CF58" i="6" s="1"/>
  <c r="CF68" i="6" s="1"/>
  <c r="CF72" i="6" s="1"/>
  <c r="BV91" i="6"/>
  <c r="BV95" i="6" s="1"/>
  <c r="BV76" i="6"/>
  <c r="BV77" i="6" s="1"/>
  <c r="BV79" i="6" s="1"/>
  <c r="JI76" i="6"/>
  <c r="JI77" i="6" s="1"/>
  <c r="JI79" i="6" s="1"/>
  <c r="CB76" i="6"/>
  <c r="CB77" i="6" s="1"/>
  <c r="CB79" i="6" s="1"/>
  <c r="CB91" i="6"/>
  <c r="CB95" i="6" s="1"/>
  <c r="FJ76" i="6"/>
  <c r="FJ77" i="6" s="1"/>
  <c r="FJ79" i="6" s="1"/>
  <c r="FA76" i="6"/>
  <c r="FA77" i="6" s="1"/>
  <c r="FA79" i="6" s="1"/>
  <c r="BX5" i="15"/>
  <c r="BX21" i="15" s="1"/>
  <c r="BX30" i="15" s="1"/>
  <c r="BX51" i="15" s="1"/>
  <c r="BX61" i="15" s="1"/>
  <c r="BX65" i="15" s="1"/>
  <c r="HQ28" i="6"/>
  <c r="HQ37" i="6" s="1"/>
  <c r="HQ58" i="6" s="1"/>
  <c r="HQ68" i="6" s="1"/>
  <c r="HQ72" i="6" s="1"/>
  <c r="EO76" i="6"/>
  <c r="EO77" i="6" s="1"/>
  <c r="EO79" i="6" s="1"/>
  <c r="EP76" i="6"/>
  <c r="EP77" i="6" s="1"/>
  <c r="BF91" i="6"/>
  <c r="BF95" i="6" s="1"/>
  <c r="BF76" i="6"/>
  <c r="BF77" i="6" s="1"/>
  <c r="BF79" i="6" s="1"/>
  <c r="BS5" i="15"/>
  <c r="BS21" i="15" s="1"/>
  <c r="BS30" i="15" s="1"/>
  <c r="BS51" i="15" s="1"/>
  <c r="BS61" i="15" s="1"/>
  <c r="BS65" i="15" s="1"/>
  <c r="HB28" i="6"/>
  <c r="HB37" i="6" s="1"/>
  <c r="HB58" i="6" s="1"/>
  <c r="HB68" i="6" s="1"/>
  <c r="HB72" i="6" s="1"/>
  <c r="GK76" i="6"/>
  <c r="GK77" i="6" s="1"/>
  <c r="GK79" i="6" s="1"/>
  <c r="JC76" i="6"/>
  <c r="JC77" i="6" s="1"/>
  <c r="JC79" i="6" s="1"/>
  <c r="HR76" i="6"/>
  <c r="HR77" i="6" s="1"/>
  <c r="HR79" i="6" s="1"/>
  <c r="HF76" i="6"/>
  <c r="HF77" i="6" s="1"/>
  <c r="HF79" i="6" s="1"/>
  <c r="FY76" i="6"/>
  <c r="FY77" i="6" s="1"/>
  <c r="GO76" i="6"/>
  <c r="GO77" i="6" s="1"/>
  <c r="HS76" i="6"/>
  <c r="HS77" i="6" s="1"/>
  <c r="HS79" i="6" s="1"/>
  <c r="GB76" i="6"/>
  <c r="GB77" i="6" s="1"/>
  <c r="GB79" i="6" s="1"/>
  <c r="GF76" i="6"/>
  <c r="GF77" i="6" s="1"/>
  <c r="GF79" i="6" s="1"/>
  <c r="IQ76" i="6"/>
  <c r="IQ77" i="6" s="1"/>
  <c r="IQ79" i="6" s="1"/>
  <c r="GN76" i="6"/>
  <c r="GN77" i="6" s="1"/>
  <c r="GN79" i="6" s="1"/>
  <c r="GL76" i="6"/>
  <c r="GL77" i="6" s="1"/>
  <c r="GL79" i="6" s="1"/>
  <c r="EU76" i="6"/>
  <c r="EU77" i="6" s="1"/>
  <c r="EU79" i="6" s="1"/>
  <c r="BS76" i="6"/>
  <c r="BS77" i="6" s="1"/>
  <c r="BS79" i="6" s="1"/>
  <c r="BS91" i="6"/>
  <c r="BS95" i="6" s="1"/>
  <c r="EL76" i="6"/>
  <c r="EL77" i="6" s="1"/>
  <c r="EL79" i="6" s="1"/>
  <c r="IE76" i="6"/>
  <c r="IE77" i="6" s="1"/>
  <c r="IE79" i="6" s="1"/>
  <c r="W5" i="15"/>
  <c r="W21" i="15" s="1"/>
  <c r="W30" i="15" s="1"/>
  <c r="W51" i="15" s="1"/>
  <c r="W61" i="15" s="1"/>
  <c r="W65" i="15" s="1"/>
  <c r="BN28" i="6"/>
  <c r="BN37" i="6" s="1"/>
  <c r="BN58" i="6" s="1"/>
  <c r="BN68" i="6" s="1"/>
  <c r="BN72" i="6" s="1"/>
  <c r="ID76" i="6"/>
  <c r="ID77" i="6" s="1"/>
  <c r="ID79" i="6" s="1"/>
  <c r="BY76" i="6"/>
  <c r="BY77" i="6" s="1"/>
  <c r="BY79" i="6" s="1"/>
  <c r="BY91" i="6"/>
  <c r="BY95" i="6" s="1"/>
  <c r="CJ76" i="6"/>
  <c r="CJ77" i="6" s="1"/>
  <c r="CJ79" i="6" s="1"/>
  <c r="CJ91" i="6"/>
  <c r="CJ95" i="6" s="1"/>
  <c r="DZ76" i="6"/>
  <c r="DZ77" i="6" s="1"/>
  <c r="DZ79" i="6" s="1"/>
  <c r="H5" i="15"/>
  <c r="H21" i="15" s="1"/>
  <c r="H30" i="15" s="1"/>
  <c r="H51" i="15" s="1"/>
  <c r="H61" i="15" s="1"/>
  <c r="H65" i="15" s="1"/>
  <c r="D5" i="11"/>
  <c r="U28" i="6"/>
  <c r="U37" i="6" s="1"/>
  <c r="R5" i="15"/>
  <c r="R21" i="15" s="1"/>
  <c r="R30" i="15" s="1"/>
  <c r="R51" i="15" s="1"/>
  <c r="R61" i="15" s="1"/>
  <c r="R65" i="15" s="1"/>
  <c r="G5" i="11"/>
  <c r="AY28" i="6"/>
  <c r="O28" i="1"/>
  <c r="N5" i="15"/>
  <c r="N21" i="15" s="1"/>
  <c r="N30" i="15" s="1"/>
  <c r="N51" i="15" s="1"/>
  <c r="N61" i="15" s="1"/>
  <c r="N65" i="15" s="1"/>
  <c r="F5" i="11"/>
  <c r="N28" i="1"/>
  <c r="AM28" i="6"/>
  <c r="AW91" i="6"/>
  <c r="AW95" i="6" s="1"/>
  <c r="AW76" i="6"/>
  <c r="AW77" i="6" s="1"/>
  <c r="AW79" i="6" s="1"/>
  <c r="P5" i="15"/>
  <c r="P21" i="15" s="1"/>
  <c r="P30" i="15" s="1"/>
  <c r="P51" i="15" s="1"/>
  <c r="P61" i="15" s="1"/>
  <c r="P65" i="15" s="1"/>
  <c r="AS28" i="6"/>
  <c r="AS37" i="6" s="1"/>
  <c r="AS58" i="6" s="1"/>
  <c r="AS68" i="6" s="1"/>
  <c r="AS72" i="6" s="1"/>
  <c r="M5" i="15"/>
  <c r="M21" i="15" s="1"/>
  <c r="M30" i="15" s="1"/>
  <c r="M51" i="15" s="1"/>
  <c r="M61" i="15" s="1"/>
  <c r="M65" i="15" s="1"/>
  <c r="AJ28" i="6"/>
  <c r="AJ37" i="6" s="1"/>
  <c r="AJ58" i="6" s="1"/>
  <c r="AJ68" i="6" s="1"/>
  <c r="AJ72" i="6" s="1"/>
  <c r="K5" i="15"/>
  <c r="K21" i="15" s="1"/>
  <c r="K30" i="15" s="1"/>
  <c r="K51" i="15" s="1"/>
  <c r="K61" i="15" s="1"/>
  <c r="K65" i="15" s="1"/>
  <c r="AD28" i="6"/>
  <c r="AD37" i="6" s="1"/>
  <c r="AD58" i="6" s="1"/>
  <c r="AD68" i="6" s="1"/>
  <c r="AD72" i="6" s="1"/>
  <c r="BD76" i="6"/>
  <c r="BD77" i="6" s="1"/>
  <c r="BD79" i="6" s="1"/>
  <c r="BD91" i="6"/>
  <c r="BD95" i="6" s="1"/>
  <c r="AB91" i="6"/>
  <c r="AB95" i="6" s="1"/>
  <c r="AB76" i="6"/>
  <c r="AB77" i="6" s="1"/>
  <c r="AB79" i="6" s="1"/>
  <c r="AT76" i="6"/>
  <c r="AT77" i="6" s="1"/>
  <c r="AT79" i="6" s="1"/>
  <c r="AT91" i="6"/>
  <c r="AT95" i="6" s="1"/>
  <c r="V66" i="12" l="1"/>
  <c r="C272" i="12"/>
  <c r="C274" i="12" s="1"/>
  <c r="C275" i="12" s="1"/>
  <c r="X66" i="12"/>
  <c r="E272" i="12"/>
  <c r="E274" i="12" s="1"/>
  <c r="E275" i="12" s="1"/>
  <c r="Y66" i="12"/>
  <c r="F272" i="12"/>
  <c r="F274" i="12" s="1"/>
  <c r="F275" i="12" s="1"/>
  <c r="W66" i="12"/>
  <c r="D272" i="12"/>
  <c r="D274" i="12" s="1"/>
  <c r="D275" i="12" s="1"/>
  <c r="U66" i="12"/>
  <c r="B272" i="12"/>
  <c r="B274" i="12" s="1"/>
  <c r="B275" i="12" s="1"/>
  <c r="R28" i="9"/>
  <c r="R33" i="9" s="1"/>
  <c r="R34" i="9" s="1"/>
  <c r="R98" i="6"/>
  <c r="R81" i="6"/>
  <c r="S28" i="9"/>
  <c r="S33" i="9" s="1"/>
  <c r="S34" i="9" s="1"/>
  <c r="S98" i="6"/>
  <c r="T95" i="6"/>
  <c r="G84" i="15"/>
  <c r="T77" i="6"/>
  <c r="T79" i="6" s="1"/>
  <c r="G69" i="15"/>
  <c r="G70" i="15" s="1"/>
  <c r="DQ79" i="6"/>
  <c r="DO79" i="6"/>
  <c r="DN79" i="6"/>
  <c r="Z76" i="6"/>
  <c r="Z77" i="6" s="1"/>
  <c r="Z79" i="6" s="1"/>
  <c r="B171" i="12"/>
  <c r="B194" i="12" s="1"/>
  <c r="CJ98" i="6"/>
  <c r="CJ28" i="9"/>
  <c r="CJ33" i="9" s="1"/>
  <c r="CJ34" i="9" s="1"/>
  <c r="HB76" i="6"/>
  <c r="IO76" i="6"/>
  <c r="AP91" i="6"/>
  <c r="AP76" i="6"/>
  <c r="AK28" i="9"/>
  <c r="AK33" i="9" s="1"/>
  <c r="AK34" i="9" s="1"/>
  <c r="AK98" i="6"/>
  <c r="AJ76" i="6"/>
  <c r="AJ91" i="6"/>
  <c r="N29" i="1"/>
  <c r="N31" i="1" s="1"/>
  <c r="AM37" i="6"/>
  <c r="N3" i="1"/>
  <c r="U58" i="6"/>
  <c r="AB29" i="1"/>
  <c r="AB31" i="1" s="1"/>
  <c r="AB34" i="1" s="1"/>
  <c r="GY37" i="6"/>
  <c r="AR28" i="9"/>
  <c r="AR33" i="9" s="1"/>
  <c r="AR34" i="9" s="1"/>
  <c r="AR98" i="6"/>
  <c r="AL28" i="9"/>
  <c r="AL33" i="9" s="1"/>
  <c r="AL34" i="9" s="1"/>
  <c r="AL98" i="6"/>
  <c r="AO28" i="9"/>
  <c r="AO33" i="9" s="1"/>
  <c r="AO34" i="9" s="1"/>
  <c r="AO98" i="6"/>
  <c r="CR76" i="6"/>
  <c r="CR91" i="6"/>
  <c r="BG28" i="9"/>
  <c r="BG33" i="9" s="1"/>
  <c r="BG34" i="9" s="1"/>
  <c r="BG98" i="6"/>
  <c r="EK76" i="6"/>
  <c r="HC79" i="6"/>
  <c r="BX98" i="6"/>
  <c r="BX28" i="9"/>
  <c r="BX33" i="9" s="1"/>
  <c r="BX34" i="9" s="1"/>
  <c r="M27" i="12"/>
  <c r="M34" i="12" s="1"/>
  <c r="N21" i="11"/>
  <c r="N30" i="11" s="1"/>
  <c r="BP28" i="9"/>
  <c r="BP33" i="9" s="1"/>
  <c r="BP34" i="9" s="1"/>
  <c r="BP98" i="6"/>
  <c r="AE29" i="1"/>
  <c r="AE31" i="1" s="1"/>
  <c r="AE34" i="1" s="1"/>
  <c r="II37" i="6"/>
  <c r="IR76" i="6"/>
  <c r="IC76" i="6"/>
  <c r="JM76" i="6"/>
  <c r="EN76" i="6"/>
  <c r="ET76" i="6"/>
  <c r="U27" i="12"/>
  <c r="U34" i="12" s="1"/>
  <c r="V21" i="11"/>
  <c r="V30" i="11" s="1"/>
  <c r="I27" i="12"/>
  <c r="I34" i="12" s="1"/>
  <c r="J21" i="11"/>
  <c r="J30" i="11" s="1"/>
  <c r="AE28" i="9"/>
  <c r="AE33" i="9" s="1"/>
  <c r="AE34" i="9" s="1"/>
  <c r="AE98" i="6"/>
  <c r="M29" i="1"/>
  <c r="M31" i="1" s="1"/>
  <c r="AA37" i="6"/>
  <c r="X76" i="6"/>
  <c r="X91" i="6"/>
  <c r="BM28" i="9"/>
  <c r="BM33" i="9" s="1"/>
  <c r="BM34" i="9" s="1"/>
  <c r="BM98" i="6"/>
  <c r="EB76" i="6"/>
  <c r="FX76" i="6"/>
  <c r="R27" i="12"/>
  <c r="R34" i="12" s="1"/>
  <c r="S21" i="11"/>
  <c r="S30" i="11" s="1"/>
  <c r="BZ76" i="6"/>
  <c r="BZ91" i="6"/>
  <c r="FL76" i="6"/>
  <c r="Y29" i="1"/>
  <c r="Y31" i="1" s="1"/>
  <c r="Y34" i="1" s="1"/>
  <c r="FO37" i="6"/>
  <c r="EZ76" i="6"/>
  <c r="HH76" i="6"/>
  <c r="JJ76" i="6"/>
  <c r="HZ76" i="6"/>
  <c r="L27" i="12"/>
  <c r="L34" i="12" s="1"/>
  <c r="M21" i="11"/>
  <c r="M30" i="11" s="1"/>
  <c r="T27" i="12"/>
  <c r="T34" i="12" s="1"/>
  <c r="U21" i="11"/>
  <c r="U30" i="11" s="1"/>
  <c r="EH76" i="6"/>
  <c r="V98" i="6"/>
  <c r="V28" i="9"/>
  <c r="V33" i="9" s="1"/>
  <c r="V34" i="9" s="1"/>
  <c r="AV76" i="6"/>
  <c r="AV91" i="6"/>
  <c r="CT98" i="6"/>
  <c r="CT28" i="9"/>
  <c r="CT33" i="9" s="1"/>
  <c r="CT34" i="9" s="1"/>
  <c r="DB98" i="6"/>
  <c r="DB28" i="9"/>
  <c r="DB33" i="9" s="1"/>
  <c r="DB34" i="9" s="1"/>
  <c r="CE28" i="9"/>
  <c r="CE33" i="9" s="1"/>
  <c r="CE34" i="9" s="1"/>
  <c r="CE98" i="6"/>
  <c r="CW98" i="6"/>
  <c r="CW28" i="9"/>
  <c r="CW33" i="9" s="1"/>
  <c r="CW34" i="9" s="1"/>
  <c r="DD76" i="6"/>
  <c r="DD91" i="6"/>
  <c r="JP76" i="6"/>
  <c r="BL98" i="6"/>
  <c r="BL28" i="9"/>
  <c r="BL33" i="9" s="1"/>
  <c r="BL34" i="9" s="1"/>
  <c r="Q29" i="1"/>
  <c r="Q31" i="1" s="1"/>
  <c r="Q34" i="1" s="1"/>
  <c r="BW37" i="6"/>
  <c r="FF76" i="6"/>
  <c r="FI76" i="6"/>
  <c r="DH28" i="9"/>
  <c r="DH33" i="9" s="1"/>
  <c r="DH34" i="9" s="1"/>
  <c r="DH98" i="6"/>
  <c r="AG29" i="1"/>
  <c r="AG31" i="1" s="1"/>
  <c r="AG34" i="1" s="1"/>
  <c r="JG37" i="6"/>
  <c r="GD76" i="6"/>
  <c r="C56" i="1"/>
  <c r="B60" i="1" s="1"/>
  <c r="AG37" i="6"/>
  <c r="AG58" i="6" s="1"/>
  <c r="AG68" i="6" s="1"/>
  <c r="AG72" i="6" s="1"/>
  <c r="Z28" i="9"/>
  <c r="Z33" i="9" s="1"/>
  <c r="Z34" i="9" s="1"/>
  <c r="Z98" i="6"/>
  <c r="BA98" i="6"/>
  <c r="BA28" i="9"/>
  <c r="BA33" i="9" s="1"/>
  <c r="BA34" i="9" s="1"/>
  <c r="CC91" i="6"/>
  <c r="CC76" i="6"/>
  <c r="J27" i="12"/>
  <c r="J34" i="12" s="1"/>
  <c r="K21" i="11"/>
  <c r="K30" i="11" s="1"/>
  <c r="AC29" i="1"/>
  <c r="AC31" i="1" s="1"/>
  <c r="AC34" i="1" s="1"/>
  <c r="HK37" i="6"/>
  <c r="AN98" i="6"/>
  <c r="AN28" i="9"/>
  <c r="AN33" i="9" s="1"/>
  <c r="AN34" i="9" s="1"/>
  <c r="DC28" i="9"/>
  <c r="DC33" i="9" s="1"/>
  <c r="DC34" i="9" s="1"/>
  <c r="DC98" i="6"/>
  <c r="CX76" i="6"/>
  <c r="CX91" i="6"/>
  <c r="FS79" i="6"/>
  <c r="HN76" i="6"/>
  <c r="AB98" i="6"/>
  <c r="AB28" i="9"/>
  <c r="AB33" i="9" s="1"/>
  <c r="AB34" i="9" s="1"/>
  <c r="O29" i="1"/>
  <c r="O31" i="1" s="1"/>
  <c r="AY37" i="6"/>
  <c r="W27" i="12"/>
  <c r="W34" i="12" s="1"/>
  <c r="X21" i="11"/>
  <c r="X30" i="11" s="1"/>
  <c r="BT76" i="6"/>
  <c r="BT91" i="6"/>
  <c r="AZ98" i="6"/>
  <c r="AZ28" i="9"/>
  <c r="AZ33" i="9" s="1"/>
  <c r="AZ34" i="9" s="1"/>
  <c r="DI28" i="9"/>
  <c r="DI33" i="9" s="1"/>
  <c r="DI34" i="9" s="1"/>
  <c r="DI98" i="6"/>
  <c r="V27" i="12"/>
  <c r="V34" i="12" s="1"/>
  <c r="W21" i="11"/>
  <c r="W30" i="11" s="1"/>
  <c r="CS98" i="6"/>
  <c r="CS28" i="9"/>
  <c r="CS33" i="9" s="1"/>
  <c r="CS34" i="9" s="1"/>
  <c r="BD98" i="6"/>
  <c r="BD28" i="9"/>
  <c r="BD33" i="9" s="1"/>
  <c r="BD34" i="9" s="1"/>
  <c r="AD91" i="6"/>
  <c r="AD76" i="6"/>
  <c r="AS76" i="6"/>
  <c r="AS91" i="6"/>
  <c r="AW28" i="9"/>
  <c r="AW33" i="9" s="1"/>
  <c r="AW34" i="9" s="1"/>
  <c r="AW98" i="6"/>
  <c r="E27" i="12"/>
  <c r="E34" i="12" s="1"/>
  <c r="F21" i="11"/>
  <c r="F27" i="12"/>
  <c r="F34" i="12" s="1"/>
  <c r="G21" i="11"/>
  <c r="FY79" i="6"/>
  <c r="BF28" i="9"/>
  <c r="BF33" i="9" s="1"/>
  <c r="BF34" i="9" s="1"/>
  <c r="BF98" i="6"/>
  <c r="EP79" i="6"/>
  <c r="CB28" i="9"/>
  <c r="CB33" i="9" s="1"/>
  <c r="CB34" i="9" s="1"/>
  <c r="CB98" i="6"/>
  <c r="ED79" i="6"/>
  <c r="IU37" i="6"/>
  <c r="AF29" i="1"/>
  <c r="AF31" i="1" s="1"/>
  <c r="AF34" i="1" s="1"/>
  <c r="X27" i="12"/>
  <c r="X34" i="12" s="1"/>
  <c r="Y21" i="11"/>
  <c r="Y30" i="11" s="1"/>
  <c r="DK28" i="9"/>
  <c r="DK33" i="9" s="1"/>
  <c r="DK34" i="9" s="1"/>
  <c r="DK98" i="6"/>
  <c r="C77" i="1"/>
  <c r="AH68" i="6"/>
  <c r="AH72" i="6" s="1"/>
  <c r="W98" i="6"/>
  <c r="W28" i="9"/>
  <c r="W33" i="9" s="1"/>
  <c r="W34" i="9" s="1"/>
  <c r="BO28" i="9"/>
  <c r="BO33" i="9" s="1"/>
  <c r="BO34" i="9" s="1"/>
  <c r="BO98" i="6"/>
  <c r="BJ98" i="6"/>
  <c r="BJ28" i="9"/>
  <c r="BJ33" i="9" s="1"/>
  <c r="BJ34" i="9" s="1"/>
  <c r="CY28" i="9"/>
  <c r="CY33" i="9" s="1"/>
  <c r="CY34" i="9" s="1"/>
  <c r="CY98" i="6"/>
  <c r="DJ91" i="6"/>
  <c r="DJ76" i="6"/>
  <c r="FG79" i="6"/>
  <c r="DF28" i="9"/>
  <c r="DF33" i="9" s="1"/>
  <c r="DF34" i="9" s="1"/>
  <c r="DF98" i="6"/>
  <c r="CV98" i="6"/>
  <c r="CV28" i="9"/>
  <c r="CV33" i="9" s="1"/>
  <c r="CV34" i="9" s="1"/>
  <c r="BU98" i="6"/>
  <c r="BU28" i="9"/>
  <c r="BU33" i="9" s="1"/>
  <c r="BU34" i="9" s="1"/>
  <c r="V29" i="1"/>
  <c r="V31" i="1" s="1"/>
  <c r="V34" i="1" s="1"/>
  <c r="EE37" i="6"/>
  <c r="GV76" i="6"/>
  <c r="JN79" i="6"/>
  <c r="BQ76" i="6"/>
  <c r="BQ91" i="6"/>
  <c r="GW79" i="6"/>
  <c r="GS76" i="6"/>
  <c r="DV76" i="6"/>
  <c r="IL76" i="6"/>
  <c r="AD29" i="1"/>
  <c r="AD31" i="1" s="1"/>
  <c r="AD34" i="1" s="1"/>
  <c r="HW37" i="6"/>
  <c r="R29" i="1"/>
  <c r="R31" i="1" s="1"/>
  <c r="R34" i="1" s="1"/>
  <c r="CI37" i="6"/>
  <c r="BE76" i="6"/>
  <c r="BE91" i="6"/>
  <c r="BC28" i="9"/>
  <c r="BC33" i="9" s="1"/>
  <c r="BC34" i="9" s="1"/>
  <c r="BC98" i="6"/>
  <c r="D27" i="12"/>
  <c r="D34" i="12" s="1"/>
  <c r="E21" i="11"/>
  <c r="C267" i="12" s="1"/>
  <c r="C280" i="12" s="1"/>
  <c r="AC98" i="6"/>
  <c r="AC28" i="9"/>
  <c r="AC33" i="9" s="1"/>
  <c r="AC34" i="9" s="1"/>
  <c r="CL76" i="6"/>
  <c r="CL91" i="6"/>
  <c r="CO76" i="6"/>
  <c r="CO91" i="6"/>
  <c r="DL28" i="9"/>
  <c r="DL33" i="9" s="1"/>
  <c r="DL34" i="9" s="1"/>
  <c r="DL98" i="6"/>
  <c r="CP28" i="9"/>
  <c r="CP33" i="9" s="1"/>
  <c r="CP34" i="9" s="1"/>
  <c r="CP98" i="6"/>
  <c r="FZ79" i="6"/>
  <c r="DM76" i="6"/>
  <c r="DM91" i="6"/>
  <c r="JB79" i="6"/>
  <c r="AA29" i="1"/>
  <c r="AA31" i="1" s="1"/>
  <c r="AA34" i="1" s="1"/>
  <c r="GM37" i="6"/>
  <c r="BH76" i="6"/>
  <c r="BH91" i="6"/>
  <c r="HD79" i="6"/>
  <c r="HE76" i="6"/>
  <c r="W29" i="1"/>
  <c r="W31" i="1" s="1"/>
  <c r="W34" i="1" s="1"/>
  <c r="EQ37" i="6"/>
  <c r="GJ76" i="6"/>
  <c r="EG79" i="6"/>
  <c r="P27" i="12"/>
  <c r="P34" i="12" s="1"/>
  <c r="Q21" i="11"/>
  <c r="Q30" i="11" s="1"/>
  <c r="S29" i="1"/>
  <c r="S31" i="1" s="1"/>
  <c r="S34" i="1" s="1"/>
  <c r="CU37" i="6"/>
  <c r="IX76" i="6"/>
  <c r="O27" i="12"/>
  <c r="O34" i="12" s="1"/>
  <c r="P21" i="11"/>
  <c r="P30" i="11" s="1"/>
  <c r="Z29" i="1"/>
  <c r="Z31" i="1" s="1"/>
  <c r="Z34" i="1" s="1"/>
  <c r="GA37" i="6"/>
  <c r="GG76" i="6"/>
  <c r="HT76" i="6"/>
  <c r="U29" i="1"/>
  <c r="U31" i="1" s="1"/>
  <c r="U34" i="1" s="1"/>
  <c r="DS37" i="6"/>
  <c r="IF76" i="6"/>
  <c r="P29" i="1"/>
  <c r="P31" i="1" s="1"/>
  <c r="P34" i="1" s="1"/>
  <c r="BK37" i="6"/>
  <c r="AU98" i="6"/>
  <c r="AU28" i="9"/>
  <c r="AU33" i="9" s="1"/>
  <c r="AU34" i="9" s="1"/>
  <c r="BB91" i="6"/>
  <c r="BB76" i="6"/>
  <c r="CM98" i="6"/>
  <c r="CM28" i="9"/>
  <c r="CM33" i="9" s="1"/>
  <c r="CM34" i="9" s="1"/>
  <c r="DA76" i="6"/>
  <c r="DA91" i="6"/>
  <c r="ES79" i="6"/>
  <c r="BR28" i="9"/>
  <c r="BR33" i="9" s="1"/>
  <c r="BR34" i="9" s="1"/>
  <c r="BR98" i="6"/>
  <c r="GR79" i="6"/>
  <c r="EM79" i="6"/>
  <c r="CH98" i="6"/>
  <c r="CH28" i="9"/>
  <c r="CH33" i="9" s="1"/>
  <c r="CH34" i="9" s="1"/>
  <c r="FD79" i="6"/>
  <c r="FU76" i="6"/>
  <c r="T29" i="1"/>
  <c r="T31" i="1" s="1"/>
  <c r="T34" i="1" s="1"/>
  <c r="DG37" i="6"/>
  <c r="GP76" i="6"/>
  <c r="DP76" i="6"/>
  <c r="I21" i="11"/>
  <c r="I30" i="11" s="1"/>
  <c r="H27" i="12"/>
  <c r="H34" i="12" s="1"/>
  <c r="FR76" i="6"/>
  <c r="JA76" i="6"/>
  <c r="EW76" i="6"/>
  <c r="GC79" i="6"/>
  <c r="C27" i="12"/>
  <c r="D21" i="11"/>
  <c r="CF91" i="6"/>
  <c r="CF76" i="6"/>
  <c r="AT28" i="9"/>
  <c r="AT33" i="9" s="1"/>
  <c r="AT34" i="9" s="1"/>
  <c r="AT98" i="6"/>
  <c r="BY28" i="9"/>
  <c r="BY33" i="9" s="1"/>
  <c r="BY34" i="9" s="1"/>
  <c r="BY98" i="6"/>
  <c r="BN76" i="6"/>
  <c r="BN91" i="6"/>
  <c r="BS98" i="6"/>
  <c r="BS28" i="9"/>
  <c r="BS33" i="9" s="1"/>
  <c r="BS34" i="9" s="1"/>
  <c r="GO79" i="6"/>
  <c r="HQ76" i="6"/>
  <c r="BV28" i="9"/>
  <c r="BV33" i="9" s="1"/>
  <c r="BV34" i="9" s="1"/>
  <c r="BV98" i="6"/>
  <c r="DY76" i="6"/>
  <c r="JD76" i="6"/>
  <c r="S27" i="12"/>
  <c r="S34" i="12" s="1"/>
  <c r="T21" i="11"/>
  <c r="T30" i="11" s="1"/>
  <c r="HO79" i="6"/>
  <c r="EX79" i="6"/>
  <c r="DE28" i="9"/>
  <c r="DE33" i="9" s="1"/>
  <c r="DE34" i="9" s="1"/>
  <c r="DE98" i="6"/>
  <c r="AI98" i="6"/>
  <c r="AI28" i="9"/>
  <c r="AI33" i="9" s="1"/>
  <c r="AI34" i="9" s="1"/>
  <c r="DX79" i="6"/>
  <c r="BI98" i="6"/>
  <c r="BI28" i="9"/>
  <c r="BI33" i="9" s="1"/>
  <c r="BI34" i="9" s="1"/>
  <c r="CG28" i="9"/>
  <c r="CG33" i="9" s="1"/>
  <c r="CG34" i="9" s="1"/>
  <c r="CG98" i="6"/>
  <c r="B45" i="12"/>
  <c r="K44" i="12" s="1"/>
  <c r="N27" i="12"/>
  <c r="N34" i="12" s="1"/>
  <c r="O21" i="11"/>
  <c r="HV79" i="6"/>
  <c r="X29" i="1"/>
  <c r="X31" i="1" s="1"/>
  <c r="X34" i="1" s="1"/>
  <c r="FC37" i="6"/>
  <c r="Q27" i="12"/>
  <c r="Q34" i="12" s="1"/>
  <c r="R21" i="11"/>
  <c r="R30" i="11" s="1"/>
  <c r="IJ79" i="6"/>
  <c r="IY79" i="6"/>
  <c r="G27" i="12"/>
  <c r="G34" i="12" s="1"/>
  <c r="H21" i="11"/>
  <c r="Y28" i="9"/>
  <c r="Y33" i="9" s="1"/>
  <c r="Y34" i="9" s="1"/>
  <c r="Y98" i="6"/>
  <c r="AQ98" i="6"/>
  <c r="AQ28" i="9"/>
  <c r="AQ33" i="9" s="1"/>
  <c r="AQ34" i="9" s="1"/>
  <c r="AX28" i="9"/>
  <c r="AX33" i="9" s="1"/>
  <c r="AX34" i="9" s="1"/>
  <c r="AX98" i="6"/>
  <c r="AF28" i="9"/>
  <c r="AF33" i="9" s="1"/>
  <c r="AF34" i="9" s="1"/>
  <c r="AF98" i="6"/>
  <c r="CA28" i="9"/>
  <c r="CA33" i="9" s="1"/>
  <c r="CA34" i="9" s="1"/>
  <c r="CA98" i="6"/>
  <c r="CN98" i="6"/>
  <c r="CN28" i="9"/>
  <c r="CN33" i="9" s="1"/>
  <c r="CN34" i="9" s="1"/>
  <c r="CZ28" i="9"/>
  <c r="CZ33" i="9" s="1"/>
  <c r="CZ34" i="9" s="1"/>
  <c r="CZ98" i="6"/>
  <c r="CK98" i="6"/>
  <c r="CK28" i="9"/>
  <c r="CK33" i="9" s="1"/>
  <c r="CK34" i="9" s="1"/>
  <c r="GI79" i="6"/>
  <c r="CD98" i="6"/>
  <c r="CD28" i="9"/>
  <c r="CD33" i="9" s="1"/>
  <c r="CD34" i="9" s="1"/>
  <c r="K27" i="12"/>
  <c r="K34" i="12" s="1"/>
  <c r="L21" i="11"/>
  <c r="L30" i="11" s="1"/>
  <c r="CQ28" i="9"/>
  <c r="CQ33" i="9" s="1"/>
  <c r="CQ34" i="9" s="1"/>
  <c r="CQ98" i="6"/>
  <c r="F30" i="11" l="1"/>
  <c r="F51" i="11" s="1"/>
  <c r="D268" i="12" s="1"/>
  <c r="D281" i="12" s="1"/>
  <c r="D267" i="12"/>
  <c r="D280" i="12" s="1"/>
  <c r="G30" i="11"/>
  <c r="G51" i="11" s="1"/>
  <c r="E268" i="12" s="1"/>
  <c r="E281" i="12" s="1"/>
  <c r="E267" i="12"/>
  <c r="E280" i="12" s="1"/>
  <c r="H30" i="11"/>
  <c r="G2" i="12" s="1"/>
  <c r="F267" i="12"/>
  <c r="F280" i="12" s="1"/>
  <c r="D30" i="11"/>
  <c r="D51" i="11" s="1"/>
  <c r="B268" i="12" s="1"/>
  <c r="B281" i="12" s="1"/>
  <c r="B267" i="12"/>
  <c r="B280" i="12" s="1"/>
  <c r="R82" i="6"/>
  <c r="R83" i="6" s="1"/>
  <c r="R86" i="6" s="1"/>
  <c r="R87" i="6" s="1"/>
  <c r="R102" i="6"/>
  <c r="R104" i="6" s="1"/>
  <c r="R6" i="9" s="1"/>
  <c r="G72" i="15"/>
  <c r="T28" i="9"/>
  <c r="T33" i="9" s="1"/>
  <c r="T34" i="9" s="1"/>
  <c r="T98" i="6"/>
  <c r="G88" i="15"/>
  <c r="E30" i="11"/>
  <c r="D2" i="12" s="1"/>
  <c r="O34" i="1"/>
  <c r="N34" i="1"/>
  <c r="Q2" i="12"/>
  <c r="Q39" i="12" s="1"/>
  <c r="R51" i="11"/>
  <c r="B61" i="12"/>
  <c r="O30" i="11"/>
  <c r="CK69" i="15"/>
  <c r="CK70" i="15" s="1"/>
  <c r="JD77" i="6"/>
  <c r="HQ77" i="6"/>
  <c r="BX69" i="15"/>
  <c r="BX70" i="15" s="1"/>
  <c r="W69" i="15"/>
  <c r="W70" i="15" s="1"/>
  <c r="BN77" i="6"/>
  <c r="BN79" i="6" s="1"/>
  <c r="AC84" i="15"/>
  <c r="CF95" i="6"/>
  <c r="CJ69" i="15"/>
  <c r="CJ70" i="15" s="1"/>
  <c r="JA77" i="6"/>
  <c r="BH69" i="15"/>
  <c r="BH70" i="15" s="1"/>
  <c r="FU77" i="6"/>
  <c r="AJ84" i="15"/>
  <c r="DA95" i="6"/>
  <c r="BB77" i="6"/>
  <c r="BB79" i="6" s="1"/>
  <c r="S69" i="15"/>
  <c r="S70" i="15" s="1"/>
  <c r="BY69" i="15"/>
  <c r="BY70" i="15" s="1"/>
  <c r="HT77" i="6"/>
  <c r="AB3" i="1"/>
  <c r="GA58" i="6"/>
  <c r="U3" i="1"/>
  <c r="CU58" i="6"/>
  <c r="HE77" i="6"/>
  <c r="BT69" i="15"/>
  <c r="BT70" i="15" s="1"/>
  <c r="DM95" i="6"/>
  <c r="T84" i="15"/>
  <c r="BE95" i="6"/>
  <c r="T3" i="1"/>
  <c r="CI58" i="6"/>
  <c r="X84" i="15"/>
  <c r="BQ95" i="6"/>
  <c r="X2" i="12"/>
  <c r="X39" i="12" s="1"/>
  <c r="Y51" i="11"/>
  <c r="Y69" i="15"/>
  <c r="Y70" i="15" s="1"/>
  <c r="BT77" i="6"/>
  <c r="BT79" i="6" s="1"/>
  <c r="Q3" i="1"/>
  <c r="AY58" i="6"/>
  <c r="AE3" i="1"/>
  <c r="HK58" i="6"/>
  <c r="M34" i="1"/>
  <c r="AG76" i="6"/>
  <c r="AG91" i="6"/>
  <c r="GD77" i="6"/>
  <c r="BK69" i="15"/>
  <c r="BK70" i="15" s="1"/>
  <c r="AI3" i="1"/>
  <c r="JG58" i="6"/>
  <c r="AK69" i="15"/>
  <c r="AK70" i="15" s="1"/>
  <c r="DD77" i="6"/>
  <c r="DD79" i="6" s="1"/>
  <c r="CA69" i="15"/>
  <c r="CA70" i="15" s="1"/>
  <c r="HZ77" i="6"/>
  <c r="CM69" i="15"/>
  <c r="CM70" i="15" s="1"/>
  <c r="JJ77" i="6"/>
  <c r="BE69" i="15"/>
  <c r="BE70" i="15" s="1"/>
  <c r="FL77" i="6"/>
  <c r="X77" i="6"/>
  <c r="X79" i="6" s="1"/>
  <c r="I69" i="15"/>
  <c r="I70" i="15" s="1"/>
  <c r="I2" i="12"/>
  <c r="I39" i="12" s="1"/>
  <c r="J51" i="11"/>
  <c r="IR77" i="6"/>
  <c r="CG69" i="15"/>
  <c r="CG70" i="15" s="1"/>
  <c r="AG3" i="1"/>
  <c r="II58" i="6"/>
  <c r="AG84" i="15"/>
  <c r="CR95" i="6"/>
  <c r="O69" i="15"/>
  <c r="O70" i="15" s="1"/>
  <c r="AP77" i="6"/>
  <c r="AP79" i="6" s="1"/>
  <c r="BH77" i="6"/>
  <c r="BH79" i="6" s="1"/>
  <c r="U69" i="15"/>
  <c r="U70" i="15" s="1"/>
  <c r="AN69" i="15"/>
  <c r="AN70" i="15" s="1"/>
  <c r="DM77" i="6"/>
  <c r="DM79" i="6" s="1"/>
  <c r="AF69" i="15"/>
  <c r="AF70" i="15" s="1"/>
  <c r="CO77" i="6"/>
  <c r="CO79" i="6" s="1"/>
  <c r="AE69" i="15"/>
  <c r="AE70" i="15" s="1"/>
  <c r="CL77" i="6"/>
  <c r="CL79" i="6" s="1"/>
  <c r="BE77" i="6"/>
  <c r="BE79" i="6" s="1"/>
  <c r="T69" i="15"/>
  <c r="T70" i="15" s="1"/>
  <c r="CE69" i="15"/>
  <c r="CE70" i="15" s="1"/>
  <c r="IL77" i="6"/>
  <c r="AQ69" i="15"/>
  <c r="AQ70" i="15" s="1"/>
  <c r="DV77" i="6"/>
  <c r="BQ77" i="6"/>
  <c r="BQ79" i="6" s="1"/>
  <c r="X69" i="15"/>
  <c r="X70" i="15" s="1"/>
  <c r="BQ69" i="15"/>
  <c r="BQ70" i="15" s="1"/>
  <c r="GV77" i="6"/>
  <c r="DJ95" i="6"/>
  <c r="AM84" i="15"/>
  <c r="AI84" i="15"/>
  <c r="CX95" i="6"/>
  <c r="CC77" i="6"/>
  <c r="CC79" i="6" s="1"/>
  <c r="AB69" i="15"/>
  <c r="AB70" i="15" s="1"/>
  <c r="BD69" i="15"/>
  <c r="BD70" i="15" s="1"/>
  <c r="FI77" i="6"/>
  <c r="FF77" i="6"/>
  <c r="BC69" i="15"/>
  <c r="BC70" i="15" s="1"/>
  <c r="S3" i="1"/>
  <c r="BW58" i="6"/>
  <c r="JP77" i="6"/>
  <c r="CO69" i="15"/>
  <c r="CO70" i="15" s="1"/>
  <c r="AK84" i="15"/>
  <c r="DD95" i="6"/>
  <c r="Q84" i="15"/>
  <c r="AV95" i="6"/>
  <c r="L2" i="12"/>
  <c r="L39" i="12" s="1"/>
  <c r="M51" i="11"/>
  <c r="AA3" i="1"/>
  <c r="FO58" i="6"/>
  <c r="BZ95" i="6"/>
  <c r="AA84" i="15"/>
  <c r="EN77" i="6"/>
  <c r="AW69" i="15"/>
  <c r="AW70" i="15" s="1"/>
  <c r="CN69" i="15"/>
  <c r="CN70" i="15" s="1"/>
  <c r="JM77" i="6"/>
  <c r="IC77" i="6"/>
  <c r="CB69" i="15"/>
  <c r="CB70" i="15" s="1"/>
  <c r="AD3" i="1"/>
  <c r="GY58" i="6"/>
  <c r="P3" i="1"/>
  <c r="AM58" i="6"/>
  <c r="AJ95" i="6"/>
  <c r="M84" i="15"/>
  <c r="BS69" i="15"/>
  <c r="BS70" i="15" s="1"/>
  <c r="HB77" i="6"/>
  <c r="K2" i="12"/>
  <c r="K39" i="12" s="1"/>
  <c r="L51" i="11"/>
  <c r="DP77" i="6"/>
  <c r="AO69" i="15"/>
  <c r="AO70" i="15" s="1"/>
  <c r="V3" i="1"/>
  <c r="DG58" i="6"/>
  <c r="AJ69" i="15"/>
  <c r="AJ70" i="15" s="1"/>
  <c r="DA77" i="6"/>
  <c r="DA79" i="6" s="1"/>
  <c r="S84" i="15"/>
  <c r="BB95" i="6"/>
  <c r="BL69" i="15"/>
  <c r="BL70" i="15" s="1"/>
  <c r="GG77" i="6"/>
  <c r="O2" i="12"/>
  <c r="O39" i="12" s="1"/>
  <c r="P51" i="11"/>
  <c r="Q51" i="11"/>
  <c r="P2" i="12"/>
  <c r="P39" i="12" s="1"/>
  <c r="GJ77" i="6"/>
  <c r="BM69" i="15"/>
  <c r="BM70" i="15" s="1"/>
  <c r="U84" i="15"/>
  <c r="BH95" i="6"/>
  <c r="AF3" i="1"/>
  <c r="HW58" i="6"/>
  <c r="GS77" i="6"/>
  <c r="BP69" i="15"/>
  <c r="BP70" i="15" s="1"/>
  <c r="AH76" i="6"/>
  <c r="AH77" i="6" s="1"/>
  <c r="AH79" i="6" s="1"/>
  <c r="AH91" i="6"/>
  <c r="AH95" i="6" s="1"/>
  <c r="P69" i="15"/>
  <c r="P70" i="15" s="1"/>
  <c r="AS77" i="6"/>
  <c r="AS79" i="6" s="1"/>
  <c r="K84" i="15"/>
  <c r="AD95" i="6"/>
  <c r="Y84" i="15"/>
  <c r="BT95" i="6"/>
  <c r="W2" i="12"/>
  <c r="W39" i="12" s="1"/>
  <c r="X51" i="11"/>
  <c r="AB84" i="15"/>
  <c r="CC95" i="6"/>
  <c r="BU69" i="15"/>
  <c r="BU70" i="15" s="1"/>
  <c r="HH77" i="6"/>
  <c r="BA69" i="15"/>
  <c r="BA70" i="15" s="1"/>
  <c r="EZ77" i="6"/>
  <c r="R2" i="12"/>
  <c r="R39" i="12" s="1"/>
  <c r="S51" i="11"/>
  <c r="FX77" i="6"/>
  <c r="BI69" i="15"/>
  <c r="BI70" i="15" s="1"/>
  <c r="U2" i="12"/>
  <c r="U39" i="12" s="1"/>
  <c r="V51" i="11"/>
  <c r="EK77" i="6"/>
  <c r="AV69" i="15"/>
  <c r="AV70" i="15" s="1"/>
  <c r="CR77" i="6"/>
  <c r="CR79" i="6" s="1"/>
  <c r="AG69" i="15"/>
  <c r="AG70" i="15" s="1"/>
  <c r="N5" i="1"/>
  <c r="U68" i="6"/>
  <c r="U72" i="6" s="1"/>
  <c r="M69" i="15"/>
  <c r="M70" i="15" s="1"/>
  <c r="AJ77" i="6"/>
  <c r="AJ79" i="6" s="1"/>
  <c r="IO77" i="6"/>
  <c r="CF69" i="15"/>
  <c r="CF70" i="15" s="1"/>
  <c r="AR69" i="15"/>
  <c r="AR70" i="15" s="1"/>
  <c r="DY77" i="6"/>
  <c r="W3" i="1"/>
  <c r="DS58" i="6"/>
  <c r="Z3" i="1"/>
  <c r="FC58" i="6"/>
  <c r="W84" i="15"/>
  <c r="BN95" i="6"/>
  <c r="BG69" i="15"/>
  <c r="BG70" i="15" s="1"/>
  <c r="FR77" i="6"/>
  <c r="R3" i="1"/>
  <c r="BK58" i="6"/>
  <c r="S2" i="12"/>
  <c r="S39" i="12" s="1"/>
  <c r="T51" i="11"/>
  <c r="AC69" i="15"/>
  <c r="AC70" i="15" s="1"/>
  <c r="CF77" i="6"/>
  <c r="CF79" i="6" s="1"/>
  <c r="B30" i="12"/>
  <c r="C34" i="12"/>
  <c r="AZ69" i="15"/>
  <c r="AZ70" i="15" s="1"/>
  <c r="EW77" i="6"/>
  <c r="I51" i="11"/>
  <c r="H2" i="12"/>
  <c r="H39" i="12" s="1"/>
  <c r="GP77" i="6"/>
  <c r="BO69" i="15"/>
  <c r="BO70" i="15" s="1"/>
  <c r="CC69" i="15"/>
  <c r="CC70" i="15" s="1"/>
  <c r="IF77" i="6"/>
  <c r="CI69" i="15"/>
  <c r="CI70" i="15" s="1"/>
  <c r="IX77" i="6"/>
  <c r="Y3" i="1"/>
  <c r="EQ58" i="6"/>
  <c r="AC3" i="1"/>
  <c r="GM58" i="6"/>
  <c r="AF84" i="15"/>
  <c r="CO95" i="6"/>
  <c r="AE84" i="15"/>
  <c r="CL95" i="6"/>
  <c r="X3" i="1"/>
  <c r="EE58" i="6"/>
  <c r="DJ77" i="6"/>
  <c r="DJ79" i="6" s="1"/>
  <c r="AM69" i="15"/>
  <c r="AM70" i="15" s="1"/>
  <c r="AH3" i="1"/>
  <c r="IU58" i="6"/>
  <c r="E2" i="12"/>
  <c r="P84" i="15"/>
  <c r="AS95" i="6"/>
  <c r="AD77" i="6"/>
  <c r="AD79" i="6" s="1"/>
  <c r="K69" i="15"/>
  <c r="K70" i="15" s="1"/>
  <c r="V2" i="12"/>
  <c r="V39" i="12" s="1"/>
  <c r="W51" i="11"/>
  <c r="HN77" i="6"/>
  <c r="BW69" i="15"/>
  <c r="BW70" i="15" s="1"/>
  <c r="AI69" i="15"/>
  <c r="AI70" i="15" s="1"/>
  <c r="CX77" i="6"/>
  <c r="CX79" i="6" s="1"/>
  <c r="K51" i="11"/>
  <c r="J2" i="12"/>
  <c r="J39" i="12" s="1"/>
  <c r="AV77" i="6"/>
  <c r="AV79" i="6" s="1"/>
  <c r="Q69" i="15"/>
  <c r="Q70" i="15" s="1"/>
  <c r="EH77" i="6"/>
  <c r="AU69" i="15"/>
  <c r="AU70" i="15" s="1"/>
  <c r="T2" i="12"/>
  <c r="T39" i="12" s="1"/>
  <c r="U51" i="11"/>
  <c r="AA69" i="15"/>
  <c r="AA70" i="15" s="1"/>
  <c r="BZ77" i="6"/>
  <c r="BZ79" i="6" s="1"/>
  <c r="EB77" i="6"/>
  <c r="AS69" i="15"/>
  <c r="AS70" i="15" s="1"/>
  <c r="I84" i="15"/>
  <c r="X95" i="6"/>
  <c r="O3" i="1"/>
  <c r="AA58" i="6"/>
  <c r="AY69" i="15"/>
  <c r="AY70" i="15" s="1"/>
  <c r="ET77" i="6"/>
  <c r="M2" i="12"/>
  <c r="M39" i="12" s="1"/>
  <c r="N51" i="11"/>
  <c r="AP95" i="6"/>
  <c r="O84" i="15"/>
  <c r="C2" i="12" l="1"/>
  <c r="C39" i="12" s="1"/>
  <c r="H51" i="11"/>
  <c r="F268" i="12" s="1"/>
  <c r="F281" i="12" s="1"/>
  <c r="F2" i="12"/>
  <c r="F16" i="12" s="1"/>
  <c r="G39" i="12"/>
  <c r="E39" i="12"/>
  <c r="D39" i="12"/>
  <c r="R7" i="9"/>
  <c r="G61" i="11"/>
  <c r="G65" i="11" s="1"/>
  <c r="G69" i="11" s="1"/>
  <c r="G70" i="11" s="1"/>
  <c r="G72" i="11" s="1"/>
  <c r="F40" i="12"/>
  <c r="T61" i="11"/>
  <c r="T65" i="11" s="1"/>
  <c r="S40" i="12"/>
  <c r="V61" i="11"/>
  <c r="V65" i="11" s="1"/>
  <c r="U40" i="12"/>
  <c r="Q61" i="11"/>
  <c r="Q65" i="11" s="1"/>
  <c r="P40" i="12"/>
  <c r="P61" i="11"/>
  <c r="P65" i="11" s="1"/>
  <c r="O40" i="12"/>
  <c r="Y61" i="11"/>
  <c r="Y65" i="11" s="1"/>
  <c r="X40" i="12"/>
  <c r="S61" i="11"/>
  <c r="S65" i="11" s="1"/>
  <c r="R40" i="12"/>
  <c r="L61" i="11"/>
  <c r="L65" i="11" s="1"/>
  <c r="K40" i="12"/>
  <c r="M61" i="11"/>
  <c r="M65" i="11" s="1"/>
  <c r="L40" i="12"/>
  <c r="K61" i="11"/>
  <c r="K65" i="11" s="1"/>
  <c r="J40" i="12"/>
  <c r="N61" i="11"/>
  <c r="N65" i="11" s="1"/>
  <c r="M40" i="12"/>
  <c r="W61" i="11"/>
  <c r="W65" i="11" s="1"/>
  <c r="V40" i="12"/>
  <c r="X61" i="11"/>
  <c r="X65" i="11" s="1"/>
  <c r="W40" i="12"/>
  <c r="J61" i="11"/>
  <c r="J65" i="11" s="1"/>
  <c r="I40" i="12"/>
  <c r="H61" i="11"/>
  <c r="H65" i="11" s="1"/>
  <c r="G40" i="12"/>
  <c r="U61" i="11"/>
  <c r="U65" i="11" s="1"/>
  <c r="T40" i="12"/>
  <c r="R61" i="11"/>
  <c r="R65" i="11" s="1"/>
  <c r="Q40" i="12"/>
  <c r="D61" i="11"/>
  <c r="D65" i="11" s="1"/>
  <c r="C40" i="12"/>
  <c r="F61" i="11"/>
  <c r="F65" i="11" s="1"/>
  <c r="E40" i="12"/>
  <c r="I61" i="11"/>
  <c r="I65" i="11" s="1"/>
  <c r="H40" i="12"/>
  <c r="S81" i="6"/>
  <c r="R106" i="6"/>
  <c r="S102" i="6" s="1"/>
  <c r="S104" i="6" s="1"/>
  <c r="S6" i="9" s="1"/>
  <c r="S7" i="9" s="1"/>
  <c r="G91" i="15"/>
  <c r="DP79" i="6"/>
  <c r="AO72" i="15" s="1"/>
  <c r="E51" i="11"/>
  <c r="C268" i="12" s="1"/>
  <c r="C281" i="12" s="1"/>
  <c r="AP28" i="9"/>
  <c r="AP33" i="9" s="1"/>
  <c r="AP34" i="9" s="1"/>
  <c r="AP98" i="6"/>
  <c r="O88" i="15"/>
  <c r="O5" i="1"/>
  <c r="AA68" i="6"/>
  <c r="AA72" i="6" s="1"/>
  <c r="M16" i="12"/>
  <c r="M21" i="12"/>
  <c r="HN79" i="6"/>
  <c r="V16" i="12"/>
  <c r="V21" i="12"/>
  <c r="X5" i="1"/>
  <c r="EE68" i="6"/>
  <c r="EE72" i="6" s="1"/>
  <c r="AC5" i="1"/>
  <c r="GM68" i="6"/>
  <c r="GM72" i="6" s="1"/>
  <c r="IX79" i="6"/>
  <c r="Z5" i="1"/>
  <c r="FC68" i="6"/>
  <c r="FC72" i="6" s="1"/>
  <c r="N10" i="1"/>
  <c r="EK79" i="6"/>
  <c r="FX79" i="6"/>
  <c r="W21" i="12"/>
  <c r="W16" i="12"/>
  <c r="AH28" i="9"/>
  <c r="AH33" i="9" s="1"/>
  <c r="AH34" i="9" s="1"/>
  <c r="AH98" i="6"/>
  <c r="P16" i="12"/>
  <c r="P21" i="12"/>
  <c r="GG79" i="6"/>
  <c r="K16" i="12"/>
  <c r="K21" i="12"/>
  <c r="AJ28" i="9"/>
  <c r="AJ33" i="9" s="1"/>
  <c r="AJ34" i="9" s="1"/>
  <c r="M88" i="15"/>
  <c r="AJ98" i="6"/>
  <c r="IC79" i="6"/>
  <c r="EN79" i="6"/>
  <c r="AA5" i="1"/>
  <c r="FO68" i="6"/>
  <c r="FO72" i="6" s="1"/>
  <c r="DD28" i="9"/>
  <c r="DD33" i="9" s="1"/>
  <c r="DD34" i="9" s="1"/>
  <c r="AK88" i="15"/>
  <c r="DD98" i="6"/>
  <c r="S5" i="1"/>
  <c r="BW68" i="6"/>
  <c r="BW72" i="6" s="1"/>
  <c r="FI79" i="6"/>
  <c r="DJ28" i="9"/>
  <c r="DJ33" i="9" s="1"/>
  <c r="DJ34" i="9" s="1"/>
  <c r="AM88" i="15"/>
  <c r="DJ98" i="6"/>
  <c r="CR28" i="9"/>
  <c r="CR33" i="9" s="1"/>
  <c r="CR34" i="9" s="1"/>
  <c r="CR98" i="6"/>
  <c r="AG88" i="15"/>
  <c r="JJ79" i="6"/>
  <c r="AI5" i="1"/>
  <c r="JG68" i="6"/>
  <c r="JG72" i="6" s="1"/>
  <c r="L84" i="15"/>
  <c r="AG95" i="6"/>
  <c r="D16" i="12"/>
  <c r="D21" i="12"/>
  <c r="AB5" i="1"/>
  <c r="GA68" i="6"/>
  <c r="GA72" i="6" s="1"/>
  <c r="FU79" i="6"/>
  <c r="JA79" i="6"/>
  <c r="AC88" i="15"/>
  <c r="CF98" i="6"/>
  <c r="CF28" i="9"/>
  <c r="CF33" i="9" s="1"/>
  <c r="CF34" i="9" s="1"/>
  <c r="ET79" i="6"/>
  <c r="X28" i="9"/>
  <c r="X33" i="9" s="1"/>
  <c r="X34" i="9" s="1"/>
  <c r="I88" i="15"/>
  <c r="X98" i="6"/>
  <c r="EB79" i="6"/>
  <c r="T16" i="12"/>
  <c r="T21" i="12"/>
  <c r="Q72" i="15"/>
  <c r="AI72" i="15"/>
  <c r="E16" i="12"/>
  <c r="E21" i="12"/>
  <c r="EW79" i="6"/>
  <c r="AC72" i="15"/>
  <c r="S16" i="12"/>
  <c r="S21" i="12"/>
  <c r="FR79" i="6"/>
  <c r="BN28" i="9"/>
  <c r="BN33" i="9" s="1"/>
  <c r="BN34" i="9" s="1"/>
  <c r="W88" i="15"/>
  <c r="BN98" i="6"/>
  <c r="M72" i="15"/>
  <c r="AV28" i="9"/>
  <c r="AV33" i="9" s="1"/>
  <c r="AV34" i="9" s="1"/>
  <c r="Q88" i="15"/>
  <c r="AV98" i="6"/>
  <c r="AB72" i="15"/>
  <c r="DV79" i="6"/>
  <c r="AF72" i="15"/>
  <c r="IR79" i="6"/>
  <c r="I72" i="15"/>
  <c r="AK72" i="15"/>
  <c r="Q5" i="1"/>
  <c r="AY68" i="6"/>
  <c r="AY72" i="6" s="1"/>
  <c r="BQ28" i="9"/>
  <c r="BQ33" i="9" s="1"/>
  <c r="BQ34" i="9" s="1"/>
  <c r="BQ98" i="6"/>
  <c r="X88" i="15"/>
  <c r="BE28" i="9"/>
  <c r="BE33" i="9" s="1"/>
  <c r="BE34" i="9" s="1"/>
  <c r="T88" i="15"/>
  <c r="BE98" i="6"/>
  <c r="HE79" i="6"/>
  <c r="S72" i="15"/>
  <c r="Q16" i="12"/>
  <c r="Q21" i="12"/>
  <c r="CO98" i="6"/>
  <c r="CO28" i="9"/>
  <c r="CO33" i="9" s="1"/>
  <c r="CO34" i="9" s="1"/>
  <c r="AF88" i="15"/>
  <c r="W5" i="1"/>
  <c r="DS68" i="6"/>
  <c r="DS72" i="6" s="1"/>
  <c r="U21" i="12"/>
  <c r="U16" i="12"/>
  <c r="HH79" i="6"/>
  <c r="AB88" i="15"/>
  <c r="CC28" i="9"/>
  <c r="CC33" i="9" s="1"/>
  <c r="CC34" i="9" s="1"/>
  <c r="CC98" i="6"/>
  <c r="BT98" i="6"/>
  <c r="BT28" i="9"/>
  <c r="BT33" i="9" s="1"/>
  <c r="BT34" i="9" s="1"/>
  <c r="Y88" i="15"/>
  <c r="P72" i="15"/>
  <c r="GS79" i="6"/>
  <c r="GJ79" i="6"/>
  <c r="AJ72" i="15"/>
  <c r="V5" i="1"/>
  <c r="DG68" i="6"/>
  <c r="DG72" i="6" s="1"/>
  <c r="HB79" i="6"/>
  <c r="AM68" i="6"/>
  <c r="AM72" i="6" s="1"/>
  <c r="P5" i="1"/>
  <c r="JM79" i="6"/>
  <c r="AA72" i="15"/>
  <c r="K72" i="15"/>
  <c r="AM72" i="15"/>
  <c r="Y5" i="1"/>
  <c r="EQ68" i="6"/>
  <c r="EQ72" i="6" s="1"/>
  <c r="IF79" i="6"/>
  <c r="GP79" i="6"/>
  <c r="DY79" i="6"/>
  <c r="AG72" i="15"/>
  <c r="R16" i="12"/>
  <c r="R21" i="12"/>
  <c r="AF5" i="1"/>
  <c r="HW68" i="6"/>
  <c r="HW72" i="6" s="1"/>
  <c r="BH98" i="6"/>
  <c r="U88" i="15"/>
  <c r="BH28" i="9"/>
  <c r="BH33" i="9" s="1"/>
  <c r="BH34" i="9" s="1"/>
  <c r="X72" i="15"/>
  <c r="T72" i="15"/>
  <c r="U72" i="15"/>
  <c r="O72" i="15"/>
  <c r="AG5" i="1"/>
  <c r="II68" i="6"/>
  <c r="II72" i="6" s="1"/>
  <c r="FL79" i="6"/>
  <c r="HZ79" i="6"/>
  <c r="AE5" i="1"/>
  <c r="HK68" i="6"/>
  <c r="HK72" i="6" s="1"/>
  <c r="DM28" i="9"/>
  <c r="DM33" i="9" s="1"/>
  <c r="DM34" i="9" s="1"/>
  <c r="DM98" i="6"/>
  <c r="U5" i="1"/>
  <c r="CU68" i="6"/>
  <c r="CU72" i="6" s="1"/>
  <c r="HT79" i="6"/>
  <c r="DA98" i="6"/>
  <c r="AJ88" i="15"/>
  <c r="DA28" i="9"/>
  <c r="DA33" i="9" s="1"/>
  <c r="DA34" i="9" s="1"/>
  <c r="W72" i="15"/>
  <c r="HQ79" i="6"/>
  <c r="N2" i="12"/>
  <c r="N39" i="12" s="1"/>
  <c r="O51" i="11"/>
  <c r="G21" i="12"/>
  <c r="G16" i="12"/>
  <c r="EH79" i="6"/>
  <c r="J16" i="12"/>
  <c r="J21" i="12"/>
  <c r="P88" i="15"/>
  <c r="AS28" i="9"/>
  <c r="AS33" i="9" s="1"/>
  <c r="AS34" i="9" s="1"/>
  <c r="AS98" i="6"/>
  <c r="AH5" i="1"/>
  <c r="IU68" i="6"/>
  <c r="IU72" i="6" s="1"/>
  <c r="CL98" i="6"/>
  <c r="AE88" i="15"/>
  <c r="CL28" i="9"/>
  <c r="CL33" i="9" s="1"/>
  <c r="CL34" i="9" s="1"/>
  <c r="H21" i="12"/>
  <c r="H16" i="12"/>
  <c r="R5" i="1"/>
  <c r="BK68" i="6"/>
  <c r="BK72" i="6" s="1"/>
  <c r="IO79" i="6"/>
  <c r="U76" i="6"/>
  <c r="U91" i="6"/>
  <c r="EZ79" i="6"/>
  <c r="K88" i="15"/>
  <c r="AD98" i="6"/>
  <c r="AD28" i="9"/>
  <c r="AD33" i="9" s="1"/>
  <c r="AD34" i="9" s="1"/>
  <c r="O16" i="12"/>
  <c r="O21" i="12"/>
  <c r="BB28" i="9"/>
  <c r="BB33" i="9" s="1"/>
  <c r="BB34" i="9" s="1"/>
  <c r="BB98" i="6"/>
  <c r="S88" i="15"/>
  <c r="AD5" i="1"/>
  <c r="GY68" i="6"/>
  <c r="GY72" i="6" s="1"/>
  <c r="BZ98" i="6"/>
  <c r="AA88" i="15"/>
  <c r="BZ28" i="9"/>
  <c r="BZ33" i="9" s="1"/>
  <c r="BZ34" i="9" s="1"/>
  <c r="L16" i="12"/>
  <c r="L21" i="12"/>
  <c r="JP79" i="6"/>
  <c r="FF79" i="6"/>
  <c r="CX28" i="9"/>
  <c r="CX33" i="9" s="1"/>
  <c r="CX34" i="9" s="1"/>
  <c r="AI88" i="15"/>
  <c r="CX98" i="6"/>
  <c r="GV79" i="6"/>
  <c r="IL79" i="6"/>
  <c r="AE72" i="15"/>
  <c r="AN72" i="15"/>
  <c r="I16" i="12"/>
  <c r="I21" i="12"/>
  <c r="GD79" i="6"/>
  <c r="L69" i="15"/>
  <c r="L70" i="15" s="1"/>
  <c r="AG77" i="6"/>
  <c r="AG79" i="6" s="1"/>
  <c r="Y72" i="15"/>
  <c r="X21" i="12"/>
  <c r="X16" i="12"/>
  <c r="T5" i="1"/>
  <c r="CI68" i="6"/>
  <c r="CI72" i="6" s="1"/>
  <c r="JD79" i="6"/>
  <c r="C16" i="12" l="1"/>
  <c r="C21" i="12"/>
  <c r="B198" i="12"/>
  <c r="F39" i="12"/>
  <c r="F21" i="12"/>
  <c r="G84" i="11"/>
  <c r="G88" i="11" s="1"/>
  <c r="G91" i="11" s="1"/>
  <c r="J84" i="11"/>
  <c r="J88" i="11" s="1"/>
  <c r="J91" i="11" s="1"/>
  <c r="D69" i="11"/>
  <c r="D70" i="11" s="1"/>
  <c r="D72" i="11" s="1"/>
  <c r="K84" i="11"/>
  <c r="K88" i="11" s="1"/>
  <c r="K91" i="11" s="1"/>
  <c r="H84" i="11"/>
  <c r="H88" i="11" s="1"/>
  <c r="H91" i="11" s="1"/>
  <c r="F69" i="11"/>
  <c r="F70" i="11" s="1"/>
  <c r="F72" i="11" s="1"/>
  <c r="I84" i="11"/>
  <c r="I88" i="11" s="1"/>
  <c r="H9" i="12" s="1"/>
  <c r="F84" i="11"/>
  <c r="F88" i="11" s="1"/>
  <c r="F91" i="11" s="1"/>
  <c r="D84" i="11"/>
  <c r="D88" i="11" s="1"/>
  <c r="C9" i="12" s="1"/>
  <c r="E61" i="11"/>
  <c r="E65" i="11" s="1"/>
  <c r="D40" i="12"/>
  <c r="O61" i="11"/>
  <c r="O65" i="11" s="1"/>
  <c r="N40" i="12"/>
  <c r="S82" i="6"/>
  <c r="T81" i="6" s="1"/>
  <c r="S106" i="6"/>
  <c r="T102" i="6" s="1"/>
  <c r="G95" i="15" s="1"/>
  <c r="P36" i="1"/>
  <c r="P37" i="1" s="1"/>
  <c r="R10" i="1"/>
  <c r="P43" i="1" s="1"/>
  <c r="P44" i="1" s="1"/>
  <c r="P91" i="15"/>
  <c r="N21" i="12"/>
  <c r="N16" i="12"/>
  <c r="BY72" i="15"/>
  <c r="AD36" i="1"/>
  <c r="AD37" i="1" s="1"/>
  <c r="BO72" i="15"/>
  <c r="EQ76" i="6"/>
  <c r="P10" i="1"/>
  <c r="N43" i="1" s="1"/>
  <c r="N44" i="1" s="1"/>
  <c r="N36" i="1"/>
  <c r="N37" i="1" s="1"/>
  <c r="DG76" i="6"/>
  <c r="DG91" i="6"/>
  <c r="BP72" i="15"/>
  <c r="AB91" i="15"/>
  <c r="DS76" i="6"/>
  <c r="AF91" i="15"/>
  <c r="T91" i="15"/>
  <c r="X91" i="15"/>
  <c r="W91" i="15"/>
  <c r="I91" i="15"/>
  <c r="AG36" i="1"/>
  <c r="AG37" i="1" s="1"/>
  <c r="AG91" i="15"/>
  <c r="BD72" i="15"/>
  <c r="AK91" i="15"/>
  <c r="Y36" i="1"/>
  <c r="Y37" i="1" s="1"/>
  <c r="AV72" i="15"/>
  <c r="FC76" i="6"/>
  <c r="CI72" i="15"/>
  <c r="EE76" i="6"/>
  <c r="BW72" i="15"/>
  <c r="M36" i="1"/>
  <c r="M37" i="1" s="1"/>
  <c r="O10" i="1"/>
  <c r="M43" i="1" s="1"/>
  <c r="M44" i="1" s="1"/>
  <c r="L72" i="15"/>
  <c r="CE72" i="15"/>
  <c r="AI91" i="15"/>
  <c r="CI76" i="6"/>
  <c r="CI91" i="6"/>
  <c r="CO72" i="15"/>
  <c r="R36" i="1"/>
  <c r="R37" i="1" s="1"/>
  <c r="T10" i="1"/>
  <c r="R43" i="1" s="1"/>
  <c r="R44" i="1" s="1"/>
  <c r="BK72" i="15"/>
  <c r="BQ72" i="15"/>
  <c r="BA72" i="15"/>
  <c r="AE91" i="15"/>
  <c r="BX72" i="15"/>
  <c r="AE36" i="1"/>
  <c r="AE37" i="1" s="1"/>
  <c r="AM76" i="6"/>
  <c r="AM91" i="6"/>
  <c r="U36" i="1"/>
  <c r="U37" i="1" s="1"/>
  <c r="CJ72" i="15"/>
  <c r="GA76" i="6"/>
  <c r="AG98" i="6"/>
  <c r="L88" i="15"/>
  <c r="AG28" i="9"/>
  <c r="AG33" i="9" s="1"/>
  <c r="AG34" i="9" s="1"/>
  <c r="CM72" i="15"/>
  <c r="AW72" i="15"/>
  <c r="M91" i="15"/>
  <c r="BL72" i="15"/>
  <c r="BI72" i="15"/>
  <c r="X36" i="1"/>
  <c r="X37" i="1" s="1"/>
  <c r="V36" i="1"/>
  <c r="V37" i="1" s="1"/>
  <c r="AB36" i="1"/>
  <c r="AB37" i="1" s="1"/>
  <c r="H69" i="15"/>
  <c r="H70" i="15" s="1"/>
  <c r="U77" i="6"/>
  <c r="U79" i="6" s="1"/>
  <c r="HK76" i="6"/>
  <c r="BE72" i="15"/>
  <c r="II76" i="6"/>
  <c r="AC36" i="1"/>
  <c r="AC37" i="1" s="1"/>
  <c r="W36" i="1"/>
  <c r="W37" i="1" s="1"/>
  <c r="T36" i="1"/>
  <c r="T37" i="1" s="1"/>
  <c r="BC72" i="15"/>
  <c r="AA91" i="15"/>
  <c r="K91" i="15"/>
  <c r="IU76" i="6"/>
  <c r="AU72" i="15"/>
  <c r="CU76" i="6"/>
  <c r="CU91" i="6"/>
  <c r="CA72" i="15"/>
  <c r="U91" i="15"/>
  <c r="AR72" i="15"/>
  <c r="CC72" i="15"/>
  <c r="CN72" i="15"/>
  <c r="BS72" i="15"/>
  <c r="BM72" i="15"/>
  <c r="BT72" i="15"/>
  <c r="AY76" i="6"/>
  <c r="AY91" i="6"/>
  <c r="CG72" i="15"/>
  <c r="Q91" i="15"/>
  <c r="AZ72" i="15"/>
  <c r="AS72" i="15"/>
  <c r="Z36" i="1"/>
  <c r="Z37" i="1" s="1"/>
  <c r="AM91" i="15"/>
  <c r="BW76" i="6"/>
  <c r="BW91" i="6"/>
  <c r="GM76" i="6"/>
  <c r="O91" i="15"/>
  <c r="CK72" i="15"/>
  <c r="GY76" i="6"/>
  <c r="S91" i="15"/>
  <c r="H84" i="15"/>
  <c r="U95" i="6"/>
  <c r="CF72" i="15"/>
  <c r="BK76" i="6"/>
  <c r="BK91" i="6"/>
  <c r="AF36" i="1"/>
  <c r="AF37" i="1" s="1"/>
  <c r="AJ91" i="15"/>
  <c r="U10" i="1"/>
  <c r="S43" i="1" s="1"/>
  <c r="S44" i="1" s="1"/>
  <c r="S36" i="1"/>
  <c r="S37" i="1" s="1"/>
  <c r="HW76" i="6"/>
  <c r="Y91" i="15"/>
  <c r="BU72" i="15"/>
  <c r="O36" i="1"/>
  <c r="O37" i="1" s="1"/>
  <c r="Q10" i="1"/>
  <c r="O43" i="1" s="1"/>
  <c r="O44" i="1" s="1"/>
  <c r="AQ72" i="15"/>
  <c r="BG72" i="15"/>
  <c r="AY72" i="15"/>
  <c r="AC91" i="15"/>
  <c r="BH72" i="15"/>
  <c r="JG76" i="6"/>
  <c r="S10" i="1"/>
  <c r="Q43" i="1" s="1"/>
  <c r="Q44" i="1" s="1"/>
  <c r="Q36" i="1"/>
  <c r="Q37" i="1" s="1"/>
  <c r="FO76" i="6"/>
  <c r="CB72" i="15"/>
  <c r="M23" i="1"/>
  <c r="AA36" i="1"/>
  <c r="AA37" i="1" s="1"/>
  <c r="AA76" i="6"/>
  <c r="AA91" i="6"/>
  <c r="F9" i="12" l="1"/>
  <c r="I9" i="12"/>
  <c r="G9" i="12"/>
  <c r="F12" i="12"/>
  <c r="X121" i="12"/>
  <c r="G12" i="12"/>
  <c r="Y121" i="12"/>
  <c r="E12" i="12"/>
  <c r="W121" i="12"/>
  <c r="J12" i="12"/>
  <c r="AB121" i="12"/>
  <c r="I12" i="12"/>
  <c r="AA121" i="12"/>
  <c r="E84" i="11"/>
  <c r="E88" i="11" s="1"/>
  <c r="E91" i="11" s="1"/>
  <c r="J9" i="12"/>
  <c r="I91" i="11"/>
  <c r="E9" i="12"/>
  <c r="D91" i="11"/>
  <c r="E69" i="11"/>
  <c r="E70" i="11" s="1"/>
  <c r="E72" i="11" s="1"/>
  <c r="G74" i="15"/>
  <c r="T82" i="6"/>
  <c r="T83" i="6" s="1"/>
  <c r="T86" i="6" s="1"/>
  <c r="T87" i="6" s="1"/>
  <c r="S83" i="6"/>
  <c r="T106" i="6"/>
  <c r="G99" i="15" s="1"/>
  <c r="T104" i="6"/>
  <c r="G97" i="15" s="1"/>
  <c r="BF69" i="15"/>
  <c r="BF70" i="15" s="1"/>
  <c r="FO77" i="6"/>
  <c r="CL69" i="15"/>
  <c r="CL70" i="15" s="1"/>
  <c r="JG77" i="6"/>
  <c r="Z84" i="15"/>
  <c r="BW95" i="6"/>
  <c r="R69" i="15"/>
  <c r="R70" i="15" s="1"/>
  <c r="AY77" i="6"/>
  <c r="AY79" i="6" s="1"/>
  <c r="AH84" i="15"/>
  <c r="CU95" i="6"/>
  <c r="CD69" i="15"/>
  <c r="CD70" i="15" s="1"/>
  <c r="II77" i="6"/>
  <c r="L91" i="15"/>
  <c r="AX69" i="15"/>
  <c r="AX70" i="15" s="1"/>
  <c r="EQ77" i="6"/>
  <c r="J84" i="15"/>
  <c r="AA95" i="6"/>
  <c r="J69" i="15"/>
  <c r="J70" i="15" s="1"/>
  <c r="AA77" i="6"/>
  <c r="AA79" i="6" s="1"/>
  <c r="V69" i="15"/>
  <c r="V70" i="15" s="1"/>
  <c r="BK77" i="6"/>
  <c r="BK79" i="6" s="1"/>
  <c r="H88" i="15"/>
  <c r="U28" i="9"/>
  <c r="U33" i="9" s="1"/>
  <c r="U34" i="9" s="1"/>
  <c r="U98" i="6"/>
  <c r="GY77" i="6"/>
  <c r="BR69" i="15"/>
  <c r="BR70" i="15" s="1"/>
  <c r="BN69" i="15"/>
  <c r="BN70" i="15" s="1"/>
  <c r="GM77" i="6"/>
  <c r="BV69" i="15"/>
  <c r="BV70" i="15" s="1"/>
  <c r="HK77" i="6"/>
  <c r="H72" i="15"/>
  <c r="AM77" i="6"/>
  <c r="AM79" i="6" s="1"/>
  <c r="N69" i="15"/>
  <c r="N70" i="15" s="1"/>
  <c r="AD84" i="15"/>
  <c r="CI95" i="6"/>
  <c r="HW77" i="6"/>
  <c r="BZ69" i="15"/>
  <c r="BZ70" i="15" s="1"/>
  <c r="V84" i="15"/>
  <c r="BK95" i="6"/>
  <c r="R84" i="15"/>
  <c r="AY95" i="6"/>
  <c r="CU77" i="6"/>
  <c r="CU79" i="6" s="1"/>
  <c r="AH69" i="15"/>
  <c r="AH70" i="15" s="1"/>
  <c r="AM95" i="6"/>
  <c r="N84" i="15"/>
  <c r="AP69" i="15"/>
  <c r="AP70" i="15" s="1"/>
  <c r="DS77" i="6"/>
  <c r="AL84" i="15"/>
  <c r="DG95" i="6"/>
  <c r="Z69" i="15"/>
  <c r="Z70" i="15" s="1"/>
  <c r="BW77" i="6"/>
  <c r="BW79" i="6" s="1"/>
  <c r="IU77" i="6"/>
  <c r="CH69" i="15"/>
  <c r="CH70" i="15" s="1"/>
  <c r="BJ69" i="15"/>
  <c r="BJ70" i="15" s="1"/>
  <c r="GA77" i="6"/>
  <c r="CI77" i="6"/>
  <c r="CI79" i="6" s="1"/>
  <c r="AD69" i="15"/>
  <c r="AD70" i="15" s="1"/>
  <c r="AT69" i="15"/>
  <c r="AT70" i="15" s="1"/>
  <c r="EE77" i="6"/>
  <c r="FC77" i="6"/>
  <c r="BB69" i="15"/>
  <c r="BB70" i="15" s="1"/>
  <c r="AL69" i="15"/>
  <c r="AL70" i="15" s="1"/>
  <c r="DG77" i="6"/>
  <c r="DG79" i="6" s="1"/>
  <c r="D9" i="12" l="1"/>
  <c r="D12" i="12"/>
  <c r="V121" i="12"/>
  <c r="C12" i="12"/>
  <c r="U121" i="12"/>
  <c r="H12" i="12"/>
  <c r="Z121" i="12"/>
  <c r="U81" i="6"/>
  <c r="U82" i="6" s="1"/>
  <c r="U83" i="6" s="1"/>
  <c r="G75" i="15"/>
  <c r="S86" i="6"/>
  <c r="G76" i="15"/>
  <c r="T6" i="9"/>
  <c r="EE79" i="6"/>
  <c r="Z72" i="15"/>
  <c r="DS79" i="6"/>
  <c r="R88" i="15"/>
  <c r="AY98" i="6"/>
  <c r="AY28" i="9"/>
  <c r="AY33" i="9" s="1"/>
  <c r="AY34" i="9" s="1"/>
  <c r="AD88" i="15"/>
  <c r="CI28" i="9"/>
  <c r="CI33" i="9" s="1"/>
  <c r="CI34" i="9" s="1"/>
  <c r="CI98" i="6"/>
  <c r="GY79" i="6"/>
  <c r="V72" i="15"/>
  <c r="AA28" i="9"/>
  <c r="AA33" i="9" s="1"/>
  <c r="AA34" i="9" s="1"/>
  <c r="J88" i="15"/>
  <c r="AA98" i="6"/>
  <c r="II79" i="6"/>
  <c r="R72" i="15"/>
  <c r="JG79" i="6"/>
  <c r="AL72" i="15"/>
  <c r="AD72" i="15"/>
  <c r="IU79" i="6"/>
  <c r="HW79" i="6"/>
  <c r="GM79" i="6"/>
  <c r="H91" i="15"/>
  <c r="U102" i="6"/>
  <c r="J72" i="15"/>
  <c r="EQ79" i="6"/>
  <c r="CU28" i="9"/>
  <c r="CU33" i="9" s="1"/>
  <c r="CU34" i="9" s="1"/>
  <c r="AH88" i="15"/>
  <c r="CU98" i="6"/>
  <c r="BW28" i="9"/>
  <c r="BW33" i="9" s="1"/>
  <c r="BW34" i="9" s="1"/>
  <c r="Z88" i="15"/>
  <c r="BW98" i="6"/>
  <c r="FO79" i="6"/>
  <c r="GA79" i="6"/>
  <c r="DG28" i="9"/>
  <c r="DG33" i="9" s="1"/>
  <c r="DG34" i="9" s="1"/>
  <c r="AL88" i="15"/>
  <c r="DG98" i="6"/>
  <c r="BK28" i="9"/>
  <c r="BK33" i="9" s="1"/>
  <c r="BK34" i="9" s="1"/>
  <c r="V88" i="15"/>
  <c r="BK98" i="6"/>
  <c r="FC79" i="6"/>
  <c r="AM28" i="9"/>
  <c r="AM33" i="9" s="1"/>
  <c r="AM34" i="9" s="1"/>
  <c r="N88" i="15"/>
  <c r="AM98" i="6"/>
  <c r="AH72" i="15"/>
  <c r="N72" i="15"/>
  <c r="HK79" i="6"/>
  <c r="T7" i="9" l="1"/>
  <c r="V81" i="6"/>
  <c r="V82" i="6" s="1"/>
  <c r="S87" i="6"/>
  <c r="G79" i="15"/>
  <c r="G80" i="15" s="1"/>
  <c r="N91" i="15"/>
  <c r="AL91" i="15"/>
  <c r="BN72" i="15"/>
  <c r="CD72" i="15"/>
  <c r="J91" i="15"/>
  <c r="AT72" i="15"/>
  <c r="BF72" i="15"/>
  <c r="AX72" i="15"/>
  <c r="U106" i="6"/>
  <c r="BZ72" i="15"/>
  <c r="CH72" i="15"/>
  <c r="U104" i="6"/>
  <c r="U86" i="6"/>
  <c r="BR72" i="15"/>
  <c r="BV72" i="15"/>
  <c r="AH91" i="15"/>
  <c r="BB72" i="15"/>
  <c r="V91" i="15"/>
  <c r="BJ72" i="15"/>
  <c r="Z91" i="15"/>
  <c r="CL72" i="15"/>
  <c r="AD91" i="15"/>
  <c r="R91" i="15"/>
  <c r="AP72" i="15"/>
  <c r="V83" i="6" l="1"/>
  <c r="W81" i="6"/>
  <c r="V102" i="6"/>
  <c r="U87" i="6"/>
  <c r="U6" i="9"/>
  <c r="W82" i="6" l="1"/>
  <c r="H74" i="15"/>
  <c r="V86" i="6"/>
  <c r="U7" i="9"/>
  <c r="V104" i="6"/>
  <c r="V106" i="6"/>
  <c r="V87" i="6" l="1"/>
  <c r="W83" i="6"/>
  <c r="H75" i="15"/>
  <c r="X81" i="6"/>
  <c r="W102" i="6"/>
  <c r="V6" i="9"/>
  <c r="X82" i="6" l="1"/>
  <c r="Y81" i="6" s="1"/>
  <c r="W86" i="6"/>
  <c r="H76" i="15"/>
  <c r="W104" i="6"/>
  <c r="H95" i="15"/>
  <c r="W106" i="6"/>
  <c r="H99" i="15" s="1"/>
  <c r="V7" i="9"/>
  <c r="Y82" i="6" l="1"/>
  <c r="Y83" i="6" s="1"/>
  <c r="Y86" i="6" s="1"/>
  <c r="Y87" i="6" s="1"/>
  <c r="W87" i="6"/>
  <c r="H79" i="15"/>
  <c r="H80" i="15" s="1"/>
  <c r="X83" i="6"/>
  <c r="X102" i="6"/>
  <c r="W6" i="9"/>
  <c r="H97" i="15"/>
  <c r="X86" i="6" l="1"/>
  <c r="Z81" i="6"/>
  <c r="W7" i="9"/>
  <c r="X104" i="6"/>
  <c r="X106" i="6"/>
  <c r="Z82" i="6" l="1"/>
  <c r="AA81" i="6" s="1"/>
  <c r="D74" i="11"/>
  <c r="I74" i="15"/>
  <c r="X87" i="6"/>
  <c r="Y102" i="6"/>
  <c r="X6" i="9"/>
  <c r="AA82" i="6" l="1"/>
  <c r="Z83" i="6"/>
  <c r="D75" i="11"/>
  <c r="I75" i="15"/>
  <c r="X7" i="9"/>
  <c r="Y104" i="6"/>
  <c r="Y106" i="6"/>
  <c r="Z86" i="6" l="1"/>
  <c r="I76" i="15"/>
  <c r="D76" i="11"/>
  <c r="AA83" i="6"/>
  <c r="AB81" i="6"/>
  <c r="Z102" i="6"/>
  <c r="Y6" i="9"/>
  <c r="AA86" i="6" l="1"/>
  <c r="AB82" i="6"/>
  <c r="AC81" i="6" s="1"/>
  <c r="Z87" i="6"/>
  <c r="I79" i="15"/>
  <c r="I80" i="15" s="1"/>
  <c r="D79" i="11"/>
  <c r="D80" i="11" s="1"/>
  <c r="Y7" i="9"/>
  <c r="Z104" i="6"/>
  <c r="D95" i="11"/>
  <c r="I95" i="15"/>
  <c r="Z106" i="6"/>
  <c r="AC82" i="6" l="1"/>
  <c r="AC83" i="6" s="1"/>
  <c r="AC86" i="6" s="1"/>
  <c r="AC87" i="6" s="1"/>
  <c r="J74" i="15"/>
  <c r="AA87" i="6"/>
  <c r="AB83" i="6"/>
  <c r="I99" i="15"/>
  <c r="D99" i="11"/>
  <c r="AA102" i="6"/>
  <c r="Z6" i="9"/>
  <c r="Z7" i="9" s="1"/>
  <c r="I97" i="15"/>
  <c r="D97" i="11"/>
  <c r="B282" i="12" s="1"/>
  <c r="B284" i="12" l="1"/>
  <c r="B285" i="12"/>
  <c r="AB86" i="6"/>
  <c r="J76" i="15"/>
  <c r="J75" i="15"/>
  <c r="AD81" i="6"/>
  <c r="AA104" i="6"/>
  <c r="AA106" i="6"/>
  <c r="AD82" i="6" l="1"/>
  <c r="AE81" i="6" s="1"/>
  <c r="AB87" i="6"/>
  <c r="J79" i="15"/>
  <c r="J80" i="15" s="1"/>
  <c r="AA6" i="9"/>
  <c r="AB102" i="6"/>
  <c r="AE82" i="6" l="1"/>
  <c r="AE83" i="6" s="1"/>
  <c r="AE86" i="6" s="1"/>
  <c r="AE87" i="6" s="1"/>
  <c r="AD83" i="6"/>
  <c r="AB104" i="6"/>
  <c r="AB106" i="6"/>
  <c r="AA7" i="9"/>
  <c r="AF81" i="6" l="1"/>
  <c r="K74" i="15" s="1"/>
  <c r="AD86" i="6"/>
  <c r="AB6" i="9"/>
  <c r="AC102" i="6"/>
  <c r="AF82" i="6" l="1"/>
  <c r="AG81" i="6" s="1"/>
  <c r="AG82" i="6" s="1"/>
  <c r="AH81" i="6" s="1"/>
  <c r="AD87" i="6"/>
  <c r="AC104" i="6"/>
  <c r="AC106" i="6"/>
  <c r="J99" i="15" s="1"/>
  <c r="J95" i="15"/>
  <c r="AB7" i="9"/>
  <c r="K75" i="15" l="1"/>
  <c r="AF83" i="6"/>
  <c r="AF86" i="6" s="1"/>
  <c r="AH82" i="6"/>
  <c r="AG83" i="6"/>
  <c r="AD102" i="6"/>
  <c r="AC6" i="9"/>
  <c r="J97" i="15"/>
  <c r="K76" i="15" l="1"/>
  <c r="AH83" i="6"/>
  <c r="AH86" i="6" s="1"/>
  <c r="AH87" i="6" s="1"/>
  <c r="AG86" i="6"/>
  <c r="AI81" i="6"/>
  <c r="AF87" i="6"/>
  <c r="K79" i="15"/>
  <c r="K80" i="15" s="1"/>
  <c r="AC7" i="9"/>
  <c r="AD104" i="6"/>
  <c r="AD106" i="6"/>
  <c r="AI82" i="6" l="1"/>
  <c r="L74" i="15"/>
  <c r="AG87" i="6"/>
  <c r="AD6" i="9"/>
  <c r="AE102" i="6"/>
  <c r="AI83" i="6" l="1"/>
  <c r="L75" i="15"/>
  <c r="AJ81" i="6"/>
  <c r="AE104" i="6"/>
  <c r="AE106" i="6"/>
  <c r="AD7" i="9"/>
  <c r="AJ82" i="6" l="1"/>
  <c r="AK81" i="6" s="1"/>
  <c r="AI86" i="6"/>
  <c r="L76" i="15"/>
  <c r="AF102" i="6"/>
  <c r="AE6" i="9"/>
  <c r="AI87" i="6" l="1"/>
  <c r="L79" i="15"/>
  <c r="L80" i="15" s="1"/>
  <c r="AK82" i="6"/>
  <c r="AK83" i="6" s="1"/>
  <c r="AK86" i="6" s="1"/>
  <c r="AK87" i="6" s="1"/>
  <c r="AJ83" i="6"/>
  <c r="AE7" i="9"/>
  <c r="AF104" i="6"/>
  <c r="AF106" i="6"/>
  <c r="K99" i="15" s="1"/>
  <c r="K95" i="15"/>
  <c r="AJ86" i="6" l="1"/>
  <c r="AL81" i="6"/>
  <c r="AG102" i="6"/>
  <c r="AF6" i="9"/>
  <c r="AF7" i="9" s="1"/>
  <c r="K97" i="15"/>
  <c r="AL82" i="6" l="1"/>
  <c r="AM81" i="6" s="1"/>
  <c r="E74" i="11"/>
  <c r="M74" i="15"/>
  <c r="AJ87" i="6"/>
  <c r="AG104" i="6"/>
  <c r="AG106" i="6"/>
  <c r="AM82" i="6" l="1"/>
  <c r="AN81" i="6" s="1"/>
  <c r="AL83" i="6"/>
  <c r="E75" i="11"/>
  <c r="M75" i="15"/>
  <c r="AH102" i="6"/>
  <c r="AG6" i="9"/>
  <c r="AG7" i="9" s="1"/>
  <c r="AN82" i="6" l="1"/>
  <c r="AN83" i="6" s="1"/>
  <c r="AN86" i="6" s="1"/>
  <c r="AN87" i="6" s="1"/>
  <c r="AL86" i="6"/>
  <c r="E76" i="11"/>
  <c r="M76" i="15"/>
  <c r="AM83" i="6"/>
  <c r="AH104" i="6"/>
  <c r="AH106" i="6"/>
  <c r="AO81" i="6" l="1"/>
  <c r="AO82" i="6" s="1"/>
  <c r="AM86" i="6"/>
  <c r="AL87" i="6"/>
  <c r="E79" i="11"/>
  <c r="E80" i="11" s="1"/>
  <c r="M79" i="15"/>
  <c r="M80" i="15" s="1"/>
  <c r="AI102" i="6"/>
  <c r="AH6" i="9"/>
  <c r="AH7" i="9" s="1"/>
  <c r="N74" i="15" l="1"/>
  <c r="AO83" i="6"/>
  <c r="N75" i="15"/>
  <c r="AM87" i="6"/>
  <c r="AP81" i="6"/>
  <c r="AI104" i="6"/>
  <c r="AI106" i="6"/>
  <c r="L99" i="15" s="1"/>
  <c r="L95" i="15"/>
  <c r="AP82" i="6" l="1"/>
  <c r="AQ81" i="6" s="1"/>
  <c r="AO86" i="6"/>
  <c r="N76" i="15"/>
  <c r="AJ102" i="6"/>
  <c r="AI6" i="9"/>
  <c r="AI7" i="9" s="1"/>
  <c r="L97" i="15"/>
  <c r="AQ82" i="6" l="1"/>
  <c r="AQ83" i="6" s="1"/>
  <c r="AQ86" i="6" s="1"/>
  <c r="AQ87" i="6" s="1"/>
  <c r="AO87" i="6"/>
  <c r="N79" i="15"/>
  <c r="N80" i="15" s="1"/>
  <c r="AP83" i="6"/>
  <c r="AJ104" i="6"/>
  <c r="AJ106" i="6"/>
  <c r="AP86" i="6" l="1"/>
  <c r="AR81" i="6"/>
  <c r="AJ6" i="9"/>
  <c r="AJ7" i="9" s="1"/>
  <c r="AK102" i="6"/>
  <c r="AR82" i="6" l="1"/>
  <c r="O74" i="15"/>
  <c r="AP87" i="6"/>
  <c r="AK104" i="6"/>
  <c r="AK106" i="6"/>
  <c r="AR83" i="6" l="1"/>
  <c r="O75" i="15"/>
  <c r="AS81" i="6"/>
  <c r="AL102" i="6"/>
  <c r="AK6" i="9"/>
  <c r="AK7" i="9" s="1"/>
  <c r="AS82" i="6" l="1"/>
  <c r="AT81" i="6" s="1"/>
  <c r="AR86" i="6"/>
  <c r="O76" i="15"/>
  <c r="AL104" i="6"/>
  <c r="AL106" i="6"/>
  <c r="E95" i="11"/>
  <c r="M95" i="15"/>
  <c r="AR87" i="6" l="1"/>
  <c r="O79" i="15"/>
  <c r="O80" i="15" s="1"/>
  <c r="AT82" i="6"/>
  <c r="AT83" i="6" s="1"/>
  <c r="AT86" i="6" s="1"/>
  <c r="AT87" i="6" s="1"/>
  <c r="AS83" i="6"/>
  <c r="M99" i="15"/>
  <c r="E99" i="11"/>
  <c r="AM102" i="6"/>
  <c r="AL6" i="9"/>
  <c r="AL7" i="9" s="1"/>
  <c r="E97" i="11"/>
  <c r="C282" i="12" s="1"/>
  <c r="M97" i="15"/>
  <c r="C285" i="12" l="1"/>
  <c r="C284" i="12"/>
  <c r="AU81" i="6"/>
  <c r="AU82" i="6" s="1"/>
  <c r="AV81" i="6" s="1"/>
  <c r="AS86" i="6"/>
  <c r="AM104" i="6"/>
  <c r="AM106" i="6"/>
  <c r="P74" i="15" l="1"/>
  <c r="AS87" i="6"/>
  <c r="AU83" i="6"/>
  <c r="P75" i="15"/>
  <c r="AV82" i="6"/>
  <c r="AW81" i="6" s="1"/>
  <c r="AM6" i="9"/>
  <c r="AN102" i="6"/>
  <c r="AW82" i="6" l="1"/>
  <c r="AW83" i="6" s="1"/>
  <c r="AW86" i="6" s="1"/>
  <c r="AW87" i="6" s="1"/>
  <c r="AU86" i="6"/>
  <c r="P76" i="15"/>
  <c r="AV83" i="6"/>
  <c r="AM7" i="9"/>
  <c r="AN104" i="6"/>
  <c r="AN106" i="6"/>
  <c r="AX81" i="6" l="1"/>
  <c r="Q74" i="15" s="1"/>
  <c r="AU87" i="6"/>
  <c r="P79" i="15"/>
  <c r="P80" i="15" s="1"/>
  <c r="AV86" i="6"/>
  <c r="AN6" i="9"/>
  <c r="AO102" i="6"/>
  <c r="AX82" i="6" l="1"/>
  <c r="AY81" i="6" s="1"/>
  <c r="AY82" i="6" s="1"/>
  <c r="AZ81" i="6" s="1"/>
  <c r="F74" i="11"/>
  <c r="AV87" i="6"/>
  <c r="AO104" i="6"/>
  <c r="AO106" i="6"/>
  <c r="N99" i="15" s="1"/>
  <c r="N95" i="15"/>
  <c r="AN7" i="9"/>
  <c r="F75" i="11" l="1"/>
  <c r="AX83" i="6"/>
  <c r="Q76" i="15" s="1"/>
  <c r="Q75" i="15"/>
  <c r="AZ82" i="6"/>
  <c r="AZ83" i="6" s="1"/>
  <c r="AZ86" i="6" s="1"/>
  <c r="AZ87" i="6" s="1"/>
  <c r="AY83" i="6"/>
  <c r="AP102" i="6"/>
  <c r="AO6" i="9"/>
  <c r="N97" i="15"/>
  <c r="F76" i="11" l="1"/>
  <c r="AX86" i="6"/>
  <c r="AX87" i="6" s="1"/>
  <c r="AY86" i="6"/>
  <c r="BA81" i="6"/>
  <c r="AO7" i="9"/>
  <c r="AP104" i="6"/>
  <c r="AP106" i="6"/>
  <c r="Q79" i="15" l="1"/>
  <c r="Q80" i="15" s="1"/>
  <c r="F79" i="11"/>
  <c r="F80" i="11" s="1"/>
  <c r="AY87" i="6"/>
  <c r="BA82" i="6"/>
  <c r="BB81" i="6" s="1"/>
  <c r="R74" i="15"/>
  <c r="AQ102" i="6"/>
  <c r="AP6" i="9"/>
  <c r="BB82" i="6" l="1"/>
  <c r="BA83" i="6"/>
  <c r="R75" i="15"/>
  <c r="AQ104" i="6"/>
  <c r="AQ106" i="6"/>
  <c r="AP7" i="9"/>
  <c r="BB83" i="6" l="1"/>
  <c r="BA86" i="6"/>
  <c r="R76" i="15"/>
  <c r="BC81" i="6"/>
  <c r="AR102" i="6"/>
  <c r="AQ6" i="9"/>
  <c r="BC82" i="6" l="1"/>
  <c r="BD81" i="6" s="1"/>
  <c r="S74" i="15" s="1"/>
  <c r="BA87" i="6"/>
  <c r="R79" i="15"/>
  <c r="R80" i="15" s="1"/>
  <c r="BB86" i="6"/>
  <c r="AQ7" i="9"/>
  <c r="AR104" i="6"/>
  <c r="AR106" i="6"/>
  <c r="O99" i="15" s="1"/>
  <c r="O95" i="15"/>
  <c r="BB87" i="6" l="1"/>
  <c r="BC83" i="6"/>
  <c r="BD82" i="6"/>
  <c r="BD83" i="6" s="1"/>
  <c r="BD86" i="6" s="1"/>
  <c r="BD87" i="6" s="1"/>
  <c r="AS102" i="6"/>
  <c r="AR6" i="9"/>
  <c r="AR7" i="9" s="1"/>
  <c r="O97" i="15"/>
  <c r="BC86" i="6" l="1"/>
  <c r="S76" i="15"/>
  <c r="BE81" i="6"/>
  <c r="S75" i="15"/>
  <c r="AS104" i="6"/>
  <c r="AS106" i="6"/>
  <c r="BE82" i="6" l="1"/>
  <c r="BF81" i="6" s="1"/>
  <c r="BC87" i="6"/>
  <c r="S79" i="15"/>
  <c r="S80" i="15" s="1"/>
  <c r="AT102" i="6"/>
  <c r="AS6" i="9"/>
  <c r="AS7" i="9" s="1"/>
  <c r="BF82" i="6" l="1"/>
  <c r="BF83" i="6" s="1"/>
  <c r="BF86" i="6" s="1"/>
  <c r="BF87" i="6" s="1"/>
  <c r="BE83" i="6"/>
  <c r="AT104" i="6"/>
  <c r="AT106" i="6"/>
  <c r="BG81" i="6" l="1"/>
  <c r="BG82" i="6" s="1"/>
  <c r="BE86" i="6"/>
  <c r="AU102" i="6"/>
  <c r="AT6" i="9"/>
  <c r="AT7" i="9" s="1"/>
  <c r="T74" i="15" l="1"/>
  <c r="BH81" i="6"/>
  <c r="BG83" i="6"/>
  <c r="T75" i="15"/>
  <c r="BE87" i="6"/>
  <c r="AU104" i="6"/>
  <c r="AU106" i="6"/>
  <c r="P99" i="15" s="1"/>
  <c r="P95" i="15"/>
  <c r="BG86" i="6" l="1"/>
  <c r="T76" i="15"/>
  <c r="BH82" i="6"/>
  <c r="AV102" i="6"/>
  <c r="AU6" i="9"/>
  <c r="AU7" i="9" s="1"/>
  <c r="P97" i="15"/>
  <c r="BI81" i="6" l="1"/>
  <c r="BH83" i="6"/>
  <c r="BG87" i="6"/>
  <c r="T79" i="15"/>
  <c r="T80" i="15" s="1"/>
  <c r="AV104" i="6"/>
  <c r="AV106" i="6"/>
  <c r="BH86" i="6" l="1"/>
  <c r="BI82" i="6"/>
  <c r="BJ81" i="6" s="1"/>
  <c r="AW102" i="6"/>
  <c r="AV6" i="9"/>
  <c r="AV7" i="9" s="1"/>
  <c r="BJ82" i="6" l="1"/>
  <c r="BK81" i="6" s="1"/>
  <c r="G74" i="11"/>
  <c r="BI83" i="6"/>
  <c r="U74" i="15"/>
  <c r="BH87" i="6"/>
  <c r="AW104" i="6"/>
  <c r="AW106" i="6"/>
  <c r="U75" i="15" l="1"/>
  <c r="BI86" i="6"/>
  <c r="BK82" i="6"/>
  <c r="BL81" i="6" s="1"/>
  <c r="BJ83" i="6"/>
  <c r="G75" i="11"/>
  <c r="AW6" i="9"/>
  <c r="AW7" i="9" s="1"/>
  <c r="AX102" i="6"/>
  <c r="BL82" i="6" l="1"/>
  <c r="BL83" i="6" s="1"/>
  <c r="BL86" i="6" s="1"/>
  <c r="BL87" i="6" s="1"/>
  <c r="BJ86" i="6"/>
  <c r="U79" i="15" s="1"/>
  <c r="U80" i="15" s="1"/>
  <c r="G76" i="11"/>
  <c r="BK83" i="6"/>
  <c r="U76" i="15"/>
  <c r="BI87" i="6"/>
  <c r="AX104" i="6"/>
  <c r="AX106" i="6"/>
  <c r="F95" i="11"/>
  <c r="Q95" i="15"/>
  <c r="BM81" i="6" l="1"/>
  <c r="V74" i="15" s="1"/>
  <c r="BJ87" i="6"/>
  <c r="G79" i="11"/>
  <c r="G80" i="11" s="1"/>
  <c r="BK86" i="6"/>
  <c r="Q99" i="15"/>
  <c r="F99" i="11"/>
  <c r="AY102" i="6"/>
  <c r="AX6" i="9"/>
  <c r="AX7" i="9" s="1"/>
  <c r="F97" i="11"/>
  <c r="D282" i="12" s="1"/>
  <c r="Q97" i="15"/>
  <c r="D284" i="12" l="1"/>
  <c r="D285" i="12"/>
  <c r="BM82" i="6"/>
  <c r="BM83" i="6" s="1"/>
  <c r="BK87" i="6"/>
  <c r="AY104" i="6"/>
  <c r="AY106" i="6"/>
  <c r="BN81" i="6" l="1"/>
  <c r="BN82" i="6" s="1"/>
  <c r="V75" i="15"/>
  <c r="BM86" i="6"/>
  <c r="V76" i="15"/>
  <c r="AZ102" i="6"/>
  <c r="AY6" i="9"/>
  <c r="BM87" i="6" l="1"/>
  <c r="V79" i="15"/>
  <c r="V80" i="15" s="1"/>
  <c r="BO81" i="6"/>
  <c r="BN83" i="6"/>
  <c r="AY7" i="9"/>
  <c r="AZ104" i="6"/>
  <c r="AZ106" i="6"/>
  <c r="BN86" i="6" l="1"/>
  <c r="BO82" i="6"/>
  <c r="BA102" i="6"/>
  <c r="AZ6" i="9"/>
  <c r="BP81" i="6" l="1"/>
  <c r="BO83" i="6"/>
  <c r="BN87" i="6"/>
  <c r="AZ7" i="9"/>
  <c r="BA104" i="6"/>
  <c r="BA106" i="6"/>
  <c r="R99" i="15" s="1"/>
  <c r="R95" i="15"/>
  <c r="BO86" i="6" l="1"/>
  <c r="W74" i="15"/>
  <c r="BP82" i="6"/>
  <c r="BQ81" i="6" s="1"/>
  <c r="BA6" i="9"/>
  <c r="R97" i="15"/>
  <c r="BB102" i="6"/>
  <c r="BQ82" i="6" l="1"/>
  <c r="BP83" i="6"/>
  <c r="W75" i="15"/>
  <c r="BO87" i="6"/>
  <c r="BB104" i="6"/>
  <c r="BB106" i="6"/>
  <c r="BA7" i="9"/>
  <c r="BP86" i="6" l="1"/>
  <c r="W76" i="15"/>
  <c r="BR81" i="6"/>
  <c r="BQ83" i="6"/>
  <c r="BC102" i="6"/>
  <c r="BB6" i="9"/>
  <c r="BR82" i="6" l="1"/>
  <c r="BS81" i="6" s="1"/>
  <c r="BQ86" i="6"/>
  <c r="BP87" i="6"/>
  <c r="W79" i="15"/>
  <c r="W80" i="15" s="1"/>
  <c r="BB7" i="9"/>
  <c r="BC104" i="6"/>
  <c r="BC106" i="6"/>
  <c r="BS82" i="6" l="1"/>
  <c r="X75" i="15" s="1"/>
  <c r="X74" i="15"/>
  <c r="BQ87" i="6"/>
  <c r="BR83" i="6"/>
  <c r="BD102" i="6"/>
  <c r="BC6" i="9"/>
  <c r="BR86" i="6" l="1"/>
  <c r="BT81" i="6"/>
  <c r="BS83" i="6"/>
  <c r="BS86" i="6" s="1"/>
  <c r="BS87" i="6" s="1"/>
  <c r="BC7" i="9"/>
  <c r="BD104" i="6"/>
  <c r="BD106" i="6"/>
  <c r="S99" i="15" s="1"/>
  <c r="S95" i="15"/>
  <c r="BT82" i="6" l="1"/>
  <c r="BU81" i="6" s="1"/>
  <c r="X76" i="15"/>
  <c r="BR87" i="6"/>
  <c r="X79" i="15"/>
  <c r="X80" i="15" s="1"/>
  <c r="BE102" i="6"/>
  <c r="BD6" i="9"/>
  <c r="BD7" i="9" s="1"/>
  <c r="S97" i="15"/>
  <c r="BU82" i="6" l="1"/>
  <c r="BU83" i="6" s="1"/>
  <c r="BU86" i="6" s="1"/>
  <c r="BU87" i="6" s="1"/>
  <c r="BT83" i="6"/>
  <c r="BE104" i="6"/>
  <c r="BE106" i="6"/>
  <c r="BV81" i="6" l="1"/>
  <c r="BV82" i="6" s="1"/>
  <c r="BW81" i="6" s="1"/>
  <c r="BT86" i="6"/>
  <c r="BE6" i="9"/>
  <c r="BE7" i="9" s="1"/>
  <c r="BF102" i="6"/>
  <c r="H74" i="11" l="1"/>
  <c r="Y74" i="15"/>
  <c r="Y75" i="15"/>
  <c r="BW82" i="6"/>
  <c r="BX81" i="6" s="1"/>
  <c r="BV83" i="6"/>
  <c r="H75" i="11"/>
  <c r="BT87" i="6"/>
  <c r="BF104" i="6"/>
  <c r="BF106" i="6"/>
  <c r="BX82" i="6" l="1"/>
  <c r="BX83" i="6" s="1"/>
  <c r="BX86" i="6" s="1"/>
  <c r="BX87" i="6" s="1"/>
  <c r="BV86" i="6"/>
  <c r="H76" i="11"/>
  <c r="Y76" i="15"/>
  <c r="BW83" i="6"/>
  <c r="BF6" i="9"/>
  <c r="BF7" i="9" s="1"/>
  <c r="BG102" i="6"/>
  <c r="BV87" i="6" l="1"/>
  <c r="H79" i="11"/>
  <c r="H80" i="11" s="1"/>
  <c r="Y79" i="15"/>
  <c r="Y80" i="15" s="1"/>
  <c r="BW86" i="6"/>
  <c r="BY81" i="6"/>
  <c r="BG104" i="6"/>
  <c r="BG106" i="6"/>
  <c r="T99" i="15" s="1"/>
  <c r="T95" i="15"/>
  <c r="BW87" i="6" l="1"/>
  <c r="BY82" i="6"/>
  <c r="Z74" i="15"/>
  <c r="BH102" i="6"/>
  <c r="BG6" i="9"/>
  <c r="BG7" i="9" s="1"/>
  <c r="T97" i="15"/>
  <c r="BY83" i="6" l="1"/>
  <c r="Z75" i="15"/>
  <c r="BZ81" i="6"/>
  <c r="BH104" i="6"/>
  <c r="BH106" i="6"/>
  <c r="BZ82" i="6" l="1"/>
  <c r="CA81" i="6" s="1"/>
  <c r="BY86" i="6"/>
  <c r="Z76" i="15"/>
  <c r="BI102" i="6"/>
  <c r="BH6" i="9"/>
  <c r="BH7" i="9" s="1"/>
  <c r="CA82" i="6" l="1"/>
  <c r="CA83" i="6" s="1"/>
  <c r="CA86" i="6" s="1"/>
  <c r="CA87" i="6" s="1"/>
  <c r="BY87" i="6"/>
  <c r="Z79" i="15"/>
  <c r="Z80" i="15" s="1"/>
  <c r="BZ83" i="6"/>
  <c r="BI104" i="6"/>
  <c r="BI106" i="6"/>
  <c r="CB81" i="6" l="1"/>
  <c r="CB82" i="6" s="1"/>
  <c r="BZ86" i="6"/>
  <c r="BI6" i="9"/>
  <c r="BI7" i="9" s="1"/>
  <c r="BJ102" i="6"/>
  <c r="AA74" i="15" l="1"/>
  <c r="CC81" i="6"/>
  <c r="CB83" i="6"/>
  <c r="AA75" i="15"/>
  <c r="BZ87" i="6"/>
  <c r="BJ104" i="6"/>
  <c r="BJ106" i="6"/>
  <c r="G95" i="11"/>
  <c r="U95" i="15"/>
  <c r="CB86" i="6" l="1"/>
  <c r="AA76" i="15"/>
  <c r="CC82" i="6"/>
  <c r="U99" i="15"/>
  <c r="G99" i="11"/>
  <c r="BJ6" i="9"/>
  <c r="BJ7" i="9" s="1"/>
  <c r="G97" i="11"/>
  <c r="E282" i="12" s="1"/>
  <c r="U97" i="15"/>
  <c r="BK102" i="6"/>
  <c r="E285" i="12" l="1"/>
  <c r="E284" i="12"/>
  <c r="CC83" i="6"/>
  <c r="CD81" i="6"/>
  <c r="CD82" i="6" s="1"/>
  <c r="CB87" i="6"/>
  <c r="AA79" i="15"/>
  <c r="AA80" i="15" s="1"/>
  <c r="BK104" i="6"/>
  <c r="BK106" i="6"/>
  <c r="CE81" i="6" l="1"/>
  <c r="CD83" i="6"/>
  <c r="CD86" i="6" s="1"/>
  <c r="CD87" i="6" s="1"/>
  <c r="CC86" i="6"/>
  <c r="BL102" i="6"/>
  <c r="BK6" i="9"/>
  <c r="AB74" i="15" l="1"/>
  <c r="CE82" i="6"/>
  <c r="CF81" i="6" s="1"/>
  <c r="CC87" i="6"/>
  <c r="BK7" i="9"/>
  <c r="BL104" i="6"/>
  <c r="BL106" i="6"/>
  <c r="CF82" i="6" l="1"/>
  <c r="CG81" i="6" s="1"/>
  <c r="CE83" i="6"/>
  <c r="AB75" i="15"/>
  <c r="BM102" i="6"/>
  <c r="BL6" i="9"/>
  <c r="CG82" i="6" l="1"/>
  <c r="CE86" i="6"/>
  <c r="AB76" i="15"/>
  <c r="CF83" i="6"/>
  <c r="BM104" i="6"/>
  <c r="BM106" i="6"/>
  <c r="V99" i="15" s="1"/>
  <c r="V95" i="15"/>
  <c r="BL7" i="9"/>
  <c r="CE87" i="6" l="1"/>
  <c r="AB79" i="15"/>
  <c r="AB80" i="15" s="1"/>
  <c r="CF86" i="6"/>
  <c r="CH81" i="6"/>
  <c r="CG83" i="6"/>
  <c r="CG86" i="6" s="1"/>
  <c r="CG87" i="6" s="1"/>
  <c r="BN102" i="6"/>
  <c r="BM6" i="9"/>
  <c r="V97" i="15"/>
  <c r="CF87" i="6" l="1"/>
  <c r="CH82" i="6"/>
  <c r="CI81" i="6" s="1"/>
  <c r="I74" i="11"/>
  <c r="AC74" i="15"/>
  <c r="BM7" i="9"/>
  <c r="BN104" i="6"/>
  <c r="BN106" i="6"/>
  <c r="CH83" i="6" l="1"/>
  <c r="I75" i="11"/>
  <c r="AC75" i="15"/>
  <c r="CI82" i="6"/>
  <c r="BO102" i="6"/>
  <c r="BN6" i="9"/>
  <c r="CI83" i="6" l="1"/>
  <c r="CJ81" i="6"/>
  <c r="CH86" i="6"/>
  <c r="I76" i="11"/>
  <c r="AC76" i="15"/>
  <c r="BN7" i="9"/>
  <c r="BO104" i="6"/>
  <c r="BO106" i="6"/>
  <c r="CJ82" i="6" l="1"/>
  <c r="CK81" i="6" s="1"/>
  <c r="CH87" i="6"/>
  <c r="I79" i="11"/>
  <c r="I80" i="11" s="1"/>
  <c r="AC79" i="15"/>
  <c r="AC80" i="15" s="1"/>
  <c r="CI86" i="6"/>
  <c r="BP102" i="6"/>
  <c r="BO6" i="9"/>
  <c r="CK82" i="6" l="1"/>
  <c r="CK83" i="6" s="1"/>
  <c r="CK86" i="6" s="1"/>
  <c r="CK87" i="6" s="1"/>
  <c r="AD74" i="15"/>
  <c r="CI87" i="6"/>
  <c r="CJ83" i="6"/>
  <c r="BO7" i="9"/>
  <c r="BP104" i="6"/>
  <c r="BP106" i="6"/>
  <c r="W99" i="15" s="1"/>
  <c r="W95" i="15"/>
  <c r="AD75" i="15" l="1"/>
  <c r="CL81" i="6"/>
  <c r="CL82" i="6" s="1"/>
  <c r="CM81" i="6" s="1"/>
  <c r="CJ86" i="6"/>
  <c r="AD76" i="15"/>
  <c r="BP6" i="9"/>
  <c r="BP7" i="9" s="1"/>
  <c r="W97" i="15"/>
  <c r="BQ102" i="6"/>
  <c r="CM82" i="6" l="1"/>
  <c r="CJ87" i="6"/>
  <c r="AD79" i="15"/>
  <c r="AD80" i="15" s="1"/>
  <c r="CL83" i="6"/>
  <c r="BQ104" i="6"/>
  <c r="BQ106" i="6"/>
  <c r="CL86" i="6" l="1"/>
  <c r="CN81" i="6"/>
  <c r="CM83" i="6"/>
  <c r="CM86" i="6" s="1"/>
  <c r="CM87" i="6" s="1"/>
  <c r="BR102" i="6"/>
  <c r="BQ6" i="9"/>
  <c r="BQ7" i="9" s="1"/>
  <c r="CN82" i="6" l="1"/>
  <c r="CO81" i="6" s="1"/>
  <c r="AE74" i="15"/>
  <c r="CL87" i="6"/>
  <c r="BR104" i="6"/>
  <c r="BR106" i="6"/>
  <c r="CO82" i="6" l="1"/>
  <c r="CP81" i="6" s="1"/>
  <c r="CP82" i="6" s="1"/>
  <c r="CN83" i="6"/>
  <c r="AE75" i="15"/>
  <c r="BR6" i="9"/>
  <c r="BR7" i="9" s="1"/>
  <c r="BS102" i="6"/>
  <c r="CN86" i="6" l="1"/>
  <c r="AE76" i="15"/>
  <c r="CQ81" i="6"/>
  <c r="CP83" i="6"/>
  <c r="CP86" i="6" s="1"/>
  <c r="CP87" i="6" s="1"/>
  <c r="CO83" i="6"/>
  <c r="BS104" i="6"/>
  <c r="BS106" i="6"/>
  <c r="X99" i="15" s="1"/>
  <c r="X95" i="15"/>
  <c r="AF74" i="15" l="1"/>
  <c r="CQ82" i="6"/>
  <c r="CR81" i="6" s="1"/>
  <c r="CO86" i="6"/>
  <c r="CN87" i="6"/>
  <c r="AE79" i="15"/>
  <c r="AE80" i="15" s="1"/>
  <c r="BT102" i="6"/>
  <c r="BS6" i="9"/>
  <c r="BS7" i="9" s="1"/>
  <c r="X97" i="15"/>
  <c r="CR82" i="6" l="1"/>
  <c r="CS81" i="6" s="1"/>
  <c r="CO87" i="6"/>
  <c r="CQ83" i="6"/>
  <c r="AF75" i="15"/>
  <c r="BT104" i="6"/>
  <c r="BT106" i="6"/>
  <c r="CS82" i="6" l="1"/>
  <c r="CS83" i="6" s="1"/>
  <c r="CS86" i="6" s="1"/>
  <c r="CS87" i="6" s="1"/>
  <c r="CQ86" i="6"/>
  <c r="AF76" i="15"/>
  <c r="CR83" i="6"/>
  <c r="BU102" i="6"/>
  <c r="BT6" i="9"/>
  <c r="BT7" i="9" s="1"/>
  <c r="CT81" i="6" l="1"/>
  <c r="AG74" i="15" s="1"/>
  <c r="CQ87" i="6"/>
  <c r="AF79" i="15"/>
  <c r="AF80" i="15" s="1"/>
  <c r="CR86" i="6"/>
  <c r="BU104" i="6"/>
  <c r="BU106" i="6"/>
  <c r="CT82" i="6" l="1"/>
  <c r="CU81" i="6" s="1"/>
  <c r="CU82" i="6" s="1"/>
  <c r="CV81" i="6" s="1"/>
  <c r="J74" i="11"/>
  <c r="CR87" i="6"/>
  <c r="BU6" i="9"/>
  <c r="BU7" i="9" s="1"/>
  <c r="BV102" i="6"/>
  <c r="J75" i="11" l="1"/>
  <c r="CT83" i="6"/>
  <c r="CT86" i="6" s="1"/>
  <c r="AG75" i="15"/>
  <c r="CV82" i="6"/>
  <c r="CV83" i="6" s="1"/>
  <c r="CV86" i="6" s="1"/>
  <c r="CV87" i="6" s="1"/>
  <c r="CU83" i="6"/>
  <c r="BV104" i="6"/>
  <c r="BV106" i="6"/>
  <c r="H95" i="11"/>
  <c r="Y95" i="15"/>
  <c r="AG76" i="15" l="1"/>
  <c r="J76" i="11"/>
  <c r="CU86" i="6"/>
  <c r="CW81" i="6"/>
  <c r="CT87" i="6"/>
  <c r="J79" i="11"/>
  <c r="J80" i="11" s="1"/>
  <c r="AG79" i="15"/>
  <c r="AG80" i="15" s="1"/>
  <c r="Y99" i="15"/>
  <c r="H99" i="11"/>
  <c r="BW102" i="6"/>
  <c r="BV6" i="9"/>
  <c r="BV7" i="9" s="1"/>
  <c r="H97" i="11"/>
  <c r="F282" i="12" s="1"/>
  <c r="Y97" i="15"/>
  <c r="F284" i="12" l="1"/>
  <c r="F285" i="12"/>
  <c r="CW82" i="6"/>
  <c r="CX81" i="6" s="1"/>
  <c r="AH74" i="15"/>
  <c r="CU87" i="6"/>
  <c r="BW104" i="6"/>
  <c r="BW106" i="6"/>
  <c r="CX82" i="6" l="1"/>
  <c r="CY81" i="6" s="1"/>
  <c r="CW83" i="6"/>
  <c r="AH75" i="15"/>
  <c r="BX102" i="6"/>
  <c r="BW6" i="9"/>
  <c r="CW86" i="6" l="1"/>
  <c r="AH76" i="15"/>
  <c r="CY82" i="6"/>
  <c r="CZ81" i="6" s="1"/>
  <c r="CX83" i="6"/>
  <c r="BW7" i="9"/>
  <c r="BX104" i="6"/>
  <c r="BX106" i="6"/>
  <c r="CZ82" i="6" l="1"/>
  <c r="AI74" i="15"/>
  <c r="CX86" i="6"/>
  <c r="CW87" i="6"/>
  <c r="AH79" i="15"/>
  <c r="AH80" i="15" s="1"/>
  <c r="CY83" i="6"/>
  <c r="CY86" i="6" s="1"/>
  <c r="CY87" i="6" s="1"/>
  <c r="BX6" i="9"/>
  <c r="BY102" i="6"/>
  <c r="CX87" i="6" l="1"/>
  <c r="DA81" i="6"/>
  <c r="CZ83" i="6"/>
  <c r="CZ86" i="6" s="1"/>
  <c r="CZ87" i="6" s="1"/>
  <c r="AI75" i="15"/>
  <c r="BY104" i="6"/>
  <c r="BY106" i="6"/>
  <c r="Z99" i="15" s="1"/>
  <c r="Z95" i="15"/>
  <c r="BX7" i="9"/>
  <c r="DA82" i="6" l="1"/>
  <c r="DB81" i="6" s="1"/>
  <c r="DB82" i="6" s="1"/>
  <c r="AI79" i="15"/>
  <c r="AI80" i="15" s="1"/>
  <c r="AI76" i="15"/>
  <c r="BZ102" i="6"/>
  <c r="BY6" i="9"/>
  <c r="Z97" i="15"/>
  <c r="DC81" i="6" l="1"/>
  <c r="AJ74" i="15" s="1"/>
  <c r="DB83" i="6"/>
  <c r="DB86" i="6" s="1"/>
  <c r="DB87" i="6" s="1"/>
  <c r="DA83" i="6"/>
  <c r="BY7" i="9"/>
  <c r="BZ104" i="6"/>
  <c r="BZ106" i="6"/>
  <c r="DA86" i="6" l="1"/>
  <c r="DC82" i="6"/>
  <c r="DD81" i="6" s="1"/>
  <c r="CA102" i="6"/>
  <c r="BZ6" i="9"/>
  <c r="DD82" i="6" l="1"/>
  <c r="DE81" i="6" s="1"/>
  <c r="DC83" i="6"/>
  <c r="AJ75" i="15"/>
  <c r="DA87" i="6"/>
  <c r="BZ7" i="9"/>
  <c r="CA104" i="6"/>
  <c r="CA106" i="6"/>
  <c r="DC86" i="6" l="1"/>
  <c r="AJ76" i="15"/>
  <c r="DE82" i="6"/>
  <c r="DE83" i="6" s="1"/>
  <c r="DE86" i="6" s="1"/>
  <c r="DE87" i="6" s="1"/>
  <c r="DD83" i="6"/>
  <c r="CA6" i="9"/>
  <c r="CB102" i="6"/>
  <c r="DF81" i="6" l="1"/>
  <c r="K74" i="11" s="1"/>
  <c r="DD86" i="6"/>
  <c r="DC87" i="6"/>
  <c r="AJ79" i="15"/>
  <c r="AJ80" i="15" s="1"/>
  <c r="CB104" i="6"/>
  <c r="CB106" i="6"/>
  <c r="AA99" i="15" s="1"/>
  <c r="AA95" i="15"/>
  <c r="CA7" i="9"/>
  <c r="DF82" i="6" l="1"/>
  <c r="DG81" i="6" s="1"/>
  <c r="DG82" i="6" s="1"/>
  <c r="DH81" i="6" s="1"/>
  <c r="AK74" i="15"/>
  <c r="DD87" i="6"/>
  <c r="CC102" i="6"/>
  <c r="CB6" i="9"/>
  <c r="CB7" i="9" s="1"/>
  <c r="AA97" i="15"/>
  <c r="K75" i="11" l="1"/>
  <c r="DF83" i="6"/>
  <c r="AK76" i="15" s="1"/>
  <c r="AK75" i="15"/>
  <c r="DH82" i="6"/>
  <c r="DH83" i="6" s="1"/>
  <c r="DH86" i="6" s="1"/>
  <c r="DH87" i="6" s="1"/>
  <c r="DG83" i="6"/>
  <c r="CC104" i="6"/>
  <c r="CC106" i="6"/>
  <c r="K76" i="11" l="1"/>
  <c r="DF86" i="6"/>
  <c r="DF87" i="6" s="1"/>
  <c r="DI81" i="6"/>
  <c r="AL74" i="15" s="1"/>
  <c r="DG86" i="6"/>
  <c r="CD102" i="6"/>
  <c r="CC6" i="9"/>
  <c r="CC7" i="9" s="1"/>
  <c r="AK79" i="15" l="1"/>
  <c r="AK80" i="15" s="1"/>
  <c r="K79" i="11"/>
  <c r="K80" i="11" s="1"/>
  <c r="DI82" i="6"/>
  <c r="DJ81" i="6" s="1"/>
  <c r="DJ82" i="6" s="1"/>
  <c r="DG87" i="6"/>
  <c r="CD104" i="6"/>
  <c r="CD106" i="6"/>
  <c r="AL75" i="15" l="1"/>
  <c r="DI83" i="6"/>
  <c r="AL76" i="15" s="1"/>
  <c r="DK81" i="6"/>
  <c r="DJ83" i="6"/>
  <c r="CE102" i="6"/>
  <c r="CD6" i="9"/>
  <c r="CD7" i="9" s="1"/>
  <c r="DI86" i="6" l="1"/>
  <c r="DI87" i="6" s="1"/>
  <c r="DK82" i="6"/>
  <c r="DL81" i="6" s="1"/>
  <c r="AM74" i="15" s="1"/>
  <c r="DJ86" i="6"/>
  <c r="CE104" i="6"/>
  <c r="CE106" i="6"/>
  <c r="AB99" i="15" s="1"/>
  <c r="AB95" i="15"/>
  <c r="AL79" i="15" l="1"/>
  <c r="AL80" i="15" s="1"/>
  <c r="DL82" i="6"/>
  <c r="DL83" i="6" s="1"/>
  <c r="DL86" i="6" s="1"/>
  <c r="DL87" i="6" s="1"/>
  <c r="DJ87" i="6"/>
  <c r="DK83" i="6"/>
  <c r="CF102" i="6"/>
  <c r="CE6" i="9"/>
  <c r="CE7" i="9" s="1"/>
  <c r="AB97" i="15"/>
  <c r="AM75" i="15" l="1"/>
  <c r="DM81" i="6"/>
  <c r="DM82" i="6" s="1"/>
  <c r="DK86" i="6"/>
  <c r="AM76" i="15"/>
  <c r="CF104" i="6"/>
  <c r="CF106" i="6"/>
  <c r="DN81" i="6" l="1"/>
  <c r="DN82" i="6" s="1"/>
  <c r="DN83" i="6" s="1"/>
  <c r="DN86" i="6" s="1"/>
  <c r="DN87" i="6" s="1"/>
  <c r="DN89" i="6" s="1"/>
  <c r="DN91" i="6" s="1"/>
  <c r="DK87" i="6"/>
  <c r="AM79" i="15"/>
  <c r="AM80" i="15" s="1"/>
  <c r="DM83" i="6"/>
  <c r="CG102" i="6"/>
  <c r="CF6" i="9"/>
  <c r="CF7" i="9" s="1"/>
  <c r="DN95" i="6" l="1"/>
  <c r="DO81" i="6"/>
  <c r="DO82" i="6" s="1"/>
  <c r="DP81" i="6" s="1"/>
  <c r="DM86" i="6"/>
  <c r="CG104" i="6"/>
  <c r="CG106" i="6"/>
  <c r="DN28" i="9" l="1"/>
  <c r="DN33" i="9" s="1"/>
  <c r="DN34" i="9" s="1"/>
  <c r="DN98" i="6"/>
  <c r="AN74" i="15"/>
  <c r="DP82" i="6"/>
  <c r="DM87" i="6"/>
  <c r="DO83" i="6"/>
  <c r="AN75" i="15"/>
  <c r="CG6" i="9"/>
  <c r="CG7" i="9" s="1"/>
  <c r="CH102" i="6"/>
  <c r="DO86" i="6" l="1"/>
  <c r="AN76" i="15"/>
  <c r="DQ81" i="6"/>
  <c r="DP83" i="6"/>
  <c r="CH104" i="6"/>
  <c r="CH106" i="6"/>
  <c r="I95" i="11"/>
  <c r="AC95" i="15"/>
  <c r="DP86" i="6" l="1"/>
  <c r="DQ82" i="6"/>
  <c r="DR81" i="6" s="1"/>
  <c r="DO87" i="6"/>
  <c r="DO89" i="6" s="1"/>
  <c r="AN79" i="15"/>
  <c r="AN80" i="15" s="1"/>
  <c r="AC99" i="15"/>
  <c r="I99" i="11"/>
  <c r="CH6" i="9"/>
  <c r="CH7" i="9" s="1"/>
  <c r="I97" i="11"/>
  <c r="AC97" i="15"/>
  <c r="CI102" i="6"/>
  <c r="AN82" i="15" l="1"/>
  <c r="DO91" i="6"/>
  <c r="DQ83" i="6"/>
  <c r="DR82" i="6"/>
  <c r="DS81" i="6" s="1"/>
  <c r="L74" i="11"/>
  <c r="AO74" i="15"/>
  <c r="DP87" i="6"/>
  <c r="DP89" i="6" s="1"/>
  <c r="DP91" i="6" s="1"/>
  <c r="DP95" i="6" s="1"/>
  <c r="CI104" i="6"/>
  <c r="CI106" i="6"/>
  <c r="DO95" i="6" l="1"/>
  <c r="AN88" i="15" s="1"/>
  <c r="AN84" i="15"/>
  <c r="DP98" i="6"/>
  <c r="DP28" i="9"/>
  <c r="DP33" i="9" s="1"/>
  <c r="DP34" i="9" s="1"/>
  <c r="DR83" i="6"/>
  <c r="AO76" i="15" s="1"/>
  <c r="L75" i="11"/>
  <c r="DS82" i="6"/>
  <c r="DT81" i="6" s="1"/>
  <c r="DT82" i="6" s="1"/>
  <c r="AO75" i="15"/>
  <c r="DQ86" i="6"/>
  <c r="CJ102" i="6"/>
  <c r="CI6" i="9"/>
  <c r="DO98" i="6" l="1"/>
  <c r="AN91" i="15" s="1"/>
  <c r="DO28" i="9"/>
  <c r="DO33" i="9" s="1"/>
  <c r="DO34" i="9" s="1"/>
  <c r="DS83" i="6"/>
  <c r="DQ87" i="6"/>
  <c r="DQ89" i="6" s="1"/>
  <c r="DQ91" i="6" s="1"/>
  <c r="DQ95" i="6" s="1"/>
  <c r="DU81" i="6"/>
  <c r="DT83" i="6"/>
  <c r="DT86" i="6" s="1"/>
  <c r="DT87" i="6" s="1"/>
  <c r="DT89" i="6" s="1"/>
  <c r="DT91" i="6" s="1"/>
  <c r="DT95" i="6" s="1"/>
  <c r="DR86" i="6"/>
  <c r="L76" i="11"/>
  <c r="CI7" i="9"/>
  <c r="CJ104" i="6"/>
  <c r="CJ106" i="6"/>
  <c r="DQ98" i="6" l="1"/>
  <c r="DQ28" i="9"/>
  <c r="DQ33" i="9" s="1"/>
  <c r="DQ34" i="9" s="1"/>
  <c r="DU82" i="6"/>
  <c r="DV81" i="6" s="1"/>
  <c r="DT98" i="6"/>
  <c r="DT28" i="9"/>
  <c r="DT33" i="9" s="1"/>
  <c r="DT34" i="9" s="1"/>
  <c r="DR87" i="6"/>
  <c r="DR89" i="6" s="1"/>
  <c r="L79" i="11"/>
  <c r="L80" i="11" s="1"/>
  <c r="AP74" i="15"/>
  <c r="AO79" i="15"/>
  <c r="AO80" i="15" s="1"/>
  <c r="DS86" i="6"/>
  <c r="CK102" i="6"/>
  <c r="CJ6" i="9"/>
  <c r="DV82" i="6" l="1"/>
  <c r="DS87" i="6"/>
  <c r="DS89" i="6" s="1"/>
  <c r="DR91" i="6"/>
  <c r="V9" i="1"/>
  <c r="V10" i="1" s="1"/>
  <c r="T43" i="1" s="1"/>
  <c r="T44" i="1" s="1"/>
  <c r="AO82" i="15"/>
  <c r="L82" i="11"/>
  <c r="L84" i="11" s="1"/>
  <c r="L88" i="11" s="1"/>
  <c r="DU83" i="6"/>
  <c r="AP75" i="15"/>
  <c r="CK104" i="6"/>
  <c r="CK106" i="6"/>
  <c r="AD99" i="15" s="1"/>
  <c r="AD95" i="15"/>
  <c r="CJ7" i="9"/>
  <c r="DU86" i="6" l="1"/>
  <c r="AP76" i="15"/>
  <c r="L91" i="11"/>
  <c r="K9" i="12"/>
  <c r="AO84" i="15"/>
  <c r="DR95" i="6"/>
  <c r="DS91" i="6"/>
  <c r="DW81" i="6"/>
  <c r="DV83" i="6"/>
  <c r="CL102" i="6"/>
  <c r="CK6" i="9"/>
  <c r="AD97" i="15"/>
  <c r="K12" i="12" l="1"/>
  <c r="AC121" i="12"/>
  <c r="DV86" i="6"/>
  <c r="DS95" i="6"/>
  <c r="DW82" i="6"/>
  <c r="DX81" i="6" s="1"/>
  <c r="DX82" i="6" s="1"/>
  <c r="DR98" i="6"/>
  <c r="AO91" i="15" s="1"/>
  <c r="AO88" i="15"/>
  <c r="DR28" i="9"/>
  <c r="DR33" i="9" s="1"/>
  <c r="DR34" i="9" s="1"/>
  <c r="DU87" i="6"/>
  <c r="DU89" i="6" s="1"/>
  <c r="AP79" i="15"/>
  <c r="AP80" i="15" s="1"/>
  <c r="CK7" i="9"/>
  <c r="CL104" i="6"/>
  <c r="CL106" i="6"/>
  <c r="AQ74" i="15" l="1"/>
  <c r="DS98" i="6"/>
  <c r="DS28" i="9"/>
  <c r="DS33" i="9" s="1"/>
  <c r="DS34" i="9" s="1"/>
  <c r="DY81" i="6"/>
  <c r="DX83" i="6"/>
  <c r="DX86" i="6" s="1"/>
  <c r="DX87" i="6" s="1"/>
  <c r="DX89" i="6" s="1"/>
  <c r="DX91" i="6" s="1"/>
  <c r="DX95" i="6" s="1"/>
  <c r="DU91" i="6"/>
  <c r="AP82" i="15"/>
  <c r="DW83" i="6"/>
  <c r="AQ75" i="15"/>
  <c r="DV87" i="6"/>
  <c r="DV89" i="6" s="1"/>
  <c r="CM102" i="6"/>
  <c r="CL6" i="9"/>
  <c r="DV91" i="6" l="1"/>
  <c r="DU95" i="6"/>
  <c r="AP84" i="15"/>
  <c r="DW86" i="6"/>
  <c r="AQ76" i="15"/>
  <c r="DX28" i="9"/>
  <c r="DX33" i="9" s="1"/>
  <c r="DX34" i="9" s="1"/>
  <c r="DX98" i="6"/>
  <c r="DY82" i="6"/>
  <c r="CL7" i="9"/>
  <c r="CM104" i="6"/>
  <c r="CM106" i="6"/>
  <c r="DY83" i="6" l="1"/>
  <c r="DU98" i="6"/>
  <c r="AP91" i="15" s="1"/>
  <c r="DU28" i="9"/>
  <c r="DU33" i="9" s="1"/>
  <c r="DU34" i="9" s="1"/>
  <c r="AP88" i="15"/>
  <c r="DZ81" i="6"/>
  <c r="DW87" i="6"/>
  <c r="DW89" i="6" s="1"/>
  <c r="AQ79" i="15"/>
  <c r="AQ80" i="15" s="1"/>
  <c r="DV95" i="6"/>
  <c r="CN102" i="6"/>
  <c r="CM6" i="9"/>
  <c r="DV28" i="9" l="1"/>
  <c r="DV33" i="9" s="1"/>
  <c r="DV34" i="9" s="1"/>
  <c r="DV98" i="6"/>
  <c r="DZ82" i="6"/>
  <c r="DW91" i="6"/>
  <c r="AQ82" i="15"/>
  <c r="DY86" i="6"/>
  <c r="CN104" i="6"/>
  <c r="CN106" i="6"/>
  <c r="AE99" i="15" s="1"/>
  <c r="AE95" i="15"/>
  <c r="CM7" i="9"/>
  <c r="EA81" i="6" l="1"/>
  <c r="DZ83" i="6"/>
  <c r="DW95" i="6"/>
  <c r="AQ84" i="15"/>
  <c r="DY87" i="6"/>
  <c r="DY89" i="6" s="1"/>
  <c r="CO102" i="6"/>
  <c r="CN6" i="9"/>
  <c r="CN7" i="9" s="1"/>
  <c r="AE97" i="15"/>
  <c r="DY91" i="6" l="1"/>
  <c r="DZ86" i="6"/>
  <c r="DW28" i="9"/>
  <c r="DW33" i="9" s="1"/>
  <c r="DW34" i="9" s="1"/>
  <c r="DW98" i="6"/>
  <c r="AQ91" i="15" s="1"/>
  <c r="AQ88" i="15"/>
  <c r="EA82" i="6"/>
  <c r="EB81" i="6" s="1"/>
  <c r="AR74" i="15"/>
  <c r="CO104" i="6"/>
  <c r="CO106" i="6"/>
  <c r="DZ87" i="6" l="1"/>
  <c r="DZ89" i="6" s="1"/>
  <c r="EB82" i="6"/>
  <c r="EC81" i="6" s="1"/>
  <c r="EA83" i="6"/>
  <c r="AR75" i="15"/>
  <c r="DY95" i="6"/>
  <c r="CP102" i="6"/>
  <c r="CO6" i="9"/>
  <c r="CO7" i="9" s="1"/>
  <c r="EB83" i="6" l="1"/>
  <c r="EA86" i="6"/>
  <c r="AR76" i="15"/>
  <c r="DY98" i="6"/>
  <c r="DY28" i="9"/>
  <c r="DY33" i="9" s="1"/>
  <c r="DY34" i="9" s="1"/>
  <c r="EC82" i="6"/>
  <c r="EC83" i="6" s="1"/>
  <c r="EC86" i="6" s="1"/>
  <c r="EC87" i="6" s="1"/>
  <c r="EC89" i="6" s="1"/>
  <c r="EC91" i="6" s="1"/>
  <c r="EC95" i="6" s="1"/>
  <c r="DZ91" i="6"/>
  <c r="CP104" i="6"/>
  <c r="CP106" i="6"/>
  <c r="EC28" i="9" l="1"/>
  <c r="EC33" i="9" s="1"/>
  <c r="EC34" i="9" s="1"/>
  <c r="EC98" i="6"/>
  <c r="EA87" i="6"/>
  <c r="EA89" i="6" s="1"/>
  <c r="AR79" i="15"/>
  <c r="AR80" i="15" s="1"/>
  <c r="DZ95" i="6"/>
  <c r="ED81" i="6"/>
  <c r="EB86" i="6"/>
  <c r="CP6" i="9"/>
  <c r="CP7" i="9" s="1"/>
  <c r="CQ102" i="6"/>
  <c r="ED82" i="6" l="1"/>
  <c r="EE81" i="6" s="1"/>
  <c r="M74" i="11"/>
  <c r="AS74" i="15"/>
  <c r="EA91" i="6"/>
  <c r="AR82" i="15"/>
  <c r="DZ98" i="6"/>
  <c r="DZ28" i="9"/>
  <c r="DZ33" i="9" s="1"/>
  <c r="DZ34" i="9" s="1"/>
  <c r="EB87" i="6"/>
  <c r="EB89" i="6" s="1"/>
  <c r="CQ104" i="6"/>
  <c r="CQ106" i="6"/>
  <c r="AF99" i="15" s="1"/>
  <c r="AF95" i="15"/>
  <c r="EB91" i="6" l="1"/>
  <c r="EE82" i="6"/>
  <c r="EF81" i="6" s="1"/>
  <c r="EA95" i="6"/>
  <c r="AR84" i="15"/>
  <c r="ED83" i="6"/>
  <c r="M75" i="11"/>
  <c r="AS75" i="15"/>
  <c r="CR102" i="6"/>
  <c r="CQ6" i="9"/>
  <c r="CQ7" i="9" s="1"/>
  <c r="AF97" i="15"/>
  <c r="EF82" i="6" l="1"/>
  <c r="EA98" i="6"/>
  <c r="AR91" i="15" s="1"/>
  <c r="EA28" i="9"/>
  <c r="EA33" i="9" s="1"/>
  <c r="EA34" i="9" s="1"/>
  <c r="AR88" i="15"/>
  <c r="EE83" i="6"/>
  <c r="ED86" i="6"/>
  <c r="M76" i="11"/>
  <c r="AS76" i="15"/>
  <c r="EB95" i="6"/>
  <c r="CR104" i="6"/>
  <c r="CR106" i="6"/>
  <c r="EE86" i="6" l="1"/>
  <c r="ED87" i="6"/>
  <c r="ED89" i="6" s="1"/>
  <c r="M79" i="11"/>
  <c r="M80" i="11" s="1"/>
  <c r="AS79" i="15"/>
  <c r="AS80" i="15" s="1"/>
  <c r="EB28" i="9"/>
  <c r="EB33" i="9" s="1"/>
  <c r="EB34" i="9" s="1"/>
  <c r="EB98" i="6"/>
  <c r="EG81" i="6"/>
  <c r="EF83" i="6"/>
  <c r="EF86" i="6" s="1"/>
  <c r="EF87" i="6" s="1"/>
  <c r="EF89" i="6" s="1"/>
  <c r="EF91" i="6" s="1"/>
  <c r="EF95" i="6" s="1"/>
  <c r="CS102" i="6"/>
  <c r="CR6" i="9"/>
  <c r="CR7" i="9" s="1"/>
  <c r="ED91" i="6" l="1"/>
  <c r="M82" i="11"/>
  <c r="M84" i="11" s="1"/>
  <c r="M88" i="11" s="1"/>
  <c r="AS82" i="15"/>
  <c r="EF28" i="9"/>
  <c r="EF33" i="9" s="1"/>
  <c r="EF34" i="9" s="1"/>
  <c r="EF98" i="6"/>
  <c r="EG82" i="6"/>
  <c r="EH81" i="6" s="1"/>
  <c r="AT74" i="15"/>
  <c r="EE87" i="6"/>
  <c r="EE89" i="6" s="1"/>
  <c r="CS104" i="6"/>
  <c r="CS106" i="6"/>
  <c r="EE91" i="6" l="1"/>
  <c r="EH82" i="6"/>
  <c r="EG83" i="6"/>
  <c r="AT75" i="15"/>
  <c r="L9" i="12"/>
  <c r="M91" i="11"/>
  <c r="L12" i="12" s="1"/>
  <c r="ED95" i="6"/>
  <c r="AS84" i="15"/>
  <c r="CT102" i="6"/>
  <c r="CS6" i="9"/>
  <c r="CS7" i="9" s="1"/>
  <c r="EH83" i="6" l="1"/>
  <c r="EG86" i="6"/>
  <c r="AT76" i="15"/>
  <c r="ED98" i="6"/>
  <c r="AS91" i="15" s="1"/>
  <c r="ED28" i="9"/>
  <c r="ED33" i="9" s="1"/>
  <c r="ED34" i="9" s="1"/>
  <c r="AS88" i="15"/>
  <c r="EI81" i="6"/>
  <c r="EE95" i="6"/>
  <c r="CT104" i="6"/>
  <c r="CT106" i="6"/>
  <c r="J95" i="11"/>
  <c r="AG95" i="15"/>
  <c r="EG87" i="6" l="1"/>
  <c r="EG89" i="6" s="1"/>
  <c r="AT79" i="15"/>
  <c r="AT80" i="15" s="1"/>
  <c r="EE98" i="6"/>
  <c r="EE28" i="9"/>
  <c r="EE33" i="9" s="1"/>
  <c r="EE34" i="9" s="1"/>
  <c r="EI82" i="6"/>
  <c r="EH86" i="6"/>
  <c r="AG99" i="15"/>
  <c r="J99" i="11"/>
  <c r="CU102" i="6"/>
  <c r="CT6" i="9"/>
  <c r="CT7" i="9" s="1"/>
  <c r="J97" i="11"/>
  <c r="AG97" i="15"/>
  <c r="EJ81" i="6" l="1"/>
  <c r="EI83" i="6"/>
  <c r="EH87" i="6"/>
  <c r="EH89" i="6" s="1"/>
  <c r="EG91" i="6"/>
  <c r="AT82" i="15"/>
  <c r="CU104" i="6"/>
  <c r="CU106" i="6"/>
  <c r="EH91" i="6" l="1"/>
  <c r="EI86" i="6"/>
  <c r="EG95" i="6"/>
  <c r="AT84" i="15"/>
  <c r="EJ82" i="6"/>
  <c r="AU74" i="15"/>
  <c r="CV102" i="6"/>
  <c r="CU6" i="9"/>
  <c r="EI87" i="6" l="1"/>
  <c r="EI89" i="6" s="1"/>
  <c r="EK81" i="6"/>
  <c r="EJ83" i="6"/>
  <c r="AU75" i="15"/>
  <c r="EG28" i="9"/>
  <c r="EG33" i="9" s="1"/>
  <c r="EG34" i="9" s="1"/>
  <c r="EG98" i="6"/>
  <c r="AT91" i="15" s="1"/>
  <c r="AT88" i="15"/>
  <c r="EH95" i="6"/>
  <c r="CU7" i="9"/>
  <c r="CV104" i="6"/>
  <c r="CV106" i="6"/>
  <c r="EK82" i="6" l="1"/>
  <c r="EL81" i="6" s="1"/>
  <c r="EL82" i="6" s="1"/>
  <c r="EH98" i="6"/>
  <c r="EH28" i="9"/>
  <c r="EH33" i="9" s="1"/>
  <c r="EH34" i="9" s="1"/>
  <c r="EJ86" i="6"/>
  <c r="AU76" i="15"/>
  <c r="EI91" i="6"/>
  <c r="CV6" i="9"/>
  <c r="CW102" i="6"/>
  <c r="EM81" i="6" l="1"/>
  <c r="EL83" i="6"/>
  <c r="EL86" i="6" s="1"/>
  <c r="EL87" i="6" s="1"/>
  <c r="EL89" i="6" s="1"/>
  <c r="EL91" i="6" s="1"/>
  <c r="EL95" i="6" s="1"/>
  <c r="EJ87" i="6"/>
  <c r="EJ89" i="6" s="1"/>
  <c r="AU79" i="15"/>
  <c r="AU80" i="15" s="1"/>
  <c r="EI95" i="6"/>
  <c r="EK83" i="6"/>
  <c r="CV7" i="9"/>
  <c r="CW104" i="6"/>
  <c r="CW106" i="6"/>
  <c r="AH99" i="15" s="1"/>
  <c r="AH95" i="15"/>
  <c r="EJ91" i="6" l="1"/>
  <c r="AU82" i="15"/>
  <c r="EI98" i="6"/>
  <c r="EI28" i="9"/>
  <c r="EI33" i="9" s="1"/>
  <c r="EI34" i="9" s="1"/>
  <c r="EL98" i="6"/>
  <c r="EL28" i="9"/>
  <c r="EL33" i="9" s="1"/>
  <c r="EL34" i="9" s="1"/>
  <c r="EK86" i="6"/>
  <c r="AV74" i="15"/>
  <c r="EM82" i="6"/>
  <c r="CX102" i="6"/>
  <c r="CW6" i="9"/>
  <c r="AH97" i="15"/>
  <c r="EM83" i="6" l="1"/>
  <c r="AV75" i="15"/>
  <c r="EN81" i="6"/>
  <c r="EK87" i="6"/>
  <c r="EK89" i="6" s="1"/>
  <c r="EJ95" i="6"/>
  <c r="AU84" i="15"/>
  <c r="CW7" i="9"/>
  <c r="CX104" i="6"/>
  <c r="CX106" i="6"/>
  <c r="EJ28" i="9" l="1"/>
  <c r="EJ33" i="9" s="1"/>
  <c r="EJ34" i="9" s="1"/>
  <c r="EJ98" i="6"/>
  <c r="AU91" i="15" s="1"/>
  <c r="AU88" i="15"/>
  <c r="EN82" i="6"/>
  <c r="EK91" i="6"/>
  <c r="EM86" i="6"/>
  <c r="AV76" i="15"/>
  <c r="CX6" i="9"/>
  <c r="CY102" i="6"/>
  <c r="EN83" i="6" l="1"/>
  <c r="EK95" i="6"/>
  <c r="EM87" i="6"/>
  <c r="EM89" i="6" s="1"/>
  <c r="AV79" i="15"/>
  <c r="AV80" i="15" s="1"/>
  <c r="EO81" i="6"/>
  <c r="CY104" i="6"/>
  <c r="CY106" i="6"/>
  <c r="CX7" i="9"/>
  <c r="EO82" i="6" l="1"/>
  <c r="EK98" i="6"/>
  <c r="EK28" i="9"/>
  <c r="EK33" i="9" s="1"/>
  <c r="EK34" i="9" s="1"/>
  <c r="EM91" i="6"/>
  <c r="AV82" i="15"/>
  <c r="EN86" i="6"/>
  <c r="CY6" i="9"/>
  <c r="CZ102" i="6"/>
  <c r="EN87" i="6" l="1"/>
  <c r="EN89" i="6" s="1"/>
  <c r="EM95" i="6"/>
  <c r="AV84" i="15"/>
  <c r="EP81" i="6"/>
  <c r="EO83" i="6"/>
  <c r="CZ104" i="6"/>
  <c r="CZ106" i="6"/>
  <c r="AI99" i="15" s="1"/>
  <c r="AI95" i="15"/>
  <c r="CY7" i="9"/>
  <c r="EM98" i="6" l="1"/>
  <c r="AV91" i="15" s="1"/>
  <c r="EM28" i="9"/>
  <c r="EM33" i="9" s="1"/>
  <c r="EM34" i="9" s="1"/>
  <c r="AV88" i="15"/>
  <c r="EO86" i="6"/>
  <c r="EP82" i="6"/>
  <c r="EQ81" i="6" s="1"/>
  <c r="N74" i="11"/>
  <c r="AW74" i="15"/>
  <c r="EN91" i="6"/>
  <c r="DA102" i="6"/>
  <c r="CZ6" i="9"/>
  <c r="CZ7" i="9" s="1"/>
  <c r="AI97" i="15"/>
  <c r="EQ82" i="6" l="1"/>
  <c r="ER81" i="6" s="1"/>
  <c r="EO87" i="6"/>
  <c r="EO89" i="6" s="1"/>
  <c r="EN95" i="6"/>
  <c r="EP83" i="6"/>
  <c r="N75" i="11"/>
  <c r="AW75" i="15"/>
  <c r="DA104" i="6"/>
  <c r="DA106" i="6"/>
  <c r="EN28" i="9" l="1"/>
  <c r="EN33" i="9" s="1"/>
  <c r="EN34" i="9" s="1"/>
  <c r="EN98" i="6"/>
  <c r="ER82" i="6"/>
  <c r="ER83" i="6" s="1"/>
  <c r="ER86" i="6" s="1"/>
  <c r="ER87" i="6" s="1"/>
  <c r="ER89" i="6" s="1"/>
  <c r="ER91" i="6" s="1"/>
  <c r="ER95" i="6" s="1"/>
  <c r="EP86" i="6"/>
  <c r="N76" i="11"/>
  <c r="AW76" i="15"/>
  <c r="EO91" i="6"/>
  <c r="EQ83" i="6"/>
  <c r="DB102" i="6"/>
  <c r="DA6" i="9"/>
  <c r="DA7" i="9" s="1"/>
  <c r="ES81" i="6" l="1"/>
  <c r="AX74" i="15" s="1"/>
  <c r="ER98" i="6"/>
  <c r="ER28" i="9"/>
  <c r="ER33" i="9" s="1"/>
  <c r="ER34" i="9" s="1"/>
  <c r="EQ86" i="6"/>
  <c r="EP87" i="6"/>
  <c r="EP89" i="6" s="1"/>
  <c r="N79" i="11"/>
  <c r="N80" i="11" s="1"/>
  <c r="AW79" i="15"/>
  <c r="AW80" i="15" s="1"/>
  <c r="EO95" i="6"/>
  <c r="DB104" i="6"/>
  <c r="DB106" i="6"/>
  <c r="ES82" i="6" l="1"/>
  <c r="ES83" i="6" s="1"/>
  <c r="EQ87" i="6"/>
  <c r="EQ89" i="6" s="1"/>
  <c r="EO28" i="9"/>
  <c r="EO33" i="9" s="1"/>
  <c r="EO34" i="9" s="1"/>
  <c r="EO98" i="6"/>
  <c r="EP91" i="6"/>
  <c r="N82" i="11"/>
  <c r="N84" i="11" s="1"/>
  <c r="N88" i="11" s="1"/>
  <c r="AW82" i="15"/>
  <c r="DC102" i="6"/>
  <c r="DB6" i="9"/>
  <c r="DB7" i="9" s="1"/>
  <c r="ET81" i="6" l="1"/>
  <c r="ET82" i="6" s="1"/>
  <c r="EU81" i="6" s="1"/>
  <c r="AX75" i="15"/>
  <c r="EQ91" i="6"/>
  <c r="N91" i="11"/>
  <c r="M12" i="12" s="1"/>
  <c r="M9" i="12"/>
  <c r="EP95" i="6"/>
  <c r="AW84" i="15"/>
  <c r="ES86" i="6"/>
  <c r="AX76" i="15"/>
  <c r="DC104" i="6"/>
  <c r="DC106" i="6"/>
  <c r="AJ99" i="15" s="1"/>
  <c r="AJ95" i="15"/>
  <c r="EU82" i="6" l="1"/>
  <c r="ES87" i="6"/>
  <c r="ES89" i="6" s="1"/>
  <c r="AX79" i="15"/>
  <c r="AX80" i="15" s="1"/>
  <c r="EP28" i="9"/>
  <c r="EP33" i="9" s="1"/>
  <c r="EP34" i="9" s="1"/>
  <c r="EP98" i="6"/>
  <c r="AW91" i="15" s="1"/>
  <c r="AW88" i="15"/>
  <c r="EQ95" i="6"/>
  <c r="ET83" i="6"/>
  <c r="DD102" i="6"/>
  <c r="DC6" i="9"/>
  <c r="DC7" i="9" s="1"/>
  <c r="AJ97" i="15"/>
  <c r="ET86" i="6" l="1"/>
  <c r="ES91" i="6"/>
  <c r="AX82" i="15"/>
  <c r="EQ28" i="9"/>
  <c r="EQ33" i="9" s="1"/>
  <c r="EQ34" i="9" s="1"/>
  <c r="EQ98" i="6"/>
  <c r="EV81" i="6"/>
  <c r="EU83" i="6"/>
  <c r="EU86" i="6" s="1"/>
  <c r="EU87" i="6" s="1"/>
  <c r="EU89" i="6" s="1"/>
  <c r="EU91" i="6" s="1"/>
  <c r="EU95" i="6" s="1"/>
  <c r="DD104" i="6"/>
  <c r="DD106" i="6"/>
  <c r="ES95" i="6" l="1"/>
  <c r="AX84" i="15"/>
  <c r="EU28" i="9"/>
  <c r="EU33" i="9" s="1"/>
  <c r="EU34" i="9" s="1"/>
  <c r="EU98" i="6"/>
  <c r="AY74" i="15"/>
  <c r="EV82" i="6"/>
  <c r="ET87" i="6"/>
  <c r="ET89" i="6" s="1"/>
  <c r="DD6" i="9"/>
  <c r="DD7" i="9" s="1"/>
  <c r="DE102" i="6"/>
  <c r="ET91" i="6" l="1"/>
  <c r="EV83" i="6"/>
  <c r="AY75" i="15"/>
  <c r="ES28" i="9"/>
  <c r="ES33" i="9" s="1"/>
  <c r="ES34" i="9" s="1"/>
  <c r="ES98" i="6"/>
  <c r="AX91" i="15" s="1"/>
  <c r="AX88" i="15"/>
  <c r="EW81" i="6"/>
  <c r="DE104" i="6"/>
  <c r="DE106" i="6"/>
  <c r="EV86" i="6" l="1"/>
  <c r="AY76" i="15"/>
  <c r="EW82" i="6"/>
  <c r="ET95" i="6"/>
  <c r="DF102" i="6"/>
  <c r="DE6" i="9"/>
  <c r="DE7" i="9" s="1"/>
  <c r="EW83" i="6" l="1"/>
  <c r="ET98" i="6"/>
  <c r="ET28" i="9"/>
  <c r="ET33" i="9" s="1"/>
  <c r="ET34" i="9" s="1"/>
  <c r="EX81" i="6"/>
  <c r="EV87" i="6"/>
  <c r="EV89" i="6" s="1"/>
  <c r="AY79" i="15"/>
  <c r="AY80" i="15" s="1"/>
  <c r="DF104" i="6"/>
  <c r="DF106" i="6"/>
  <c r="K95" i="11"/>
  <c r="AK95" i="15"/>
  <c r="EV91" i="6" l="1"/>
  <c r="AY82" i="15"/>
  <c r="EX82" i="6"/>
  <c r="EY81" i="6" s="1"/>
  <c r="AZ74" i="15" s="1"/>
  <c r="EW86" i="6"/>
  <c r="AK99" i="15"/>
  <c r="K99" i="11"/>
  <c r="DG102" i="6"/>
  <c r="DF6" i="9"/>
  <c r="DF7" i="9" s="1"/>
  <c r="K97" i="11"/>
  <c r="AK97" i="15"/>
  <c r="EW87" i="6" l="1"/>
  <c r="EW89" i="6" s="1"/>
  <c r="EY82" i="6"/>
  <c r="EY83" i="6" s="1"/>
  <c r="EY86" i="6" s="1"/>
  <c r="EY87" i="6" s="1"/>
  <c r="EY89" i="6" s="1"/>
  <c r="EY91" i="6" s="1"/>
  <c r="EY95" i="6" s="1"/>
  <c r="EX83" i="6"/>
  <c r="EV95" i="6"/>
  <c r="AY84" i="15"/>
  <c r="DG104" i="6"/>
  <c r="DG106" i="6"/>
  <c r="AZ75" i="15" l="1"/>
  <c r="EZ81" i="6"/>
  <c r="EZ82" i="6" s="1"/>
  <c r="EV28" i="9"/>
  <c r="EV33" i="9" s="1"/>
  <c r="EV34" i="9" s="1"/>
  <c r="EV98" i="6"/>
  <c r="AY91" i="15" s="1"/>
  <c r="AY88" i="15"/>
  <c r="EY28" i="9"/>
  <c r="EY33" i="9" s="1"/>
  <c r="EY34" i="9" s="1"/>
  <c r="EY98" i="6"/>
  <c r="EX86" i="6"/>
  <c r="AZ76" i="15"/>
  <c r="EW91" i="6"/>
  <c r="DH102" i="6"/>
  <c r="DG6" i="9"/>
  <c r="EZ83" i="6" l="1"/>
  <c r="EW95" i="6"/>
  <c r="EX87" i="6"/>
  <c r="EX89" i="6" s="1"/>
  <c r="AZ79" i="15"/>
  <c r="AZ80" i="15" s="1"/>
  <c r="FA81" i="6"/>
  <c r="DH104" i="6"/>
  <c r="DH106" i="6"/>
  <c r="DG7" i="9"/>
  <c r="FA82" i="6" l="1"/>
  <c r="EW28" i="9"/>
  <c r="EW33" i="9" s="1"/>
  <c r="EW34" i="9" s="1"/>
  <c r="EW98" i="6"/>
  <c r="EX91" i="6"/>
  <c r="AZ82" i="15"/>
  <c r="EZ86" i="6"/>
  <c r="DI102" i="6"/>
  <c r="DH6" i="9"/>
  <c r="EZ87" i="6" l="1"/>
  <c r="EZ89" i="6" s="1"/>
  <c r="EX95" i="6"/>
  <c r="AZ84" i="15"/>
  <c r="FB81" i="6"/>
  <c r="FA83" i="6"/>
  <c r="DH7" i="9"/>
  <c r="DI104" i="6"/>
  <c r="DI106" i="6"/>
  <c r="AL99" i="15" s="1"/>
  <c r="AL95" i="15"/>
  <c r="EX98" i="6" l="1"/>
  <c r="AZ91" i="15" s="1"/>
  <c r="EX28" i="9"/>
  <c r="EX33" i="9" s="1"/>
  <c r="EX34" i="9" s="1"/>
  <c r="AZ88" i="15"/>
  <c r="FA86" i="6"/>
  <c r="FB82" i="6"/>
  <c r="FC81" i="6" s="1"/>
  <c r="O74" i="11"/>
  <c r="BA74" i="15"/>
  <c r="EZ91" i="6"/>
  <c r="DJ102" i="6"/>
  <c r="DI6" i="9"/>
  <c r="AL97" i="15"/>
  <c r="FA87" i="6" l="1"/>
  <c r="FA89" i="6" s="1"/>
  <c r="FC82" i="6"/>
  <c r="FD81" i="6" s="1"/>
  <c r="EZ95" i="6"/>
  <c r="FB83" i="6"/>
  <c r="O75" i="11"/>
  <c r="BA75" i="15"/>
  <c r="DJ104" i="6"/>
  <c r="DJ106" i="6"/>
  <c r="DI7" i="9"/>
  <c r="FB86" i="6" l="1"/>
  <c r="O76" i="11"/>
  <c r="BA76" i="15"/>
  <c r="FD82" i="6"/>
  <c r="FD83" i="6" s="1"/>
  <c r="FD86" i="6" s="1"/>
  <c r="FD87" i="6" s="1"/>
  <c r="FD89" i="6" s="1"/>
  <c r="FD91" i="6" s="1"/>
  <c r="FD95" i="6" s="1"/>
  <c r="EZ28" i="9"/>
  <c r="EZ33" i="9" s="1"/>
  <c r="EZ34" i="9" s="1"/>
  <c r="EZ98" i="6"/>
  <c r="FC83" i="6"/>
  <c r="FA91" i="6"/>
  <c r="DK102" i="6"/>
  <c r="DJ6" i="9"/>
  <c r="FE81" i="6" l="1"/>
  <c r="FE82" i="6" s="1"/>
  <c r="FF81" i="6" s="1"/>
  <c r="FA95" i="6"/>
  <c r="FD98" i="6"/>
  <c r="FD28" i="9"/>
  <c r="FD33" i="9" s="1"/>
  <c r="FD34" i="9" s="1"/>
  <c r="FC86" i="6"/>
  <c r="FB87" i="6"/>
  <c r="FB89" i="6" s="1"/>
  <c r="O79" i="11"/>
  <c r="BA79" i="15"/>
  <c r="BA80" i="15" s="1"/>
  <c r="DK104" i="6"/>
  <c r="DK106" i="6"/>
  <c r="DJ7" i="9"/>
  <c r="O80" i="11" l="1"/>
  <c r="BB74" i="15"/>
  <c r="FF82" i="6"/>
  <c r="FG81" i="6" s="1"/>
  <c r="FC87" i="6"/>
  <c r="FC89" i="6" s="1"/>
  <c r="FB91" i="6"/>
  <c r="O82" i="11"/>
  <c r="BA82" i="15"/>
  <c r="FE83" i="6"/>
  <c r="BB75" i="15"/>
  <c r="FA98" i="6"/>
  <c r="FA28" i="9"/>
  <c r="FA33" i="9" s="1"/>
  <c r="FA34" i="9" s="1"/>
  <c r="DL102" i="6"/>
  <c r="DK6" i="9"/>
  <c r="O84" i="11" l="1"/>
  <c r="FG82" i="6"/>
  <c r="FH81" i="6" s="1"/>
  <c r="FH82" i="6" s="1"/>
  <c r="BC75" i="15" s="1"/>
  <c r="FC91" i="6"/>
  <c r="FB95" i="6"/>
  <c r="BA84" i="15"/>
  <c r="FE86" i="6"/>
  <c r="BB76" i="15"/>
  <c r="FF83" i="6"/>
  <c r="DK7" i="9"/>
  <c r="DL104" i="6"/>
  <c r="DL106" i="6"/>
  <c r="AM99" i="15" s="1"/>
  <c r="AM95" i="15"/>
  <c r="O88" i="11" l="1"/>
  <c r="FF86" i="6"/>
  <c r="FE87" i="6"/>
  <c r="FE89" i="6" s="1"/>
  <c r="BB79" i="15"/>
  <c r="BB80" i="15" s="1"/>
  <c r="BC74" i="15"/>
  <c r="FC95" i="6"/>
  <c r="FB98" i="6"/>
  <c r="BA91" i="15" s="1"/>
  <c r="FB28" i="9"/>
  <c r="FB33" i="9" s="1"/>
  <c r="FB34" i="9" s="1"/>
  <c r="BA88" i="15"/>
  <c r="FI81" i="6"/>
  <c r="FH83" i="6"/>
  <c r="FH86" i="6" s="1"/>
  <c r="FH87" i="6" s="1"/>
  <c r="FH89" i="6" s="1"/>
  <c r="FH91" i="6" s="1"/>
  <c r="FH95" i="6" s="1"/>
  <c r="FG83" i="6"/>
  <c r="DM102" i="6"/>
  <c r="DL6" i="9"/>
  <c r="DL7" i="9" s="1"/>
  <c r="AM97" i="15"/>
  <c r="N9" i="12" l="1"/>
  <c r="O91" i="11"/>
  <c r="FH28" i="9"/>
  <c r="FH33" i="9" s="1"/>
  <c r="FH34" i="9" s="1"/>
  <c r="FH98" i="6"/>
  <c r="FG86" i="6"/>
  <c r="BC79" i="15" s="1"/>
  <c r="BC80" i="15" s="1"/>
  <c r="FC28" i="9"/>
  <c r="FC33" i="9" s="1"/>
  <c r="FC34" i="9" s="1"/>
  <c r="FC98" i="6"/>
  <c r="FE91" i="6"/>
  <c r="BB82" i="15"/>
  <c r="BC76" i="15"/>
  <c r="FI82" i="6"/>
  <c r="FJ81" i="6" s="1"/>
  <c r="FJ82" i="6" s="1"/>
  <c r="FF87" i="6"/>
  <c r="FF89" i="6" s="1"/>
  <c r="DM104" i="6"/>
  <c r="DM106" i="6"/>
  <c r="N12" i="12" l="1"/>
  <c r="FF91" i="6"/>
  <c r="FI83" i="6"/>
  <c r="FE95" i="6"/>
  <c r="BB84" i="15"/>
  <c r="FK81" i="6"/>
  <c r="FJ83" i="6"/>
  <c r="FJ86" i="6" s="1"/>
  <c r="FJ87" i="6" s="1"/>
  <c r="FJ89" i="6" s="1"/>
  <c r="FJ91" i="6" s="1"/>
  <c r="FJ95" i="6" s="1"/>
  <c r="FG87" i="6"/>
  <c r="FG89" i="6" s="1"/>
  <c r="DN102" i="6"/>
  <c r="DM6" i="9"/>
  <c r="DM7" i="9" s="1"/>
  <c r="FK82" i="6" l="1"/>
  <c r="FL81" i="6" s="1"/>
  <c r="BD74" i="15"/>
  <c r="FI86" i="6"/>
  <c r="FG91" i="6"/>
  <c r="FG95" i="6" s="1"/>
  <c r="FE98" i="6"/>
  <c r="BB91" i="15" s="1"/>
  <c r="FE28" i="9"/>
  <c r="FE33" i="9" s="1"/>
  <c r="FE34" i="9" s="1"/>
  <c r="BB88" i="15"/>
  <c r="BC82" i="15"/>
  <c r="FJ98" i="6"/>
  <c r="FJ28" i="9"/>
  <c r="FJ33" i="9" s="1"/>
  <c r="FJ34" i="9" s="1"/>
  <c r="FF95" i="6"/>
  <c r="DN104" i="6"/>
  <c r="DN106" i="6"/>
  <c r="BC84" i="15" l="1"/>
  <c r="FL82" i="6"/>
  <c r="FM81" i="6" s="1"/>
  <c r="FM82" i="6" s="1"/>
  <c r="FI87" i="6"/>
  <c r="FI89" i="6" s="1"/>
  <c r="FF98" i="6"/>
  <c r="FF28" i="9"/>
  <c r="FF33" i="9" s="1"/>
  <c r="FF34" i="9" s="1"/>
  <c r="BC88" i="15"/>
  <c r="FG28" i="9"/>
  <c r="FG33" i="9" s="1"/>
  <c r="FG34" i="9" s="1"/>
  <c r="FG98" i="6"/>
  <c r="FK83" i="6"/>
  <c r="BD75" i="15"/>
  <c r="DO102" i="6"/>
  <c r="DN6" i="9"/>
  <c r="DN7" i="9" s="1"/>
  <c r="FK86" i="6" l="1"/>
  <c r="BD76" i="15"/>
  <c r="FI91" i="6"/>
  <c r="BC91" i="15"/>
  <c r="FN81" i="6"/>
  <c r="FM83" i="6"/>
  <c r="FM86" i="6" s="1"/>
  <c r="FM87" i="6" s="1"/>
  <c r="FM89" i="6" s="1"/>
  <c r="FM91" i="6" s="1"/>
  <c r="FM95" i="6" s="1"/>
  <c r="FL83" i="6"/>
  <c r="DO104" i="6"/>
  <c r="DO106" i="6"/>
  <c r="AN99" i="15" s="1"/>
  <c r="AN95" i="15"/>
  <c r="FN82" i="6" l="1"/>
  <c r="FO81" i="6" s="1"/>
  <c r="P74" i="11"/>
  <c r="BE74" i="15"/>
  <c r="FI95" i="6"/>
  <c r="FL86" i="6"/>
  <c r="FM28" i="9"/>
  <c r="FM33" i="9" s="1"/>
  <c r="FM34" i="9" s="1"/>
  <c r="FM98" i="6"/>
  <c r="FK87" i="6"/>
  <c r="FK89" i="6" s="1"/>
  <c r="BD79" i="15"/>
  <c r="BD80" i="15" s="1"/>
  <c r="DP102" i="6"/>
  <c r="DO6" i="9"/>
  <c r="DO7" i="9" s="1"/>
  <c r="AN97" i="15"/>
  <c r="FK91" i="6" l="1"/>
  <c r="BD82" i="15"/>
  <c r="FL87" i="6"/>
  <c r="FL89" i="6" s="1"/>
  <c r="FO82" i="6"/>
  <c r="FP81" i="6" s="1"/>
  <c r="FI28" i="9"/>
  <c r="FI33" i="9" s="1"/>
  <c r="FI34" i="9" s="1"/>
  <c r="FI98" i="6"/>
  <c r="FN83" i="6"/>
  <c r="P75" i="11"/>
  <c r="BE75" i="15"/>
  <c r="DP104" i="6"/>
  <c r="DP106" i="6"/>
  <c r="FN86" i="6" l="1"/>
  <c r="P76" i="11"/>
  <c r="BE76" i="15"/>
  <c r="FL91" i="6"/>
  <c r="FP82" i="6"/>
  <c r="FQ81" i="6" s="1"/>
  <c r="FO83" i="6"/>
  <c r="FK95" i="6"/>
  <c r="BD84" i="15"/>
  <c r="DQ102" i="6"/>
  <c r="DP6" i="9"/>
  <c r="DP7" i="9" s="1"/>
  <c r="FQ82" i="6" l="1"/>
  <c r="FR81" i="6" s="1"/>
  <c r="FO86" i="6"/>
  <c r="FP83" i="6"/>
  <c r="FN87" i="6"/>
  <c r="FN89" i="6" s="1"/>
  <c r="P79" i="11"/>
  <c r="P80" i="11" s="1"/>
  <c r="BE79" i="15"/>
  <c r="BE80" i="15" s="1"/>
  <c r="FK28" i="9"/>
  <c r="FK33" i="9" s="1"/>
  <c r="FK34" i="9" s="1"/>
  <c r="FK98" i="6"/>
  <c r="BD91" i="15" s="1"/>
  <c r="BD88" i="15"/>
  <c r="FL95" i="6"/>
  <c r="BF74" i="15"/>
  <c r="DQ104" i="6"/>
  <c r="DQ106" i="6"/>
  <c r="FN91" i="6" l="1"/>
  <c r="P82" i="11"/>
  <c r="P84" i="11" s="1"/>
  <c r="P88" i="11" s="1"/>
  <c r="BE82" i="15"/>
  <c r="FO87" i="6"/>
  <c r="FO89" i="6" s="1"/>
  <c r="FL28" i="9"/>
  <c r="FL33" i="9" s="1"/>
  <c r="FL34" i="9" s="1"/>
  <c r="FL98" i="6"/>
  <c r="FR82" i="6"/>
  <c r="FP86" i="6"/>
  <c r="FP87" i="6" s="1"/>
  <c r="FP89" i="6" s="1"/>
  <c r="FP91" i="6" s="1"/>
  <c r="FP95" i="6" s="1"/>
  <c r="FQ83" i="6"/>
  <c r="BF75" i="15"/>
  <c r="DR102" i="6"/>
  <c r="DQ6" i="9"/>
  <c r="DQ7" i="9" s="1"/>
  <c r="FP98" i="6" l="1"/>
  <c r="FP28" i="9"/>
  <c r="FP33" i="9" s="1"/>
  <c r="FP34" i="9" s="1"/>
  <c r="FO91" i="6"/>
  <c r="FS81" i="6"/>
  <c r="FR83" i="6"/>
  <c r="O9" i="12"/>
  <c r="P91" i="11"/>
  <c r="O12" i="12" s="1"/>
  <c r="FQ86" i="6"/>
  <c r="FQ87" i="6" s="1"/>
  <c r="FQ89" i="6" s="1"/>
  <c r="FQ91" i="6" s="1"/>
  <c r="FQ95" i="6" s="1"/>
  <c r="BF76" i="15"/>
  <c r="FN95" i="6"/>
  <c r="BE84" i="15"/>
  <c r="DR106" i="6"/>
  <c r="DR104" i="6"/>
  <c r="L95" i="11"/>
  <c r="AO95" i="15"/>
  <c r="FR86" i="6" l="1"/>
  <c r="FO95" i="6"/>
  <c r="BF84" i="15"/>
  <c r="FS82" i="6"/>
  <c r="FT81" i="6" s="1"/>
  <c r="FN28" i="9"/>
  <c r="FN33" i="9" s="1"/>
  <c r="FN34" i="9" s="1"/>
  <c r="FN98" i="6"/>
  <c r="BE91" i="15" s="1"/>
  <c r="BE88" i="15"/>
  <c r="FQ98" i="6"/>
  <c r="FQ28" i="9"/>
  <c r="FQ33" i="9" s="1"/>
  <c r="FQ34" i="9" s="1"/>
  <c r="BF79" i="15"/>
  <c r="BF80" i="15" s="1"/>
  <c r="BF82" i="15"/>
  <c r="AO99" i="15"/>
  <c r="L99" i="11"/>
  <c r="DS102" i="6"/>
  <c r="DR6" i="9"/>
  <c r="DR7" i="9" s="1"/>
  <c r="L97" i="11"/>
  <c r="AO97" i="15"/>
  <c r="FT82" i="6" l="1"/>
  <c r="FT83" i="6" s="1"/>
  <c r="FT86" i="6" s="1"/>
  <c r="FT87" i="6" s="1"/>
  <c r="FT89" i="6" s="1"/>
  <c r="FT91" i="6" s="1"/>
  <c r="FT95" i="6" s="1"/>
  <c r="BG74" i="15"/>
  <c r="FO98" i="6"/>
  <c r="BF91" i="15" s="1"/>
  <c r="FO28" i="9"/>
  <c r="FO33" i="9" s="1"/>
  <c r="FO34" i="9" s="1"/>
  <c r="BF88" i="15"/>
  <c r="FS83" i="6"/>
  <c r="FR87" i="6"/>
  <c r="FR89" i="6" s="1"/>
  <c r="DS106" i="6"/>
  <c r="DS104" i="6"/>
  <c r="BG75" i="15" l="1"/>
  <c r="FU81" i="6"/>
  <c r="FU82" i="6" s="1"/>
  <c r="FV81" i="6" s="1"/>
  <c r="FS86" i="6"/>
  <c r="BG76" i="15"/>
  <c r="FR91" i="6"/>
  <c r="FT28" i="9"/>
  <c r="FT33" i="9" s="1"/>
  <c r="FT34" i="9" s="1"/>
  <c r="FT98" i="6"/>
  <c r="DT102" i="6"/>
  <c r="DS6" i="9"/>
  <c r="FV82" i="6" l="1"/>
  <c r="FR95" i="6"/>
  <c r="FU83" i="6"/>
  <c r="FS87" i="6"/>
  <c r="FS89" i="6" s="1"/>
  <c r="BG79" i="15"/>
  <c r="BG80" i="15" s="1"/>
  <c r="DS7" i="9"/>
  <c r="DT106" i="6"/>
  <c r="DT104" i="6"/>
  <c r="FS91" i="6" l="1"/>
  <c r="BG82" i="15"/>
  <c r="FR28" i="9"/>
  <c r="FR33" i="9" s="1"/>
  <c r="FR34" i="9" s="1"/>
  <c r="FR98" i="6"/>
  <c r="FU86" i="6"/>
  <c r="FW81" i="6"/>
  <c r="FV83" i="6"/>
  <c r="FV86" i="6" s="1"/>
  <c r="FV87" i="6" s="1"/>
  <c r="FV89" i="6" s="1"/>
  <c r="FV91" i="6" s="1"/>
  <c r="FV95" i="6" s="1"/>
  <c r="DT6" i="9"/>
  <c r="DU102" i="6"/>
  <c r="FV98" i="6" l="1"/>
  <c r="FV28" i="9"/>
  <c r="FV33" i="9" s="1"/>
  <c r="FV34" i="9" s="1"/>
  <c r="FU87" i="6"/>
  <c r="FU89" i="6" s="1"/>
  <c r="BH74" i="15"/>
  <c r="FW82" i="6"/>
  <c r="FS95" i="6"/>
  <c r="BG84" i="15"/>
  <c r="DU106" i="6"/>
  <c r="AP99" i="15" s="1"/>
  <c r="DU104" i="6"/>
  <c r="AP95" i="15"/>
  <c r="DT7" i="9"/>
  <c r="FU91" i="6" l="1"/>
  <c r="FS28" i="9"/>
  <c r="FS33" i="9" s="1"/>
  <c r="FS34" i="9" s="1"/>
  <c r="FS98" i="6"/>
  <c r="BG91" i="15" s="1"/>
  <c r="BG88" i="15"/>
  <c r="FW83" i="6"/>
  <c r="BH75" i="15"/>
  <c r="FX81" i="6"/>
  <c r="DU6" i="9"/>
  <c r="AP97" i="15"/>
  <c r="DV102" i="6"/>
  <c r="FW86" i="6" l="1"/>
  <c r="BH76" i="15"/>
  <c r="FX82" i="6"/>
  <c r="FU95" i="6"/>
  <c r="DV106" i="6"/>
  <c r="DV104" i="6"/>
  <c r="DU7" i="9"/>
  <c r="FY81" i="6" l="1"/>
  <c r="FX83" i="6"/>
  <c r="FU98" i="6"/>
  <c r="FU28" i="9"/>
  <c r="FU33" i="9" s="1"/>
  <c r="FU34" i="9" s="1"/>
  <c r="FW87" i="6"/>
  <c r="FW89" i="6" s="1"/>
  <c r="BH79" i="15"/>
  <c r="BH80" i="15" s="1"/>
  <c r="DV6" i="9"/>
  <c r="DW102" i="6"/>
  <c r="FW91" i="6" l="1"/>
  <c r="BH82" i="15"/>
  <c r="FX86" i="6"/>
  <c r="FY82" i="6"/>
  <c r="FY83" i="6" s="1"/>
  <c r="FY86" i="6" s="1"/>
  <c r="FY87" i="6" s="1"/>
  <c r="FY89" i="6" s="1"/>
  <c r="FY91" i="6" s="1"/>
  <c r="FY95" i="6" s="1"/>
  <c r="DV7" i="9"/>
  <c r="DW106" i="6"/>
  <c r="DW104" i="6"/>
  <c r="FZ81" i="6" l="1"/>
  <c r="BI74" i="15" s="1"/>
  <c r="FX87" i="6"/>
  <c r="FX89" i="6" s="1"/>
  <c r="FY98" i="6"/>
  <c r="FY28" i="9"/>
  <c r="FY33" i="9" s="1"/>
  <c r="FY34" i="9" s="1"/>
  <c r="FW95" i="6"/>
  <c r="BH84" i="15"/>
  <c r="DW6" i="9"/>
  <c r="DX102" i="6"/>
  <c r="Q74" i="11" l="1"/>
  <c r="FZ82" i="6"/>
  <c r="GA81" i="6" s="1"/>
  <c r="GA82" i="6" s="1"/>
  <c r="GB81" i="6" s="1"/>
  <c r="FW28" i="9"/>
  <c r="FW33" i="9" s="1"/>
  <c r="FW34" i="9" s="1"/>
  <c r="FW98" i="6"/>
  <c r="BH91" i="15" s="1"/>
  <c r="BH88" i="15"/>
  <c r="FX91" i="6"/>
  <c r="DW7" i="9"/>
  <c r="DX106" i="6"/>
  <c r="AQ99" i="15" s="1"/>
  <c r="DX104" i="6"/>
  <c r="AQ95" i="15"/>
  <c r="FZ83" i="6" l="1"/>
  <c r="BI76" i="15" s="1"/>
  <c r="BI75" i="15"/>
  <c r="Q75" i="11"/>
  <c r="GB82" i="6"/>
  <c r="GB83" i="6" s="1"/>
  <c r="GB86" i="6" s="1"/>
  <c r="GB87" i="6" s="1"/>
  <c r="GB89" i="6" s="1"/>
  <c r="GB91" i="6" s="1"/>
  <c r="GB95" i="6" s="1"/>
  <c r="GA83" i="6"/>
  <c r="FX95" i="6"/>
  <c r="DX6" i="9"/>
  <c r="DX7" i="9" s="1"/>
  <c r="AQ97" i="15"/>
  <c r="DY102" i="6"/>
  <c r="Q76" i="11" l="1"/>
  <c r="FZ86" i="6"/>
  <c r="FZ87" i="6" s="1"/>
  <c r="FZ89" i="6" s="1"/>
  <c r="FX98" i="6"/>
  <c r="FX28" i="9"/>
  <c r="FX33" i="9" s="1"/>
  <c r="FX34" i="9" s="1"/>
  <c r="GA86" i="6"/>
  <c r="GC81" i="6"/>
  <c r="GB28" i="9"/>
  <c r="GB33" i="9" s="1"/>
  <c r="GB34" i="9" s="1"/>
  <c r="GB98" i="6"/>
  <c r="DY106" i="6"/>
  <c r="DY104" i="6"/>
  <c r="BI79" i="15" l="1"/>
  <c r="BI80" i="15" s="1"/>
  <c r="Q79" i="11"/>
  <c r="Q80" i="11" s="1"/>
  <c r="FZ91" i="6"/>
  <c r="Q82" i="11"/>
  <c r="Q84" i="11" s="1"/>
  <c r="Q88" i="11" s="1"/>
  <c r="BI82" i="15"/>
  <c r="GA87" i="6"/>
  <c r="GA89" i="6" s="1"/>
  <c r="GC82" i="6"/>
  <c r="BJ74" i="15"/>
  <c r="DY6" i="9"/>
  <c r="DY7" i="9" s="1"/>
  <c r="DZ102" i="6"/>
  <c r="GA91" i="6" l="1"/>
  <c r="GD81" i="6"/>
  <c r="GC83" i="6"/>
  <c r="BJ75" i="15"/>
  <c r="P9" i="12"/>
  <c r="Q91" i="11"/>
  <c r="P12" i="12" s="1"/>
  <c r="FZ95" i="6"/>
  <c r="BI84" i="15"/>
  <c r="DZ106" i="6"/>
  <c r="DZ104" i="6"/>
  <c r="FZ98" i="6" l="1"/>
  <c r="BI91" i="15" s="1"/>
  <c r="FZ28" i="9"/>
  <c r="FZ33" i="9" s="1"/>
  <c r="FZ34" i="9" s="1"/>
  <c r="BI88" i="15"/>
  <c r="GC86" i="6"/>
  <c r="BJ76" i="15"/>
  <c r="GD82" i="6"/>
  <c r="GE81" i="6" s="1"/>
  <c r="GA95" i="6"/>
  <c r="DZ6" i="9"/>
  <c r="DZ7" i="9" s="1"/>
  <c r="EA102" i="6"/>
  <c r="GE82" i="6" l="1"/>
  <c r="GE83" i="6" s="1"/>
  <c r="GE86" i="6" s="1"/>
  <c r="GE87" i="6" s="1"/>
  <c r="GE89" i="6" s="1"/>
  <c r="GE91" i="6" s="1"/>
  <c r="GE95" i="6" s="1"/>
  <c r="GC87" i="6"/>
  <c r="GC89" i="6" s="1"/>
  <c r="BJ79" i="15"/>
  <c r="BJ80" i="15" s="1"/>
  <c r="GA28" i="9"/>
  <c r="GA33" i="9" s="1"/>
  <c r="GA34" i="9" s="1"/>
  <c r="GA98" i="6"/>
  <c r="GD83" i="6"/>
  <c r="EA106" i="6"/>
  <c r="AR99" i="15" s="1"/>
  <c r="EA104" i="6"/>
  <c r="AR95" i="15"/>
  <c r="GC91" i="6" l="1"/>
  <c r="BJ82" i="15"/>
  <c r="GD86" i="6"/>
  <c r="GF81" i="6"/>
  <c r="GE28" i="9"/>
  <c r="GE33" i="9" s="1"/>
  <c r="GE34" i="9" s="1"/>
  <c r="GE98" i="6"/>
  <c r="EA6" i="9"/>
  <c r="EA7" i="9" s="1"/>
  <c r="AR97" i="15"/>
  <c r="EB102" i="6"/>
  <c r="GD87" i="6" l="1"/>
  <c r="GD89" i="6" s="1"/>
  <c r="GF82" i="6"/>
  <c r="GG81" i="6" s="1"/>
  <c r="BK74" i="15"/>
  <c r="GC95" i="6"/>
  <c r="BJ84" i="15"/>
  <c r="EB106" i="6"/>
  <c r="EB104" i="6"/>
  <c r="GG82" i="6" l="1"/>
  <c r="GH81" i="6" s="1"/>
  <c r="GC28" i="9"/>
  <c r="GC33" i="9" s="1"/>
  <c r="GC34" i="9" s="1"/>
  <c r="GC98" i="6"/>
  <c r="BJ91" i="15" s="1"/>
  <c r="BJ88" i="15"/>
  <c r="GF83" i="6"/>
  <c r="BK75" i="15"/>
  <c r="GD91" i="6"/>
  <c r="EB6" i="9"/>
  <c r="EB7" i="9" s="1"/>
  <c r="EC102" i="6"/>
  <c r="GF86" i="6" l="1"/>
  <c r="BK76" i="15"/>
  <c r="GD95" i="6"/>
  <c r="GH82" i="6"/>
  <c r="GI81" i="6" s="1"/>
  <c r="GG83" i="6"/>
  <c r="EC106" i="6"/>
  <c r="EC104" i="6"/>
  <c r="GG86" i="6" l="1"/>
  <c r="GD98" i="6"/>
  <c r="GD28" i="9"/>
  <c r="GD33" i="9" s="1"/>
  <c r="GD34" i="9" s="1"/>
  <c r="GI82" i="6"/>
  <c r="GJ81" i="6" s="1"/>
  <c r="BL74" i="15"/>
  <c r="GH83" i="6"/>
  <c r="GH86" i="6" s="1"/>
  <c r="GH87" i="6" s="1"/>
  <c r="GH89" i="6" s="1"/>
  <c r="GH91" i="6" s="1"/>
  <c r="GH95" i="6" s="1"/>
  <c r="GF87" i="6"/>
  <c r="GF89" i="6" s="1"/>
  <c r="BK79" i="15"/>
  <c r="BK80" i="15" s="1"/>
  <c r="ED102" i="6"/>
  <c r="EC6" i="9"/>
  <c r="EC7" i="9" s="1"/>
  <c r="GJ82" i="6" l="1"/>
  <c r="GK81" i="6" s="1"/>
  <c r="GK82" i="6" s="1"/>
  <c r="GF91" i="6"/>
  <c r="BK82" i="15"/>
  <c r="GI83" i="6"/>
  <c r="GI86" i="6" s="1"/>
  <c r="BL75" i="15"/>
  <c r="GH28" i="9"/>
  <c r="GH33" i="9" s="1"/>
  <c r="GH34" i="9" s="1"/>
  <c r="GH98" i="6"/>
  <c r="GG87" i="6"/>
  <c r="GG89" i="6" s="1"/>
  <c r="ED106" i="6"/>
  <c r="ED104" i="6"/>
  <c r="M95" i="11"/>
  <c r="AS95" i="15"/>
  <c r="GG91" i="6" l="1"/>
  <c r="GF95" i="6"/>
  <c r="BK84" i="15"/>
  <c r="GI87" i="6"/>
  <c r="GI89" i="6" s="1"/>
  <c r="GI91" i="6" s="1"/>
  <c r="GI95" i="6" s="1"/>
  <c r="GL81" i="6"/>
  <c r="GK83" i="6"/>
  <c r="GK86" i="6" s="1"/>
  <c r="GK87" i="6" s="1"/>
  <c r="GK89" i="6" s="1"/>
  <c r="GK91" i="6" s="1"/>
  <c r="GK95" i="6" s="1"/>
  <c r="BL79" i="15"/>
  <c r="BL80" i="15" s="1"/>
  <c r="BL76" i="15"/>
  <c r="GJ83" i="6"/>
  <c r="AS99" i="15"/>
  <c r="M99" i="11"/>
  <c r="ED6" i="9"/>
  <c r="ED7" i="9" s="1"/>
  <c r="M97" i="11"/>
  <c r="AS97" i="15"/>
  <c r="EE102" i="6"/>
  <c r="BL82" i="15" l="1"/>
  <c r="GJ86" i="6"/>
  <c r="GL82" i="6"/>
  <c r="GM81" i="6" s="1"/>
  <c r="R74" i="11"/>
  <c r="BM74" i="15"/>
  <c r="GF98" i="6"/>
  <c r="BK91" i="15" s="1"/>
  <c r="GF28" i="9"/>
  <c r="GF33" i="9" s="1"/>
  <c r="GF34" i="9" s="1"/>
  <c r="BK88" i="15"/>
  <c r="GK28" i="9"/>
  <c r="GK33" i="9" s="1"/>
  <c r="GK34" i="9" s="1"/>
  <c r="GK98" i="6"/>
  <c r="GI98" i="6"/>
  <c r="GI28" i="9"/>
  <c r="GI33" i="9" s="1"/>
  <c r="GI34" i="9" s="1"/>
  <c r="GG95" i="6"/>
  <c r="BL84" i="15"/>
  <c r="EE106" i="6"/>
  <c r="EE104" i="6"/>
  <c r="GM82" i="6" l="1"/>
  <c r="GN81" i="6" s="1"/>
  <c r="BM75" i="15"/>
  <c r="GL83" i="6"/>
  <c r="R75" i="11"/>
  <c r="GG28" i="9"/>
  <c r="GG33" i="9" s="1"/>
  <c r="GG34" i="9" s="1"/>
  <c r="GG98" i="6"/>
  <c r="BL91" i="15" s="1"/>
  <c r="BL88" i="15"/>
  <c r="GJ87" i="6"/>
  <c r="GJ89" i="6" s="1"/>
  <c r="EF102" i="6"/>
  <c r="EE6" i="9"/>
  <c r="GJ91" i="6" l="1"/>
  <c r="GN82" i="6"/>
  <c r="GN83" i="6" s="1"/>
  <c r="GN86" i="6" s="1"/>
  <c r="GN87" i="6" s="1"/>
  <c r="GN89" i="6" s="1"/>
  <c r="GN91" i="6" s="1"/>
  <c r="GN95" i="6" s="1"/>
  <c r="R76" i="11"/>
  <c r="GL86" i="6"/>
  <c r="BM76" i="15"/>
  <c r="GM83" i="6"/>
  <c r="EE7" i="9"/>
  <c r="EF106" i="6"/>
  <c r="EF104" i="6"/>
  <c r="GO81" i="6" l="1"/>
  <c r="GO82" i="6" s="1"/>
  <c r="GP81" i="6" s="1"/>
  <c r="GM86" i="6"/>
  <c r="GN98" i="6"/>
  <c r="GN28" i="9"/>
  <c r="GN33" i="9" s="1"/>
  <c r="GN34" i="9" s="1"/>
  <c r="BM79" i="15"/>
  <c r="BM80" i="15" s="1"/>
  <c r="GL87" i="6"/>
  <c r="GL89" i="6" s="1"/>
  <c r="R79" i="11"/>
  <c r="R80" i="11" s="1"/>
  <c r="GJ95" i="6"/>
  <c r="EF6" i="9"/>
  <c r="EG102" i="6"/>
  <c r="BN74" i="15" l="1"/>
  <c r="GP82" i="6"/>
  <c r="GQ81" i="6" s="1"/>
  <c r="GQ82" i="6" s="1"/>
  <c r="GO83" i="6"/>
  <c r="BN75" i="15"/>
  <c r="GJ28" i="9"/>
  <c r="GJ33" i="9" s="1"/>
  <c r="GJ34" i="9" s="1"/>
  <c r="GJ98" i="6"/>
  <c r="BM82" i="15"/>
  <c r="GL91" i="6"/>
  <c r="R82" i="11"/>
  <c r="R84" i="11" s="1"/>
  <c r="R88" i="11" s="1"/>
  <c r="GM87" i="6"/>
  <c r="GM89" i="6" s="1"/>
  <c r="EF7" i="9"/>
  <c r="EG106" i="6"/>
  <c r="AT99" i="15" s="1"/>
  <c r="EG104" i="6"/>
  <c r="AT95" i="15"/>
  <c r="GM91" i="6" l="1"/>
  <c r="GO86" i="6"/>
  <c r="BN76" i="15"/>
  <c r="Q9" i="12"/>
  <c r="R91" i="11"/>
  <c r="Q12" i="12" s="1"/>
  <c r="GL95" i="6"/>
  <c r="BM84" i="15"/>
  <c r="GR81" i="6"/>
  <c r="GQ83" i="6"/>
  <c r="GQ86" i="6" s="1"/>
  <c r="GQ87" i="6" s="1"/>
  <c r="GQ89" i="6" s="1"/>
  <c r="GQ91" i="6" s="1"/>
  <c r="GQ95" i="6" s="1"/>
  <c r="GP83" i="6"/>
  <c r="EH102" i="6"/>
  <c r="EG6" i="9"/>
  <c r="AT97" i="15"/>
  <c r="GP86" i="6" l="1"/>
  <c r="GL28" i="9"/>
  <c r="GL33" i="9" s="1"/>
  <c r="GL34" i="9" s="1"/>
  <c r="GL98" i="6"/>
  <c r="BM91" i="15" s="1"/>
  <c r="BM88" i="15"/>
  <c r="GQ98" i="6"/>
  <c r="GQ28" i="9"/>
  <c r="GQ33" i="9" s="1"/>
  <c r="GQ34" i="9" s="1"/>
  <c r="GO87" i="6"/>
  <c r="GO89" i="6" s="1"/>
  <c r="BN79" i="15"/>
  <c r="BN80" i="15" s="1"/>
  <c r="GR82" i="6"/>
  <c r="GS81" i="6" s="1"/>
  <c r="BO74" i="15"/>
  <c r="GM95" i="6"/>
  <c r="EH106" i="6"/>
  <c r="EH104" i="6"/>
  <c r="EG7" i="9"/>
  <c r="GS82" i="6" l="1"/>
  <c r="GT81" i="6" s="1"/>
  <c r="GO91" i="6"/>
  <c r="BN82" i="15"/>
  <c r="GR83" i="6"/>
  <c r="BO75" i="15"/>
  <c r="GM28" i="9"/>
  <c r="GM33" i="9" s="1"/>
  <c r="GM34" i="9" s="1"/>
  <c r="GM98" i="6"/>
  <c r="GP87" i="6"/>
  <c r="GP89" i="6" s="1"/>
  <c r="EH6" i="9"/>
  <c r="EI102" i="6"/>
  <c r="GT82" i="6" l="1"/>
  <c r="GT83" i="6" s="1"/>
  <c r="GT86" i="6" s="1"/>
  <c r="GT87" i="6" s="1"/>
  <c r="GT89" i="6" s="1"/>
  <c r="GT91" i="6" s="1"/>
  <c r="GT95" i="6" s="1"/>
  <c r="GT98" i="6" s="1"/>
  <c r="GP91" i="6"/>
  <c r="GO95" i="6"/>
  <c r="BN84" i="15"/>
  <c r="GR86" i="6"/>
  <c r="BO76" i="15"/>
  <c r="GS83" i="6"/>
  <c r="EI106" i="6"/>
  <c r="EI104" i="6"/>
  <c r="EH7" i="9"/>
  <c r="GR87" i="6" l="1"/>
  <c r="GR89" i="6" s="1"/>
  <c r="BO79" i="15"/>
  <c r="BO80" i="15" s="1"/>
  <c r="GP95" i="6"/>
  <c r="GT28" i="9"/>
  <c r="GT33" i="9" s="1"/>
  <c r="GT34" i="9" s="1"/>
  <c r="GS86" i="6"/>
  <c r="GO98" i="6"/>
  <c r="BN91" i="15" s="1"/>
  <c r="GO28" i="9"/>
  <c r="GO33" i="9" s="1"/>
  <c r="GO34" i="9" s="1"/>
  <c r="BN88" i="15"/>
  <c r="GU81" i="6"/>
  <c r="EI6" i="9"/>
  <c r="EJ102" i="6"/>
  <c r="GU82" i="6" l="1"/>
  <c r="GV81" i="6" s="1"/>
  <c r="BP74" i="15"/>
  <c r="GS87" i="6"/>
  <c r="GS89" i="6" s="1"/>
  <c r="GP98" i="6"/>
  <c r="GP28" i="9"/>
  <c r="GP33" i="9" s="1"/>
  <c r="GP34" i="9" s="1"/>
  <c r="GR91" i="6"/>
  <c r="BO82" i="15"/>
  <c r="EJ106" i="6"/>
  <c r="AU99" i="15" s="1"/>
  <c r="EJ104" i="6"/>
  <c r="AU95" i="15"/>
  <c r="EI7" i="9"/>
  <c r="GV82" i="6" l="1"/>
  <c r="GV83" i="6" s="1"/>
  <c r="GV86" i="6" s="1"/>
  <c r="GV87" i="6" s="1"/>
  <c r="GV89" i="6" s="1"/>
  <c r="GV91" i="6" s="1"/>
  <c r="GV95" i="6" s="1"/>
  <c r="GS91" i="6"/>
  <c r="GR95" i="6"/>
  <c r="BO84" i="15"/>
  <c r="GU83" i="6"/>
  <c r="BP75" i="15"/>
  <c r="EJ6" i="9"/>
  <c r="EJ7" i="9" s="1"/>
  <c r="AU97" i="15"/>
  <c r="EK102" i="6"/>
  <c r="GW81" i="6" l="1"/>
  <c r="GW82" i="6" s="1"/>
  <c r="GR28" i="9"/>
  <c r="GR33" i="9" s="1"/>
  <c r="GR34" i="9" s="1"/>
  <c r="GR98" i="6"/>
  <c r="BO91" i="15" s="1"/>
  <c r="BO88" i="15"/>
  <c r="GU86" i="6"/>
  <c r="BP76" i="15"/>
  <c r="GS95" i="6"/>
  <c r="GV28" i="9"/>
  <c r="GV33" i="9" s="1"/>
  <c r="GV34" i="9" s="1"/>
  <c r="GV98" i="6"/>
  <c r="EK106" i="6"/>
  <c r="EK104" i="6"/>
  <c r="GW83" i="6" l="1"/>
  <c r="GS98" i="6"/>
  <c r="GS28" i="9"/>
  <c r="GS33" i="9" s="1"/>
  <c r="GS34" i="9" s="1"/>
  <c r="GU87" i="6"/>
  <c r="GU89" i="6" s="1"/>
  <c r="BP79" i="15"/>
  <c r="BP80" i="15" s="1"/>
  <c r="GX81" i="6"/>
  <c r="EL102" i="6"/>
  <c r="EK6" i="9"/>
  <c r="EK7" i="9" s="1"/>
  <c r="GX82" i="6" l="1"/>
  <c r="GY81" i="6" s="1"/>
  <c r="BQ74" i="15"/>
  <c r="S74" i="11"/>
  <c r="GU91" i="6"/>
  <c r="BP82" i="15"/>
  <c r="GW86" i="6"/>
  <c r="EL106" i="6"/>
  <c r="EL104" i="6"/>
  <c r="GY82" i="6" l="1"/>
  <c r="GY83" i="6" s="1"/>
  <c r="GY86" i="6" s="1"/>
  <c r="GY87" i="6" s="1"/>
  <c r="GY89" i="6" s="1"/>
  <c r="GW87" i="6"/>
  <c r="GW89" i="6" s="1"/>
  <c r="GU95" i="6"/>
  <c r="BP84" i="15"/>
  <c r="GX83" i="6"/>
  <c r="S75" i="11"/>
  <c r="BQ75" i="15"/>
  <c r="EL6" i="9"/>
  <c r="EL7" i="9" s="1"/>
  <c r="EM102" i="6"/>
  <c r="GZ81" i="6" l="1"/>
  <c r="GX86" i="6"/>
  <c r="BQ76" i="15"/>
  <c r="S76" i="11"/>
  <c r="GW91" i="6"/>
  <c r="GU28" i="9"/>
  <c r="GU33" i="9" s="1"/>
  <c r="GU34" i="9" s="1"/>
  <c r="GU98" i="6"/>
  <c r="BP91" i="15" s="1"/>
  <c r="BP88" i="15"/>
  <c r="GY91" i="6"/>
  <c r="EM106" i="6"/>
  <c r="AV99" i="15" s="1"/>
  <c r="EM104" i="6"/>
  <c r="AV95" i="15"/>
  <c r="GZ82" i="6" l="1"/>
  <c r="GW95" i="6"/>
  <c r="GX87" i="6"/>
  <c r="GX89" i="6" s="1"/>
  <c r="BQ79" i="15"/>
  <c r="BQ80" i="15" s="1"/>
  <c r="S79" i="11"/>
  <c r="S80" i="11" s="1"/>
  <c r="GY95" i="6"/>
  <c r="EM6" i="9"/>
  <c r="EM7" i="9" s="1"/>
  <c r="AV97" i="15"/>
  <c r="EN102" i="6"/>
  <c r="HA81" i="6" l="1"/>
  <c r="GZ83" i="6"/>
  <c r="GX91" i="6"/>
  <c r="S82" i="11"/>
  <c r="S84" i="11" s="1"/>
  <c r="S88" i="11" s="1"/>
  <c r="BQ82" i="15"/>
  <c r="GW28" i="9"/>
  <c r="GW33" i="9" s="1"/>
  <c r="GW34" i="9" s="1"/>
  <c r="GW98" i="6"/>
  <c r="GY28" i="9"/>
  <c r="GY33" i="9" s="1"/>
  <c r="GY34" i="9" s="1"/>
  <c r="GY98" i="6"/>
  <c r="EN106" i="6"/>
  <c r="EN104" i="6"/>
  <c r="GZ86" i="6" l="1"/>
  <c r="HA82" i="6"/>
  <c r="HB81" i="6" s="1"/>
  <c r="HB82" i="6" s="1"/>
  <c r="BR74" i="15"/>
  <c r="R9" i="12"/>
  <c r="S91" i="11"/>
  <c r="R12" i="12" s="1"/>
  <c r="GX95" i="6"/>
  <c r="BQ84" i="15"/>
  <c r="EN6" i="9"/>
  <c r="EN7" i="9" s="1"/>
  <c r="EO102" i="6"/>
  <c r="HC81" i="6" l="1"/>
  <c r="HB83" i="6"/>
  <c r="HB86" i="6" s="1"/>
  <c r="HB87" i="6" s="1"/>
  <c r="HB89" i="6" s="1"/>
  <c r="BR75" i="15"/>
  <c r="HA83" i="6"/>
  <c r="GZ87" i="6"/>
  <c r="GZ89" i="6" s="1"/>
  <c r="GX28" i="9"/>
  <c r="GX33" i="9" s="1"/>
  <c r="GX34" i="9" s="1"/>
  <c r="GX98" i="6"/>
  <c r="BQ91" i="15" s="1"/>
  <c r="BQ88" i="15"/>
  <c r="EO106" i="6"/>
  <c r="EO104" i="6"/>
  <c r="HA86" i="6" l="1"/>
  <c r="BR76" i="15"/>
  <c r="GZ91" i="6"/>
  <c r="HC82" i="6"/>
  <c r="HD81" i="6" s="1"/>
  <c r="HB91" i="6"/>
  <c r="EP102" i="6"/>
  <c r="EO6" i="9"/>
  <c r="EO7" i="9" s="1"/>
  <c r="GZ95" i="6" l="1"/>
  <c r="BS74" i="15"/>
  <c r="HD82" i="6"/>
  <c r="BS75" i="15" s="1"/>
  <c r="HC83" i="6"/>
  <c r="HA87" i="6"/>
  <c r="HA89" i="6" s="1"/>
  <c r="BR79" i="15"/>
  <c r="BR80" i="15" s="1"/>
  <c r="HB95" i="6"/>
  <c r="EP106" i="6"/>
  <c r="EP104" i="6"/>
  <c r="N95" i="11"/>
  <c r="AW95" i="15"/>
  <c r="HE81" i="6" l="1"/>
  <c r="HD83" i="6"/>
  <c r="HD86" i="6" s="1"/>
  <c r="HD87" i="6" s="1"/>
  <c r="HD89" i="6" s="1"/>
  <c r="HD91" i="6" s="1"/>
  <c r="HA91" i="6"/>
  <c r="BR82" i="15"/>
  <c r="HC86" i="6"/>
  <c r="GZ28" i="9"/>
  <c r="GZ33" i="9" s="1"/>
  <c r="GZ34" i="9" s="1"/>
  <c r="GZ98" i="6"/>
  <c r="HB28" i="9"/>
  <c r="HB33" i="9" s="1"/>
  <c r="HB34" i="9" s="1"/>
  <c r="HB98" i="6"/>
  <c r="AW99" i="15"/>
  <c r="N99" i="11"/>
  <c r="EP6" i="9"/>
  <c r="EP7" i="9" s="1"/>
  <c r="N97" i="11"/>
  <c r="AW97" i="15"/>
  <c r="EQ102" i="6"/>
  <c r="BS76" i="15" l="1"/>
  <c r="HA95" i="6"/>
  <c r="BR84" i="15"/>
  <c r="HC87" i="6"/>
  <c r="HC89" i="6" s="1"/>
  <c r="BS79" i="15"/>
  <c r="BS80" i="15" s="1"/>
  <c r="HE82" i="6"/>
  <c r="HE83" i="6" s="1"/>
  <c r="HE86" i="6" s="1"/>
  <c r="HE87" i="6" s="1"/>
  <c r="HE89" i="6" s="1"/>
  <c r="HE91" i="6" s="1"/>
  <c r="HD95" i="6"/>
  <c r="EQ106" i="6"/>
  <c r="EQ104" i="6"/>
  <c r="HC91" i="6" l="1"/>
  <c r="BS82" i="15"/>
  <c r="HF81" i="6"/>
  <c r="HA98" i="6"/>
  <c r="BR91" i="15" s="1"/>
  <c r="HA28" i="9"/>
  <c r="HA33" i="9" s="1"/>
  <c r="HA34" i="9" s="1"/>
  <c r="BR88" i="15"/>
  <c r="HE95" i="6"/>
  <c r="HD98" i="6"/>
  <c r="HD28" i="9"/>
  <c r="HD33" i="9" s="1"/>
  <c r="HD34" i="9" s="1"/>
  <c r="ER102" i="6"/>
  <c r="EQ6" i="9"/>
  <c r="HF82" i="6" l="1"/>
  <c r="HC95" i="6"/>
  <c r="BS84" i="15"/>
  <c r="HE28" i="9"/>
  <c r="HE33" i="9" s="1"/>
  <c r="HE34" i="9" s="1"/>
  <c r="HE98" i="6"/>
  <c r="ER106" i="6"/>
  <c r="ER104" i="6"/>
  <c r="EQ7" i="9"/>
  <c r="HC98" i="6" l="1"/>
  <c r="BS91" i="15" s="1"/>
  <c r="HC28" i="9"/>
  <c r="HC33" i="9" s="1"/>
  <c r="HC34" i="9" s="1"/>
  <c r="BS88" i="15"/>
  <c r="HG81" i="6"/>
  <c r="HF83" i="6"/>
  <c r="ES102" i="6"/>
  <c r="ER6" i="9"/>
  <c r="HG82" i="6" l="1"/>
  <c r="HH81" i="6" s="1"/>
  <c r="BT74" i="15"/>
  <c r="HF86" i="6"/>
  <c r="ER7" i="9"/>
  <c r="ES106" i="6"/>
  <c r="AX99" i="15" s="1"/>
  <c r="ES104" i="6"/>
  <c r="AX95" i="15"/>
  <c r="HF87" i="6" l="1"/>
  <c r="HF89" i="6" s="1"/>
  <c r="HH82" i="6"/>
  <c r="HI81" i="6" s="1"/>
  <c r="HI82" i="6" s="1"/>
  <c r="HG83" i="6"/>
  <c r="BT75" i="15"/>
  <c r="ET102" i="6"/>
  <c r="ES6" i="9"/>
  <c r="AX97" i="15"/>
  <c r="HJ81" i="6" l="1"/>
  <c r="BU74" i="15" s="1"/>
  <c r="HI83" i="6"/>
  <c r="HI86" i="6" s="1"/>
  <c r="HI87" i="6" s="1"/>
  <c r="HI89" i="6" s="1"/>
  <c r="HI91" i="6" s="1"/>
  <c r="HI95" i="6" s="1"/>
  <c r="HH83" i="6"/>
  <c r="HG86" i="6"/>
  <c r="BT76" i="15"/>
  <c r="HF91" i="6"/>
  <c r="ET106" i="6"/>
  <c r="ET104" i="6"/>
  <c r="ES7" i="9"/>
  <c r="HH86" i="6" l="1"/>
  <c r="HH87" i="6" s="1"/>
  <c r="HH89" i="6" s="1"/>
  <c r="HH91" i="6" s="1"/>
  <c r="HH95" i="6" s="1"/>
  <c r="HF95" i="6"/>
  <c r="HG87" i="6"/>
  <c r="HG89" i="6" s="1"/>
  <c r="BT79" i="15"/>
  <c r="BT80" i="15" s="1"/>
  <c r="T74" i="11"/>
  <c r="HJ82" i="6"/>
  <c r="HI98" i="6"/>
  <c r="HI28" i="9"/>
  <c r="HI33" i="9" s="1"/>
  <c r="HI34" i="9" s="1"/>
  <c r="ET6" i="9"/>
  <c r="EU102" i="6"/>
  <c r="HF28" i="9" l="1"/>
  <c r="HF33" i="9" s="1"/>
  <c r="HF34" i="9" s="1"/>
  <c r="HF98" i="6"/>
  <c r="HK81" i="6"/>
  <c r="HJ83" i="6"/>
  <c r="T75" i="11"/>
  <c r="BU75" i="15"/>
  <c r="HG91" i="6"/>
  <c r="BT82" i="15"/>
  <c r="HH98" i="6"/>
  <c r="HH28" i="9"/>
  <c r="HH33" i="9" s="1"/>
  <c r="HH34" i="9" s="1"/>
  <c r="EU106" i="6"/>
  <c r="EU104" i="6"/>
  <c r="ET7" i="9"/>
  <c r="HJ86" i="6" l="1"/>
  <c r="T76" i="11"/>
  <c r="BU76" i="15"/>
  <c r="HG95" i="6"/>
  <c r="BT84" i="15"/>
  <c r="HK82" i="6"/>
  <c r="EU6" i="9"/>
  <c r="EV102" i="6"/>
  <c r="HL81" i="6" l="1"/>
  <c r="HK83" i="6"/>
  <c r="HG28" i="9"/>
  <c r="HG33" i="9" s="1"/>
  <c r="HG34" i="9" s="1"/>
  <c r="HG98" i="6"/>
  <c r="BT91" i="15" s="1"/>
  <c r="BT88" i="15"/>
  <c r="BU79" i="15"/>
  <c r="BU80" i="15" s="1"/>
  <c r="HJ87" i="6"/>
  <c r="HJ89" i="6" s="1"/>
  <c r="T79" i="11"/>
  <c r="T80" i="11" s="1"/>
  <c r="EU7" i="9"/>
  <c r="EV106" i="6"/>
  <c r="AY99" i="15" s="1"/>
  <c r="EV104" i="6"/>
  <c r="AY95" i="15"/>
  <c r="BU82" i="15" l="1"/>
  <c r="HJ91" i="6"/>
  <c r="T82" i="11"/>
  <c r="T84" i="11" s="1"/>
  <c r="T88" i="11" s="1"/>
  <c r="HK86" i="6"/>
  <c r="HL82" i="6"/>
  <c r="HM81" i="6" s="1"/>
  <c r="BV74" i="15" s="1"/>
  <c r="EW102" i="6"/>
  <c r="EV6" i="9"/>
  <c r="EV7" i="9" s="1"/>
  <c r="AY97" i="15"/>
  <c r="HK87" i="6" l="1"/>
  <c r="HK89" i="6" s="1"/>
  <c r="S9" i="12"/>
  <c r="T91" i="11"/>
  <c r="S12" i="12" s="1"/>
  <c r="HM82" i="6"/>
  <c r="HM83" i="6" s="1"/>
  <c r="HM86" i="6" s="1"/>
  <c r="HM87" i="6" s="1"/>
  <c r="HM89" i="6" s="1"/>
  <c r="HM91" i="6" s="1"/>
  <c r="HM95" i="6" s="1"/>
  <c r="HM28" i="9" s="1"/>
  <c r="HM33" i="9" s="1"/>
  <c r="HM34" i="9" s="1"/>
  <c r="HL83" i="6"/>
  <c r="HJ95" i="6"/>
  <c r="BU84" i="15"/>
  <c r="EW106" i="6"/>
  <c r="EW104" i="6"/>
  <c r="BV75" i="15" l="1"/>
  <c r="HN81" i="6"/>
  <c r="HN82" i="6" s="1"/>
  <c r="HN83" i="6" s="1"/>
  <c r="HM98" i="6"/>
  <c r="HL86" i="6"/>
  <c r="BV76" i="15"/>
  <c r="HJ98" i="6"/>
  <c r="BU91" i="15" s="1"/>
  <c r="BU88" i="15"/>
  <c r="HJ28" i="9"/>
  <c r="HJ33" i="9" s="1"/>
  <c r="HJ34" i="9" s="1"/>
  <c r="HK91" i="6"/>
  <c r="EX102" i="6"/>
  <c r="EW6" i="9"/>
  <c r="EW7" i="9" s="1"/>
  <c r="HO81" i="6" l="1"/>
  <c r="HO82" i="6" s="1"/>
  <c r="HP81" i="6" s="1"/>
  <c r="HK95" i="6"/>
  <c r="HL87" i="6"/>
  <c r="HL89" i="6" s="1"/>
  <c r="BV79" i="15"/>
  <c r="BV80" i="15" s="1"/>
  <c r="HN86" i="6"/>
  <c r="EX106" i="6"/>
  <c r="EX104" i="6"/>
  <c r="HN87" i="6" l="1"/>
  <c r="HN89" i="6" s="1"/>
  <c r="HK28" i="9"/>
  <c r="HK33" i="9" s="1"/>
  <c r="HK34" i="9" s="1"/>
  <c r="HK98" i="6"/>
  <c r="BW74" i="15"/>
  <c r="HP82" i="6"/>
  <c r="BW75" i="15" s="1"/>
  <c r="HL91" i="6"/>
  <c r="BV82" i="15"/>
  <c r="HO83" i="6"/>
  <c r="EX6" i="9"/>
  <c r="EX7" i="9" s="1"/>
  <c r="EY102" i="6"/>
  <c r="HL95" i="6" l="1"/>
  <c r="BV84" i="15"/>
  <c r="HQ81" i="6"/>
  <c r="HP83" i="6"/>
  <c r="HP86" i="6" s="1"/>
  <c r="HP87" i="6" s="1"/>
  <c r="HP89" i="6" s="1"/>
  <c r="HP91" i="6" s="1"/>
  <c r="HP95" i="6" s="1"/>
  <c r="HP28" i="9" s="1"/>
  <c r="HP33" i="9" s="1"/>
  <c r="HP34" i="9" s="1"/>
  <c r="HO86" i="6"/>
  <c r="HN91" i="6"/>
  <c r="EY106" i="6"/>
  <c r="AZ99" i="15" s="1"/>
  <c r="EY104" i="6"/>
  <c r="AZ95" i="15"/>
  <c r="HP98" i="6" l="1"/>
  <c r="BW76" i="15"/>
  <c r="HN95" i="6"/>
  <c r="HQ82" i="6"/>
  <c r="HO87" i="6"/>
  <c r="HO89" i="6" s="1"/>
  <c r="BW79" i="15"/>
  <c r="BW80" i="15" s="1"/>
  <c r="HL98" i="6"/>
  <c r="BV91" i="15" s="1"/>
  <c r="HL28" i="9"/>
  <c r="HL33" i="9" s="1"/>
  <c r="HL34" i="9" s="1"/>
  <c r="BV88" i="15"/>
  <c r="EY6" i="9"/>
  <c r="EY7" i="9" s="1"/>
  <c r="AZ97" i="15"/>
  <c r="EZ102" i="6"/>
  <c r="HR81" i="6" l="1"/>
  <c r="HQ83" i="6"/>
  <c r="HO91" i="6"/>
  <c r="BW82" i="15"/>
  <c r="HN28" i="9"/>
  <c r="HN33" i="9" s="1"/>
  <c r="HN34" i="9" s="1"/>
  <c r="HN98" i="6"/>
  <c r="EZ106" i="6"/>
  <c r="EZ104" i="6"/>
  <c r="HO95" i="6" l="1"/>
  <c r="BW84" i="15"/>
  <c r="HQ86" i="6"/>
  <c r="HR82" i="6"/>
  <c r="HS81" i="6" s="1"/>
  <c r="EZ6" i="9"/>
  <c r="EZ7" i="9" s="1"/>
  <c r="FA102" i="6"/>
  <c r="HS82" i="6" l="1"/>
  <c r="BX75" i="15" s="1"/>
  <c r="BX74" i="15"/>
  <c r="HQ87" i="6"/>
  <c r="HQ89" i="6" s="1"/>
  <c r="HR83" i="6"/>
  <c r="HO28" i="9"/>
  <c r="HO33" i="9" s="1"/>
  <c r="HO34" i="9" s="1"/>
  <c r="HO98" i="6"/>
  <c r="BW91" i="15" s="1"/>
  <c r="BW88" i="15"/>
  <c r="FA106" i="6"/>
  <c r="FA104" i="6"/>
  <c r="HQ91" i="6" l="1"/>
  <c r="HR86" i="6"/>
  <c r="HT81" i="6"/>
  <c r="HS83" i="6"/>
  <c r="HS86" i="6" s="1"/>
  <c r="HS87" i="6" s="1"/>
  <c r="HS89" i="6" s="1"/>
  <c r="HS91" i="6" s="1"/>
  <c r="HS95" i="6" s="1"/>
  <c r="FA6" i="9"/>
  <c r="FA7" i="9" s="1"/>
  <c r="FB102" i="6"/>
  <c r="BX76" i="15" l="1"/>
  <c r="HS28" i="9"/>
  <c r="HS33" i="9" s="1"/>
  <c r="HS34" i="9" s="1"/>
  <c r="HS98" i="6"/>
  <c r="HR87" i="6"/>
  <c r="HR89" i="6" s="1"/>
  <c r="BX79" i="15"/>
  <c r="BX80" i="15" s="1"/>
  <c r="HT82" i="6"/>
  <c r="HQ95" i="6"/>
  <c r="FB106" i="6"/>
  <c r="FB104" i="6"/>
  <c r="O95" i="11"/>
  <c r="BA95" i="15"/>
  <c r="HR91" i="6" l="1"/>
  <c r="BX82" i="15"/>
  <c r="HU81" i="6"/>
  <c r="HT83" i="6"/>
  <c r="HQ28" i="9"/>
  <c r="HQ33" i="9" s="1"/>
  <c r="HQ34" i="9" s="1"/>
  <c r="HQ98" i="6"/>
  <c r="BA99" i="15"/>
  <c r="O99" i="11"/>
  <c r="FB6" i="9"/>
  <c r="FB7" i="9" s="1"/>
  <c r="O97" i="11"/>
  <c r="BA97" i="15"/>
  <c r="FC102" i="6"/>
  <c r="HU82" i="6" l="1"/>
  <c r="HV81" i="6" s="1"/>
  <c r="HT86" i="6"/>
  <c r="HR95" i="6"/>
  <c r="BX84" i="15"/>
  <c r="FC106" i="6"/>
  <c r="FC104" i="6"/>
  <c r="BY74" i="15" l="1"/>
  <c r="U74" i="11"/>
  <c r="HR98" i="6"/>
  <c r="BX91" i="15" s="1"/>
  <c r="HR28" i="9"/>
  <c r="HR33" i="9" s="1"/>
  <c r="HR34" i="9" s="1"/>
  <c r="BX88" i="15"/>
  <c r="HV82" i="6"/>
  <c r="HV83" i="6" s="1"/>
  <c r="HV86" i="6" s="1"/>
  <c r="HV87" i="6" s="1"/>
  <c r="HV89" i="6" s="1"/>
  <c r="HV91" i="6" s="1"/>
  <c r="HV95" i="6" s="1"/>
  <c r="HT87" i="6"/>
  <c r="HT89" i="6" s="1"/>
  <c r="HU83" i="6"/>
  <c r="FC6" i="9"/>
  <c r="FD102" i="6"/>
  <c r="BY75" i="15" l="1"/>
  <c r="HV28" i="9"/>
  <c r="HV33" i="9" s="1"/>
  <c r="HV34" i="9" s="1"/>
  <c r="HV98" i="6"/>
  <c r="U75" i="11"/>
  <c r="HT91" i="6"/>
  <c r="HU86" i="6"/>
  <c r="BY76" i="15"/>
  <c r="U76" i="11"/>
  <c r="HW81" i="6"/>
  <c r="FC7" i="9"/>
  <c r="FD106" i="6"/>
  <c r="FD104" i="6"/>
  <c r="HT95" i="6" l="1"/>
  <c r="HU87" i="6"/>
  <c r="HU89" i="6" s="1"/>
  <c r="BY79" i="15"/>
  <c r="BY80" i="15" s="1"/>
  <c r="U79" i="11"/>
  <c r="U80" i="11" s="1"/>
  <c r="HW82" i="6"/>
  <c r="FE102" i="6"/>
  <c r="FD6" i="9"/>
  <c r="HU91" i="6" l="1"/>
  <c r="BY82" i="15"/>
  <c r="U82" i="11"/>
  <c r="U84" i="11" s="1"/>
  <c r="U88" i="11" s="1"/>
  <c r="HX81" i="6"/>
  <c r="HW83" i="6"/>
  <c r="HT28" i="9"/>
  <c r="HT33" i="9" s="1"/>
  <c r="HT34" i="9" s="1"/>
  <c r="HT98" i="6"/>
  <c r="FD7" i="9"/>
  <c r="FE106" i="6"/>
  <c r="BB99" i="15" s="1"/>
  <c r="FE104" i="6"/>
  <c r="BB95" i="15"/>
  <c r="HX82" i="6" l="1"/>
  <c r="HY81" i="6" s="1"/>
  <c r="BZ74" i="15" s="1"/>
  <c r="U91" i="11"/>
  <c r="T12" i="12" s="1"/>
  <c r="T9" i="12"/>
  <c r="HW86" i="6"/>
  <c r="HU95" i="6"/>
  <c r="BY84" i="15"/>
  <c r="FF102" i="6"/>
  <c r="FE6" i="9"/>
  <c r="BB97" i="15"/>
  <c r="HW87" i="6" l="1"/>
  <c r="HW89" i="6" s="1"/>
  <c r="HY82" i="6"/>
  <c r="HY83" i="6" s="1"/>
  <c r="HY86" i="6" s="1"/>
  <c r="HY87" i="6" s="1"/>
  <c r="HY89" i="6" s="1"/>
  <c r="HY91" i="6" s="1"/>
  <c r="HY95" i="6" s="1"/>
  <c r="HX83" i="6"/>
  <c r="HU98" i="6"/>
  <c r="BY91" i="15" s="1"/>
  <c r="HU28" i="9"/>
  <c r="HU33" i="9" s="1"/>
  <c r="HU34" i="9" s="1"/>
  <c r="BY88" i="15"/>
  <c r="FF106" i="6"/>
  <c r="FF104" i="6"/>
  <c r="FE7" i="9"/>
  <c r="HZ81" i="6" l="1"/>
  <c r="HZ82" i="6" s="1"/>
  <c r="IA81" i="6" s="1"/>
  <c r="BZ75" i="15"/>
  <c r="HY28" i="9"/>
  <c r="HY33" i="9" s="1"/>
  <c r="HY34" i="9" s="1"/>
  <c r="HY98" i="6"/>
  <c r="HX86" i="6"/>
  <c r="BZ76" i="15"/>
  <c r="HW91" i="6"/>
  <c r="FF6" i="9"/>
  <c r="FG102" i="6"/>
  <c r="HW95" i="6" l="1"/>
  <c r="HX87" i="6"/>
  <c r="HX89" i="6" s="1"/>
  <c r="BZ79" i="15"/>
  <c r="BZ80" i="15" s="1"/>
  <c r="IA82" i="6"/>
  <c r="IA83" i="6" s="1"/>
  <c r="IA86" i="6" s="1"/>
  <c r="IA87" i="6" s="1"/>
  <c r="IA89" i="6" s="1"/>
  <c r="IA91" i="6" s="1"/>
  <c r="IA95" i="6" s="1"/>
  <c r="HZ83" i="6"/>
  <c r="FG106" i="6"/>
  <c r="FG104" i="6"/>
  <c r="FF7" i="9"/>
  <c r="IB81" i="6" l="1"/>
  <c r="IB82" i="6" s="1"/>
  <c r="CA75" i="15" s="1"/>
  <c r="HX91" i="6"/>
  <c r="BZ82" i="15"/>
  <c r="IA98" i="6"/>
  <c r="IA28" i="9"/>
  <c r="IA33" i="9" s="1"/>
  <c r="IA34" i="9" s="1"/>
  <c r="HW28" i="9"/>
  <c r="HW33" i="9" s="1"/>
  <c r="HW34" i="9" s="1"/>
  <c r="HW98" i="6"/>
  <c r="HZ86" i="6"/>
  <c r="FH102" i="6"/>
  <c r="FG6" i="9"/>
  <c r="CA74" i="15" l="1"/>
  <c r="IB83" i="6"/>
  <c r="IB86" i="6" s="1"/>
  <c r="IB87" i="6" s="1"/>
  <c r="IB89" i="6" s="1"/>
  <c r="IB91" i="6" s="1"/>
  <c r="IB95" i="6" s="1"/>
  <c r="IB28" i="9" s="1"/>
  <c r="IB33" i="9" s="1"/>
  <c r="IB34" i="9" s="1"/>
  <c r="IC81" i="6"/>
  <c r="IC82" i="6" s="1"/>
  <c r="HZ87" i="6"/>
  <c r="HZ89" i="6" s="1"/>
  <c r="HX95" i="6"/>
  <c r="BZ84" i="15"/>
  <c r="FH106" i="6"/>
  <c r="BC99" i="15" s="1"/>
  <c r="FH104" i="6"/>
  <c r="BC95" i="15"/>
  <c r="FG7" i="9"/>
  <c r="IB98" i="6" l="1"/>
  <c r="CA79" i="15"/>
  <c r="CA80" i="15" s="1"/>
  <c r="CA76" i="15"/>
  <c r="HZ91" i="6"/>
  <c r="CA82" i="15"/>
  <c r="IC83" i="6"/>
  <c r="HX98" i="6"/>
  <c r="BZ91" i="15" s="1"/>
  <c r="HX28" i="9"/>
  <c r="HX33" i="9" s="1"/>
  <c r="HX34" i="9" s="1"/>
  <c r="BZ88" i="15"/>
  <c r="ID81" i="6"/>
  <c r="FI102" i="6"/>
  <c r="FH6" i="9"/>
  <c r="FH7" i="9" s="1"/>
  <c r="BC97" i="15"/>
  <c r="IC86" i="6" l="1"/>
  <c r="ID82" i="6"/>
  <c r="HZ95" i="6"/>
  <c r="CA84" i="15"/>
  <c r="FI106" i="6"/>
  <c r="FI104" i="6"/>
  <c r="IE81" i="6" l="1"/>
  <c r="ID83" i="6"/>
  <c r="HZ28" i="9"/>
  <c r="HZ33" i="9" s="1"/>
  <c r="HZ34" i="9" s="1"/>
  <c r="HZ98" i="6"/>
  <c r="CA91" i="15" s="1"/>
  <c r="CA88" i="15"/>
  <c r="IC87" i="6"/>
  <c r="IC89" i="6" s="1"/>
  <c r="FI6" i="9"/>
  <c r="FI7" i="9" s="1"/>
  <c r="FJ102" i="6"/>
  <c r="IC91" i="6" l="1"/>
  <c r="ID86" i="6"/>
  <c r="IE82" i="6"/>
  <c r="IF81" i="6" s="1"/>
  <c r="CB74" i="15"/>
  <c r="FJ106" i="6"/>
  <c r="FJ104" i="6"/>
  <c r="IF82" i="6" l="1"/>
  <c r="ID87" i="6"/>
  <c r="ID89" i="6" s="1"/>
  <c r="IE83" i="6"/>
  <c r="CB75" i="15"/>
  <c r="IC95" i="6"/>
  <c r="FJ6" i="9"/>
  <c r="FJ7" i="9" s="1"/>
  <c r="FK102" i="6"/>
  <c r="ID91" i="6" l="1"/>
  <c r="IC98" i="6"/>
  <c r="IC28" i="9"/>
  <c r="IC33" i="9" s="1"/>
  <c r="IC34" i="9" s="1"/>
  <c r="IE86" i="6"/>
  <c r="CB76" i="15"/>
  <c r="IG81" i="6"/>
  <c r="IF83" i="6"/>
  <c r="FK106" i="6"/>
  <c r="BD99" i="15" s="1"/>
  <c r="FK104" i="6"/>
  <c r="BD95" i="15"/>
  <c r="IE87" i="6" l="1"/>
  <c r="IE89" i="6" s="1"/>
  <c r="CB79" i="15"/>
  <c r="CB80" i="15" s="1"/>
  <c r="IF86" i="6"/>
  <c r="IG82" i="6"/>
  <c r="IH81" i="6" s="1"/>
  <c r="ID95" i="6"/>
  <c r="FK6" i="9"/>
  <c r="FK7" i="9" s="1"/>
  <c r="BD97" i="15"/>
  <c r="FL102" i="6"/>
  <c r="IH82" i="6" l="1"/>
  <c r="IH83" i="6" s="1"/>
  <c r="IH86" i="6" s="1"/>
  <c r="IH87" i="6" s="1"/>
  <c r="IH89" i="6" s="1"/>
  <c r="IH91" i="6" s="1"/>
  <c r="IH95" i="6" s="1"/>
  <c r="V74" i="11"/>
  <c r="IF87" i="6"/>
  <c r="IF89" i="6" s="1"/>
  <c r="ID28" i="9"/>
  <c r="ID33" i="9" s="1"/>
  <c r="ID34" i="9" s="1"/>
  <c r="ID98" i="6"/>
  <c r="IG83" i="6"/>
  <c r="CC74" i="15"/>
  <c r="IE91" i="6"/>
  <c r="CB82" i="15"/>
  <c r="FL106" i="6"/>
  <c r="FL104" i="6"/>
  <c r="II81" i="6" l="1"/>
  <c r="II82" i="6" s="1"/>
  <c r="V75" i="11"/>
  <c r="CC75" i="15"/>
  <c r="IH98" i="6"/>
  <c r="IH28" i="9"/>
  <c r="IH33" i="9" s="1"/>
  <c r="IH34" i="9" s="1"/>
  <c r="IG86" i="6"/>
  <c r="V76" i="11"/>
  <c r="CC76" i="15"/>
  <c r="IE95" i="6"/>
  <c r="CB84" i="15"/>
  <c r="IF91" i="6"/>
  <c r="FM102" i="6"/>
  <c r="FL6" i="9"/>
  <c r="FL7" i="9" s="1"/>
  <c r="IG87" i="6" l="1"/>
  <c r="IG89" i="6" s="1"/>
  <c r="V79" i="11"/>
  <c r="V80" i="11" s="1"/>
  <c r="CC79" i="15"/>
  <c r="CC80" i="15" s="1"/>
  <c r="IF95" i="6"/>
  <c r="II83" i="6"/>
  <c r="IE28" i="9"/>
  <c r="IE33" i="9" s="1"/>
  <c r="IE34" i="9" s="1"/>
  <c r="IE98" i="6"/>
  <c r="CB91" i="15" s="1"/>
  <c r="CB88" i="15"/>
  <c r="IJ81" i="6"/>
  <c r="FM106" i="6"/>
  <c r="FM104" i="6"/>
  <c r="IJ82" i="6" l="1"/>
  <c r="IF28" i="9"/>
  <c r="IF33" i="9" s="1"/>
  <c r="IF34" i="9" s="1"/>
  <c r="IF98" i="6"/>
  <c r="II86" i="6"/>
  <c r="IG91" i="6"/>
  <c r="V82" i="11"/>
  <c r="V84" i="11" s="1"/>
  <c r="V88" i="11" s="1"/>
  <c r="CC82" i="15"/>
  <c r="FN102" i="6"/>
  <c r="FM6" i="9"/>
  <c r="FM7" i="9" s="1"/>
  <c r="IG95" i="6" l="1"/>
  <c r="CC84" i="15"/>
  <c r="II87" i="6"/>
  <c r="II89" i="6" s="1"/>
  <c r="U9" i="12"/>
  <c r="V91" i="11"/>
  <c r="U12" i="12" s="1"/>
  <c r="IK81" i="6"/>
  <c r="IJ83" i="6"/>
  <c r="FN106" i="6"/>
  <c r="FN104" i="6"/>
  <c r="P95" i="11"/>
  <c r="BE95" i="15"/>
  <c r="IK82" i="6" l="1"/>
  <c r="CD74" i="15"/>
  <c r="II91" i="6"/>
  <c r="IJ86" i="6"/>
  <c r="IG28" i="9"/>
  <c r="IG33" i="9" s="1"/>
  <c r="IG34" i="9" s="1"/>
  <c r="IG98" i="6"/>
  <c r="CC91" i="15" s="1"/>
  <c r="CC88" i="15"/>
  <c r="BE99" i="15"/>
  <c r="P99" i="11"/>
  <c r="FN6" i="9"/>
  <c r="FN7" i="9" s="1"/>
  <c r="P97" i="11"/>
  <c r="BE97" i="15"/>
  <c r="FO102" i="6"/>
  <c r="II95" i="6" l="1"/>
  <c r="IJ87" i="6"/>
  <c r="IJ89" i="6" s="1"/>
  <c r="IL81" i="6"/>
  <c r="IK83" i="6"/>
  <c r="CD75" i="15"/>
  <c r="FO106" i="6"/>
  <c r="FO104" i="6"/>
  <c r="IJ91" i="6" l="1"/>
  <c r="IK86" i="6"/>
  <c r="CD76" i="15"/>
  <c r="IL82" i="6"/>
  <c r="IM81" i="6" s="1"/>
  <c r="IM82" i="6" s="1"/>
  <c r="II98" i="6"/>
  <c r="II28" i="9"/>
  <c r="II33" i="9" s="1"/>
  <c r="II34" i="9" s="1"/>
  <c r="FP102" i="6"/>
  <c r="FO6" i="9"/>
  <c r="IK87" i="6" l="1"/>
  <c r="IK89" i="6" s="1"/>
  <c r="CD79" i="15"/>
  <c r="CD80" i="15" s="1"/>
  <c r="IN81" i="6"/>
  <c r="IM83" i="6"/>
  <c r="IM86" i="6" s="1"/>
  <c r="IM87" i="6" s="1"/>
  <c r="IM89" i="6" s="1"/>
  <c r="IM91" i="6" s="1"/>
  <c r="IM95" i="6" s="1"/>
  <c r="IL83" i="6"/>
  <c r="IJ95" i="6"/>
  <c r="FO7" i="9"/>
  <c r="FP106" i="6"/>
  <c r="FP104" i="6"/>
  <c r="IN82" i="6" l="1"/>
  <c r="IO81" i="6" s="1"/>
  <c r="IJ98" i="6"/>
  <c r="IJ28" i="9"/>
  <c r="IJ33" i="9" s="1"/>
  <c r="IJ34" i="9" s="1"/>
  <c r="IL86" i="6"/>
  <c r="IK91" i="6"/>
  <c r="CD82" i="15"/>
  <c r="IM28" i="9"/>
  <c r="IM33" i="9" s="1"/>
  <c r="IM34" i="9" s="1"/>
  <c r="IM98" i="6"/>
  <c r="CE74" i="15"/>
  <c r="FP6" i="9"/>
  <c r="FQ102" i="6"/>
  <c r="IK95" i="6" l="1"/>
  <c r="CD84" i="15"/>
  <c r="IL87" i="6"/>
  <c r="IL89" i="6" s="1"/>
  <c r="IO82" i="6"/>
  <c r="IO83" i="6" s="1"/>
  <c r="IN83" i="6"/>
  <c r="CE75" i="15"/>
  <c r="FP7" i="9"/>
  <c r="FQ106" i="6"/>
  <c r="BF99" i="15" s="1"/>
  <c r="FQ104" i="6"/>
  <c r="BF95" i="15"/>
  <c r="IP81" i="6" l="1"/>
  <c r="IO86" i="6"/>
  <c r="IN86" i="6"/>
  <c r="CE76" i="15"/>
  <c r="IL91" i="6"/>
  <c r="IK28" i="9"/>
  <c r="IK33" i="9" s="1"/>
  <c r="IK34" i="9" s="1"/>
  <c r="IK98" i="6"/>
  <c r="CD91" i="15" s="1"/>
  <c r="CD88" i="15"/>
  <c r="FR102" i="6"/>
  <c r="FQ6" i="9"/>
  <c r="BF97" i="15"/>
  <c r="IN87" i="6" l="1"/>
  <c r="IN89" i="6" s="1"/>
  <c r="CE79" i="15"/>
  <c r="CE80" i="15" s="1"/>
  <c r="IL95" i="6"/>
  <c r="IO87" i="6"/>
  <c r="IO89" i="6" s="1"/>
  <c r="IP82" i="6"/>
  <c r="FR106" i="6"/>
  <c r="FR104" i="6"/>
  <c r="FQ7" i="9"/>
  <c r="IO91" i="6" l="1"/>
  <c r="IQ81" i="6"/>
  <c r="IP83" i="6"/>
  <c r="IL28" i="9"/>
  <c r="IL33" i="9" s="1"/>
  <c r="IL34" i="9" s="1"/>
  <c r="IL98" i="6"/>
  <c r="IN91" i="6"/>
  <c r="CE82" i="15"/>
  <c r="FR6" i="9"/>
  <c r="FS102" i="6"/>
  <c r="IQ82" i="6" l="1"/>
  <c r="IR81" i="6" s="1"/>
  <c r="CF74" i="15"/>
  <c r="IP86" i="6"/>
  <c r="IN95" i="6"/>
  <c r="CE84" i="15"/>
  <c r="IO95" i="6"/>
  <c r="FS106" i="6"/>
  <c r="FS104" i="6"/>
  <c r="FR7" i="9"/>
  <c r="IO98" i="6" l="1"/>
  <c r="IO28" i="9"/>
  <c r="IO33" i="9" s="1"/>
  <c r="IO34" i="9" s="1"/>
  <c r="IR82" i="6"/>
  <c r="IP87" i="6"/>
  <c r="IP89" i="6" s="1"/>
  <c r="CF75" i="15"/>
  <c r="IQ83" i="6"/>
  <c r="IN28" i="9"/>
  <c r="IN33" i="9" s="1"/>
  <c r="IN34" i="9" s="1"/>
  <c r="IN98" i="6"/>
  <c r="CE91" i="15" s="1"/>
  <c r="CE88" i="15"/>
  <c r="FS6" i="9"/>
  <c r="FT102" i="6"/>
  <c r="IS81" i="6" l="1"/>
  <c r="IR83" i="6"/>
  <c r="IQ86" i="6"/>
  <c r="CF76" i="15"/>
  <c r="IP91" i="6"/>
  <c r="FT106" i="6"/>
  <c r="BG99" i="15" s="1"/>
  <c r="FT104" i="6"/>
  <c r="BG95" i="15"/>
  <c r="FS7" i="9"/>
  <c r="IQ87" i="6" l="1"/>
  <c r="IQ89" i="6" s="1"/>
  <c r="CF79" i="15"/>
  <c r="CF80" i="15" s="1"/>
  <c r="IP95" i="6"/>
  <c r="IR86" i="6"/>
  <c r="IS82" i="6"/>
  <c r="FT6" i="9"/>
  <c r="FT7" i="9" s="1"/>
  <c r="BG97" i="15"/>
  <c r="FU102" i="6"/>
  <c r="IS83" i="6" l="1"/>
  <c r="IP98" i="6"/>
  <c r="IP28" i="9"/>
  <c r="IP33" i="9" s="1"/>
  <c r="IP34" i="9" s="1"/>
  <c r="IR87" i="6"/>
  <c r="IR89" i="6" s="1"/>
  <c r="IT81" i="6"/>
  <c r="IQ91" i="6"/>
  <c r="CF82" i="15"/>
  <c r="FU106" i="6"/>
  <c r="FU104" i="6"/>
  <c r="IR91" i="6" l="1"/>
  <c r="IQ95" i="6"/>
  <c r="CF84" i="15"/>
  <c r="IT82" i="6"/>
  <c r="IU81" i="6" s="1"/>
  <c r="W74" i="11"/>
  <c r="CG74" i="15"/>
  <c r="IS86" i="6"/>
  <c r="FU6" i="9"/>
  <c r="FU7" i="9" s="1"/>
  <c r="FV102" i="6"/>
  <c r="IQ28" i="9" l="1"/>
  <c r="IQ33" i="9" s="1"/>
  <c r="IQ34" i="9" s="1"/>
  <c r="IQ98" i="6"/>
  <c r="CF91" i="15" s="1"/>
  <c r="CF88" i="15"/>
  <c r="IU82" i="6"/>
  <c r="IU83" i="6" s="1"/>
  <c r="IS87" i="6"/>
  <c r="IS89" i="6" s="1"/>
  <c r="IT83" i="6"/>
  <c r="W75" i="11"/>
  <c r="CG75" i="15"/>
  <c r="IR95" i="6"/>
  <c r="FV106" i="6"/>
  <c r="FV104" i="6"/>
  <c r="IU86" i="6" l="1"/>
  <c r="IS91" i="6"/>
  <c r="IT86" i="6"/>
  <c r="W76" i="11"/>
  <c r="CG76" i="15"/>
  <c r="IR28" i="9"/>
  <c r="IR33" i="9" s="1"/>
  <c r="IR34" i="9" s="1"/>
  <c r="IR98" i="6"/>
  <c r="IV81" i="6"/>
  <c r="FW102" i="6"/>
  <c r="FV6" i="9"/>
  <c r="FV7" i="9" s="1"/>
  <c r="IV82" i="6" l="1"/>
  <c r="IS95" i="6"/>
  <c r="IT87" i="6"/>
  <c r="IT89" i="6" s="1"/>
  <c r="CG79" i="15"/>
  <c r="CG80" i="15" s="1"/>
  <c r="W79" i="11"/>
  <c r="W80" i="11" s="1"/>
  <c r="IU87" i="6"/>
  <c r="IU89" i="6" s="1"/>
  <c r="FW106" i="6"/>
  <c r="BH99" i="15" s="1"/>
  <c r="FW104" i="6"/>
  <c r="BH95" i="15"/>
  <c r="IU91" i="6" l="1"/>
  <c r="IS98" i="6"/>
  <c r="IS28" i="9"/>
  <c r="IS33" i="9" s="1"/>
  <c r="IS34" i="9" s="1"/>
  <c r="IT91" i="6"/>
  <c r="CG82" i="15"/>
  <c r="W82" i="11"/>
  <c r="W84" i="11" s="1"/>
  <c r="W88" i="11" s="1"/>
  <c r="IW81" i="6"/>
  <c r="IV83" i="6"/>
  <c r="FW6" i="9"/>
  <c r="FW7" i="9" s="1"/>
  <c r="BH97" i="15"/>
  <c r="FX102" i="6"/>
  <c r="V9" i="12" l="1"/>
  <c r="W91" i="11"/>
  <c r="V12" i="12" s="1"/>
  <c r="IV86" i="6"/>
  <c r="IT95" i="6"/>
  <c r="CG84" i="15"/>
  <c r="IW82" i="6"/>
  <c r="IX81" i="6" s="1"/>
  <c r="CH74" i="15"/>
  <c r="IU95" i="6"/>
  <c r="FX106" i="6"/>
  <c r="FX104" i="6"/>
  <c r="IX82" i="6" l="1"/>
  <c r="CH75" i="15"/>
  <c r="IW83" i="6"/>
  <c r="IV87" i="6"/>
  <c r="IV89" i="6" s="1"/>
  <c r="IU98" i="6"/>
  <c r="IU28" i="9"/>
  <c r="IU33" i="9" s="1"/>
  <c r="IU34" i="9" s="1"/>
  <c r="IT28" i="9"/>
  <c r="IT33" i="9" s="1"/>
  <c r="IT34" i="9" s="1"/>
  <c r="IT98" i="6"/>
  <c r="CG91" i="15" s="1"/>
  <c r="CG88" i="15"/>
  <c r="FX6" i="9"/>
  <c r="FX7" i="9" s="1"/>
  <c r="FY102" i="6"/>
  <c r="IW86" i="6" l="1"/>
  <c r="CH76" i="15"/>
  <c r="IV91" i="6"/>
  <c r="IY81" i="6"/>
  <c r="IX83" i="6"/>
  <c r="FY106" i="6"/>
  <c r="FY104" i="6"/>
  <c r="IV95" i="6" l="1"/>
  <c r="IX86" i="6"/>
  <c r="IY82" i="6"/>
  <c r="IY83" i="6" s="1"/>
  <c r="IY86" i="6" s="1"/>
  <c r="IY87" i="6" s="1"/>
  <c r="IY89" i="6" s="1"/>
  <c r="IY91" i="6" s="1"/>
  <c r="IY95" i="6" s="1"/>
  <c r="IW87" i="6"/>
  <c r="IW89" i="6" s="1"/>
  <c r="CH79" i="15"/>
  <c r="CH80" i="15" s="1"/>
  <c r="FY6" i="9"/>
  <c r="FY7" i="9" s="1"/>
  <c r="FZ102" i="6"/>
  <c r="IZ81" i="6" l="1"/>
  <c r="CI74" i="15" s="1"/>
  <c r="IW91" i="6"/>
  <c r="CH82" i="15"/>
  <c r="IX87" i="6"/>
  <c r="IX89" i="6" s="1"/>
  <c r="IY28" i="9"/>
  <c r="IY33" i="9" s="1"/>
  <c r="IY34" i="9" s="1"/>
  <c r="IY98" i="6"/>
  <c r="IV98" i="6"/>
  <c r="IV28" i="9"/>
  <c r="IV33" i="9" s="1"/>
  <c r="IV34" i="9" s="1"/>
  <c r="FZ106" i="6"/>
  <c r="FZ104" i="6"/>
  <c r="Q95" i="11"/>
  <c r="BI95" i="15"/>
  <c r="IZ82" i="6" l="1"/>
  <c r="JA81" i="6" s="1"/>
  <c r="JA82" i="6" s="1"/>
  <c r="IX91" i="6"/>
  <c r="IW95" i="6"/>
  <c r="CH84" i="15"/>
  <c r="BI99" i="15"/>
  <c r="Q99" i="11"/>
  <c r="FZ6" i="9"/>
  <c r="FZ7" i="9" s="1"/>
  <c r="Q97" i="11"/>
  <c r="BI97" i="15"/>
  <c r="GA102" i="6"/>
  <c r="IZ83" i="6" l="1"/>
  <c r="IZ86" i="6" s="1"/>
  <c r="CI75" i="15"/>
  <c r="JA83" i="6"/>
  <c r="IW98" i="6"/>
  <c r="CH91" i="15" s="1"/>
  <c r="IW28" i="9"/>
  <c r="IW33" i="9" s="1"/>
  <c r="IW34" i="9" s="1"/>
  <c r="CH88" i="15"/>
  <c r="JB81" i="6"/>
  <c r="IX95" i="6"/>
  <c r="GA106" i="6"/>
  <c r="GA104" i="6"/>
  <c r="CI76" i="15" l="1"/>
  <c r="JA86" i="6"/>
  <c r="IX98" i="6"/>
  <c r="IX28" i="9"/>
  <c r="IX33" i="9" s="1"/>
  <c r="IX34" i="9" s="1"/>
  <c r="JB82" i="6"/>
  <c r="IZ87" i="6"/>
  <c r="IZ89" i="6" s="1"/>
  <c r="CI79" i="15"/>
  <c r="CI80" i="15" s="1"/>
  <c r="GA6" i="9"/>
  <c r="GB102" i="6"/>
  <c r="JC81" i="6" l="1"/>
  <c r="JB83" i="6"/>
  <c r="IZ91" i="6"/>
  <c r="CI82" i="15"/>
  <c r="JA87" i="6"/>
  <c r="JA89" i="6" s="1"/>
  <c r="GB106" i="6"/>
  <c r="GB104" i="6"/>
  <c r="GA7" i="9"/>
  <c r="IZ95" i="6" l="1"/>
  <c r="CI84" i="15"/>
  <c r="JB86" i="6"/>
  <c r="JA91" i="6"/>
  <c r="JC82" i="6"/>
  <c r="JD81" i="6" s="1"/>
  <c r="CJ74" i="15"/>
  <c r="GB6" i="9"/>
  <c r="GC102" i="6"/>
  <c r="JB87" i="6" l="1"/>
  <c r="JB89" i="6" s="1"/>
  <c r="JA95" i="6"/>
  <c r="JD82" i="6"/>
  <c r="IZ28" i="9"/>
  <c r="IZ33" i="9" s="1"/>
  <c r="IZ34" i="9" s="1"/>
  <c r="IZ98" i="6"/>
  <c r="CI91" i="15" s="1"/>
  <c r="CI88" i="15"/>
  <c r="JC83" i="6"/>
  <c r="CJ75" i="15"/>
  <c r="GC106" i="6"/>
  <c r="BJ99" i="15" s="1"/>
  <c r="GC104" i="6"/>
  <c r="BJ95" i="15"/>
  <c r="GB7" i="9"/>
  <c r="JA28" i="9" l="1"/>
  <c r="JA33" i="9" s="1"/>
  <c r="JA34" i="9" s="1"/>
  <c r="JA98" i="6"/>
  <c r="JC86" i="6"/>
  <c r="CJ76" i="15"/>
  <c r="JE81" i="6"/>
  <c r="JD83" i="6"/>
  <c r="JB91" i="6"/>
  <c r="GC6" i="9"/>
  <c r="BJ97" i="15"/>
  <c r="GD102" i="6"/>
  <c r="JD86" i="6" l="1"/>
  <c r="JC87" i="6"/>
  <c r="JC89" i="6" s="1"/>
  <c r="CJ79" i="15"/>
  <c r="CJ80" i="15" s="1"/>
  <c r="JE82" i="6"/>
  <c r="JF81" i="6" s="1"/>
  <c r="JB95" i="6"/>
  <c r="GD106" i="6"/>
  <c r="GD104" i="6"/>
  <c r="GC7" i="9"/>
  <c r="JF82" i="6" l="1"/>
  <c r="JF83" i="6" s="1"/>
  <c r="CK74" i="15"/>
  <c r="X74" i="11"/>
  <c r="JC91" i="6"/>
  <c r="CJ82" i="15"/>
  <c r="JB28" i="9"/>
  <c r="JB33" i="9" s="1"/>
  <c r="JB34" i="9" s="1"/>
  <c r="JB98" i="6"/>
  <c r="JE83" i="6"/>
  <c r="JD87" i="6"/>
  <c r="JD89" i="6" s="1"/>
  <c r="GD6" i="9"/>
  <c r="GE102" i="6"/>
  <c r="CK75" i="15" l="1"/>
  <c r="X75" i="11"/>
  <c r="JG81" i="6"/>
  <c r="JG82" i="6" s="1"/>
  <c r="JH81" i="6" s="1"/>
  <c r="JH82" i="6" s="1"/>
  <c r="JE86" i="6"/>
  <c r="CK76" i="15"/>
  <c r="JD91" i="6"/>
  <c r="JC95" i="6"/>
  <c r="CJ84" i="15"/>
  <c r="JF86" i="6"/>
  <c r="JF87" i="6" s="1"/>
  <c r="JF89" i="6" s="1"/>
  <c r="X76" i="11"/>
  <c r="GD7" i="9"/>
  <c r="GE106" i="6"/>
  <c r="GE104" i="6"/>
  <c r="JC28" i="9" l="1"/>
  <c r="JC33" i="9" s="1"/>
  <c r="JC34" i="9" s="1"/>
  <c r="JC98" i="6"/>
  <c r="CJ91" i="15" s="1"/>
  <c r="CJ88" i="15"/>
  <c r="JD95" i="6"/>
  <c r="JF91" i="6"/>
  <c r="JF95" i="6" s="1"/>
  <c r="JI81" i="6"/>
  <c r="JH83" i="6"/>
  <c r="JH86" i="6" s="1"/>
  <c r="JH87" i="6" s="1"/>
  <c r="JH89" i="6" s="1"/>
  <c r="JH91" i="6" s="1"/>
  <c r="JH95" i="6" s="1"/>
  <c r="JG83" i="6"/>
  <c r="JE87" i="6"/>
  <c r="JE89" i="6" s="1"/>
  <c r="X79" i="11"/>
  <c r="X80" i="11" s="1"/>
  <c r="CK79" i="15"/>
  <c r="CK80" i="15" s="1"/>
  <c r="GE6" i="9"/>
  <c r="GF102" i="6"/>
  <c r="JE91" i="6" l="1"/>
  <c r="CK82" i="15"/>
  <c r="CL74" i="15"/>
  <c r="JI82" i="6"/>
  <c r="JD98" i="6"/>
  <c r="JD28" i="9"/>
  <c r="JD33" i="9" s="1"/>
  <c r="JD34" i="9" s="1"/>
  <c r="X82" i="11"/>
  <c r="X84" i="11" s="1"/>
  <c r="X88" i="11" s="1"/>
  <c r="JG86" i="6"/>
  <c r="JF98" i="6"/>
  <c r="JF28" i="9"/>
  <c r="JF33" i="9" s="1"/>
  <c r="JF34" i="9" s="1"/>
  <c r="JH28" i="9"/>
  <c r="JH33" i="9" s="1"/>
  <c r="JH34" i="9" s="1"/>
  <c r="JH98" i="6"/>
  <c r="GF106" i="6"/>
  <c r="BK99" i="15" s="1"/>
  <c r="GF104" i="6"/>
  <c r="BK95" i="15"/>
  <c r="GE7" i="9"/>
  <c r="JI83" i="6" l="1"/>
  <c r="CL75" i="15"/>
  <c r="JG87" i="6"/>
  <c r="JG89" i="6" s="1"/>
  <c r="W9" i="12"/>
  <c r="X91" i="11"/>
  <c r="W12" i="12" s="1"/>
  <c r="JJ81" i="6"/>
  <c r="JJ82" i="6" s="1"/>
  <c r="JE95" i="6"/>
  <c r="CK84" i="15"/>
  <c r="W9" i="1"/>
  <c r="W10" i="1" s="1"/>
  <c r="U43" i="1" s="1"/>
  <c r="U44" i="1" s="1"/>
  <c r="X9" i="1"/>
  <c r="X10" i="1" s="1"/>
  <c r="V43" i="1" s="1"/>
  <c r="V44" i="1" s="1"/>
  <c r="Y9" i="1"/>
  <c r="Y10" i="1" s="1"/>
  <c r="W43" i="1" s="1"/>
  <c r="W44" i="1" s="1"/>
  <c r="Z9" i="1"/>
  <c r="Z10" i="1" s="1"/>
  <c r="X43" i="1" s="1"/>
  <c r="X44" i="1" s="1"/>
  <c r="AA9" i="1"/>
  <c r="AA10" i="1" s="1"/>
  <c r="Y43" i="1" s="1"/>
  <c r="Y44" i="1" s="1"/>
  <c r="AB9" i="1"/>
  <c r="AB10" i="1" s="1"/>
  <c r="Z43" i="1" s="1"/>
  <c r="Z44" i="1" s="1"/>
  <c r="AC9" i="1"/>
  <c r="AC10" i="1" s="1"/>
  <c r="AA43" i="1" s="1"/>
  <c r="AA44" i="1" s="1"/>
  <c r="AD9" i="1"/>
  <c r="AD10" i="1" s="1"/>
  <c r="AB43" i="1" s="1"/>
  <c r="AB44" i="1" s="1"/>
  <c r="AE9" i="1"/>
  <c r="AE10" i="1" s="1"/>
  <c r="AC43" i="1" s="1"/>
  <c r="AC44" i="1" s="1"/>
  <c r="AF9" i="1"/>
  <c r="AF10" i="1" s="1"/>
  <c r="AD43" i="1" s="1"/>
  <c r="AD44" i="1" s="1"/>
  <c r="AG9" i="1"/>
  <c r="AG10" i="1" s="1"/>
  <c r="AE43" i="1" s="1"/>
  <c r="AE44" i="1" s="1"/>
  <c r="AH9" i="1"/>
  <c r="AH10" i="1" s="1"/>
  <c r="AF43" i="1" s="1"/>
  <c r="AF44" i="1" s="1"/>
  <c r="GF6" i="9"/>
  <c r="GF7" i="9" s="1"/>
  <c r="BK97" i="15"/>
  <c r="GG102" i="6"/>
  <c r="JE98" i="6" l="1"/>
  <c r="CK91" i="15" s="1"/>
  <c r="JE28" i="9"/>
  <c r="JE33" i="9" s="1"/>
  <c r="JE34" i="9" s="1"/>
  <c r="CK88" i="15"/>
  <c r="JI86" i="6"/>
  <c r="CL76" i="15"/>
  <c r="JK81" i="6"/>
  <c r="JJ83" i="6"/>
  <c r="JG91" i="6"/>
  <c r="GG106" i="6"/>
  <c r="GG104" i="6"/>
  <c r="JI87" i="6" l="1"/>
  <c r="JI89" i="6" s="1"/>
  <c r="CL79" i="15"/>
  <c r="CL80" i="15" s="1"/>
  <c r="JJ86" i="6"/>
  <c r="JK82" i="6"/>
  <c r="JL81" i="6" s="1"/>
  <c r="JG95" i="6"/>
  <c r="GG6" i="9"/>
  <c r="GG7" i="9" s="1"/>
  <c r="GH102" i="6"/>
  <c r="JG98" i="6" l="1"/>
  <c r="JG28" i="9"/>
  <c r="JG33" i="9" s="1"/>
  <c r="JG34" i="9" s="1"/>
  <c r="JJ87" i="6"/>
  <c r="JJ89" i="6" s="1"/>
  <c r="CM74" i="15"/>
  <c r="JL82" i="6"/>
  <c r="JL83" i="6" s="1"/>
  <c r="JL86" i="6" s="1"/>
  <c r="JL87" i="6" s="1"/>
  <c r="JL89" i="6" s="1"/>
  <c r="JL91" i="6" s="1"/>
  <c r="JL95" i="6" s="1"/>
  <c r="JK83" i="6"/>
  <c r="JI91" i="6"/>
  <c r="CL82" i="15"/>
  <c r="GH106" i="6"/>
  <c r="GH104" i="6"/>
  <c r="CM75" i="15" l="1"/>
  <c r="JM81" i="6"/>
  <c r="JM82" i="6" s="1"/>
  <c r="JN81" i="6" s="1"/>
  <c r="JJ91" i="6"/>
  <c r="JI95" i="6"/>
  <c r="CL84" i="15"/>
  <c r="JL98" i="6"/>
  <c r="JL28" i="9"/>
  <c r="JL33" i="9" s="1"/>
  <c r="JL34" i="9" s="1"/>
  <c r="JK86" i="6"/>
  <c r="CM76" i="15"/>
  <c r="GI102" i="6"/>
  <c r="GH6" i="9"/>
  <c r="GH7" i="9" s="1"/>
  <c r="JN82" i="6" l="1"/>
  <c r="JO81" i="6" s="1"/>
  <c r="JO82" i="6" s="1"/>
  <c r="CN75" i="15" s="1"/>
  <c r="JJ95" i="6"/>
  <c r="JK87" i="6"/>
  <c r="JK89" i="6" s="1"/>
  <c r="CM79" i="15"/>
  <c r="CM80" i="15" s="1"/>
  <c r="JI28" i="9"/>
  <c r="JI33" i="9" s="1"/>
  <c r="JI34" i="9" s="1"/>
  <c r="JI98" i="6"/>
  <c r="CL91" i="15" s="1"/>
  <c r="CL88" i="15"/>
  <c r="JM83" i="6"/>
  <c r="GI106" i="6"/>
  <c r="BL99" i="15" s="1"/>
  <c r="GI104" i="6"/>
  <c r="BL95" i="15"/>
  <c r="CN74" i="15" l="1"/>
  <c r="JK91" i="6"/>
  <c r="CM82" i="15"/>
  <c r="JJ98" i="6"/>
  <c r="JJ28" i="9"/>
  <c r="JJ33" i="9" s="1"/>
  <c r="JJ34" i="9" s="1"/>
  <c r="JP81" i="6"/>
  <c r="JO83" i="6"/>
  <c r="JO86" i="6" s="1"/>
  <c r="JO87" i="6" s="1"/>
  <c r="JO89" i="6" s="1"/>
  <c r="JO91" i="6" s="1"/>
  <c r="JO95" i="6" s="1"/>
  <c r="JO28" i="9" s="1"/>
  <c r="JO33" i="9" s="1"/>
  <c r="JO34" i="9" s="1"/>
  <c r="JM86" i="6"/>
  <c r="JN83" i="6"/>
  <c r="JN86" i="6" s="1"/>
  <c r="JN87" i="6" s="1"/>
  <c r="JN89" i="6" s="1"/>
  <c r="JN91" i="6" s="1"/>
  <c r="JN95" i="6" s="1"/>
  <c r="GI6" i="9"/>
  <c r="GI7" i="9" s="1"/>
  <c r="BL97" i="15"/>
  <c r="GJ102" i="6"/>
  <c r="JM87" i="6" l="1"/>
  <c r="JM89" i="6" s="1"/>
  <c r="CN79" i="15"/>
  <c r="CN80" i="15" s="1"/>
  <c r="JO98" i="6"/>
  <c r="JP82" i="6"/>
  <c r="JQ81" i="6" s="1"/>
  <c r="JQ82" i="6" s="1"/>
  <c r="JN28" i="9"/>
  <c r="JN33" i="9" s="1"/>
  <c r="JN34" i="9" s="1"/>
  <c r="JN98" i="6"/>
  <c r="CN76" i="15"/>
  <c r="JK95" i="6"/>
  <c r="CM84" i="15"/>
  <c r="GJ106" i="6"/>
  <c r="GJ104" i="6"/>
  <c r="JK28" i="9" l="1"/>
  <c r="JK33" i="9" s="1"/>
  <c r="JK34" i="9" s="1"/>
  <c r="JK98" i="6"/>
  <c r="CM91" i="15" s="1"/>
  <c r="CM88" i="15"/>
  <c r="JR81" i="6"/>
  <c r="JQ83" i="6"/>
  <c r="JQ86" i="6" s="1"/>
  <c r="JQ87" i="6" s="1"/>
  <c r="JQ89" i="6" s="1"/>
  <c r="JQ91" i="6" s="1"/>
  <c r="JQ95" i="6" s="1"/>
  <c r="JQ28" i="9" s="1"/>
  <c r="JQ33" i="9" s="1"/>
  <c r="JQ34" i="9" s="1"/>
  <c r="JP83" i="6"/>
  <c r="JM91" i="6"/>
  <c r="CN82" i="15"/>
  <c r="GK102" i="6"/>
  <c r="GJ6" i="9"/>
  <c r="GJ7" i="9" s="1"/>
  <c r="JQ98" i="6" l="1"/>
  <c r="JP86" i="6"/>
  <c r="JR82" i="6"/>
  <c r="Y74" i="11"/>
  <c r="JM95" i="6"/>
  <c r="CN84" i="15"/>
  <c r="CO74" i="15"/>
  <c r="GK106" i="6"/>
  <c r="GK104" i="6"/>
  <c r="CO75" i="15" l="1"/>
  <c r="JR83" i="6"/>
  <c r="Y75" i="11"/>
  <c r="JM28" i="9"/>
  <c r="JM33" i="9" s="1"/>
  <c r="JM34" i="9" s="1"/>
  <c r="JM98" i="6"/>
  <c r="CN91" i="15" s="1"/>
  <c r="CN88" i="15"/>
  <c r="JP87" i="6"/>
  <c r="JP89" i="6" s="1"/>
  <c r="GK6" i="9"/>
  <c r="GK7" i="9" s="1"/>
  <c r="GL102" i="6"/>
  <c r="JP91" i="6" l="1"/>
  <c r="Y76" i="11"/>
  <c r="JR86" i="6"/>
  <c r="CO76" i="15"/>
  <c r="GL106" i="6"/>
  <c r="GL104" i="6"/>
  <c r="R95" i="11"/>
  <c r="BM95" i="15"/>
  <c r="Y79" i="11" l="1"/>
  <c r="Y80" i="11" s="1"/>
  <c r="JR87" i="6"/>
  <c r="JR89" i="6" s="1"/>
  <c r="CO79" i="15"/>
  <c r="CO80" i="15" s="1"/>
  <c r="JP95" i="6"/>
  <c r="BM99" i="15"/>
  <c r="R99" i="11"/>
  <c r="GL6" i="9"/>
  <c r="GL7" i="9" s="1"/>
  <c r="R97" i="11"/>
  <c r="BM97" i="15"/>
  <c r="GM102" i="6"/>
  <c r="JP98" i="6" l="1"/>
  <c r="JP28" i="9"/>
  <c r="JP33" i="9" s="1"/>
  <c r="JP34" i="9" s="1"/>
  <c r="Y82" i="11"/>
  <c r="Y84" i="11" s="1"/>
  <c r="Y88" i="11" s="1"/>
  <c r="JR91" i="6"/>
  <c r="CO82" i="15"/>
  <c r="AI9" i="1"/>
  <c r="AI10" i="1" s="1"/>
  <c r="AG43" i="1" s="1"/>
  <c r="AG44" i="1" s="1"/>
  <c r="GM106" i="6"/>
  <c r="GM104" i="6"/>
  <c r="X9" i="12" l="1"/>
  <c r="Y91" i="11"/>
  <c r="X12" i="12" s="1"/>
  <c r="JR95" i="6"/>
  <c r="CO84" i="15"/>
  <c r="GM6" i="9"/>
  <c r="GN102" i="6"/>
  <c r="JR28" i="9" l="1"/>
  <c r="JR33" i="9" s="1"/>
  <c r="JR34" i="9" s="1"/>
  <c r="B36" i="9" s="1"/>
  <c r="H14" i="1" s="1"/>
  <c r="JR98" i="6"/>
  <c r="CO91" i="15" s="1"/>
  <c r="CO88" i="15"/>
  <c r="GM7" i="9"/>
  <c r="GN106" i="6"/>
  <c r="GN104" i="6"/>
  <c r="GN6" i="9" l="1"/>
  <c r="GO102" i="6"/>
  <c r="GO106" i="6" l="1"/>
  <c r="GO104" i="6"/>
  <c r="BN95" i="15"/>
  <c r="GN7" i="9"/>
  <c r="BN99" i="15" l="1"/>
  <c r="GP102" i="6"/>
  <c r="GO6" i="9"/>
  <c r="BN97" i="15"/>
  <c r="GP106" i="6" l="1"/>
  <c r="GP104" i="6"/>
  <c r="GO7" i="9"/>
  <c r="GP6" i="9" l="1"/>
  <c r="GQ102" i="6"/>
  <c r="GQ106" i="6" l="1"/>
  <c r="GQ104" i="6"/>
  <c r="GP7" i="9"/>
  <c r="GQ6" i="9" l="1"/>
  <c r="GR102" i="6"/>
  <c r="GR106" i="6" l="1"/>
  <c r="BO99" i="15" s="1"/>
  <c r="GR104" i="6"/>
  <c r="BO95" i="15"/>
  <c r="GQ7" i="9"/>
  <c r="GR6" i="9" l="1"/>
  <c r="GR7" i="9" s="1"/>
  <c r="BO97" i="15"/>
  <c r="GS102" i="6"/>
  <c r="GS106" i="6" l="1"/>
  <c r="GS104" i="6"/>
  <c r="GS6" i="9" l="1"/>
  <c r="GS7" i="9" s="1"/>
  <c r="GT102" i="6"/>
  <c r="GT106" i="6" l="1"/>
  <c r="GT104" i="6"/>
  <c r="GT6" i="9" l="1"/>
  <c r="GT7" i="9" s="1"/>
  <c r="GU102" i="6"/>
  <c r="GU106" i="6" l="1"/>
  <c r="BP99" i="15" s="1"/>
  <c r="GU104" i="6"/>
  <c r="BP95" i="15"/>
  <c r="GU6" i="9" l="1"/>
  <c r="GU7" i="9" s="1"/>
  <c r="BP97" i="15"/>
  <c r="GV102" i="6"/>
  <c r="GV106" i="6" l="1"/>
  <c r="GV104" i="6"/>
  <c r="GW102" i="6" l="1"/>
  <c r="GV6" i="9"/>
  <c r="GV7" i="9" s="1"/>
  <c r="GW106" i="6" l="1"/>
  <c r="GW104" i="6"/>
  <c r="GW6" i="9" l="1"/>
  <c r="GW7" i="9" s="1"/>
  <c r="GX102" i="6"/>
  <c r="GX106" i="6" l="1"/>
  <c r="GX104" i="6"/>
  <c r="S95" i="11"/>
  <c r="BQ95" i="15"/>
  <c r="BQ99" i="15" l="1"/>
  <c r="S99" i="11"/>
  <c r="GX6" i="9"/>
  <c r="GX7" i="9" s="1"/>
  <c r="S97" i="11"/>
  <c r="BQ97" i="15"/>
  <c r="GY102" i="6"/>
  <c r="GY106" i="6" l="1"/>
  <c r="GY104" i="6"/>
  <c r="GY6" i="9" l="1"/>
  <c r="GZ102" i="6"/>
  <c r="GY7" i="9" l="1"/>
  <c r="GZ106" i="6"/>
  <c r="GZ104" i="6"/>
  <c r="HA102" i="6" l="1"/>
  <c r="GZ6" i="9"/>
  <c r="GZ7" i="9" l="1"/>
  <c r="HA106" i="6"/>
  <c r="BR99" i="15" s="1"/>
  <c r="HA104" i="6"/>
  <c r="BR95" i="15"/>
  <c r="HB102" i="6" l="1"/>
  <c r="HA6" i="9"/>
  <c r="BR97" i="15"/>
  <c r="HA7" i="9" l="1"/>
  <c r="HB106" i="6"/>
  <c r="HB104" i="6"/>
  <c r="HC102" i="6" l="1"/>
  <c r="HB6" i="9"/>
  <c r="HB7" i="9" l="1"/>
  <c r="HC106" i="6"/>
  <c r="HC104" i="6"/>
  <c r="HD102" i="6" l="1"/>
  <c r="HC6" i="9"/>
  <c r="HC7" i="9" l="1"/>
  <c r="HD106" i="6"/>
  <c r="BS99" i="15" s="1"/>
  <c r="HD104" i="6"/>
  <c r="BS95" i="15"/>
  <c r="HD6" i="9" l="1"/>
  <c r="HD7" i="9" s="1"/>
  <c r="BS97" i="15"/>
  <c r="HE102" i="6"/>
  <c r="HE106" i="6" l="1"/>
  <c r="HE104" i="6"/>
  <c r="HF102" i="6" l="1"/>
  <c r="HE6" i="9"/>
  <c r="HE7" i="9" s="1"/>
  <c r="HF106" i="6" l="1"/>
  <c r="HF104" i="6"/>
  <c r="HF6" i="9" l="1"/>
  <c r="HF7" i="9" s="1"/>
  <c r="HG102" i="6"/>
  <c r="HG106" i="6" l="1"/>
  <c r="BT99" i="15" s="1"/>
  <c r="HG104" i="6"/>
  <c r="BT95" i="15"/>
  <c r="HG6" i="9" l="1"/>
  <c r="HG7" i="9" s="1"/>
  <c r="BT97" i="15"/>
  <c r="HH102" i="6"/>
  <c r="HH106" i="6" l="1"/>
  <c r="HH104" i="6"/>
  <c r="HI102" i="6" l="1"/>
  <c r="HH6" i="9"/>
  <c r="HH7" i="9" s="1"/>
  <c r="HI106" i="6" l="1"/>
  <c r="HI104" i="6"/>
  <c r="HI6" i="9" l="1"/>
  <c r="HI7" i="9" s="1"/>
  <c r="HJ102" i="6"/>
  <c r="HJ106" i="6" l="1"/>
  <c r="HJ104" i="6"/>
  <c r="T95" i="11"/>
  <c r="BU95" i="15"/>
  <c r="BU99" i="15" l="1"/>
  <c r="T99" i="11"/>
  <c r="HJ6" i="9"/>
  <c r="HJ7" i="9" s="1"/>
  <c r="T97" i="11"/>
  <c r="BU97" i="15"/>
  <c r="HK102" i="6"/>
  <c r="HK106" i="6" l="1"/>
  <c r="HK104" i="6"/>
  <c r="HK6" i="9" l="1"/>
  <c r="HL102" i="6"/>
  <c r="HK7" i="9" l="1"/>
  <c r="HL106" i="6"/>
  <c r="HL104" i="6"/>
  <c r="HM102" i="6" l="1"/>
  <c r="HL6" i="9"/>
  <c r="HL7" i="9" l="1"/>
  <c r="HM106" i="6"/>
  <c r="BV99" i="15" s="1"/>
  <c r="HM104" i="6"/>
  <c r="BV95" i="15"/>
  <c r="HN102" i="6" l="1"/>
  <c r="HM6" i="9"/>
  <c r="BV97" i="15"/>
  <c r="HM7" i="9" l="1"/>
  <c r="HN106" i="6"/>
  <c r="HN104" i="6"/>
  <c r="HO102" i="6" l="1"/>
  <c r="HN6" i="9"/>
  <c r="HO106" i="6" l="1"/>
  <c r="HO104" i="6"/>
  <c r="HN7" i="9"/>
  <c r="HO6" i="9" l="1"/>
  <c r="HP102" i="6"/>
  <c r="HP106" i="6" l="1"/>
  <c r="BW99" i="15" s="1"/>
  <c r="HP104" i="6"/>
  <c r="BW95" i="15"/>
  <c r="HO7" i="9"/>
  <c r="HP6" i="9" l="1"/>
  <c r="HP7" i="9" s="1"/>
  <c r="BW97" i="15"/>
  <c r="HQ102" i="6"/>
  <c r="HQ106" i="6" l="1"/>
  <c r="HQ104" i="6"/>
  <c r="HQ6" i="9" l="1"/>
  <c r="HQ7" i="9" s="1"/>
  <c r="HR102" i="6"/>
  <c r="HR106" i="6" l="1"/>
  <c r="HR104" i="6"/>
  <c r="HR6" i="9" l="1"/>
  <c r="HR7" i="9" s="1"/>
  <c r="HS102" i="6"/>
  <c r="HS106" i="6" l="1"/>
  <c r="BX99" i="15" s="1"/>
  <c r="HS104" i="6"/>
  <c r="BX95" i="15"/>
  <c r="HS6" i="9" l="1"/>
  <c r="HS7" i="9" s="1"/>
  <c r="BX97" i="15"/>
  <c r="HT102" i="6"/>
  <c r="HT106" i="6" l="1"/>
  <c r="HT104" i="6"/>
  <c r="HU102" i="6" l="1"/>
  <c r="HT6" i="9"/>
  <c r="HT7" i="9" s="1"/>
  <c r="HU106" i="6" l="1"/>
  <c r="HU104" i="6"/>
  <c r="HU6" i="9" l="1"/>
  <c r="HU7" i="9" s="1"/>
  <c r="HV102" i="6"/>
  <c r="HV106" i="6" l="1"/>
  <c r="HV104" i="6"/>
  <c r="U95" i="11"/>
  <c r="BY95" i="15"/>
  <c r="BY99" i="15" l="1"/>
  <c r="U99" i="11"/>
  <c r="HV6" i="9"/>
  <c r="HV7" i="9" s="1"/>
  <c r="U97" i="11"/>
  <c r="BY97" i="15"/>
  <c r="HW102" i="6"/>
  <c r="HW106" i="6" l="1"/>
  <c r="HW104" i="6"/>
  <c r="HW6" i="9" l="1"/>
  <c r="HW7" i="9" s="1"/>
  <c r="HX102" i="6"/>
  <c r="HX106" i="6" l="1"/>
  <c r="HX104" i="6"/>
  <c r="HX6" i="9" l="1"/>
  <c r="HX7" i="9" s="1"/>
  <c r="HY102" i="6"/>
  <c r="HY106" i="6" l="1"/>
  <c r="BZ99" i="15" s="1"/>
  <c r="HY104" i="6"/>
  <c r="BZ95" i="15"/>
  <c r="HY6" i="9" l="1"/>
  <c r="HY7" i="9" s="1"/>
  <c r="BZ97" i="15"/>
  <c r="HZ102" i="6"/>
  <c r="HZ106" i="6" l="1"/>
  <c r="HZ104" i="6"/>
  <c r="IA102" i="6" l="1"/>
  <c r="HZ6" i="9"/>
  <c r="HZ7" i="9" s="1"/>
  <c r="IA106" i="6" l="1"/>
  <c r="IA104" i="6"/>
  <c r="IA6" i="9" l="1"/>
  <c r="IA7" i="9" s="1"/>
  <c r="IB102" i="6"/>
  <c r="IB106" i="6" l="1"/>
  <c r="CA99" i="15" s="1"/>
  <c r="IB104" i="6"/>
  <c r="CA95" i="15"/>
  <c r="IB6" i="9" l="1"/>
  <c r="IB7" i="9" s="1"/>
  <c r="CA97" i="15"/>
  <c r="IC102" i="6"/>
  <c r="IC106" i="6" l="1"/>
  <c r="IC104" i="6"/>
  <c r="IC6" i="9" l="1"/>
  <c r="IC7" i="9" s="1"/>
  <c r="ID102" i="6"/>
  <c r="ID106" i="6" l="1"/>
  <c r="ID104" i="6"/>
  <c r="ID6" i="9" l="1"/>
  <c r="ID7" i="9" s="1"/>
  <c r="IE102" i="6"/>
  <c r="IE106" i="6" l="1"/>
  <c r="CB99" i="15" s="1"/>
  <c r="IE104" i="6"/>
  <c r="CB95" i="15"/>
  <c r="IE6" i="9" l="1"/>
  <c r="IE7" i="9" s="1"/>
  <c r="CB97" i="15"/>
  <c r="IF102" i="6"/>
  <c r="IF106" i="6" l="1"/>
  <c r="IF104" i="6"/>
  <c r="IF6" i="9" l="1"/>
  <c r="IF7" i="9" s="1"/>
  <c r="IG102" i="6"/>
  <c r="IG106" i="6" l="1"/>
  <c r="IG104" i="6"/>
  <c r="IG6" i="9" l="1"/>
  <c r="IG7" i="9" s="1"/>
  <c r="IH102" i="6"/>
  <c r="IH106" i="6" l="1"/>
  <c r="IH104" i="6"/>
  <c r="V95" i="11"/>
  <c r="CC95" i="15"/>
  <c r="CC99" i="15" l="1"/>
  <c r="V99" i="11"/>
  <c r="IH6" i="9"/>
  <c r="IH7" i="9" s="1"/>
  <c r="V97" i="11"/>
  <c r="CC97" i="15"/>
  <c r="II102" i="6"/>
  <c r="II106" i="6" l="1"/>
  <c r="II104" i="6"/>
  <c r="IJ102" i="6" l="1"/>
  <c r="II6" i="9"/>
  <c r="II7" i="9" s="1"/>
  <c r="IJ106" i="6" l="1"/>
  <c r="IJ104" i="6"/>
  <c r="IJ6" i="9" l="1"/>
  <c r="IJ7" i="9" s="1"/>
  <c r="IK102" i="6"/>
  <c r="IK106" i="6" l="1"/>
  <c r="CD99" i="15" s="1"/>
  <c r="IK104" i="6"/>
  <c r="CD95" i="15"/>
  <c r="IK6" i="9" l="1"/>
  <c r="IK7" i="9" s="1"/>
  <c r="CD97" i="15"/>
  <c r="IL102" i="6"/>
  <c r="IL106" i="6" l="1"/>
  <c r="IL104" i="6"/>
  <c r="IL6" i="9" l="1"/>
  <c r="IL7" i="9" s="1"/>
  <c r="IM102" i="6"/>
  <c r="IM106" i="6" l="1"/>
  <c r="IM104" i="6"/>
  <c r="IM6" i="9" l="1"/>
  <c r="IM7" i="9" s="1"/>
  <c r="IN102" i="6"/>
  <c r="IN106" i="6" l="1"/>
  <c r="CE99" i="15" s="1"/>
  <c r="IN104" i="6"/>
  <c r="CE95" i="15"/>
  <c r="IN6" i="9" l="1"/>
  <c r="IN7" i="9" s="1"/>
  <c r="CE97" i="15"/>
  <c r="IO102" i="6"/>
  <c r="IO106" i="6" l="1"/>
  <c r="IO104" i="6"/>
  <c r="IP102" i="6" l="1"/>
  <c r="IO6" i="9"/>
  <c r="IO7" i="9" s="1"/>
  <c r="IP106" i="6" l="1"/>
  <c r="IP104" i="6"/>
  <c r="IP6" i="9" l="1"/>
  <c r="IP7" i="9" s="1"/>
  <c r="IQ102" i="6"/>
  <c r="IQ106" i="6" l="1"/>
  <c r="CF99" i="15" s="1"/>
  <c r="IQ104" i="6"/>
  <c r="CF95" i="15"/>
  <c r="IQ6" i="9" l="1"/>
  <c r="IQ7" i="9" s="1"/>
  <c r="CF97" i="15"/>
  <c r="IR102" i="6"/>
  <c r="IR106" i="6" l="1"/>
  <c r="IR104" i="6"/>
  <c r="IR6" i="9" l="1"/>
  <c r="IR7" i="9" s="1"/>
  <c r="IS102" i="6"/>
  <c r="IS106" i="6" l="1"/>
  <c r="IS104" i="6"/>
  <c r="IS6" i="9" l="1"/>
  <c r="IS7" i="9" s="1"/>
  <c r="IT102" i="6"/>
  <c r="IT106" i="6" l="1"/>
  <c r="IT104" i="6"/>
  <c r="W95" i="11"/>
  <c r="CG95" i="15"/>
  <c r="CG99" i="15" l="1"/>
  <c r="W99" i="11"/>
  <c r="IT6" i="9"/>
  <c r="IT7" i="9" s="1"/>
  <c r="W97" i="11"/>
  <c r="CG97" i="15"/>
  <c r="IU102" i="6"/>
  <c r="IU106" i="6" l="1"/>
  <c r="IU104" i="6"/>
  <c r="IV102" i="6" l="1"/>
  <c r="IU6" i="9"/>
  <c r="IU7" i="9" s="1"/>
  <c r="IV106" i="6" l="1"/>
  <c r="IV104" i="6"/>
  <c r="IV6" i="9" l="1"/>
  <c r="IV7" i="9" s="1"/>
  <c r="IW102" i="6"/>
  <c r="IW106" i="6" l="1"/>
  <c r="CH99" i="15" s="1"/>
  <c r="IW104" i="6"/>
  <c r="CH95" i="15"/>
  <c r="IW6" i="9" l="1"/>
  <c r="IW7" i="9" s="1"/>
  <c r="CH97" i="15"/>
  <c r="IX102" i="6"/>
  <c r="IX106" i="6" l="1"/>
  <c r="IX104" i="6"/>
  <c r="IX6" i="9" l="1"/>
  <c r="IX7" i="9" s="1"/>
  <c r="IY102" i="6"/>
  <c r="IY106" i="6" l="1"/>
  <c r="IY104" i="6"/>
  <c r="IY6" i="9" l="1"/>
  <c r="IY7" i="9" s="1"/>
  <c r="IZ102" i="6"/>
  <c r="IZ106" i="6" l="1"/>
  <c r="CI99" i="15" s="1"/>
  <c r="IZ104" i="6"/>
  <c r="CI95" i="15"/>
  <c r="IZ6" i="9" l="1"/>
  <c r="IZ7" i="9" s="1"/>
  <c r="CI97" i="15"/>
  <c r="JA102" i="6"/>
  <c r="JA106" i="6" l="1"/>
  <c r="JA104" i="6"/>
  <c r="JB102" i="6" l="1"/>
  <c r="JA6" i="9"/>
  <c r="JA7" i="9" s="1"/>
  <c r="JB106" i="6" l="1"/>
  <c r="JB104" i="6"/>
  <c r="JB6" i="9" l="1"/>
  <c r="JB7" i="9" s="1"/>
  <c r="JC102" i="6"/>
  <c r="JC106" i="6" l="1"/>
  <c r="CJ99" i="15" s="1"/>
  <c r="JC104" i="6"/>
  <c r="CJ95" i="15"/>
  <c r="JC6" i="9" l="1"/>
  <c r="JC7" i="9" s="1"/>
  <c r="CJ97" i="15"/>
  <c r="JD102" i="6"/>
  <c r="JD106" i="6" l="1"/>
  <c r="JD104" i="6"/>
  <c r="JE102" i="6" l="1"/>
  <c r="JD6" i="9"/>
  <c r="JD7" i="9" s="1"/>
  <c r="JE106" i="6" l="1"/>
  <c r="JE104" i="6"/>
  <c r="JE6" i="9" l="1"/>
  <c r="JE7" i="9" s="1"/>
  <c r="JF102" i="6"/>
  <c r="JF106" i="6" l="1"/>
  <c r="JF104" i="6"/>
  <c r="X95" i="11"/>
  <c r="CK95" i="15"/>
  <c r="CK99" i="15" l="1"/>
  <c r="X99" i="11"/>
  <c r="JF6" i="9"/>
  <c r="JF7" i="9" s="1"/>
  <c r="X97" i="11"/>
  <c r="CK97" i="15"/>
  <c r="JG102" i="6"/>
  <c r="JG106" i="6" l="1"/>
  <c r="JG104" i="6"/>
  <c r="JG6" i="9" l="1"/>
  <c r="JG7" i="9" s="1"/>
  <c r="JH102" i="6"/>
  <c r="JH106" i="6" l="1"/>
  <c r="JH104" i="6"/>
  <c r="JH6" i="9" l="1"/>
  <c r="JH7" i="9" s="1"/>
  <c r="JI102" i="6"/>
  <c r="JI106" i="6" l="1"/>
  <c r="CL99" i="15" s="1"/>
  <c r="JI104" i="6"/>
  <c r="CL95" i="15"/>
  <c r="JI6" i="9" l="1"/>
  <c r="JI7" i="9" s="1"/>
  <c r="CL97" i="15"/>
  <c r="JJ102" i="6"/>
  <c r="JJ106" i="6" l="1"/>
  <c r="JJ104" i="6"/>
  <c r="JJ6" i="9" l="1"/>
  <c r="JJ7" i="9" s="1"/>
  <c r="JK102" i="6"/>
  <c r="JK106" i="6" l="1"/>
  <c r="JK104" i="6"/>
  <c r="JK6" i="9" l="1"/>
  <c r="JK7" i="9" s="1"/>
  <c r="JL102" i="6"/>
  <c r="JL106" i="6" l="1"/>
  <c r="CM99" i="15" s="1"/>
  <c r="JL104" i="6"/>
  <c r="CM95" i="15"/>
  <c r="JL6" i="9" l="1"/>
  <c r="JL7" i="9" s="1"/>
  <c r="CM97" i="15"/>
  <c r="JM102" i="6"/>
  <c r="JM106" i="6" l="1"/>
  <c r="JM104" i="6"/>
  <c r="JN102" i="6" l="1"/>
  <c r="JM6" i="9"/>
  <c r="JM7" i="9" s="1"/>
  <c r="JN106" i="6" l="1"/>
  <c r="JN104" i="6"/>
  <c r="JN6" i="9" l="1"/>
  <c r="JN7" i="9" s="1"/>
  <c r="JO102" i="6"/>
  <c r="JO106" i="6" l="1"/>
  <c r="CN99" i="15" s="1"/>
  <c r="JO104" i="6"/>
  <c r="CN95" i="15"/>
  <c r="JO6" i="9" l="1"/>
  <c r="JO7" i="9" s="1"/>
  <c r="CN97" i="15"/>
  <c r="JP102" i="6"/>
  <c r="JP106" i="6" l="1"/>
  <c r="JP104" i="6"/>
  <c r="JP6" i="9" l="1"/>
  <c r="JP7" i="9" s="1"/>
  <c r="JQ102" i="6"/>
  <c r="JQ106" i="6" l="1"/>
  <c r="JQ104" i="6"/>
  <c r="JQ6" i="9" l="1"/>
  <c r="JQ7" i="9" s="1"/>
  <c r="JR102" i="6"/>
  <c r="JR106" i="6" l="1"/>
  <c r="JR104" i="6"/>
  <c r="Y95" i="11"/>
  <c r="CO95" i="15"/>
  <c r="CO99" i="15" l="1"/>
  <c r="Y99" i="11"/>
  <c r="JR6" i="9"/>
  <c r="Y97" i="11"/>
  <c r="Z97" i="11" s="1"/>
  <c r="AA97" i="11" s="1"/>
  <c r="CO97" i="15"/>
  <c r="N16" i="1" l="1"/>
  <c r="O16" i="1"/>
  <c r="M39" i="1" s="1"/>
  <c r="M40" i="1" s="1"/>
  <c r="P16" i="1"/>
  <c r="N39" i="1" s="1"/>
  <c r="N40" i="1" s="1"/>
  <c r="Q16" i="1"/>
  <c r="O39" i="1" s="1"/>
  <c r="O40" i="1" s="1"/>
  <c r="JR7" i="9"/>
  <c r="JS7" i="9" s="1"/>
  <c r="B10" i="9" s="1"/>
  <c r="R16" i="1"/>
  <c r="H11" i="1"/>
  <c r="S16" i="1"/>
  <c r="Q39" i="1" s="1"/>
  <c r="Q40" i="1" s="1"/>
  <c r="T16" i="1"/>
  <c r="R39" i="1" s="1"/>
  <c r="R40" i="1" s="1"/>
  <c r="U16" i="1"/>
  <c r="S39" i="1" s="1"/>
  <c r="S40" i="1" s="1"/>
  <c r="V16" i="1"/>
  <c r="T39" i="1" s="1"/>
  <c r="T40" i="1" s="1"/>
  <c r="W16" i="1"/>
  <c r="U39" i="1" s="1"/>
  <c r="U40" i="1" s="1"/>
  <c r="X16" i="1"/>
  <c r="V39" i="1" s="1"/>
  <c r="V40" i="1" s="1"/>
  <c r="Y16" i="1"/>
  <c r="W39" i="1" s="1"/>
  <c r="W40" i="1" s="1"/>
  <c r="Z16" i="1"/>
  <c r="X39" i="1" s="1"/>
  <c r="X40" i="1" s="1"/>
  <c r="AA16" i="1"/>
  <c r="Y39" i="1" s="1"/>
  <c r="Y40" i="1" s="1"/>
  <c r="AB16" i="1"/>
  <c r="Z39" i="1" s="1"/>
  <c r="Z40" i="1" s="1"/>
  <c r="AC16" i="1"/>
  <c r="AA39" i="1" s="1"/>
  <c r="AA40" i="1" s="1"/>
  <c r="AD16" i="1"/>
  <c r="AB39" i="1" s="1"/>
  <c r="AB40" i="1" s="1"/>
  <c r="AE16" i="1"/>
  <c r="AC39" i="1" s="1"/>
  <c r="AC40" i="1" s="1"/>
  <c r="AF16" i="1"/>
  <c r="AD39" i="1" s="1"/>
  <c r="AD40" i="1" s="1"/>
  <c r="AG16" i="1"/>
  <c r="AE39" i="1" s="1"/>
  <c r="AE40" i="1" s="1"/>
  <c r="AH16" i="1"/>
  <c r="AF39" i="1" s="1"/>
  <c r="AF40" i="1" s="1"/>
  <c r="AI16" i="1"/>
  <c r="AG39" i="1" s="1"/>
  <c r="AG40" i="1" s="1"/>
  <c r="I11" i="10" l="1"/>
  <c r="K11" i="10"/>
  <c r="E11" i="10"/>
  <c r="C11" i="10"/>
  <c r="D11" i="10"/>
  <c r="H11" i="10"/>
  <c r="F11" i="10"/>
  <c r="L11" i="10"/>
  <c r="M11" i="10"/>
  <c r="G11" i="10"/>
  <c r="J11" i="10"/>
  <c r="P39" i="1"/>
  <c r="P40" i="1" s="1"/>
  <c r="M24" i="1"/>
  <c r="B22" i="9"/>
  <c r="H13" i="1" s="1"/>
  <c r="H12" i="1"/>
  <c r="D12" i="10" l="1"/>
  <c r="C12" i="10"/>
  <c r="M12" i="10"/>
  <c r="J12" i="10"/>
  <c r="G12" i="10"/>
  <c r="H12" i="10"/>
  <c r="I12" i="10"/>
  <c r="L12" i="10"/>
  <c r="E12" i="10"/>
  <c r="K12" i="10"/>
  <c r="F12" i="10"/>
  <c r="O13" i="2"/>
  <c r="O24" i="2"/>
  <c r="O58" i="2"/>
  <c r="O47" i="2"/>
  <c r="O2" i="2"/>
  <c r="O3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Valued Acer Customer</author>
  </authors>
  <commentList>
    <comment ref="A13" authorId="0" shapeId="0" xr:uid="{81779DF0-2DA9-4333-92BC-6DFFB7BD4F37}">
      <text>
        <r>
          <rPr>
            <b/>
            <sz val="10"/>
            <color indexed="81"/>
            <rFont val="Tahoma"/>
            <family val="2"/>
          </rPr>
          <t xml:space="preserve">
MSW Composition appears in the Feedstock Drop down menu in Cell 
B2 about 9th  in the list. Select and Data will immediately transfer to rest of workbook.
The energy value will be entered automatically. You will need to enter the moisture value from cell P15 below in Cell B6 of this worksheet.
 Fixed Carbon and Ash percentages will be entered automatically</t>
        </r>
      </text>
    </comment>
    <comment ref="B13" authorId="0" shapeId="0" xr:uid="{D2EBB6B5-AD43-4789-A9F1-59E78B9C085F}">
      <text>
        <r>
          <rPr>
            <b/>
            <sz val="10"/>
            <color indexed="81"/>
            <rFont val="Tahoma"/>
            <family val="2"/>
          </rPr>
          <t xml:space="preserve">
Select Yes if Organics are to be removed mechanically.</t>
        </r>
      </text>
    </comment>
    <comment ref="B14" authorId="0" shapeId="0" xr:uid="{70F367FC-D64B-4914-AF35-ACD609889F1E}">
      <text>
        <r>
          <rPr>
            <b/>
            <sz val="10"/>
            <color indexed="81"/>
            <rFont val="Tahoma"/>
            <family val="2"/>
          </rPr>
          <t xml:space="preserve">
Enter Percentage of each component.</t>
        </r>
      </text>
    </comment>
    <comment ref="E14" authorId="0" shapeId="0" xr:uid="{FE153A06-5DBE-4B92-9442-03A381797629}">
      <text>
        <r>
          <rPr>
            <b/>
            <sz val="10"/>
            <color indexed="81"/>
            <rFont val="Tahoma"/>
            <family val="2"/>
          </rPr>
          <t xml:space="preserve">
The calorific value may be changed by user. The current entries are averages of each category.</t>
        </r>
      </text>
    </comment>
    <comment ref="G14" authorId="0" shapeId="0" xr:uid="{0BDBEDE1-1615-47C2-9E75-DC97D003A65F}">
      <text>
        <r>
          <rPr>
            <b/>
            <sz val="10"/>
            <color indexed="81"/>
            <rFont val="Tahoma"/>
            <family val="2"/>
          </rPr>
          <t xml:space="preserve">
The moisture values can be changed if necessary by user.</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cesuser</author>
    <author>travis hollingsworth</author>
  </authors>
  <commentList>
    <comment ref="G17" authorId="0" shapeId="0" xr:uid="{EFC598B6-D7C7-41FB-BB17-7C1B654EFD0F}">
      <text>
        <r>
          <rPr>
            <sz val="9"/>
            <color indexed="81"/>
            <rFont val="Tahoma"/>
            <family val="2"/>
          </rPr>
          <t xml:space="preserve">Reference:
Warren &amp; Baerg Manufacturing, Inc.
31lb/cf - 33lb/cf
</t>
        </r>
      </text>
    </comment>
    <comment ref="I17" authorId="0" shapeId="0" xr:uid="{1423FD78-FF9E-46A2-AECB-49C874875F8B}">
      <text>
        <r>
          <rPr>
            <sz val="9"/>
            <color indexed="81"/>
            <rFont val="Tahoma"/>
            <family val="2"/>
          </rPr>
          <t xml:space="preserve">Reference:
http://www.engineeringtoolbox.com/density-materials-d_1652.html
</t>
        </r>
      </text>
    </comment>
    <comment ref="J17" authorId="0" shapeId="0" xr:uid="{B94BA439-2754-4A84-B73A-8D6273A278F8}">
      <text>
        <r>
          <rPr>
            <sz val="9"/>
            <color indexed="81"/>
            <rFont val="Tahoma"/>
            <family val="2"/>
          </rPr>
          <t xml:space="preserve">Reference: 
MSW Combustor Ash - Material Description, Recycled Materials Resource Center
http://rmrc.wisc.edu/msw-combustor-ash/
</t>
        </r>
      </text>
    </comment>
    <comment ref="G43" authorId="0" shapeId="0" xr:uid="{E1D2273A-A5E2-427E-B7C4-E30134800B6B}">
      <text>
        <r>
          <rPr>
            <sz val="9"/>
            <color indexed="81"/>
            <rFont val="Tahoma"/>
            <family val="2"/>
          </rPr>
          <t xml:space="preserve">Reference:
User Guidelines for Waste and Byproduct Materials in Pavement Construction, USDoT-FHA, Pub FHWA-RD-97-148
https://www.fhwa.dot.gov/publications/research/infrastructure/structures/97148/st1.cfm
</t>
        </r>
      </text>
    </comment>
    <comment ref="I43" authorId="0" shapeId="0" xr:uid="{94657977-9330-4865-8104-C0F49B942807}">
      <text>
        <r>
          <rPr>
            <sz val="9"/>
            <color indexed="81"/>
            <rFont val="Tahoma"/>
            <family val="2"/>
          </rPr>
          <t xml:space="preserve">Reference:
http://www.engineeringtoolbox.com/density-materials-d_1652.html
</t>
        </r>
      </text>
    </comment>
    <comment ref="J43" authorId="0" shapeId="0" xr:uid="{4F9D1C72-31F3-4D68-A90E-2B5666A588D4}">
      <text>
        <r>
          <rPr>
            <sz val="9"/>
            <color indexed="81"/>
            <rFont val="Tahoma"/>
            <family val="2"/>
          </rPr>
          <t xml:space="preserve">Reference: 
MSW Combustor Ash - Material Description, Recycled Materials Resource Center
http://rmrc.wisc.edu/msw-combustor-ash/
</t>
        </r>
      </text>
    </comment>
    <comment ref="K43" authorId="0" shapeId="0" xr:uid="{9BF9B91E-BE87-4CA6-965C-CA1657EF0B69}">
      <text>
        <r>
          <rPr>
            <sz val="9"/>
            <color indexed="81"/>
            <rFont val="Tahoma"/>
            <family val="2"/>
          </rPr>
          <t xml:space="preserve">Reference:
Continental Carbon, Continex N330 - Material Data Sheet
http://www.continentalcarbon.com/N330-carbon-black.asp
</t>
        </r>
      </text>
    </comment>
    <comment ref="L43" authorId="1" shapeId="0" xr:uid="{565FAFE3-5F14-45F9-B8DD-D5DC0933AEEC}">
      <text>
        <r>
          <rPr>
            <b/>
            <sz val="9"/>
            <color indexed="81"/>
            <rFont val="Tahoma"/>
            <family val="2"/>
          </rPr>
          <t>Travis Hollingsworth:</t>
        </r>
        <r>
          <rPr>
            <sz val="9"/>
            <color indexed="81"/>
            <rFont val="Tahoma"/>
            <family val="2"/>
          </rPr>
          <t xml:space="preserve">
calculated from oil results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Valued Acer Customer</author>
  </authors>
  <commentList>
    <comment ref="B7" authorId="0" shapeId="0" xr:uid="{1719EC56-8BB2-4D91-8898-43707A71F8D1}">
      <text>
        <r>
          <rPr>
            <b/>
            <sz val="10"/>
            <color indexed="81"/>
            <rFont val="Tahoma"/>
            <family val="2"/>
          </rPr>
          <t xml:space="preserve">
MSW Composition appears in the Feedstock Drop down menu in Cell 
B2 about 9th  in the list. Select and Data will immediately transfer to rest of workbook.
The energy value will be entered automatically. You will need to enter the moisture value from cell P15 below in Cell B6 of this worksheet.
 Fixed Carbon and Ash percentages will be entered automatically</t>
        </r>
      </text>
    </comment>
    <comment ref="C7" authorId="0" shapeId="0" xr:uid="{20237CE7-8ACC-4E16-B825-9232EB92D6A4}">
      <text>
        <r>
          <rPr>
            <b/>
            <sz val="10"/>
            <color indexed="81"/>
            <rFont val="Tahoma"/>
            <family val="2"/>
          </rPr>
          <t xml:space="preserve">
Select Yes if Organics are to be removed mechanically.</t>
        </r>
      </text>
    </comment>
    <comment ref="C8" authorId="0" shapeId="0" xr:uid="{4A339CAB-16C9-46BE-82D7-1CDE8987B572}">
      <text>
        <r>
          <rPr>
            <b/>
            <sz val="10"/>
            <color indexed="81"/>
            <rFont val="Tahoma"/>
            <family val="2"/>
          </rPr>
          <t xml:space="preserve">
Enter Percentage of each component.</t>
        </r>
      </text>
    </comment>
    <comment ref="F8" authorId="0" shapeId="0" xr:uid="{D0205228-38F7-4DD5-9687-9DCC8D7F114A}">
      <text>
        <r>
          <rPr>
            <b/>
            <sz val="10"/>
            <color indexed="81"/>
            <rFont val="Tahoma"/>
            <family val="2"/>
          </rPr>
          <t xml:space="preserve">
The calorific value may be changed by user. The current entries are averages of each category.</t>
        </r>
      </text>
    </comment>
    <comment ref="H8" authorId="0" shapeId="0" xr:uid="{4C6A9DAC-7DB2-4B49-920B-FE406652B0B1}">
      <text>
        <r>
          <rPr>
            <b/>
            <sz val="10"/>
            <color indexed="81"/>
            <rFont val="Tahoma"/>
            <family val="2"/>
          </rPr>
          <t xml:space="preserve">
The moisture values can be changed if necessary by user.</t>
        </r>
        <r>
          <rPr>
            <sz val="8"/>
            <color indexed="81"/>
            <rFont val="Tahoma"/>
            <family val="2"/>
          </rPr>
          <t xml:space="preserve">
</t>
        </r>
      </text>
    </comment>
    <comment ref="N8" authorId="0" shapeId="0" xr:uid="{9559062C-9BBA-4413-B8B7-022A12B25BED}">
      <text>
        <r>
          <rPr>
            <b/>
            <sz val="10"/>
            <color indexed="81"/>
            <rFont val="Tahoma"/>
            <family val="2"/>
          </rPr>
          <t xml:space="preserve">
Enter Fixed carbon percentage for each feedstock.
</t>
        </r>
        <r>
          <rPr>
            <sz val="8"/>
            <color indexed="81"/>
            <rFont val="Tahoma"/>
            <family val="2"/>
          </rPr>
          <t xml:space="preserve">
</t>
        </r>
      </text>
    </comment>
    <comment ref="O8" authorId="0" shapeId="0" xr:uid="{328C6A09-717F-4D8F-8B6E-BC98219FA9F8}">
      <text>
        <r>
          <rPr>
            <b/>
            <sz val="10"/>
            <color indexed="81"/>
            <rFont val="Tahoma"/>
            <family val="2"/>
          </rPr>
          <t xml:space="preserve">
Enter Ash percentage for each Feedstock.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Valued Acer Customer</author>
  </authors>
  <commentList>
    <comment ref="B6" authorId="0" shapeId="0" xr:uid="{DE737AA0-687E-42F8-B48A-7733E7D5BBC4}">
      <text>
        <r>
          <rPr>
            <b/>
            <sz val="10"/>
            <color indexed="81"/>
            <rFont val="Tahoma"/>
            <family val="2"/>
          </rPr>
          <t xml:space="preserve">
MSW Composition appears in the Feedstock Drop down menu in Cell 
B2 about 9th  in the list. Select and Data will immediately transfer to rest of workbook.
The energy value will be entered automatically. You will need to enter the moisture value from cell P15 below in Cell B6 of this worksheet.
 Fixed Carbon and Ash percentages will be entered automatically</t>
        </r>
      </text>
    </comment>
    <comment ref="C6" authorId="0" shapeId="0" xr:uid="{32636330-441C-4A3F-9DA6-FB37B59AFA3A}">
      <text>
        <r>
          <rPr>
            <b/>
            <sz val="10"/>
            <color indexed="81"/>
            <rFont val="Tahoma"/>
            <family val="2"/>
          </rPr>
          <t xml:space="preserve">
Select Yes if Organics are to be removed mechanically.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<sst xmlns="http://schemas.openxmlformats.org/spreadsheetml/2006/main" count="3592" uniqueCount="1177">
  <si>
    <t>Byproduct prices</t>
  </si>
  <si>
    <t>Aluminum</t>
  </si>
  <si>
    <t>Ferrous Metals</t>
  </si>
  <si>
    <t>Non-Ferrous Metals</t>
  </si>
  <si>
    <t>Steel from Tires</t>
  </si>
  <si>
    <t>Steel, OTR Tires</t>
  </si>
  <si>
    <t>Oil from Tires</t>
  </si>
  <si>
    <t>MSW tipping fees</t>
  </si>
  <si>
    <t>Tire tipping fees</t>
  </si>
  <si>
    <t>Renewable Energy Credits</t>
  </si>
  <si>
    <t>Carbon Credits</t>
  </si>
  <si>
    <t>Equity</t>
  </si>
  <si>
    <t>Debt</t>
  </si>
  <si>
    <t>Sources</t>
  </si>
  <si>
    <t>Uses</t>
  </si>
  <si>
    <t>Capital Expenditures</t>
  </si>
  <si>
    <t>Total</t>
  </si>
  <si>
    <t>Plant Production</t>
  </si>
  <si>
    <t>I-ERP</t>
  </si>
  <si>
    <t>Employee Cost</t>
  </si>
  <si>
    <t>Total O&amp;M</t>
  </si>
  <si>
    <t>IT  outsourced</t>
  </si>
  <si>
    <t>Utilities</t>
  </si>
  <si>
    <t>Accounting &amp; Auditing</t>
  </si>
  <si>
    <t>Office Supplies</t>
  </si>
  <si>
    <t>Permit  Renewals</t>
  </si>
  <si>
    <t>Property Taxes</t>
  </si>
  <si>
    <t>Miscellaneous</t>
  </si>
  <si>
    <t>January</t>
  </si>
  <si>
    <t>February</t>
  </si>
  <si>
    <t>March</t>
  </si>
  <si>
    <t>April</t>
  </si>
  <si>
    <t>May</t>
  </si>
  <si>
    <t>June</t>
  </si>
  <si>
    <t>July</t>
  </si>
  <si>
    <t>August</t>
  </si>
  <si>
    <t>September</t>
  </si>
  <si>
    <t>October</t>
  </si>
  <si>
    <t>November</t>
  </si>
  <si>
    <t>December</t>
  </si>
  <si>
    <t xml:space="preserve">Power (PPA Px) </t>
  </si>
  <si>
    <t>$/ST</t>
  </si>
  <si>
    <t>$/MWh</t>
  </si>
  <si>
    <t>Unit</t>
  </si>
  <si>
    <t>$</t>
  </si>
  <si>
    <t>Costs</t>
  </si>
  <si>
    <t>Days / Month</t>
  </si>
  <si>
    <t>Hours/Month</t>
  </si>
  <si>
    <t>Annual Costs ($)</t>
  </si>
  <si>
    <t>Expenses</t>
  </si>
  <si>
    <t>Net capacity</t>
  </si>
  <si>
    <t>MSW consumption</t>
  </si>
  <si>
    <t>Gross Tires Processed</t>
  </si>
  <si>
    <t>MW/Hour</t>
  </si>
  <si>
    <t>Income Power</t>
  </si>
  <si>
    <t>REC Revenue</t>
  </si>
  <si>
    <t>Carbon Credit Revenue</t>
  </si>
  <si>
    <t>Inflation</t>
  </si>
  <si>
    <t>Tip Fee MSW</t>
  </si>
  <si>
    <t>Tip Fee Tire</t>
  </si>
  <si>
    <t>Sugar Beet Pulp Tipping Fee</t>
  </si>
  <si>
    <t>Commodity price</t>
  </si>
  <si>
    <t>OPEX</t>
  </si>
  <si>
    <t xml:space="preserve">Escalation </t>
  </si>
  <si>
    <t>Annual</t>
  </si>
  <si>
    <t>Monthly</t>
  </si>
  <si>
    <t>Property Tax</t>
  </si>
  <si>
    <t>Tax benefit</t>
  </si>
  <si>
    <t>Testing Fraction</t>
  </si>
  <si>
    <t>Monthly Costs ($)</t>
  </si>
  <si>
    <t>Total Revenue</t>
  </si>
  <si>
    <t>Revenue Byproducts</t>
  </si>
  <si>
    <t>Revenue Commodities</t>
  </si>
  <si>
    <t>Total Commodity Revenue</t>
  </si>
  <si>
    <t>Total Byproduct Revenue</t>
  </si>
  <si>
    <t>Total Expenses</t>
  </si>
  <si>
    <t>EBITDA</t>
  </si>
  <si>
    <t>Equipment</t>
  </si>
  <si>
    <t>Base Primary Shredder</t>
  </si>
  <si>
    <t>CM4R Liberator Unit Price</t>
  </si>
  <si>
    <t>Spare parts for the year</t>
  </si>
  <si>
    <t>Position 1 Metso Pre-Shredder</t>
  </si>
  <si>
    <t xml:space="preserve">Position  2 Shredder discharge,  Magnetic separation and screen feed </t>
  </si>
  <si>
    <t xml:space="preserve">Position  3 Cascade Screen Package </t>
  </si>
  <si>
    <t>ARTI-48T</t>
  </si>
  <si>
    <t>ATRI-48RDF</t>
  </si>
  <si>
    <t>ARTI-48RDF</t>
  </si>
  <si>
    <t>Step Up Transformer (excluded from their quote)</t>
  </si>
  <si>
    <t xml:space="preserve">Skid Steer </t>
  </si>
  <si>
    <t>Scale unit</t>
  </si>
  <si>
    <t>Truck</t>
  </si>
  <si>
    <t>RDF Storage Building</t>
  </si>
  <si>
    <t>Civil work</t>
  </si>
  <si>
    <t>Main Building housing Stage 1 2, and 3</t>
  </si>
  <si>
    <t>STAGE</t>
  </si>
  <si>
    <t>Total Capital Expenditures</t>
  </si>
  <si>
    <t>Capital Expenditures Timeline</t>
  </si>
  <si>
    <t>Cumulative</t>
  </si>
  <si>
    <t>Month</t>
  </si>
  <si>
    <t>Period</t>
  </si>
  <si>
    <t xml:space="preserve">Tax </t>
  </si>
  <si>
    <t>Federal Corporate Income Tax Rate</t>
  </si>
  <si>
    <t>Colorado Corporate Income Tax Rate</t>
  </si>
  <si>
    <t>Investment Tax Credit</t>
  </si>
  <si>
    <t>Amount</t>
  </si>
  <si>
    <t>Interest Rate</t>
  </si>
  <si>
    <t>Term</t>
  </si>
  <si>
    <t>Yes</t>
  </si>
  <si>
    <t>Mandatory Payment</t>
  </si>
  <si>
    <t>Interest</t>
  </si>
  <si>
    <t>Principal</t>
  </si>
  <si>
    <t>Beginning of Period</t>
  </si>
  <si>
    <t>End of Period</t>
  </si>
  <si>
    <t>Draw</t>
  </si>
  <si>
    <t>Initial Construction Interest-Only Loan</t>
  </si>
  <si>
    <t>Interest-Only</t>
  </si>
  <si>
    <t>Loan-to-Value</t>
  </si>
  <si>
    <t>COD</t>
  </si>
  <si>
    <t>Depreciation</t>
  </si>
  <si>
    <t>Amortization</t>
  </si>
  <si>
    <t>Interest Expense</t>
  </si>
  <si>
    <t>Refinance - Term Loan</t>
  </si>
  <si>
    <t>Transaction Expenses</t>
  </si>
  <si>
    <t>Net Income</t>
  </si>
  <si>
    <t>EBIT</t>
  </si>
  <si>
    <t>Month Period</t>
  </si>
  <si>
    <t>Month Plant Online</t>
  </si>
  <si>
    <t>Escalator Period/Factor</t>
  </si>
  <si>
    <t>Earnings Before Taxes</t>
  </si>
  <si>
    <t>Income Taxes</t>
  </si>
  <si>
    <t>Colorado</t>
  </si>
  <si>
    <t>Federal</t>
  </si>
  <si>
    <t>Tax Expense / Liability</t>
  </si>
  <si>
    <t>Net Operating Loss Carryforward</t>
  </si>
  <si>
    <t>Total Federal Expense</t>
  </si>
  <si>
    <t>Net Operating Loss Utilization</t>
  </si>
  <si>
    <t>Total Colorado Tax Expense</t>
  </si>
  <si>
    <t>Refinance - High Yield Loan</t>
  </si>
  <si>
    <t>Federal Taxable Income</t>
  </si>
  <si>
    <t>Earning after State Taxes</t>
  </si>
  <si>
    <t>Cashflow Statement</t>
  </si>
  <si>
    <t>Net Cashflow from Operating Activities</t>
  </si>
  <si>
    <t>Debt Amortization Payments</t>
  </si>
  <si>
    <t>Depreciation Schedule</t>
  </si>
  <si>
    <t>Year</t>
  </si>
  <si>
    <t>Depreciation Year</t>
  </si>
  <si>
    <t>Equity Contributed</t>
  </si>
  <si>
    <t>Total Equity Contributed</t>
  </si>
  <si>
    <t>Equity Capital Contributions</t>
  </si>
  <si>
    <t>Revenue</t>
  </si>
  <si>
    <t>Taxes</t>
  </si>
  <si>
    <t>Total Tax Expense</t>
  </si>
  <si>
    <t>Total Depreciation &amp; Amortization</t>
  </si>
  <si>
    <t>Depreciation &amp; Amortization</t>
  </si>
  <si>
    <t>Equity Contributions</t>
  </si>
  <si>
    <t>Total IRR %</t>
  </si>
  <si>
    <t>Maximum Fund Amount</t>
  </si>
  <si>
    <t>Maintenance Fund</t>
  </si>
  <si>
    <t>Maintenance Capital Expenditures</t>
  </si>
  <si>
    <t xml:space="preserve">Annual </t>
  </si>
  <si>
    <t>Straight Line</t>
  </si>
  <si>
    <t>Initial CapEx Depreciation</t>
  </si>
  <si>
    <t>Maintenance CapEx Depreciation</t>
  </si>
  <si>
    <t>Maintenance Fund Contributions</t>
  </si>
  <si>
    <r>
      <t xml:space="preserve">Contribution </t>
    </r>
    <r>
      <rPr>
        <i/>
        <sz val="10"/>
        <color theme="1"/>
        <rFont val="Arial"/>
        <family val="2"/>
      </rPr>
      <t>(% of Cashflow)</t>
    </r>
  </si>
  <si>
    <t>Debt Amortization Payment</t>
  </si>
  <si>
    <t>Power Sales</t>
  </si>
  <si>
    <t>Byproduct Sales</t>
  </si>
  <si>
    <t>Commodity Sales</t>
  </si>
  <si>
    <t>% Margin</t>
  </si>
  <si>
    <t>Final Month</t>
  </si>
  <si>
    <t>($USD in millions)</t>
  </si>
  <si>
    <t>% of Revenue</t>
  </si>
  <si>
    <t>$USD</t>
  </si>
  <si>
    <t>%</t>
  </si>
  <si>
    <t>Steam Cycle</t>
  </si>
  <si>
    <t xml:space="preserve">Chillers </t>
  </si>
  <si>
    <t>Diesel</t>
  </si>
  <si>
    <t>$/Liter</t>
  </si>
  <si>
    <t xml:space="preserve">JP </t>
  </si>
  <si>
    <t>Gas</t>
  </si>
  <si>
    <t>Lube oil</t>
  </si>
  <si>
    <t>$ Amount</t>
  </si>
  <si>
    <t>MSW Cuber</t>
  </si>
  <si>
    <t>Shredders</t>
  </si>
  <si>
    <t>Optical Sorter</t>
  </si>
  <si>
    <t>Dryers</t>
  </si>
  <si>
    <t>Pyrolysis Units</t>
  </si>
  <si>
    <t>Compressors</t>
  </si>
  <si>
    <t>Buildings</t>
  </si>
  <si>
    <t>Vehicles</t>
  </si>
  <si>
    <t>20 Year Cash Flow $mm</t>
  </si>
  <si>
    <t>Total Project Cash Flow</t>
  </si>
  <si>
    <t>Project Cash Flow</t>
  </si>
  <si>
    <t>Total Cash Flow</t>
  </si>
  <si>
    <t>Total Project Equity IRR %</t>
  </si>
  <si>
    <t>Turbines</t>
  </si>
  <si>
    <t>Eagle OTR debeader</t>
  </si>
  <si>
    <t>Eagle punch cutter 2</t>
  </si>
  <si>
    <t>Eagle titan 2</t>
  </si>
  <si>
    <t>placeholder for extra feed hoppers and associated conveyors</t>
  </si>
  <si>
    <t>Westeria FlatCon 1400-11200</t>
  </si>
  <si>
    <t>WESTERIA airstar 2000 l1 wind sifter</t>
  </si>
  <si>
    <t>westeria flatcon 1200-18200</t>
  </si>
  <si>
    <t>steinert nes 250 300 e 6109-5</t>
  </si>
  <si>
    <t>westeria flatcon 1200-14500</t>
  </si>
  <si>
    <t>westeria flatcon 1800-28500</t>
  </si>
  <si>
    <t>westeria flatcon 1200-18500</t>
  </si>
  <si>
    <t>westeria engineering and project support</t>
  </si>
  <si>
    <t>Final set up and training</t>
  </si>
  <si>
    <t xml:space="preserve">Compressors </t>
  </si>
  <si>
    <t>commissioning and test</t>
  </si>
  <si>
    <t>Switchgear ,MCC, Neutral grounding resister, and bkrs.</t>
  </si>
  <si>
    <t>10 Mwe Steam Cycle</t>
  </si>
  <si>
    <t xml:space="preserve"> emissions cleanup </t>
  </si>
  <si>
    <t>Track crane</t>
  </si>
  <si>
    <t xml:space="preserve">admin building </t>
  </si>
  <si>
    <t>Workshop parts and storage</t>
  </si>
  <si>
    <t>Position 5 Eddie Current System</t>
  </si>
  <si>
    <t>Position 6 Wisteria windsifter  and feed conveyor to NI includes bag house</t>
  </si>
  <si>
    <t>Position 7 Bag House for AirStar 2000</t>
  </si>
  <si>
    <t>Position 8 Middle fraction light discharge conveying</t>
  </si>
  <si>
    <t>Position 9 Optical Sorting middle fraction</t>
  </si>
  <si>
    <t xml:space="preserve">Position 16 Main Fraction Optical Sorting </t>
  </si>
  <si>
    <t>Position 18 Metso ETA 3550 shredders</t>
  </si>
  <si>
    <t>Position 19 discharge conveyors and bunker</t>
  </si>
  <si>
    <t>Position 20 Discharge conveyors</t>
  </si>
  <si>
    <t>Position 22 shipping</t>
  </si>
  <si>
    <t>Piping and discharge handling</t>
  </si>
  <si>
    <t>Tax Rate</t>
  </si>
  <si>
    <t>Pre-tax Cost of Debt</t>
  </si>
  <si>
    <t>After-tax Cost of Debt</t>
  </si>
  <si>
    <t>Debt % of Total Capital</t>
  </si>
  <si>
    <t>Equity % of Total Capital</t>
  </si>
  <si>
    <t>Assumed Cost of Equity</t>
  </si>
  <si>
    <t>WACC</t>
  </si>
  <si>
    <t>Terminal Growth Rate</t>
  </si>
  <si>
    <t>Net Present Value</t>
  </si>
  <si>
    <t>Terminal Value</t>
  </si>
  <si>
    <t>Total Project Equity</t>
  </si>
  <si>
    <t>Outside Equity</t>
  </si>
  <si>
    <t>Project Level Equity Ownership %</t>
  </si>
  <si>
    <t>Equity Cash Flows</t>
  </si>
  <si>
    <t>Fluidized Bed Ventalex Drying System</t>
  </si>
  <si>
    <t xml:space="preserve">Installation cost not quoted </t>
  </si>
  <si>
    <t>Modular Oil Refinery</t>
  </si>
  <si>
    <t>$/MT</t>
  </si>
  <si>
    <t>MT/day</t>
  </si>
  <si>
    <t>Petroleum Coke</t>
  </si>
  <si>
    <t>Liters/day</t>
  </si>
  <si>
    <t>Aluminum ($/ST)</t>
  </si>
  <si>
    <t>Ferrous Metals ($/ST)</t>
  </si>
  <si>
    <t>Steel from Tires ($/ST)</t>
  </si>
  <si>
    <t>Annual Employee Costs</t>
  </si>
  <si>
    <t>Total O&amp;M Expense</t>
  </si>
  <si>
    <t>ST / day</t>
  </si>
  <si>
    <t>Carbon Black ($/ST)</t>
  </si>
  <si>
    <t>Power (PPA px) $/MWh</t>
  </si>
  <si>
    <t>Debt Capital Contributions</t>
  </si>
  <si>
    <t>Total Capital Contributions</t>
  </si>
  <si>
    <t>Total Project IRR %</t>
  </si>
  <si>
    <t>Tax Incentive (Years)</t>
  </si>
  <si>
    <t>CREC Engineering Oversight</t>
  </si>
  <si>
    <t>Employee Labor Escalation</t>
  </si>
  <si>
    <t>Contingency</t>
  </si>
  <si>
    <t>Engineering Expense</t>
  </si>
  <si>
    <t xml:space="preserve"> </t>
  </si>
  <si>
    <t>Income / Expense</t>
  </si>
  <si>
    <t>Debt Repayment</t>
  </si>
  <si>
    <t>Expense and Mortgage</t>
  </si>
  <si>
    <t>Total Expense</t>
  </si>
  <si>
    <t>Total Revenue and Expense</t>
  </si>
  <si>
    <t>Loan Ratio</t>
  </si>
  <si>
    <t>Revenue breakout</t>
  </si>
  <si>
    <t>Commodities (adjusted at 75% of value)</t>
  </si>
  <si>
    <t>Core Revenue to Expense</t>
  </si>
  <si>
    <t>Revenue / Expense and Mortgage</t>
  </si>
  <si>
    <t xml:space="preserve">Mortgage line 1.3 times </t>
  </si>
  <si>
    <t>Core Revenue (Electrical and Fuel)</t>
  </si>
  <si>
    <t>Revenue Stream Breakout</t>
  </si>
  <si>
    <t>Gallons Conversion</t>
  </si>
  <si>
    <t>Liter conversion factor</t>
  </si>
  <si>
    <t>Total  Hours in a year</t>
  </si>
  <si>
    <t>EMPLOYEE INFO SHEET</t>
  </si>
  <si>
    <t>Vacation per employee</t>
  </si>
  <si>
    <t>Potential OT per employee</t>
  </si>
  <si>
    <t>Working Hours in a year</t>
  </si>
  <si>
    <t>Emp #</t>
  </si>
  <si>
    <t>Name</t>
  </si>
  <si>
    <t>Salary Monthly</t>
  </si>
  <si>
    <t>401k Match Monthly</t>
  </si>
  <si>
    <t>Total
Burden Emp Cost Hourly</t>
  </si>
  <si>
    <t>Burden Salary Yearly</t>
  </si>
  <si>
    <t>Site Manager</t>
  </si>
  <si>
    <t>Administrator / HR</t>
  </si>
  <si>
    <t xml:space="preserve">Mechanical Technician  </t>
  </si>
  <si>
    <t xml:space="preserve">Line Mechanic </t>
  </si>
  <si>
    <t>Safety flair</t>
  </si>
  <si>
    <t>Syngas storage</t>
  </si>
  <si>
    <t>oil tank</t>
  </si>
  <si>
    <t>Pyrolysis water cleanup skid</t>
  </si>
  <si>
    <t xml:space="preserve">TDF Storage building </t>
  </si>
  <si>
    <t>Carbon Ash storage Silo</t>
  </si>
  <si>
    <t xml:space="preserve">Carbon Black </t>
  </si>
  <si>
    <t>Source</t>
  </si>
  <si>
    <t>https://bohanchem.en.made-in-china.com/product/tqOEBzJPJbYL/China-Carbon-Black-N339-for-Rubber-Industry.html</t>
  </si>
  <si>
    <t>Item</t>
  </si>
  <si>
    <t>Our price for confidence</t>
  </si>
  <si>
    <t>Wholesale Price</t>
  </si>
  <si>
    <t>Units</t>
  </si>
  <si>
    <t>https://www.lme.com/Metals/Ferrous/Steel-Scrap#tabIndex=0</t>
  </si>
  <si>
    <t>Oil Production</t>
  </si>
  <si>
    <t>% oil</t>
  </si>
  <si>
    <t>Gross Tires Received</t>
  </si>
  <si>
    <t>MT / day</t>
  </si>
  <si>
    <t># of liters in a gallon</t>
  </si>
  <si>
    <t>Gallons</t>
  </si>
  <si>
    <t>MSW Received per day</t>
  </si>
  <si>
    <t>VOLUME Calculations</t>
  </si>
  <si>
    <t>% of oil</t>
  </si>
  <si>
    <t>Based on Phase A testing</t>
  </si>
  <si>
    <t>Steel in a tire</t>
  </si>
  <si>
    <t xml:space="preserve">The range is 10% to 20% so we use 15%.  http://www.europeanrecycle.com/it/steelwire/steel-tire-wire/ </t>
  </si>
  <si>
    <t>Quarter</t>
  </si>
  <si>
    <t>Jan - Mar</t>
  </si>
  <si>
    <t>Apr - Jun</t>
  </si>
  <si>
    <t>Jul - Sep</t>
  </si>
  <si>
    <t>Oct - Dec</t>
  </si>
  <si>
    <t>Electrical price</t>
  </si>
  <si>
    <t>$/gallon</t>
  </si>
  <si>
    <t>https://www.barchart.com/futures/european/major-commodities    Took lowest price over 52 week range</t>
  </si>
  <si>
    <t>Raw MSW MT per day</t>
  </si>
  <si>
    <t>Raw Tire MT per day</t>
  </si>
  <si>
    <t>Totals</t>
  </si>
  <si>
    <t>Time</t>
  </si>
  <si>
    <t>Simple Steam Cycle</t>
  </si>
  <si>
    <t>Parasitic Load</t>
  </si>
  <si>
    <t>Net Power on the bus</t>
  </si>
  <si>
    <t>MT of MSW</t>
  </si>
  <si>
    <t>MT of Tires</t>
  </si>
  <si>
    <t>Day</t>
  </si>
  <si>
    <t>Comments</t>
  </si>
  <si>
    <t>0100</t>
  </si>
  <si>
    <t xml:space="preserve">Parastic load fluctuates when front end Stage 1 equipment is operating.   
If our Stage 1 system has isssues we still have 7 days of feedstock supplies available to run the system. 
If we take a pryloysis unit offline for cleaning we have 7 other units still producing syngas for the turbines.   Plus if a natural gas line is at the facility we can use the natural gas to supplement the turbine.
A turbine maintenance schedule exists but must maintenenace is performed while the turbine is operating.  Overhaul of the turbine is every 25,000 hours or 2.85 years. </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</si>
  <si>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</si>
  <si>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</si>
  <si>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</si>
  <si>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</si>
  <si>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</si>
  <si>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</si>
  <si>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</si>
  <si>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</si>
  <si>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</si>
  <si>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</si>
  <si>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</si>
  <si>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</si>
  <si>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</si>
  <si>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</si>
  <si>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</si>
  <si>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</si>
  <si>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</si>
  <si>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</si>
  <si>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</si>
  <si>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</si>
  <si>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</si>
  <si>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</si>
  <si>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2400</t>
  </si>
  <si>
    <t>Average MWh</t>
  </si>
  <si>
    <t>Yearly Average</t>
  </si>
  <si>
    <t>MWh</t>
  </si>
  <si>
    <t>Reduced Value for confidence factor</t>
  </si>
  <si>
    <t>Baseline  Values</t>
  </si>
  <si>
    <t>42 gallons in a barrel</t>
  </si>
  <si>
    <t>https://www.iata.org/en/publications/economics/fuel-monitor      Price used is 45% normal market price</t>
  </si>
  <si>
    <t>https://www.indexmundi.com/commodities/?commodity=rbob-gasoline   Price used in 60% of normal market price</t>
  </si>
  <si>
    <t>https://www.indexmundi.com/commodities/?commodity=diesel     Price used is 45% normal market price</t>
  </si>
  <si>
    <t>https://pubs.lubesngreases.com/lubereport-americas/u-s-base-oil-price-report-54/      price per barrel  has dropped off considerably</t>
  </si>
  <si>
    <t>https://www.eia.gov/electricity/monthly/epm_table_grapher.php?t=epmt_4_12_a                down 25% for normal price</t>
  </si>
  <si>
    <t>Current US tax code</t>
  </si>
  <si>
    <t>N/A  plant is not in Colorado</t>
  </si>
  <si>
    <t>Shift</t>
  </si>
  <si>
    <t>Mon</t>
  </si>
  <si>
    <t>Wed</t>
  </si>
  <si>
    <t>Fri</t>
  </si>
  <si>
    <t>Sat</t>
  </si>
  <si>
    <t>Total by category</t>
  </si>
  <si>
    <t>8 to 5</t>
  </si>
  <si>
    <t>Operators</t>
  </si>
  <si>
    <t>Total Employees</t>
  </si>
  <si>
    <t>Plant Operational Cost</t>
  </si>
  <si>
    <t>Yearly Cost</t>
  </si>
  <si>
    <t>Support from the owners</t>
  </si>
  <si>
    <t>Total of the below item estimates</t>
  </si>
  <si>
    <t>Stage 4 mobile equipment repair and propane gas for the forklifts and crane support</t>
  </si>
  <si>
    <t>Stage 5 grounds maintenance expenses and supplies</t>
  </si>
  <si>
    <t>Accounting support both in country and in the USA from Plante Moran</t>
  </si>
  <si>
    <t xml:space="preserve">General office supplies of printer ink, paper, computer upgrades etc. </t>
  </si>
  <si>
    <t>General expense catchall account.  Estimate is based on assumptions from other facilities</t>
  </si>
  <si>
    <t>Stage 3 emission skid Maintenance which includes the ammonia cleanups</t>
  </si>
  <si>
    <t>There is no transmission costs</t>
  </si>
  <si>
    <t xml:space="preserve">Liters in a Fluid barrel </t>
  </si>
  <si>
    <t>Pyrolysis LTMA Cost yrs. 3+</t>
  </si>
  <si>
    <t xml:space="preserve">Stage 2 maintenance on the pyrolysis units to include replacing sulfur cleanup materials etc. </t>
  </si>
  <si>
    <t>Turbine LTMA Cost 5 year term</t>
  </si>
  <si>
    <t>Stage 3 turbine Maintenance which includes the oil changes.  Quoted by Solar Turbines covered under 5 year LTMA</t>
  </si>
  <si>
    <t xml:space="preserve">Stage 1 maintenance for MSW and tire equipment and pelletizer maintenance with knife sharpening being the highest cost.  Dryer maintenance is cost is $12,000 a year based on quote from ventilex.  Captured in the overall stage 1 estimate already. </t>
  </si>
  <si>
    <t xml:space="preserve">Land Rental </t>
  </si>
  <si>
    <t xml:space="preserve">EPC Procurement Fee </t>
  </si>
  <si>
    <t xml:space="preserve">Power year 4 through 25 </t>
  </si>
  <si>
    <t xml:space="preserve">Power year 1 through 3 </t>
  </si>
  <si>
    <t>Power Production Year 4 - 25</t>
  </si>
  <si>
    <t>Power Production Year 1 - 3</t>
  </si>
  <si>
    <t>Other</t>
  </si>
  <si>
    <t>No power production would be at this plant</t>
  </si>
  <si>
    <t>No turbines would be at this factory</t>
  </si>
  <si>
    <t xml:space="preserve">Renewal of operating permits and business licenses </t>
  </si>
  <si>
    <t xml:space="preserve">Renewable Energy Park Gas production  </t>
  </si>
  <si>
    <t>RNG Production</t>
  </si>
  <si>
    <t>MMBTU per day</t>
  </si>
  <si>
    <t>RNG Sale price</t>
  </si>
  <si>
    <t>$/MMBTU</t>
  </si>
  <si>
    <t xml:space="preserve">RNG Gas conditioning </t>
  </si>
  <si>
    <t>MMBTU/day</t>
  </si>
  <si>
    <t>$ / MMBTU</t>
  </si>
  <si>
    <t>Cost per day to condition the gas based on MMBTU value</t>
  </si>
  <si>
    <t xml:space="preserve">Cost of internet plus cost of storage in the cloud etc. </t>
  </si>
  <si>
    <t>Cost per Year to condition the gas</t>
  </si>
  <si>
    <t>Balance of plant Chiller system</t>
  </si>
  <si>
    <t>Job Type</t>
  </si>
  <si>
    <t>Focus area</t>
  </si>
  <si>
    <t>Manage entire facility</t>
  </si>
  <si>
    <t>Description</t>
  </si>
  <si>
    <t xml:space="preserve">Manage all aspects of the plant operations and all of its employees.   Ensure feedstock, offtake and other support contracts are being met.  Ensure that the facility maintains a profit. </t>
  </si>
  <si>
    <t>Qualifications</t>
  </si>
  <si>
    <t xml:space="preserve">Must have 15 years prior experience in managing facilities of similar nature.  </t>
  </si>
  <si>
    <t>Support Site manager</t>
  </si>
  <si>
    <t>Provide administrative support to the Site manager and also perform  the HR administration functions of  maintain and update employee records, as well as manage various HR documents and internal databases, such as holiday and leave.   Act as the first port of call to employees and external partners for all HR related queries.</t>
  </si>
  <si>
    <t>Must be at least 18 years old with a High School degree .  Good understanding of Microsoft office applications and strong verbal and written skills and be willing to be first aid trained.</t>
  </si>
  <si>
    <t>Electrical Technician   MGR</t>
  </si>
  <si>
    <t>Lead with Focus on Stage 2 and 3 operations</t>
  </si>
  <si>
    <t>Must have a  license as a Professional Engineer (PE) or 15+ years relavent experience.   A bachelor's degree from a four-year institution accredited by ABET and at least 5 years work experience under the supervision of a licensed engineer.  Also be willing to be first aid trained.</t>
  </si>
  <si>
    <t>Electrical technician</t>
  </si>
  <si>
    <t>Focus on Stage 1, 2 and 3 operations</t>
  </si>
  <si>
    <t>Must have the ability to read blueprints or technical diagrams. Install and maintain wiring, control, and lighting systems. Inspect electrical components, such as transformers , and circuit breakers.   Ability to perform general maintenance on electric generators is a requirement.   Support of Turbine-generator manufacture when they are on site is required.</t>
  </si>
  <si>
    <t>This position requires the ability to communicate with supervisors and lower seniority technician to share their knowledge.    2 yr. degree preferred 3 years technical degree or with 2 years of apprentice school.  Electrical school or technical degree is required.  Also be willing to be first aid trained.</t>
  </si>
  <si>
    <t>Lead with Focus on Stage 1 through 6 operations.  Support stage 2 &amp; 3 to Electrical Mgr.</t>
  </si>
  <si>
    <t>Perform engineering duties in planning, designing and maintain tools, engines, machines, and other mechanically functioning equipment. Oversee installation, operation, maintenance, and repair of such equipment.  Lead maintenance mechanics and line mechanics to ensure equipment is maintained within the specifications.   Will also be the 2nd  deputy site manager being able to oversee the Site Manager roles and responsibilities.</t>
  </si>
  <si>
    <t>Must have a  license as a Professional Engineer (PE) or 15+ years relavant experience.   A bachelor's degree from a four-year institution accredited by ABET and at least 5 years work experience under the supervision of a licensed engineer.  Also be willing to be first aid trained.</t>
  </si>
  <si>
    <t>Industrial  Maintenance Mechanic</t>
  </si>
  <si>
    <t>Focus on Stage 2 and 3 operations</t>
  </si>
  <si>
    <t xml:space="preserve">Maintain Process and Industry Standards and Specifications.  Safety, Health and Environment.     Effectively and safely operates standard maintenance tools such as power tools, basic hand tools and basic electrical testing equipment.   Perform preventative maintenance up to and including Annual PM’s.   Ability to read and understand mechanical and electrical schematics without issue.   Complete minor troubleshooting of mechanical and electrical related issues without direct supervision.    Follow prescribed safety rules and regulation as well as other departmental policies and procedures. Help to develop proper safety techniques.  Locate sources of problems by observing mechanical devices in operation; listening for problems; using precision measuring and testing instruments.   Identify follow-up work required.   Acquire planned materials, tools and documentation for planned work, and work order information for reactive work.   Investigate job site if required – determine scope of work (reactive work).  Prepare work site – scaffolding, safety, etc.   Perform maintenance task.  Respond to interruption work from immediate supervisor.  Move to next job after completion or as directed by Maintenance Supervisor.   With the Maintenance Supervisor, resolve problems as needed to perform work.  Complete Closeout Activities including, Tool accountability / Parts reconciliation, Sanitation tagging / Notification to Production, Return unused materials and tools, Functional Operations test complete, and arrange for Pd.M. validation.   Complete, Sign and return hardcopy Work Order to Maintenance Supervisor complete with; Work Description, Symptoms, As Found, As Left, Start / Finish time, and Labor Hours and Note Deficiencies, Delays, any Job Plan Feedback  Effectively inform through written communication daily pass-downs issues and actions.  </t>
  </si>
  <si>
    <t>This position requires the ability to communicate with supervisors and lower seniority technician to share their knowledge.    2 yr. degree preferred 3 years technical degree or with 2 years of apprentice school.  Mechanic school or technical degree is required</t>
  </si>
  <si>
    <t>Environmental technician</t>
  </si>
  <si>
    <t>All testing for state and local requirements plus feedstock.</t>
  </si>
  <si>
    <t>Perform analysis of environmental samples (air, byproducts and water samples) according to SOPs.   Prepare and submit accurate analytical reports in a timely manner.  Calibrate and operate analytical instruments to analyze samples correctly and promptly. Will be running IC, GC, GCMS and/or other analytic equipment.  Record and update instruments run logs and maintenance logbook.  Prepare analytical standards and solutions used in the analysis.  Perform MDL, LOD/LOQ studies, and other QC requirements.   Other duties as assigned.</t>
  </si>
  <si>
    <t>This position requires the ability to communicate with supervisors and lower seniority technician to share knowledge.    2 yr. degree in environmental sciences preferred or  2+  years of experience.   Also be willing to be first aid trained.</t>
  </si>
  <si>
    <t>Focus on Stage 1,  4 and 5 operations</t>
  </si>
  <si>
    <t xml:space="preserve">Maintaining facility and industrial equipment including but not limited to: conveyors, pneumatic controls, PLC controls, motors and sensors.   Inspection of machinery and mechanical equipment for defects and report suggested process improvements and preventative maintenance.  Troubleshoot pneumatic, electrical and hydraulic machine problems and make necessary repairs.  </t>
  </si>
  <si>
    <t>High school diploma or G.E.D.   5+ years of maintenance experience in a manufacturing environment.    Knowledge/experience of electrical systems from 24VAC to 480VAC.   Advanced knowledge of pneumatics and hydraulics as well as mechanical.  Able to program PLC's  Experience with the use of  surface grinder, welder and  other machines.    Preventative maintenance skills.  Welding and fabrication skills.   Building maintenance a plus.  Excellent verbal communication skills, able to work independently and lift up to 50 lbs.    Safety oriented.  Also be willing to be first aid trained.</t>
  </si>
  <si>
    <t>Handle all forklifts, loading/unloading of byproducts</t>
  </si>
  <si>
    <t>Operates a forklift, front end loaders to lift, load, or move material. Inspects, maintains, and minor repairs loader and forklift equipment as needed.</t>
  </si>
  <si>
    <t>1 to 4 years previous experience with 8000lb forklifts.   Has Forklift Certification.  Good knowledge of products or truck loading experience.  Ability to model the Capital values and to provide innovative solutions.  Ability to deliver high quality, detailed error free work on a consistent basis.  Ability to read, write, speak and understand English to the extent required to receive and communicate information as necessary to the position.  Also be willing to be first aid trained.</t>
  </si>
  <si>
    <t>Security Guard</t>
  </si>
  <si>
    <t>Provide security oversight to the facility</t>
  </si>
  <si>
    <t xml:space="preserve">Operate the front gate area ensuring that only person required to be on site are allowed into the facility.  Direct and coordinate traffic from time to time. </t>
  </si>
  <si>
    <t>Must be at least 18 years old with a High School degree .  Ability to lift over 50 pounds and be willing to be first aid trained.</t>
  </si>
  <si>
    <t xml:space="preserve">Design, develop, and test electrical devices and equipment, including communications systems, power generators, motors and navigation systems, and electrical systems.   Oversee all of plant electrical  usage.   Will also be the deputy site manager being able to oversee the Site Manager roles and responsibilities.  </t>
  </si>
  <si>
    <t>Shift Differential Salary</t>
  </si>
  <si>
    <t>Percent Increase</t>
  </si>
  <si>
    <t>Salary
Yearly</t>
  </si>
  <si>
    <t>Shift differential Salary
Yearly</t>
  </si>
  <si>
    <t>Real Employee</t>
  </si>
  <si>
    <t>Empty office slots</t>
  </si>
  <si>
    <t>Shift Manager (Flex)</t>
  </si>
  <si>
    <t>TOTALS</t>
  </si>
  <si>
    <t>Tue</t>
  </si>
  <si>
    <t>Thurs</t>
  </si>
  <si>
    <t>Sun</t>
  </si>
  <si>
    <t>0600 - 1800</t>
  </si>
  <si>
    <t>1800 - 0600</t>
  </si>
  <si>
    <t>Electrical Techician   MGR</t>
  </si>
  <si>
    <t>Medicare</t>
  </si>
  <si>
    <t>FICA</t>
  </si>
  <si>
    <t>all wages</t>
  </si>
  <si>
    <t>Type</t>
  </si>
  <si>
    <t>Insurance Type (E, E1, E2, E3)</t>
  </si>
  <si>
    <t>401k %</t>
  </si>
  <si>
    <t>Health Care Monthly</t>
  </si>
  <si>
    <t>Dental Care Monthly</t>
  </si>
  <si>
    <t>Vision Care Monthly</t>
  </si>
  <si>
    <t>Medicare Monthly</t>
  </si>
  <si>
    <t>Health
Care
Yearly</t>
  </si>
  <si>
    <t>Dental
Care
Yearly</t>
  </si>
  <si>
    <t>Vision
Care
Yearly</t>
  </si>
  <si>
    <t>401K
Match Yearly</t>
  </si>
  <si>
    <t>FUTA Yearly</t>
  </si>
  <si>
    <t>CO SUTA Yearly</t>
  </si>
  <si>
    <t>FUTA &amp; SUTA January</t>
  </si>
  <si>
    <t>Salary 
Hourly</t>
  </si>
  <si>
    <t>Fringe
Hourly</t>
  </si>
  <si>
    <t>REPP1 Tax Cost Hourly</t>
  </si>
  <si>
    <t>Management (Groups A - C)</t>
  </si>
  <si>
    <t>E3</t>
  </si>
  <si>
    <t>E2</t>
  </si>
  <si>
    <t>E</t>
  </si>
  <si>
    <t>E1</t>
  </si>
  <si>
    <t>Engineers (Group D - G)</t>
  </si>
  <si>
    <t>Trash Sorter Groups (H - K)  K is part-time</t>
  </si>
  <si>
    <t>Fuel Supplier Groups (L - O)</t>
  </si>
  <si>
    <t>Company Pay for the Health for employee</t>
  </si>
  <si>
    <t>% ind or % of family</t>
  </si>
  <si>
    <t>2019 Budget Assumptions - Monthly Amounts</t>
  </si>
  <si>
    <t>What the company pays to the Health care</t>
  </si>
  <si>
    <t>Health</t>
  </si>
  <si>
    <t>Deductible</t>
  </si>
  <si>
    <t>Emp Type</t>
  </si>
  <si>
    <t>Employee Pays</t>
  </si>
  <si>
    <t>Employee Only</t>
  </si>
  <si>
    <t>Employee + Spouse</t>
  </si>
  <si>
    <t>Employee + Child</t>
  </si>
  <si>
    <t>Family</t>
  </si>
  <si>
    <t>Dental</t>
  </si>
  <si>
    <t>Vision</t>
  </si>
  <si>
    <t>Term Life Policy</t>
  </si>
  <si>
    <t>401K</t>
  </si>
  <si>
    <t>of</t>
  </si>
  <si>
    <t>Company Bonus Plan</t>
  </si>
  <si>
    <t>Original Numbers of what Health Care costs LJ REPP</t>
  </si>
  <si>
    <t>Bonus pool</t>
  </si>
  <si>
    <t>Security Guards</t>
  </si>
  <si>
    <t xml:space="preserve">PPA or RNG </t>
  </si>
  <si>
    <t>HR</t>
  </si>
  <si>
    <t xml:space="preserve">Administrator </t>
  </si>
  <si>
    <t>Sales</t>
  </si>
  <si>
    <t>Carbon Black Refinery</t>
  </si>
  <si>
    <t>Light Oil Sale</t>
  </si>
  <si>
    <t>$/barrel</t>
  </si>
  <si>
    <t>Barrel/day</t>
  </si>
  <si>
    <t>oil price per barrel  https://oilprice.com/   Mexican basket</t>
  </si>
  <si>
    <t>Quote from BHE per MWH hour Economic Development rate</t>
  </si>
  <si>
    <t>Electricity</t>
  </si>
  <si>
    <t>Property taxes for the county</t>
  </si>
  <si>
    <t>Will be on sewer, water bill an natural gas</t>
  </si>
  <si>
    <t>Gas Transmission Costs</t>
  </si>
  <si>
    <t>Year Financial Model starts</t>
  </si>
  <si>
    <t>Fuel Tanks</t>
  </si>
  <si>
    <t>Based on Latvia open source document</t>
  </si>
  <si>
    <t xml:space="preserve">Mass Balance Flow through the system   </t>
  </si>
  <si>
    <t xml:space="preserve">% Steel in Tire </t>
  </si>
  <si>
    <t>Tons</t>
  </si>
  <si>
    <t>Avg Tire Weight</t>
  </si>
  <si>
    <t>Avg Steel Weight in a tire</t>
  </si>
  <si>
    <t xml:space="preserve">1 KiloCalorie = </t>
  </si>
  <si>
    <t>BTU</t>
  </si>
  <si>
    <t>Tire tonnage per day</t>
  </si>
  <si>
    <t xml:space="preserve">Assumptions:  
1)  Tires are shredded 
2)  TDF Pellet is created after removal of steel
3)  Production of Syngas is the most important item followed by Carbon Black.    
4)  RDF will be processed in separate pyrolysis units.   
5) Syngas from TDF and RDF processed will be co mingled into large Syngas tank farm and then pressurized. 
6) Average weight of tire is 22 lbs with 3 lbs of steel per tire. So 90 tons of tires * 2,200 lbs = total pounds of tires /  lbs per tire = total average # of tires *  lbs of steel in tire = useable tire weight 
</t>
  </si>
  <si>
    <t>MSW Composition</t>
  </si>
  <si>
    <t>No</t>
  </si>
  <si>
    <t>Steel 
Removed in tons</t>
  </si>
  <si>
    <t>Tonnage per Day</t>
  </si>
  <si>
    <t>Btu/Lb
Dry</t>
  </si>
  <si>
    <t>Kcal/kg
Dry</t>
  </si>
  <si>
    <t>Dry Kg</t>
  </si>
  <si>
    <t>Net 
Kcal/kg</t>
  </si>
  <si>
    <t>MMBTU Conversion</t>
  </si>
  <si>
    <t>MMBTU/HR</t>
  </si>
  <si>
    <t xml:space="preserve">Tires  </t>
  </si>
  <si>
    <t>Fixed Carbon</t>
  </si>
  <si>
    <t xml:space="preserve">http://www.tirepyrolysisplant.com/calorific-value-tire-pyrolysis-oil/ </t>
  </si>
  <si>
    <t>Oil</t>
  </si>
  <si>
    <t xml:space="preserve">http://www.alf-cemind.com/cd/AF_and_ARM_used_tires.htm </t>
  </si>
  <si>
    <t>MSW that would be used in a day</t>
  </si>
  <si>
    <t>Tons arrived</t>
  </si>
  <si>
    <t>Weight of  Steel removed</t>
  </si>
  <si>
    <t>Days in the year</t>
  </si>
  <si>
    <t>Weight of Useable TDF</t>
  </si>
  <si>
    <t>MSW tonnage per day</t>
  </si>
  <si>
    <t>Organic Removed</t>
  </si>
  <si>
    <t>Organics 
Removed</t>
  </si>
  <si>
    <t>Moisture</t>
  </si>
  <si>
    <t>Moisture
 Kg</t>
  </si>
  <si>
    <t>Fixed 
Carbon</t>
  </si>
  <si>
    <t>Ash</t>
  </si>
  <si>
    <t>no</t>
  </si>
  <si>
    <t>Organic (food waste)</t>
  </si>
  <si>
    <t>Soft Plastic</t>
  </si>
  <si>
    <t>Hard Plastic</t>
  </si>
  <si>
    <t>Paper</t>
  </si>
  <si>
    <t>Cardboard</t>
  </si>
  <si>
    <t>Textiles</t>
  </si>
  <si>
    <t>Rubber</t>
  </si>
  <si>
    <t>Leather</t>
  </si>
  <si>
    <t>Tetra Packing - 
73% paper 27%Plastic</t>
  </si>
  <si>
    <t>Green Waste</t>
  </si>
  <si>
    <t>Wood Waste</t>
  </si>
  <si>
    <t>Not Specified</t>
  </si>
  <si>
    <t xml:space="preserve">Carpet </t>
  </si>
  <si>
    <t>Insulation</t>
  </si>
  <si>
    <t>Asphalt shingles</t>
  </si>
  <si>
    <t>C&amp;D that we can use</t>
  </si>
  <si>
    <t>Recyclables</t>
  </si>
  <si>
    <t xml:space="preserve">Tires (will go to tire side) </t>
  </si>
  <si>
    <t>C &amp; D / Inert/Other</t>
  </si>
  <si>
    <t>Wet
Values</t>
  </si>
  <si>
    <t>MMBTU/Ton</t>
  </si>
  <si>
    <t>lbs</t>
  </si>
  <si>
    <t>Assumptions</t>
  </si>
  <si>
    <t>Location Point</t>
  </si>
  <si>
    <t>Metric Tons Per Hour</t>
  </si>
  <si>
    <t>raw total Metric ton day</t>
  </si>
  <si>
    <t>Moisture content %</t>
  </si>
  <si>
    <t>Hours processing a day</t>
  </si>
  <si>
    <t>Moisture content Metric Tons</t>
  </si>
  <si>
    <t>Starting Moisture MSW</t>
  </si>
  <si>
    <t xml:space="preserve">ferrous </t>
  </si>
  <si>
    <t>non-ferrous</t>
  </si>
  <si>
    <t>#3 Plastic</t>
  </si>
  <si>
    <t>Tons per Day RDF available</t>
  </si>
  <si>
    <t xml:space="preserve">Final Moisture content </t>
  </si>
  <si>
    <t xml:space="preserve">dry basis </t>
  </si>
  <si>
    <t>Tons Annual MSW</t>
  </si>
  <si>
    <t>Organic</t>
  </si>
  <si>
    <t>Tetra Packing</t>
  </si>
  <si>
    <t>Wood</t>
  </si>
  <si>
    <t>C&amp;D</t>
  </si>
  <si>
    <t xml:space="preserve">Total </t>
  </si>
  <si>
    <t xml:space="preserve">% Confidence </t>
  </si>
  <si>
    <t>% Error</t>
  </si>
  <si>
    <t>tires TPD</t>
  </si>
  <si>
    <t>remaining  Tons in RDF</t>
  </si>
  <si>
    <t xml:space="preserve">*** This will vary based on the input parameters in the table above. </t>
  </si>
  <si>
    <t>ferrous TPD</t>
  </si>
  <si>
    <t>Moisture weight</t>
  </si>
  <si>
    <t>Moisture loss calc</t>
  </si>
  <si>
    <t>#3 plastic TPD</t>
  </si>
  <si>
    <t>Moisture lost</t>
  </si>
  <si>
    <t>Water Loss TPD</t>
  </si>
  <si>
    <t>Inerts TPD</t>
  </si>
  <si>
    <t>Rough % RDF comp</t>
  </si>
  <si>
    <t xml:space="preserve">Total losses on I/P </t>
  </si>
  <si>
    <t xml:space="preserve">validation check </t>
  </si>
  <si>
    <t>STAGE 2 - Mass Balance</t>
  </si>
  <si>
    <t>TABLE 2.1 - RDF Mass Balance</t>
  </si>
  <si>
    <t>Max Performance values</t>
  </si>
  <si>
    <t>Number of Operating Units</t>
  </si>
  <si>
    <r>
      <t>Processing Daily Mass</t>
    </r>
    <r>
      <rPr>
        <sz val="12"/>
        <color theme="1"/>
        <rFont val="Century Gothic"/>
        <family val="2"/>
      </rPr>
      <t xml:space="preserve"> Metric Ton/day)</t>
    </r>
  </si>
  <si>
    <t>Location Point Description</t>
  </si>
  <si>
    <t>Pyrolysis Burner 
CNG Supply
(from utility)</t>
  </si>
  <si>
    <t>Pyrolysis Burner 
Syngas Supply
(from Tank Farm)</t>
  </si>
  <si>
    <t>Combustion Air
(ambient inlet)</t>
  </si>
  <si>
    <t>Exhaust Air
(to baghouse)</t>
  </si>
  <si>
    <t>RDF 
Feedstock
(from STAGE 1)</t>
  </si>
  <si>
    <t>Syngas 
Production
(to tank farm)</t>
  </si>
  <si>
    <t>Char / Bottom Ash 
Production
(to external storage)</t>
  </si>
  <si>
    <t>Carbon Black
Production
(to external storage)</t>
  </si>
  <si>
    <t>Tar / Oil
Production
(to external storage)</t>
  </si>
  <si>
    <t>Wastewater
Production
(to WW Facility)</t>
  </si>
  <si>
    <r>
      <t xml:space="preserve">Run Time Per Unit </t>
    </r>
    <r>
      <rPr>
        <sz val="12"/>
        <color theme="1"/>
        <rFont val="Century Gothic"/>
        <family val="2"/>
      </rPr>
      <t>(hours/day)</t>
    </r>
  </si>
  <si>
    <r>
      <t>Heat Content</t>
    </r>
    <r>
      <rPr>
        <sz val="12"/>
        <color theme="1"/>
        <rFont val="Century Gothic"/>
        <family val="2"/>
      </rPr>
      <t xml:space="preserve"> (BTU/cf)</t>
    </r>
  </si>
  <si>
    <r>
      <t>Material Density</t>
    </r>
    <r>
      <rPr>
        <sz val="12"/>
        <color theme="1"/>
        <rFont val="Century Gothic"/>
        <family val="2"/>
      </rPr>
      <t xml:space="preserve"> (lbs/cf)</t>
    </r>
  </si>
  <si>
    <r>
      <t>Ambient Temperature</t>
    </r>
    <r>
      <rPr>
        <sz val="12"/>
        <color theme="1"/>
        <rFont val="Century Gothic"/>
        <family val="2"/>
      </rPr>
      <t xml:space="preserve"> (°F)</t>
    </r>
  </si>
  <si>
    <r>
      <t>Atmospheric Pressure</t>
    </r>
    <r>
      <rPr>
        <sz val="12"/>
        <color theme="1"/>
        <rFont val="Century Gothic"/>
        <family val="2"/>
      </rPr>
      <t xml:space="preserve"> (" Hg)</t>
    </r>
  </si>
  <si>
    <r>
      <t>Gauge Pressure</t>
    </r>
    <r>
      <rPr>
        <sz val="12"/>
        <color theme="1"/>
        <rFont val="Century Gothic"/>
        <family val="2"/>
      </rPr>
      <t xml:space="preserve"> (psig)</t>
    </r>
  </si>
  <si>
    <r>
      <t>Gauge Temperature</t>
    </r>
    <r>
      <rPr>
        <sz val="12"/>
        <color theme="1"/>
        <rFont val="Century Gothic"/>
        <family val="2"/>
      </rPr>
      <t xml:space="preserve"> (°F)</t>
    </r>
  </si>
  <si>
    <r>
      <t>Moisture Content</t>
    </r>
    <r>
      <rPr>
        <sz val="12"/>
        <color theme="1"/>
        <rFont val="Century Gothic"/>
        <family val="2"/>
      </rPr>
      <t xml:space="preserve"> (%M)</t>
    </r>
  </si>
  <si>
    <r>
      <t>Production Fraction</t>
    </r>
    <r>
      <rPr>
        <sz val="12"/>
        <color theme="1"/>
        <rFont val="Century Gothic"/>
        <family val="2"/>
      </rPr>
      <t xml:space="preserve"> (%mass feedstock)</t>
    </r>
  </si>
  <si>
    <t>Per Pyrolysis Unit</t>
  </si>
  <si>
    <r>
      <t xml:space="preserve">Mass Flow Rate </t>
    </r>
    <r>
      <rPr>
        <sz val="12"/>
        <color theme="1"/>
        <rFont val="Century Gothic"/>
        <family val="2"/>
      </rPr>
      <t>(ton/day)</t>
    </r>
  </si>
  <si>
    <t>na</t>
  </si>
  <si>
    <r>
      <t xml:space="preserve">Mass Flow Rate </t>
    </r>
    <r>
      <rPr>
        <sz val="12"/>
        <color theme="1"/>
        <rFont val="Century Gothic"/>
        <family val="2"/>
      </rPr>
      <t>(cf/day)</t>
    </r>
  </si>
  <si>
    <t>TBD</t>
  </si>
  <si>
    <r>
      <t xml:space="preserve">Mass Flow Rate </t>
    </r>
    <r>
      <rPr>
        <sz val="12"/>
        <color theme="1"/>
        <rFont val="Century Gothic"/>
        <family val="2"/>
      </rPr>
      <t>(gallons/day)</t>
    </r>
  </si>
  <si>
    <t>TABLE 2.2 - TDF Mass Balance</t>
  </si>
  <si>
    <t>Processing Daily Mass Metric Ton/day)</t>
  </si>
  <si>
    <t>TDF 
Feedstock
(from STAGE 1)</t>
  </si>
  <si>
    <t>TABLE 2.3 - 7-Day Storage Capacity</t>
  </si>
  <si>
    <t>RDF Pyrolysis</t>
  </si>
  <si>
    <r>
      <rPr>
        <b/>
        <sz val="12"/>
        <color theme="1"/>
        <rFont val="Century Gothic"/>
        <family val="2"/>
      </rPr>
      <t xml:space="preserve">7-Day Storage Requirement </t>
    </r>
    <r>
      <rPr>
        <sz val="12"/>
        <color theme="1"/>
        <rFont val="Century Gothic"/>
        <family val="2"/>
      </rPr>
      <t>(ton)</t>
    </r>
  </si>
  <si>
    <r>
      <rPr>
        <b/>
        <sz val="12"/>
        <color theme="1"/>
        <rFont val="Century Gothic"/>
        <family val="2"/>
      </rPr>
      <t>7-Day Storage Requirement</t>
    </r>
    <r>
      <rPr>
        <sz val="12"/>
        <color theme="1"/>
        <rFont val="Century Gothic"/>
        <family val="2"/>
      </rPr>
      <t xml:space="preserve"> (cf)</t>
    </r>
  </si>
  <si>
    <r>
      <rPr>
        <b/>
        <sz val="12"/>
        <color theme="1"/>
        <rFont val="Century Gothic"/>
        <family val="2"/>
      </rPr>
      <t xml:space="preserve">7-Day Storage Requirement </t>
    </r>
    <r>
      <rPr>
        <sz val="12"/>
        <color theme="1"/>
        <rFont val="Century Gothic"/>
        <family val="2"/>
      </rPr>
      <t>(gallon)</t>
    </r>
  </si>
  <si>
    <t>TDF Pyrolysis</t>
  </si>
  <si>
    <t>TOTAL</t>
  </si>
  <si>
    <t>Aboveground Storage Tank if needed</t>
  </si>
  <si>
    <t>** Does not include Stage 1 Tipping Floor Washdown</t>
  </si>
  <si>
    <t>Number of 55-gallon Drums (each filled to 50-gallons)</t>
  </si>
  <si>
    <t>** 1,376 sf Storage Footprint (assuming 4 drums/pallet x 2-pallets high) [ say 30' x 50' building]</t>
  </si>
  <si>
    <t>sf Storage Footprint (assuming 4-foot high stockpile) [say 120' x 50' building]</t>
  </si>
  <si>
    <t>sf Storage Footprint (assuming 4-foot high stockpile) [say 30' x 50' building]</t>
  </si>
  <si>
    <t>sf RDF Storage Footprint (assuming 8-foot high stockpile) [say 100' x 150' building]</t>
  </si>
  <si>
    <t>sf TDF Storage  Footprint (assuming 8-foot high stockpile)  [say 60' x 150' building]</t>
  </si>
  <si>
    <t>Processing days on RDF</t>
  </si>
  <si>
    <t xml:space="preserve">Number of days in the week the processing equipment is running </t>
  </si>
  <si>
    <t>Power On Bus</t>
  </si>
  <si>
    <t>Processing days on TDF</t>
  </si>
  <si>
    <t xml:space="preserve">Yield of TDF on </t>
  </si>
  <si>
    <t>Tire Derived Fuel yield minus steel</t>
  </si>
  <si>
    <t>RDF Processing Hours</t>
  </si>
  <si>
    <t>Number of hours in a day the processing equipment is running for RDF</t>
  </si>
  <si>
    <t>Processing days in a year on MSW</t>
  </si>
  <si>
    <t>TDF Processing Hours</t>
  </si>
  <si>
    <t>Number of hours in a day the processing equipment is running for TDF</t>
  </si>
  <si>
    <t>Processing days in a year on tires</t>
  </si>
  <si>
    <t>Raw MT per day Used at the facility</t>
  </si>
  <si>
    <t>Raw MT Processed per day</t>
  </si>
  <si>
    <t>Raw MT Processed per Hour</t>
  </si>
  <si>
    <t xml:space="preserve">Raw MT per year Required </t>
  </si>
  <si>
    <t>Cross Check Stage 1 yield</t>
  </si>
  <si>
    <t>Excess /Deficit Mwe potential</t>
  </si>
  <si>
    <t xml:space="preserve">Baseline   </t>
  </si>
  <si>
    <t xml:space="preserve">      Engineered Fuel at the WtE plant</t>
  </si>
  <si>
    <r>
      <t xml:space="preserve">              TDF </t>
    </r>
    <r>
      <rPr>
        <sz val="11"/>
        <color theme="1"/>
        <rFont val="Calibri"/>
        <family val="2"/>
        <scheme val="minor"/>
      </rPr>
      <t>(we require this amount)</t>
    </r>
  </si>
  <si>
    <t xml:space="preserve">                         Used at the WtE plant</t>
  </si>
  <si>
    <t>TDF Oil gal/day</t>
  </si>
  <si>
    <t>Carbon Ash MT/day</t>
  </si>
  <si>
    <t>Carbon Black MT/day</t>
  </si>
  <si>
    <t>Ferrous MT/day</t>
  </si>
  <si>
    <t>Non-Ferrous MT/day</t>
  </si>
  <si>
    <t>Tire Steel MT/day</t>
  </si>
  <si>
    <t>Dry basis</t>
  </si>
  <si>
    <t>Percent Loss to conditioning gas</t>
  </si>
  <si>
    <t>BTU value of RDF MMBTU/day</t>
  </si>
  <si>
    <t>Assumed caloric value (BTU/SCF)</t>
  </si>
  <si>
    <t>Conditioning cost per MMBTU in USD</t>
  </si>
  <si>
    <t>Assumed Gas yield per MT</t>
  </si>
  <si>
    <t>MMBTU</t>
  </si>
  <si>
    <t>Cost to condition gas in USD per day.</t>
  </si>
  <si>
    <t>% of weight Base US tire averages</t>
  </si>
  <si>
    <t>Metric Ton</t>
  </si>
  <si>
    <t>Days in a year</t>
  </si>
  <si>
    <t xml:space="preserve">Dry cell </t>
  </si>
  <si>
    <t xml:space="preserve">Rough Raw difference input material </t>
  </si>
  <si>
    <t>Wet cell</t>
  </si>
  <si>
    <t>Total Cell</t>
  </si>
  <si>
    <t>Cellulose ratio for gas production</t>
  </si>
  <si>
    <t>Moisture content of cellulose</t>
  </si>
  <si>
    <t xml:space="preserve">Non Cellulose usable material. </t>
  </si>
  <si>
    <t>Kcal of USA MSW</t>
  </si>
  <si>
    <t>hours</t>
  </si>
  <si>
    <t>Stage 1 processing hours per day</t>
  </si>
  <si>
    <t>Ferrous material</t>
  </si>
  <si>
    <t>Average in USA waste stream</t>
  </si>
  <si>
    <t>#3 Plastics</t>
  </si>
  <si>
    <t>Percent moisture needed in the RDF Pellets</t>
  </si>
  <si>
    <t xml:space="preserve">yield </t>
  </si>
  <si>
    <t>above unit rating</t>
  </si>
  <si>
    <t xml:space="preserve">a 2 MT a hour unit can process 48 MT a day  </t>
  </si>
  <si>
    <t>RDF</t>
  </si>
  <si>
    <t>TDF</t>
  </si>
  <si>
    <t xml:space="preserve">Total  </t>
  </si>
  <si>
    <t>N/A</t>
  </si>
  <si>
    <t>Note:  hardcoded numbers are pulled from previous tests and 3rd party literature</t>
  </si>
  <si>
    <t>Days of storage</t>
  </si>
  <si>
    <t>Days for onsite storage</t>
  </si>
  <si>
    <t>days</t>
  </si>
  <si>
    <t>The remaining hours are for maintenance on the stage 1 equipment</t>
  </si>
  <si>
    <t>for feedstock and byproducts</t>
  </si>
  <si>
    <t>Days in year MSW received</t>
  </si>
  <si>
    <t>Days in year tires received</t>
  </si>
  <si>
    <r>
      <t xml:space="preserve"> MSW</t>
    </r>
    <r>
      <rPr>
        <sz val="11"/>
        <color theme="1"/>
        <rFont val="Calibri"/>
        <family val="2"/>
        <scheme val="minor"/>
      </rPr>
      <t xml:space="preserve"> (raw MSW received at tipping floor)</t>
    </r>
  </si>
  <si>
    <t>Notes</t>
  </si>
  <si>
    <t>Parasitic load (Mwe)</t>
  </si>
  <si>
    <t>altitude</t>
  </si>
  <si>
    <t>assuming 15% fixed carbon and 15% moisture</t>
  </si>
  <si>
    <t>Waste conversion factor tire (gas)</t>
  </si>
  <si>
    <t>assure 32% fixed carbon and 3 % moisture</t>
  </si>
  <si>
    <t>Waste conversion factor tire (oil)</t>
  </si>
  <si>
    <t>Parasitic Pyrolysis load total (BTU/MT)</t>
  </si>
  <si>
    <t>this is a high estimate actuals are usually 1.85- 1.25 MMBTU and it is material dependent so 2 MMBTU is a safe projection this is the combined heat to remove the moisture and heat up material.</t>
  </si>
  <si>
    <t>Desired Mwe</t>
  </si>
  <si>
    <t xml:space="preserve">TPD TDF fuel </t>
  </si>
  <si>
    <t>MSW power correction</t>
  </si>
  <si>
    <t>altitude correction (per 1000 ft)</t>
  </si>
  <si>
    <t>Gas Production of Pyrolysis Units (syngas)</t>
  </si>
  <si>
    <t>Titan 130 heat rate BTU/kw-hr</t>
  </si>
  <si>
    <t>BTU/MT Tire</t>
  </si>
  <si>
    <t>Titan 130 at sea level power per ton TDF</t>
  </si>
  <si>
    <t>TDF Power per MT</t>
  </si>
  <si>
    <t xml:space="preserve">TDF power </t>
  </si>
  <si>
    <t>Mwe remaining to BUS-MWe</t>
  </si>
  <si>
    <t xml:space="preserve">RDF BTU of Gas Per Ton </t>
  </si>
  <si>
    <t>Mwe excess</t>
  </si>
  <si>
    <t xml:space="preserve">RDF Mwe per Ton </t>
  </si>
  <si>
    <t>corrected altitude RDF</t>
  </si>
  <si>
    <t>btu for surplus</t>
  </si>
  <si>
    <t>Gas Ratio calculation</t>
  </si>
  <si>
    <t>Percent</t>
  </si>
  <si>
    <t>Total TDF gas produced SCF</t>
  </si>
  <si>
    <t>Total RDF gas produced SCF</t>
  </si>
  <si>
    <t>BTU/scf combined</t>
  </si>
  <si>
    <t>Altitude of the REP</t>
  </si>
  <si>
    <t>feet</t>
  </si>
  <si>
    <t>MT RDF</t>
  </si>
  <si>
    <t>MT TDF</t>
  </si>
  <si>
    <t>BTU value of TDF MMBTU/day</t>
  </si>
  <si>
    <t>Total BTU value of Syngas</t>
  </si>
  <si>
    <t>MMBTU loss for gas conditioning</t>
  </si>
  <si>
    <t xml:space="preserve">Subtract out the loss from conditioning </t>
  </si>
  <si>
    <t>MMBTU RNG for resale per day</t>
  </si>
  <si>
    <t xml:space="preserve">Average Weight of a tire </t>
  </si>
  <si>
    <t>Values are calculated based on Mass Balance model.   Percent of trash makeup was pulled from the Larimer County two season study, DOE waste stream study, three personal inspections on the Djibouti landfill and the Japanese study of Djibouti trash stream.</t>
  </si>
  <si>
    <t>Revenue Graphs</t>
  </si>
  <si>
    <t xml:space="preserve">Altitudes of the Renewable Energy Park </t>
  </si>
  <si>
    <t>Final Moisture Content</t>
  </si>
  <si>
    <t>Cargill Grass Tip Fee</t>
  </si>
  <si>
    <t>cap at the maximum placed into the fund by user description</t>
  </si>
  <si>
    <t>Wholesale Price per gallon</t>
  </si>
  <si>
    <t>Continuous Emission monitoring</t>
  </si>
  <si>
    <t>Shipping and install cost</t>
  </si>
  <si>
    <t>Pipeline extension for CIG</t>
  </si>
  <si>
    <t>Carbon Black Storage Silos (2)</t>
  </si>
  <si>
    <t>20ft container for power pack</t>
  </si>
  <si>
    <t>Position 21 Chutes, steel work and control panel</t>
  </si>
  <si>
    <t>Average Parasitic Load MWh</t>
  </si>
  <si>
    <t>This represents The desired Power on the bus after parasitic loading removed pulled from GJ Conversion sheet</t>
  </si>
  <si>
    <t>Processed MT per day To the Pyrolysis units</t>
  </si>
  <si>
    <t>Dry non-cellulose material</t>
  </si>
  <si>
    <t>Final TPD Rd.</t>
  </si>
  <si>
    <t xml:space="preserve">we add a spare for each line and assume 15% above unit rating.   Calculation could say that we are using 1.57 of pyrolysis units so we round up to 2 and then +1 for a spare per line. </t>
  </si>
  <si>
    <t>Fly ash 
Production
(to external storage)</t>
  </si>
  <si>
    <t>Cumulative Pyrolysis (All Units)</t>
  </si>
  <si>
    <t>Total Pyrolysis Units needed</t>
  </si>
  <si>
    <t>cubic ft / ton (RDF column B / TDF column C/)</t>
  </si>
  <si>
    <t>btu / cubic foot  (RDF column B / TDF column C)</t>
  </si>
  <si>
    <t>from Solar Turbine manufacturer</t>
  </si>
  <si>
    <t>TDF Power loss due to alt</t>
  </si>
  <si>
    <t>ton/hr. surplus equivalent</t>
  </si>
  <si>
    <t>Waste conversion factor rd.</t>
  </si>
  <si>
    <t xml:space="preserve">*****Note the assumption is made here that we still need to analyze the makeup of the gas stream.  The yield is reasonable however need to verify caloric content of this gas.  Looking at comparable fuels isn't not a concern and this is conservative for estimation purposes. </t>
  </si>
  <si>
    <t>Assumptions:  
1)  MSW is shredded and dried to around 18% moisture content.
2)  RDF Pellet is created at 30 PSI 
3)  Production of Syngas is the most important item.    
4)  Tires will be processed in separate pyrolysis units.   RDF will be processed in separate units.
5) Syngas from TDF and RDF process will be co mingled into large Syngas tank farm and then pressurized. 
6)  Inert Material and Recyacbles are pulled out before the drying process.</t>
  </si>
  <si>
    <t>% of weight Base Larimer county two season study and confirmed with local waste haulers to be representative.</t>
  </si>
  <si>
    <t>BTU Conversion</t>
  </si>
  <si>
    <t>Amount of Moisture that needs removed</t>
  </si>
  <si>
    <t>Percent Aluminum in non ferrous metals</t>
  </si>
  <si>
    <t>Solar Titan 130 (15.8 MW)</t>
  </si>
  <si>
    <t>RNG Gas Cleanup Skid</t>
  </si>
  <si>
    <t>RNG Fuel cleanup skids</t>
  </si>
  <si>
    <t>if focus on oil production</t>
  </si>
  <si>
    <t xml:space="preserve">TPD RDF fuel </t>
  </si>
  <si>
    <t>generic for o2 on average turbine</t>
  </si>
  <si>
    <t>power in Mwe</t>
  </si>
  <si>
    <t>Turbine Utilized power estimate</t>
  </si>
  <si>
    <t>Titan 130 Performance average in Djibouti</t>
  </si>
  <si>
    <t>Number of turbines Used</t>
  </si>
  <si>
    <t>Steam Recovery used</t>
  </si>
  <si>
    <t>based on steam turbine selected</t>
  </si>
  <si>
    <t>RDF Mwe per Ton (corrected to Current  MSW)</t>
  </si>
  <si>
    <t>MMBtu for surplus</t>
  </si>
  <si>
    <t>Power produced by RDF</t>
  </si>
  <si>
    <t>RDF MT surplus</t>
  </si>
  <si>
    <t>Number of turbines needed</t>
  </si>
  <si>
    <t>turbine validation</t>
  </si>
  <si>
    <t>total MMBtu/hr.</t>
  </si>
  <si>
    <t>Desired Mwe goal</t>
  </si>
  <si>
    <t>Mwe</t>
  </si>
  <si>
    <t>Postive number means overproducing based on feedstock  negative number is requires more feedstock</t>
  </si>
  <si>
    <t>Tires sourced in Djibouti and other countries</t>
  </si>
  <si>
    <t>With Steam Power</t>
  </si>
  <si>
    <t>Total Combined Power</t>
  </si>
  <si>
    <t>Total  Power from Turbines</t>
  </si>
  <si>
    <t>MRF building at remote sites (Alisabieh, Arta, Dikhil, Obock, Tadjoura)</t>
  </si>
  <si>
    <t>Equipment Cost per MRF</t>
  </si>
  <si>
    <t>Cost</t>
  </si>
  <si>
    <t xml:space="preserve">Description </t>
  </si>
  <si>
    <t>Fuel storage tank</t>
  </si>
  <si>
    <t>Diesel fuel and DEF storage tanks</t>
  </si>
  <si>
    <t>Freight</t>
  </si>
  <si>
    <t>Transport containers to Djibouti from USA</t>
  </si>
  <si>
    <t>Compactor into container</t>
  </si>
  <si>
    <t>hydraulic push to force trash into containers</t>
  </si>
  <si>
    <t>cost for all  Compactor into container needed</t>
  </si>
  <si>
    <t>Loader for the site</t>
  </si>
  <si>
    <t xml:space="preserve">Two skid steers to move the trash </t>
  </si>
  <si>
    <t>Portable Office site and building too unload in</t>
  </si>
  <si>
    <t>Trailer to be setup on site as a portable office for the workers</t>
  </si>
  <si>
    <t xml:space="preserve">Totals </t>
  </si>
  <si>
    <t>5 sites  cost breakout is on the right</t>
  </si>
  <si>
    <t xml:space="preserve">Waste stream delivery which includes the MRFs.  </t>
  </si>
  <si>
    <t>Refinance - Term Loan EXIM Bank</t>
  </si>
  <si>
    <t xml:space="preserve">Set the Refinance loan </t>
  </si>
  <si>
    <t>Trucks to move containers to REP</t>
  </si>
  <si>
    <t xml:space="preserve">Two truck per site </t>
  </si>
  <si>
    <t>Assume 4 for a site</t>
  </si>
  <si>
    <t>Leached aid cleaning RO</t>
  </si>
  <si>
    <t>Placeholder until final quote is received.</t>
  </si>
  <si>
    <t xml:space="preserve">Estimated tip fee received is $70 MT with 20% reduction </t>
  </si>
  <si>
    <t xml:space="preserve">Estimated tip fee received with 20% reduction </t>
  </si>
  <si>
    <t>Carbon Credits are given to EDD per the PPA agreement</t>
  </si>
  <si>
    <t>REC are given to EDD  per the PPA agreement</t>
  </si>
  <si>
    <t>Maintenance fund contribution</t>
  </si>
  <si>
    <t>Cap on fund limit</t>
  </si>
  <si>
    <t>Gender</t>
  </si>
  <si>
    <t>Country</t>
  </si>
  <si>
    <t>XPAT</t>
  </si>
  <si>
    <t>M</t>
  </si>
  <si>
    <t>F</t>
  </si>
  <si>
    <t>DJB</t>
  </si>
  <si>
    <t>Female Count</t>
  </si>
  <si>
    <t>Country Count</t>
  </si>
  <si>
    <t>Schedule is 4 day on 3 days off -   12 hour days at the REP</t>
  </si>
  <si>
    <t>Schedule is 4 day on 3 days off -   12 hour days  at Carbon Black facility</t>
  </si>
  <si>
    <t>Male</t>
  </si>
  <si>
    <t>Female</t>
  </si>
  <si>
    <t>Djbouiti</t>
  </si>
  <si>
    <t>Onsite PA</t>
  </si>
  <si>
    <t>Average DJB Salary</t>
  </si>
  <si>
    <t>Female Salary</t>
  </si>
  <si>
    <t>DJB Salary</t>
  </si>
  <si>
    <t>Total Salary</t>
  </si>
  <si>
    <t xml:space="preserve">Average </t>
  </si>
  <si>
    <t>Hourly Rate based on 2080</t>
  </si>
  <si>
    <t>#</t>
  </si>
  <si>
    <t>Worksheet Name</t>
  </si>
  <si>
    <t>Glossary of Worksheets</t>
  </si>
  <si>
    <t>graphs</t>
  </si>
  <si>
    <t>Summary</t>
  </si>
  <si>
    <t>Data Sources</t>
  </si>
  <si>
    <t>Inputs</t>
  </si>
  <si>
    <t>Project Equity</t>
  </si>
  <si>
    <t>CapEx</t>
  </si>
  <si>
    <t>Financials Yearly</t>
  </si>
  <si>
    <t>Quarterly</t>
  </si>
  <si>
    <t xml:space="preserve">Financials  </t>
  </si>
  <si>
    <t>Capital Contributions</t>
  </si>
  <si>
    <t>Power Production</t>
  </si>
  <si>
    <t>Calc Summary</t>
  </si>
  <si>
    <t>Stage 1 Mass Balance</t>
  </si>
  <si>
    <t>Stage 2 Mass Balance</t>
  </si>
  <si>
    <t>Stage 3 Power Option</t>
  </si>
  <si>
    <t>Stage 3 Gas Option</t>
  </si>
  <si>
    <t>RDF Makeup</t>
  </si>
  <si>
    <t>TDF Makeup</t>
  </si>
  <si>
    <t>NPV IRR</t>
  </si>
  <si>
    <t>Emp Labor Cost</t>
  </si>
  <si>
    <t>Benefit Costs</t>
  </si>
  <si>
    <t>Job Descriptions</t>
  </si>
  <si>
    <t>provides various graphs based on the calculated data</t>
  </si>
  <si>
    <t>Provides the summary of the calculations to include the IRR.</t>
  </si>
  <si>
    <t>All inputs to the model are located on this worksheet.   This is where you change items.</t>
  </si>
  <si>
    <t>CREC  Equity</t>
  </si>
  <si>
    <t>Assumes the CREC ownership and other partners equity then shows the equity flows out of the project</t>
  </si>
  <si>
    <t>Takes the monthly calculations in Financial worksheet and rolls it up to yearly values.</t>
  </si>
  <si>
    <t>Takes the monthly calculations in Financial worksheet and rolls it up to quarterly values.</t>
  </si>
  <si>
    <t>Calculates the monthly revenue and expenses for the project over 25 years</t>
  </si>
  <si>
    <t>Shows the loans and interest rates and then does the draw downs and repayments back calculations</t>
  </si>
  <si>
    <t xml:space="preserve">Engineering worksheet that sets the number of hours equipment is operating vice being offline for maintenance per day.   We assume 5 hours of maintenance per day as our standard. </t>
  </si>
  <si>
    <t>Financial</t>
  </si>
  <si>
    <t>Engineering</t>
  </si>
  <si>
    <t>Mass balance calculations through Stage 2 to yield syngas produced</t>
  </si>
  <si>
    <t>Shows the MSW makeup and energy per each material type.</t>
  </si>
  <si>
    <t>Shows the Tire makeup and energy per each material type.</t>
  </si>
  <si>
    <t>Net Present Value worksheet</t>
  </si>
  <si>
    <t xml:space="preserve">Lists the employees and their salaries  </t>
  </si>
  <si>
    <t>Cost to provide benefits to the employees</t>
  </si>
  <si>
    <t>Description of each job type</t>
  </si>
  <si>
    <t>Plant Salaries</t>
  </si>
  <si>
    <t>Salaries plus taxes and benefits rolled up into this table</t>
  </si>
  <si>
    <t>This model is an interactive model.   Text in blue are hardcoded values and their origin is stated with a website link.   All black text are formulas.  Do not change the formulas.   All worksheets are interconnected.</t>
  </si>
  <si>
    <t xml:space="preserve">Reads the Data sources values and calculates the yearly and monthly values </t>
  </si>
  <si>
    <t>Takes data from the Stage 3 power production worksheet and builds the data sets for hourly and yearly values</t>
  </si>
  <si>
    <t>Mass balance calculations and percent loss of moisture and material through Stage 1</t>
  </si>
  <si>
    <t>Mass balance calculations through Stage 3 to show power produced if power option is chosen</t>
  </si>
  <si>
    <t>Mass balance calculations through Stage 3 to show power produced if gas option is chosen</t>
  </si>
  <si>
    <t>Note:  Saves of the model goes through a iterative process of updated tables so wait for the end of the save to complete before looking at IRR</t>
  </si>
  <si>
    <t>Graphene</t>
  </si>
  <si>
    <t>Confidence Factor</t>
  </si>
  <si>
    <t>https://www.alibaba.com/product-detail/High-Quality-Graphene-Powder-Nanoscale-Graphene_1600768680095.html?spm=a2700.7735675.0.0.4a7d0voQ0voQof&amp;s=p</t>
  </si>
  <si>
    <t>Graphene Switch</t>
  </si>
  <si>
    <t>Y says we will produce graphene</t>
  </si>
  <si>
    <t>RNG Switch</t>
  </si>
  <si>
    <t>N</t>
  </si>
  <si>
    <t>N says we will produce electric  Y says we will produce RNG</t>
  </si>
  <si>
    <t>Graphene reduction in Carbon Black</t>
  </si>
  <si>
    <t>percent of graphene produced from the carbon black less some loss in production</t>
  </si>
  <si>
    <t>Average in  waste stream</t>
  </si>
  <si>
    <t>These graphs are based on the full 25 year projections</t>
  </si>
  <si>
    <t>These graphs are based on the 10 years of operation</t>
  </si>
  <si>
    <t>Revenue Stream Breakout for 10 years</t>
  </si>
  <si>
    <t>10 Year Revenue and Expense</t>
  </si>
  <si>
    <t>Building</t>
  </si>
  <si>
    <t>Graphene Cost Estimate (Will be refined more after lab testing</t>
  </si>
  <si>
    <t>Rough Estimate</t>
  </si>
  <si>
    <t xml:space="preserve">RNG Cost Estimate </t>
  </si>
  <si>
    <t>Clean Up Skid</t>
  </si>
  <si>
    <t>Y</t>
  </si>
  <si>
    <t>DSRA Draw Down</t>
  </si>
  <si>
    <t>Equity Draw Down</t>
  </si>
  <si>
    <t>Equity + DSRA</t>
  </si>
  <si>
    <t xml:space="preserve">Construction Loan </t>
  </si>
  <si>
    <t>DSRA</t>
  </si>
  <si>
    <t>No but this is a minimal cost.  Captured in Installation %  4 flairs utilized for safety</t>
  </si>
  <si>
    <t>No.  Once tank sized and pressure between ARTI and Solar for the tank is agreed to then price will be determined.  Cost is part of installation % at bottom.  gas storage for 4 hours of run time on 1 titan 130 turbine</t>
  </si>
  <si>
    <t xml:space="preserve">No.  Cost is part of installation % at bottom.  In this instance we are discussing if should just utilize a tanker truck on site or a permanent tank sized at 7000 gal a day </t>
  </si>
  <si>
    <t xml:space="preserve">No.  Cost is part of installation % at bottom.  RO to clean up water created in pyrolysis process </t>
  </si>
  <si>
    <t>Vendor price</t>
  </si>
  <si>
    <t>Country Purchase</t>
  </si>
  <si>
    <t>USA</t>
  </si>
  <si>
    <t>NC, USA</t>
  </si>
  <si>
    <t>Finland</t>
  </si>
  <si>
    <t>FL, USA</t>
  </si>
  <si>
    <t>CA, USA</t>
  </si>
  <si>
    <t>Germany</t>
  </si>
  <si>
    <t>Mechanical and Electrical installation</t>
  </si>
  <si>
    <t>TX, USA</t>
  </si>
  <si>
    <t>NM, USA</t>
  </si>
  <si>
    <t>Graphene Processing building</t>
  </si>
  <si>
    <t>Djibouti</t>
  </si>
  <si>
    <t>CO, USA</t>
  </si>
  <si>
    <t>Tire Only Processing</t>
  </si>
  <si>
    <t>Tires Only Switch</t>
  </si>
  <si>
    <t>N says we will process both tires and MSW and Y means only tires and no MSW is processed for the entire facility</t>
  </si>
  <si>
    <t>Draw Down schedule for equipment purchase</t>
  </si>
  <si>
    <t>Upon order</t>
  </si>
  <si>
    <t>Delivered and installed</t>
  </si>
  <si>
    <t>Complete before shipment</t>
  </si>
  <si>
    <t>Cash Draw Down Schedule</t>
  </si>
  <si>
    <t>Shows the drawdown schedule for the project on engineering and also the equipment ordering</t>
  </si>
  <si>
    <t>westerial ws2-2000 filter house</t>
  </si>
  <si>
    <t>Pipeline to connect</t>
  </si>
  <si>
    <r>
      <t xml:space="preserve">Tire Only Processing column flag is whether the equipment would be used for a tire only facility.  This provides only a high level assumption.  Design would be required to solidify the numbers.  </t>
    </r>
    <r>
      <rPr>
        <sz val="10"/>
        <color rgb="FFFF0000"/>
        <rFont val="Arial"/>
        <family val="2"/>
      </rPr>
      <t>Also the MSW value in Data Sources needs to be set to "0"</t>
    </r>
  </si>
  <si>
    <t>Country Origin</t>
  </si>
  <si>
    <t>under construction</t>
  </si>
  <si>
    <t>OVD delivers every day even on holidays</t>
  </si>
  <si>
    <t>How much electricity do you desire</t>
  </si>
  <si>
    <t>set aside for plant maintenance and equipment repair</t>
  </si>
  <si>
    <t>Max maintenance fund value</t>
  </si>
  <si>
    <t>Take the market price and reduce the value by this for market fluctuations.  Ex 100% but we assume 85% in case of price changes</t>
  </si>
  <si>
    <t>If we produce graphene we lose some of our carbon black yield.  This value reflects what we will retain</t>
  </si>
  <si>
    <t>Based on Power Production Worksheet.  Parasitic load will fluctuate so assumed the highest parasitic load value</t>
  </si>
  <si>
    <t>Provides the equipment and engineering costs plus management reserve for the project.  It also shows country origins of the equipment</t>
  </si>
  <si>
    <t>Lead Time in Months</t>
  </si>
  <si>
    <t>Holland</t>
  </si>
  <si>
    <t>NE, USA</t>
  </si>
  <si>
    <t>Value by Country amount on orgin amount</t>
  </si>
  <si>
    <t>Vendor</t>
  </si>
  <si>
    <t>Drawdown</t>
  </si>
  <si>
    <t>Running Balance</t>
  </si>
  <si>
    <t>Kit group</t>
  </si>
  <si>
    <t>Items</t>
  </si>
  <si>
    <t xml:space="preserve">Stage 1 MRF </t>
  </si>
  <si>
    <t xml:space="preserve">Efactor 3 </t>
  </si>
  <si>
    <t>Ventilex</t>
  </si>
  <si>
    <t>Dryer</t>
  </si>
  <si>
    <t xml:space="preserve">Eagle </t>
  </si>
  <si>
    <t>OTR Tire cutters</t>
  </si>
  <si>
    <t>Columbus McKinnon</t>
  </si>
  <si>
    <t>Tires</t>
  </si>
  <si>
    <t>ARTI</t>
  </si>
  <si>
    <t>Turbines and cleanup skids</t>
  </si>
  <si>
    <t>Nucor</t>
  </si>
  <si>
    <t xml:space="preserve">Buildings </t>
  </si>
  <si>
    <t>Engineering support</t>
  </si>
  <si>
    <t>for unforeseen costs or overruns</t>
  </si>
  <si>
    <t>Procurement fees on ordering the equipment</t>
  </si>
  <si>
    <t>Process Baron</t>
  </si>
  <si>
    <t>Silos</t>
  </si>
  <si>
    <t>cranes, trucks, forklifts</t>
  </si>
  <si>
    <t xml:space="preserve">Miscellaneous </t>
  </si>
  <si>
    <t xml:space="preserve">Will show the drawdown schedule here. </t>
  </si>
  <si>
    <t>Warren n Baerg</t>
  </si>
  <si>
    <t>Pelletizers and conveyors</t>
  </si>
  <si>
    <t>pyrolysis units and cleanup skids</t>
  </si>
  <si>
    <t>Steam plant and switchgear</t>
  </si>
  <si>
    <t>Oil Refinery</t>
  </si>
  <si>
    <t>COTS</t>
  </si>
  <si>
    <t>Carbon Black refinery</t>
  </si>
  <si>
    <t>Integration of equipment starts</t>
  </si>
  <si>
    <t>Construction</t>
  </si>
  <si>
    <t>Cuber for MSW  Warren n Baerg</t>
  </si>
  <si>
    <t>CAPEX</t>
  </si>
  <si>
    <t>CheckSum</t>
  </si>
  <si>
    <t>Byproduct production crew</t>
  </si>
  <si>
    <t xml:space="preserve">CREC Top-CO Procurement Fee </t>
  </si>
  <si>
    <t>This speadsheet covers all insuarnce costs</t>
  </si>
  <si>
    <t>Insurance</t>
  </si>
  <si>
    <t>Factor</t>
  </si>
  <si>
    <t>Fire</t>
  </si>
  <si>
    <t>Liability</t>
  </si>
  <si>
    <t>Dierctors Insurance</t>
  </si>
  <si>
    <t>Keyman insurance</t>
  </si>
  <si>
    <t>All insurance for the plant and risks</t>
  </si>
  <si>
    <t xml:space="preserve">Summation of Techincal and Political Risks and also Keyman, fire, liability etc. </t>
  </si>
  <si>
    <t>Cost to cover</t>
  </si>
  <si>
    <t>Technical Risk insurance</t>
  </si>
  <si>
    <t>Technical risk policy guarantying the loan</t>
  </si>
  <si>
    <t>Political  risk policy guarantying the loan</t>
  </si>
  <si>
    <t>Covers insuarnce costs for MIGA and technical Risk insurance</t>
  </si>
  <si>
    <t xml:space="preserve">
ARTI pyrolysis units Phase A test results at our temperature yields 20%.   Example Calculation is 110 metric tons of tires in 15% of that is steel so 110*.15= 16.5 metric tons steel  leaving 93.5 for tire fuel.  93.5 * .2 makes 18.7 metric tons of oil.   The material has a density of 52.27 lbs. per cubic foot so  now 18.7metric tons * 2204/52.27 = 788.50 cubic feet of oil which has is 7.48 gals in a cubic foot.  So 788.5*7.48=5,897.97 gals/day.    </t>
  </si>
  <si>
    <t>Month to get online</t>
  </si>
  <si>
    <t>How long from start of construction to operations</t>
  </si>
  <si>
    <t>We rent the land</t>
  </si>
  <si>
    <t>MIGA Debt insurance</t>
  </si>
  <si>
    <t>MIGA Equity insurance</t>
  </si>
  <si>
    <t>https://www.lme.com/Metals/Non-ferrous#tabIndex=0  (copper, aluminium, zinc, Nickel, lead</t>
  </si>
  <si>
    <t xml:space="preserve">Activated Carbon Ash </t>
  </si>
  <si>
    <t xml:space="preserve"> https://www.engr.psu.edu/ce/courses/ce584/concrete/library/materials/Altmaterials/Class%20C%20Fly%20Ash.htm
activated carbon pricing is over $1,100 a MT https://www.procurementresource.com/resource-center/activated-carbon-price-trends </t>
  </si>
  <si>
    <t>Revenue vs EBITDA</t>
  </si>
  <si>
    <t>Ferrous and non-ferrous metals</t>
  </si>
  <si>
    <t>Tire Steel</t>
  </si>
  <si>
    <t>Revnue Composition</t>
  </si>
  <si>
    <t>Electricty</t>
  </si>
  <si>
    <t>Carbon Black</t>
  </si>
  <si>
    <t>Activated Carbon</t>
  </si>
  <si>
    <t>Ferrous</t>
  </si>
  <si>
    <t>Non-ferrous</t>
  </si>
  <si>
    <t>OpEX</t>
  </si>
  <si>
    <t>Employee</t>
  </si>
  <si>
    <t>O&amp;M</t>
  </si>
  <si>
    <t>Debt Profile</t>
  </si>
  <si>
    <t>Outstanding Debt</t>
  </si>
  <si>
    <t>Byproducts Volume per Year in MT</t>
  </si>
  <si>
    <t>Steel</t>
  </si>
  <si>
    <t>Front End Loader / Telehenadler and Container lifts</t>
  </si>
  <si>
    <t>Bitcoin Equipment</t>
  </si>
  <si>
    <t>Bitcoin HW power usage reduces output by 10 MWh</t>
  </si>
  <si>
    <t>https://www.lme.com/Metals/Ferrous/Steel-Scrap#tabIndex=0;  Current contract is at $200 MT</t>
  </si>
  <si>
    <t>3/10/2025 updated</t>
  </si>
  <si>
    <t>3/17/2025 updated price went from $6.9M to $11.5M checking On Seimens price</t>
  </si>
  <si>
    <t>Solar T70 startup turbine  (7.9 MWh)</t>
  </si>
  <si>
    <t>New price is $5.3M increase of $1.9M was 3.2M</t>
  </si>
  <si>
    <t>OVD Fee for exporting</t>
  </si>
  <si>
    <t>DJB Law requires OVD to approve all sjhipments of metals  we have signed contract at 30%  for right to ship out of the country.</t>
  </si>
  <si>
    <t>Transfer Station Lead - Obock</t>
  </si>
  <si>
    <t>Transfer Station Lead - Arta</t>
  </si>
  <si>
    <t>Transfer Station Lead - Tadjourah</t>
  </si>
  <si>
    <t>Transfer Station Lead - Dikhil</t>
  </si>
  <si>
    <t>Transfer Station Support - Arta</t>
  </si>
  <si>
    <t>Transfer Station Support - Ali Sabieh</t>
  </si>
  <si>
    <t>Transfer Station Lead - Ali Sabieh</t>
  </si>
  <si>
    <t>Transfer Station Support - Dikhil</t>
  </si>
  <si>
    <t>Transfer Station Support - Obock</t>
  </si>
  <si>
    <t>Transfer Station Support - Tadjourah</t>
  </si>
  <si>
    <t>Siemens STG400 Turbine dual fuel  (13 MWH)</t>
  </si>
  <si>
    <t>Siemens  Turbine</t>
  </si>
  <si>
    <t>CNSS Monthly</t>
  </si>
  <si>
    <t>CNSS &amp; Medicare Monthly</t>
  </si>
  <si>
    <t>Turbine Delivery Estimate</t>
  </si>
  <si>
    <t>Months to deliver turbine after order placed</t>
  </si>
  <si>
    <t>Turbine delivery</t>
  </si>
  <si>
    <t>UK</t>
  </si>
  <si>
    <t>CAPEX by Country</t>
  </si>
  <si>
    <t>India</t>
  </si>
  <si>
    <t>5 Year projection charts</t>
  </si>
  <si>
    <t>Power Revenue</t>
  </si>
  <si>
    <t>ByProduct Revenue</t>
  </si>
  <si>
    <t>By Product Percentage</t>
  </si>
  <si>
    <t>Environmental Data</t>
  </si>
  <si>
    <t xml:space="preserve">Virgin Product Generation </t>
  </si>
  <si>
    <t>CO2 Savings per year in MT</t>
  </si>
  <si>
    <t>Carbon Dioxide (CO2)</t>
  </si>
  <si>
    <t>Carbon Monoxide (CO)</t>
  </si>
  <si>
    <t>Particulate Mater (PM10)</t>
  </si>
  <si>
    <t>Dioxins/Furans (TEQ)</t>
  </si>
  <si>
    <t>Volitale Organic Compounds (VOC)</t>
  </si>
  <si>
    <t>Methane (CH4)</t>
  </si>
  <si>
    <t>Nitrogen Oxides (Nox)</t>
  </si>
  <si>
    <t>Sulfur Dioxide (SO2)</t>
  </si>
  <si>
    <t>Heavy Metals</t>
  </si>
  <si>
    <t>Pollutant</t>
  </si>
  <si>
    <t>KG a ton of MSW</t>
  </si>
  <si>
    <t>DJB 550MT burned</t>
  </si>
  <si>
    <t>Savings by eliminating burn pit</t>
  </si>
  <si>
    <t>CREC Internal Document Only</t>
  </si>
  <si>
    <t>Figures in $million's</t>
  </si>
  <si>
    <t>Founders</t>
  </si>
  <si>
    <t>First Round</t>
  </si>
  <si>
    <t>Second Round</t>
  </si>
  <si>
    <t>CREC</t>
  </si>
  <si>
    <t xml:space="preserve">First Round </t>
  </si>
  <si>
    <t xml:space="preserve">Second Round </t>
  </si>
  <si>
    <t>Valuation Uplift</t>
  </si>
  <si>
    <t>Premoney Valuation Equity</t>
  </si>
  <si>
    <t>Postmoney Valuation Equity</t>
  </si>
  <si>
    <t>One Equity Provider</t>
  </si>
  <si>
    <t>One Equity raise</t>
  </si>
  <si>
    <t>Retain for operations</t>
  </si>
  <si>
    <t>CREC projected distribution</t>
  </si>
  <si>
    <t>Equity Funder Projected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</si>
</sst>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_-* #,##0_-;\-* #,##0_-;_-* &quot;-&quot;_-;_-@_-"/>
    <numFmt numFmtId="165" formatCode="0.0%"/>
    <numFmt numFmtId="166" formatCode="m/d/yy;@"/>
    <numFmt numFmtId="167" formatCode="&quot;$&quot;#,##0.0,,_);\(&quot;$&quot;#,##0.0,,\)"/>
    <numFmt numFmtId="168" formatCode="&quot;$&quot;#,##0.00"/>
    <numFmt numFmtId="169" formatCode="&quot;$&quot;#,##0"/>
    <numFmt numFmtId="170" formatCode="0.000"/>
    <numFmt numFmtId="171" formatCode="_(&quot;$&quot;* #,##0_);_(&quot;$&quot;* \(#,##0\);_(&quot;$&quot;* &quot;-&quot;??_);_(@_)"/>
    <numFmt numFmtId="172" formatCode="0.000%"/>
    <numFmt numFmtId="173" formatCode="_(* #,##0_);_(* \(#,##0\);_(* &quot;-&quot;??_);_(@_)"/>
    <numFmt numFmtId="174" formatCode="0.0000"/>
    <numFmt numFmtId="175" formatCode="0.0"/>
    <numFmt numFmtId="176" formatCode="_(* #,##0.0000_);_(* \(#,##0.0000\);_(* &quot;-&quot;????_);_(@_)"/>
  </numFmts>
  <fonts count="84" x14ac:knownFonts="1">
    <font>
      <sz val="11"/>
      <color theme="1"/>
      <name val="Calibri"/>
      <family val="2"/>
      <scheme val="minor"/>
    </font>
    <font>
      <sz val="11"/>
      <color theme="1"/>
      <name val="Calibri"/>
      <family val="2"/>
      <scheme val="minor"/>
    </font>
    <font>
      <sz val="12"/>
      <color theme="1"/>
      <name val="Calibri"/>
      <family val="2"/>
      <scheme val="minor"/>
    </font>
    <font>
      <b/>
      <sz val="10"/>
      <color theme="1"/>
      <name val="Arial"/>
      <family val="2"/>
    </font>
    <font>
      <sz val="10"/>
      <color theme="1"/>
      <name val="Arial"/>
      <family val="2"/>
    </font>
    <font>
      <i/>
      <sz val="10"/>
      <color theme="1"/>
      <name val="Arial"/>
      <family val="2"/>
    </font>
    <font>
      <b/>
      <sz val="10"/>
      <color theme="0"/>
      <name val="Arial"/>
      <family val="2"/>
    </font>
    <font>
      <sz val="10"/>
      <color rgb="FF0000FF"/>
      <name val="Arial"/>
      <family val="2"/>
    </font>
    <font>
      <sz val="10"/>
      <color theme="0"/>
      <name val="Arial"/>
      <family val="2"/>
    </font>
    <font>
      <b/>
      <i/>
      <sz val="10"/>
      <color theme="1"/>
      <name val="Arial"/>
      <family val="2"/>
    </font>
    <font>
      <sz val="10"/>
      <name val="Arial"/>
      <family val="2"/>
    </font>
    <font>
      <b/>
      <sz val="10"/>
      <name val="Arial"/>
      <family val="2"/>
    </font>
    <font>
      <b/>
      <sz val="10"/>
      <color rgb="FF2C3449"/>
      <name val="Arial"/>
      <family val="2"/>
    </font>
    <font>
      <sz val="11"/>
      <color theme="0"/>
      <name val="Arial"/>
      <family val="2"/>
    </font>
    <font>
      <sz val="11"/>
      <color theme="1"/>
      <name val="Arial"/>
      <family val="2"/>
    </font>
    <font>
      <sz val="11"/>
      <color rgb="FF0000FF"/>
      <name val="Arial"/>
      <family val="2"/>
    </font>
    <font>
      <b/>
      <sz val="11"/>
      <color theme="1"/>
      <name val="Arial"/>
      <family val="2"/>
    </font>
    <font>
      <b/>
      <i/>
      <sz val="11"/>
      <color theme="0"/>
      <name val="Arial"/>
      <family val="2"/>
    </font>
    <font>
      <b/>
      <sz val="11"/>
      <color theme="0"/>
      <name val="Arial"/>
      <family val="2"/>
    </font>
    <font>
      <b/>
      <i/>
      <sz val="11"/>
      <color theme="1"/>
      <name val="Arial"/>
      <family val="2"/>
    </font>
    <font>
      <b/>
      <sz val="11"/>
      <color theme="1"/>
      <name val="Calibri"/>
      <family val="2"/>
      <scheme val="minor"/>
    </font>
    <font>
      <sz val="9"/>
      <name val="Arial"/>
      <family val="2"/>
    </font>
    <font>
      <sz val="11"/>
      <color theme="4"/>
      <name val="Calibri"/>
      <family val="2"/>
      <scheme val="minor"/>
    </font>
    <font>
      <b/>
      <sz val="11"/>
      <color theme="4"/>
      <name val="Calibri"/>
      <family val="2"/>
      <scheme val="minor"/>
    </font>
    <font>
      <b/>
      <sz val="11"/>
      <color theme="4" tint="-0.249977111117893"/>
      <name val="Calibri"/>
      <family val="2"/>
      <scheme val="minor"/>
    </font>
    <font>
      <u/>
      <sz val="11"/>
      <color theme="10"/>
      <name val="Calibri"/>
      <family val="2"/>
      <scheme val="minor"/>
    </font>
    <font>
      <b/>
      <sz val="16"/>
      <color theme="1"/>
      <name val="Calibri"/>
      <family val="2"/>
      <scheme val="minor"/>
    </font>
    <font>
      <b/>
      <sz val="18"/>
      <color theme="1"/>
      <name val="Calibri"/>
      <family val="2"/>
      <scheme val="minor"/>
    </font>
    <font>
      <i/>
      <sz val="10"/>
      <color rgb="FF0000FF"/>
      <name val="Arial"/>
      <family val="2"/>
    </font>
    <font>
      <sz val="11"/>
      <color rgb="FF0000FF"/>
      <name val="Calibri"/>
      <family val="2"/>
      <scheme val="minor"/>
    </font>
    <font>
      <sz val="11"/>
      <name val="Calibri"/>
      <family val="2"/>
      <scheme val="minor"/>
    </font>
    <font>
      <b/>
      <sz val="26"/>
      <color theme="1"/>
      <name val="Calibri"/>
      <family val="2"/>
      <scheme val="minor"/>
    </font>
    <font>
      <b/>
      <sz val="12"/>
      <name val="Arial"/>
      <family val="2"/>
    </font>
    <font>
      <sz val="10"/>
      <color theme="4"/>
      <name val="Arial"/>
      <family val="2"/>
    </font>
    <font>
      <b/>
      <sz val="10"/>
      <color theme="4"/>
      <name val="Arial"/>
      <family val="2"/>
    </font>
    <font>
      <b/>
      <u/>
      <sz val="14"/>
      <color theme="1"/>
      <name val="Calibri"/>
      <family val="2"/>
      <scheme val="minor"/>
    </font>
    <font>
      <b/>
      <u/>
      <sz val="12"/>
      <color theme="1"/>
      <name val="Calibri"/>
      <family val="2"/>
      <scheme val="minor"/>
    </font>
    <font>
      <sz val="12"/>
      <color indexed="8"/>
      <name val="Times New Roman"/>
      <family val="2"/>
    </font>
    <font>
      <b/>
      <sz val="12"/>
      <color theme="1"/>
      <name val="Calibri"/>
      <family val="2"/>
      <scheme val="minor"/>
    </font>
    <font>
      <b/>
      <sz val="12"/>
      <color rgb="FF000000"/>
      <name val="Calibri"/>
      <family val="2"/>
      <scheme val="minor"/>
    </font>
    <font>
      <b/>
      <u/>
      <sz val="11"/>
      <name val="Arial"/>
      <family val="2"/>
    </font>
    <font>
      <b/>
      <sz val="12"/>
      <name val="Calibri"/>
      <family val="2"/>
      <scheme val="minor"/>
    </font>
    <font>
      <b/>
      <u/>
      <sz val="11"/>
      <color theme="1"/>
      <name val="Calibri"/>
      <family val="2"/>
      <scheme val="minor"/>
    </font>
    <font>
      <b/>
      <sz val="12"/>
      <color theme="1"/>
      <name val="Times New Roman"/>
      <family val="2"/>
    </font>
    <font>
      <b/>
      <sz val="12"/>
      <color rgb="FF000000"/>
      <name val="Times New Roman"/>
      <family val="2"/>
    </font>
    <font>
      <b/>
      <sz val="10"/>
      <color indexed="81"/>
      <name val="Tahoma"/>
      <family val="2"/>
    </font>
    <font>
      <sz val="8"/>
      <color indexed="81"/>
      <name val="Tahoma"/>
      <family val="2"/>
    </font>
    <font>
      <b/>
      <sz val="12"/>
      <color theme="1"/>
      <name val="Century Gothic"/>
      <family val="2"/>
    </font>
    <font>
      <sz val="12"/>
      <color theme="1"/>
      <name val="Century Gothic"/>
      <family val="2"/>
    </font>
    <font>
      <sz val="12"/>
      <color rgb="FFFF0000"/>
      <name val="Century Gothic"/>
      <family val="2"/>
    </font>
    <font>
      <sz val="9"/>
      <color indexed="81"/>
      <name val="Tahoma"/>
      <family val="2"/>
    </font>
    <font>
      <b/>
      <sz val="9"/>
      <color indexed="81"/>
      <name val="Tahoma"/>
      <family val="2"/>
    </font>
    <font>
      <b/>
      <sz val="14"/>
      <color theme="1"/>
      <name val="Calibri"/>
      <family val="2"/>
      <scheme val="minor"/>
    </font>
    <font>
      <b/>
      <sz val="16"/>
      <color theme="1"/>
      <name val="Times New Roman"/>
      <family val="1"/>
    </font>
    <font>
      <b/>
      <sz val="12"/>
      <color theme="1"/>
      <name val="Times New Roman"/>
      <family val="1"/>
    </font>
    <font>
      <b/>
      <u/>
      <sz val="12"/>
      <color theme="4"/>
      <name val="Calibri"/>
      <family val="2"/>
      <scheme val="minor"/>
    </font>
    <font>
      <b/>
      <sz val="12"/>
      <color theme="4"/>
      <name val="Calibri"/>
      <family val="2"/>
      <scheme val="minor"/>
    </font>
    <font>
      <sz val="12"/>
      <name val="Times New Roman"/>
      <family val="2"/>
    </font>
    <font>
      <b/>
      <sz val="12"/>
      <color theme="4"/>
      <name val="Century Gothic"/>
      <family val="2"/>
    </font>
    <font>
      <sz val="12"/>
      <name val="Century Gothic"/>
      <family val="2"/>
    </font>
    <font>
      <b/>
      <sz val="12"/>
      <name val="Times New Roman"/>
      <family val="2"/>
    </font>
    <font>
      <sz val="12"/>
      <name val="Calibri"/>
      <family val="2"/>
      <scheme val="minor"/>
    </font>
    <font>
      <b/>
      <sz val="11"/>
      <color theme="1"/>
      <name val="Calibri"/>
      <family val="2"/>
    </font>
    <font>
      <b/>
      <i/>
      <sz val="11"/>
      <color theme="4"/>
      <name val="Calibri"/>
      <family val="2"/>
    </font>
    <font>
      <sz val="11"/>
      <color theme="1"/>
      <name val="Calibri"/>
      <family val="2"/>
    </font>
    <font>
      <b/>
      <sz val="11"/>
      <color theme="4" tint="-0.249977111117893"/>
      <name val="Calibri"/>
      <family val="2"/>
    </font>
    <font>
      <i/>
      <sz val="10"/>
      <color theme="1"/>
      <name val="Calibri"/>
      <family val="2"/>
    </font>
    <font>
      <b/>
      <sz val="11"/>
      <color theme="4"/>
      <name val="Calibri"/>
      <family val="2"/>
    </font>
    <font>
      <u/>
      <sz val="11"/>
      <color theme="10"/>
      <name val="Calibri"/>
      <family val="2"/>
    </font>
    <font>
      <sz val="10"/>
      <color rgb="FF0000FF"/>
      <name val="Calibri"/>
      <family val="2"/>
    </font>
    <font>
      <sz val="11"/>
      <name val="Calibri"/>
      <family val="2"/>
    </font>
    <font>
      <b/>
      <i/>
      <sz val="11"/>
      <color theme="1"/>
      <name val="Calibri"/>
      <family val="2"/>
    </font>
    <font>
      <b/>
      <sz val="11"/>
      <name val="Calibri"/>
      <family val="2"/>
    </font>
    <font>
      <sz val="10"/>
      <color theme="1"/>
      <name val="Calibri"/>
      <family val="2"/>
    </font>
    <font>
      <b/>
      <i/>
      <sz val="11"/>
      <name val="Calibri"/>
      <family val="2"/>
    </font>
    <font>
      <b/>
      <sz val="14"/>
      <color rgb="FF000000"/>
      <name val="Calibri"/>
      <family val="2"/>
    </font>
    <font>
      <b/>
      <sz val="11"/>
      <color rgb="FF000000"/>
      <name val="Calibri"/>
      <family val="2"/>
    </font>
    <font>
      <sz val="11"/>
      <color theme="4"/>
      <name val="Calibri"/>
      <family val="2"/>
    </font>
    <font>
      <b/>
      <sz val="10"/>
      <color theme="4"/>
      <name val="Calibri"/>
      <family val="2"/>
    </font>
    <font>
      <sz val="10"/>
      <color rgb="FFFF0000"/>
      <name val="Arial"/>
      <family val="2"/>
    </font>
    <font>
      <b/>
      <sz val="11"/>
      <name val="Calibri"/>
      <family val="2"/>
      <scheme val="minor"/>
    </font>
    <font>
      <sz val="11"/>
      <color theme="4" tint="-0.249977111117893"/>
      <name val="Calibri"/>
      <family val="2"/>
      <scheme val="minor"/>
    </font>
    <font>
      <b/>
      <sz val="11"/>
      <color rgb="FFFF0000"/>
      <name val="Calibri"/>
      <family val="2"/>
      <scheme val="minor"/>
    </font>
    <font>
      <b/>
      <sz val="11"/>
      <color theme="3" tint="0.249977111117893"/>
      <name val="Calibri"/>
      <family val="2"/>
      <scheme val="minor"/>
    </font>
  </fonts>
  <fills count="51">
    <fill>
      <patternFill patternType="none"/>
    </fill>
    <fill>
      <patternFill patternType="gray125"/>
    </fill>
    <fill>
      <patternFill patternType="solid">
        <fgColor rgb="FF2C3449"/>
        <bgColor indexed="64"/>
      </patternFill>
    </fill>
    <fill>
      <patternFill patternType="solid">
        <fgColor theme="0" tint="-0.14999847407452621"/>
        <bgColor indexed="64"/>
      </patternFill>
    </fill>
    <fill>
      <patternFill patternType="solid">
        <fgColor rgb="FFE6D261"/>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5"/>
        <bgColor indexed="64"/>
      </patternFill>
    </fill>
    <fill>
      <patternFill patternType="solid">
        <fgColor theme="4" tint="0.39997558519241921"/>
        <bgColor indexed="64"/>
      </patternFill>
    </fill>
    <fill>
      <patternFill patternType="solid">
        <fgColor theme="2" tint="-9.9948118533890809E-2"/>
        <bgColor indexed="64"/>
      </patternFill>
    </fill>
    <fill>
      <patternFill patternType="solid">
        <fgColor theme="6" tint="0.59999389629810485"/>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indexed="41"/>
        <bgColor indexed="64"/>
      </patternFill>
    </fill>
    <fill>
      <patternFill patternType="solid">
        <fgColor indexed="47"/>
        <bgColor indexed="64"/>
      </patternFill>
    </fill>
    <fill>
      <patternFill patternType="solid">
        <fgColor theme="3" tint="0.79998168889431442"/>
        <bgColor indexed="64"/>
      </patternFill>
    </fill>
    <fill>
      <patternFill patternType="solid">
        <fgColor indexed="11"/>
        <bgColor indexed="64"/>
      </patternFill>
    </fill>
    <fill>
      <patternFill patternType="solid">
        <fgColor rgb="FF92D050"/>
        <bgColor indexed="64"/>
      </patternFill>
    </fill>
    <fill>
      <patternFill patternType="solid">
        <fgColor indexed="22"/>
        <bgColor indexed="64"/>
      </patternFill>
    </fill>
    <fill>
      <patternFill patternType="solid">
        <fgColor theme="0"/>
        <bgColor indexed="64"/>
      </patternFill>
    </fill>
    <fill>
      <patternFill patternType="solid">
        <fgColor indexed="42"/>
        <bgColor indexed="64"/>
      </patternFill>
    </fill>
    <fill>
      <patternFill patternType="solid">
        <fgColor indexed="43"/>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tint="-4.9989318521683403E-2"/>
        <bgColor rgb="FF000000"/>
      </patternFill>
    </fill>
    <fill>
      <patternFill patternType="solid">
        <fgColor theme="6" tint="0.79998168889431442"/>
        <bgColor rgb="FF000000"/>
      </patternFill>
    </fill>
    <fill>
      <patternFill patternType="solid">
        <fgColor rgb="FFFFC000"/>
        <bgColor rgb="FF000000"/>
      </patternFill>
    </fill>
    <fill>
      <patternFill patternType="solid">
        <fgColor rgb="FF00B0F0"/>
        <bgColor indexed="64"/>
      </patternFill>
    </fill>
    <fill>
      <patternFill patternType="solid">
        <fgColor theme="0"/>
        <bgColor rgb="FF000000"/>
      </patternFill>
    </fill>
    <fill>
      <patternFill patternType="solid">
        <fgColor rgb="FFFF33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1"/>
        <bgColor indexed="64"/>
      </patternFill>
    </fill>
    <fill>
      <patternFill patternType="solid">
        <fgColor rgb="FFFFF2CC"/>
        <bgColor rgb="FF000000"/>
      </patternFill>
    </fill>
    <fill>
      <patternFill patternType="solid">
        <fgColor rgb="FFE2EFDA"/>
        <bgColor rgb="FF000000"/>
      </patternFill>
    </fill>
    <fill>
      <patternFill patternType="solid">
        <fgColor theme="2"/>
        <bgColor indexed="64"/>
      </patternFill>
    </fill>
    <fill>
      <patternFill patternType="solid">
        <fgColor theme="4" tint="0.79998168889431442"/>
        <bgColor indexed="64"/>
      </patternFill>
    </fill>
    <fill>
      <patternFill patternType="solid">
        <fgColor theme="9" tint="0.59996337778862885"/>
        <bgColor indexed="64"/>
      </patternFill>
    </fill>
  </fills>
  <borders count="72">
    <border>
      <left/>
      <right/>
      <top/>
      <bottom/>
      <diagonal/>
    </border>
    <border>
      <left style="thin">
        <color theme="0"/>
      </left>
      <right style="thin">
        <color theme="0"/>
      </right>
      <top style="thin">
        <color theme="0"/>
      </top>
      <bottom style="thin">
        <color theme="0"/>
      </bottom>
      <diagonal/>
    </border>
    <border>
      <left/>
      <right/>
      <top style="thin">
        <color indexed="64"/>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thin">
        <color theme="1"/>
      </top>
      <bottom/>
      <diagonal/>
    </border>
    <border>
      <left/>
      <right/>
      <top style="thin">
        <color theme="1"/>
      </top>
      <bottom style="thin">
        <color theme="1"/>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top style="medium">
        <color auto="1"/>
      </top>
      <bottom/>
      <diagonal/>
    </border>
    <border>
      <left/>
      <right/>
      <top style="double">
        <color auto="1"/>
      </top>
      <bottom/>
      <diagonal/>
    </border>
    <border>
      <left style="thick">
        <color auto="1"/>
      </left>
      <right style="thick">
        <color auto="1"/>
      </right>
      <top style="thick">
        <color auto="1"/>
      </top>
      <bottom/>
      <diagonal/>
    </border>
    <border>
      <left style="thick">
        <color auto="1"/>
      </left>
      <right/>
      <top/>
      <bottom/>
      <diagonal/>
    </border>
    <border>
      <left style="thick">
        <color auto="1"/>
      </left>
      <right/>
      <top style="thick">
        <color auto="1"/>
      </top>
      <bottom/>
      <diagonal/>
    </border>
    <border>
      <left/>
      <right/>
      <top style="thick">
        <color auto="1"/>
      </top>
      <bottom/>
      <diagonal/>
    </border>
    <border>
      <left style="thick">
        <color auto="1"/>
      </left>
      <right style="thick">
        <color auto="1"/>
      </right>
      <top/>
      <bottom/>
      <diagonal/>
    </border>
    <border>
      <left style="thick">
        <color auto="1"/>
      </left>
      <right/>
      <top/>
      <bottom style="thick">
        <color auto="1"/>
      </bottom>
      <diagonal/>
    </border>
    <border>
      <left style="thick">
        <color auto="1"/>
      </left>
      <right style="thick">
        <color auto="1"/>
      </right>
      <top/>
      <bottom style="thick">
        <color auto="1"/>
      </bottom>
      <diagonal/>
    </border>
    <border>
      <left/>
      <right/>
      <top/>
      <bottom style="thick">
        <color auto="1"/>
      </bottom>
      <diagonal/>
    </border>
    <border>
      <left style="thin">
        <color auto="1"/>
      </left>
      <right style="thin">
        <color auto="1"/>
      </right>
      <top style="thin">
        <color auto="1"/>
      </top>
      <bottom/>
      <diagonal/>
    </border>
    <border>
      <left style="thin">
        <color indexed="64"/>
      </left>
      <right/>
      <top/>
      <bottom/>
      <diagonal/>
    </border>
    <border>
      <left style="thin">
        <color indexed="64"/>
      </left>
      <right/>
      <top style="double">
        <color indexed="64"/>
      </top>
      <bottom/>
      <diagonal/>
    </border>
    <border>
      <left style="thick">
        <color auto="1"/>
      </left>
      <right/>
      <top style="double">
        <color indexed="64"/>
      </top>
      <bottom/>
      <diagonal/>
    </border>
    <border>
      <left/>
      <right style="thin">
        <color indexed="64"/>
      </right>
      <top/>
      <bottom style="double">
        <color indexed="64"/>
      </bottom>
      <diagonal/>
    </border>
    <border>
      <left style="medium">
        <color indexed="64"/>
      </left>
      <right style="medium">
        <color indexed="64"/>
      </right>
      <top style="medium">
        <color indexed="64"/>
      </top>
      <bottom style="medium">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medium">
        <color theme="0" tint="-0.499984740745262"/>
      </bottom>
      <diagonal/>
    </border>
    <border>
      <left/>
      <right style="thin">
        <color theme="0" tint="-0.24994659260841701"/>
      </right>
      <top/>
      <bottom style="medium">
        <color theme="0" tint="-0.499984740745262"/>
      </bottom>
      <diagonal/>
    </border>
    <border>
      <left style="thin">
        <color theme="0" tint="-0.24994659260841701"/>
      </left>
      <right style="thin">
        <color theme="0" tint="-0.24994659260841701"/>
      </right>
      <top/>
      <bottom style="medium">
        <color theme="0" tint="-0.499984740745262"/>
      </bottom>
      <diagonal/>
    </border>
    <border>
      <left style="thin">
        <color theme="0" tint="-0.24994659260841701"/>
      </left>
      <right/>
      <top style="medium">
        <color theme="0" tint="-0.499984740745262"/>
      </top>
      <bottom style="thin">
        <color theme="0" tint="-0.24994659260841701"/>
      </bottom>
      <diagonal/>
    </border>
    <border>
      <left/>
      <right style="thin">
        <color theme="0" tint="-0.24994659260841701"/>
      </right>
      <top style="medium">
        <color theme="0" tint="-0.499984740745262"/>
      </top>
      <bottom style="thin">
        <color theme="0" tint="-0.24994659260841701"/>
      </bottom>
      <diagonal/>
    </border>
    <border>
      <left style="thin">
        <color theme="0" tint="-0.24994659260841701"/>
      </left>
      <right style="thin">
        <color theme="0" tint="-0.24994659260841701"/>
      </right>
      <top style="medium">
        <color theme="0" tint="-0.499984740745262"/>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right/>
      <top style="medium">
        <color theme="0" tint="-0.499984740745262"/>
      </top>
      <bottom style="thin">
        <color theme="0" tint="-0.24994659260841701"/>
      </bottom>
      <diagonal/>
    </border>
    <border>
      <left style="thin">
        <color theme="0" tint="-0.24994659260841701"/>
      </left>
      <right/>
      <top/>
      <bottom style="medium">
        <color theme="0" tint="-0.49998474074526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top style="thin">
        <color theme="0" tint="-0.24994659260841701"/>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auto="1"/>
      </left>
      <right style="thin">
        <color auto="1"/>
      </right>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right style="thick">
        <color auto="1"/>
      </right>
      <top/>
      <bottom/>
      <diagonal/>
    </border>
    <border>
      <left style="medium">
        <color auto="1"/>
      </left>
      <right/>
      <top style="medium">
        <color auto="1"/>
      </top>
      <bottom/>
      <diagonal/>
    </border>
    <border>
      <left/>
      <right style="thick">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thick">
        <color auto="1"/>
      </right>
      <top/>
      <bottom style="medium">
        <color auto="1"/>
      </bottom>
      <diagonal/>
    </border>
    <border>
      <left/>
      <right style="thick">
        <color auto="1"/>
      </right>
      <top/>
      <bottom style="thick">
        <color auto="1"/>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43" fontId="1" fillId="0" borderId="0" applyFont="0" applyFill="0" applyBorder="0" applyAlignment="0" applyProtection="0"/>
    <xf numFmtId="0" fontId="10" fillId="0" borderId="0">
      <alignment horizontal="left" wrapText="1"/>
    </xf>
    <xf numFmtId="0" fontId="25" fillId="0" borderId="0" applyNumberFormat="0" applyFill="0" applyBorder="0" applyAlignment="0" applyProtection="0"/>
    <xf numFmtId="0" fontId="37" fillId="0" borderId="0"/>
    <xf numFmtId="0" fontId="37" fillId="0" borderId="0"/>
    <xf numFmtId="9" fontId="37" fillId="0" borderId="0" applyFont="0" applyFill="0" applyBorder="0" applyAlignment="0" applyProtection="0"/>
    <xf numFmtId="0" fontId="37"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cellStyleXfs>
  <cellXfs count="940">
    <xf numFmtId="0" fontId="0" fillId="0" borderId="0" xfId="0"/>
    <xf numFmtId="0" fontId="4" fillId="0" borderId="0" xfId="0" applyFont="1"/>
    <xf numFmtId="0" fontId="5" fillId="0" borderId="0" xfId="3" applyFont="1" applyAlignment="1">
      <alignment horizontal="right"/>
    </xf>
    <xf numFmtId="0" fontId="3" fillId="0" borderId="0" xfId="0" applyFont="1"/>
    <xf numFmtId="0" fontId="6" fillId="2" borderId="0" xfId="3" applyFont="1" applyFill="1"/>
    <xf numFmtId="0" fontId="6" fillId="2" borderId="0" xfId="0" applyFont="1" applyFill="1"/>
    <xf numFmtId="0" fontId="3" fillId="0" borderId="0" xfId="0" applyFont="1" applyAlignment="1">
      <alignment horizontal="center"/>
    </xf>
    <xf numFmtId="6" fontId="4" fillId="0" borderId="0" xfId="0" applyNumberFormat="1" applyFont="1"/>
    <xf numFmtId="165" fontId="4" fillId="0" borderId="0" xfId="2" applyNumberFormat="1" applyFont="1"/>
    <xf numFmtId="165" fontId="7" fillId="0" borderId="0" xfId="2" applyNumberFormat="1" applyFont="1"/>
    <xf numFmtId="4" fontId="4" fillId="0" borderId="0" xfId="0" applyNumberFormat="1" applyFont="1"/>
    <xf numFmtId="0" fontId="4" fillId="0" borderId="0" xfId="3" applyFont="1"/>
    <xf numFmtId="164" fontId="4" fillId="0" borderId="0" xfId="0" applyNumberFormat="1" applyFont="1"/>
    <xf numFmtId="5" fontId="7" fillId="0" borderId="0" xfId="1" applyNumberFormat="1" applyFont="1"/>
    <xf numFmtId="0" fontId="6" fillId="2" borderId="0" xfId="0" applyFont="1" applyFill="1" applyAlignment="1">
      <alignment horizontal="right"/>
    </xf>
    <xf numFmtId="0" fontId="6" fillId="2" borderId="1" xfId="0" applyFont="1" applyFill="1" applyBorder="1"/>
    <xf numFmtId="0" fontId="8" fillId="0" borderId="0" xfId="0" applyFont="1"/>
    <xf numFmtId="4" fontId="3" fillId="0" borderId="0" xfId="0" applyNumberFormat="1" applyFont="1"/>
    <xf numFmtId="5" fontId="4" fillId="0" borderId="0" xfId="0" applyNumberFormat="1" applyFont="1"/>
    <xf numFmtId="0" fontId="6" fillId="2" borderId="1" xfId="0" applyFont="1" applyFill="1" applyBorder="1" applyAlignment="1">
      <alignment horizontal="center"/>
    </xf>
    <xf numFmtId="7" fontId="4" fillId="0" borderId="0" xfId="0" applyNumberFormat="1" applyFont="1"/>
    <xf numFmtId="0" fontId="4" fillId="0" borderId="0" xfId="0" applyFont="1" applyAlignment="1">
      <alignment horizontal="left" indent="1"/>
    </xf>
    <xf numFmtId="4" fontId="4" fillId="0" borderId="0" xfId="0" applyNumberFormat="1" applyFont="1" applyAlignment="1">
      <alignment horizontal="left" indent="1"/>
    </xf>
    <xf numFmtId="10" fontId="4" fillId="0" borderId="0" xfId="2" applyNumberFormat="1" applyFont="1"/>
    <xf numFmtId="10" fontId="7" fillId="0" borderId="0" xfId="2" applyNumberFormat="1" applyFont="1"/>
    <xf numFmtId="0" fontId="5" fillId="0" borderId="0" xfId="0" applyFont="1" applyAlignment="1">
      <alignment horizontal="right"/>
    </xf>
    <xf numFmtId="10" fontId="4" fillId="0" borderId="0" xfId="0" applyNumberFormat="1" applyFont="1"/>
    <xf numFmtId="10" fontId="7" fillId="0" borderId="0" xfId="0" applyNumberFormat="1" applyFont="1"/>
    <xf numFmtId="10" fontId="5" fillId="0" borderId="0" xfId="0" applyNumberFormat="1" applyFont="1" applyAlignment="1">
      <alignment horizontal="right"/>
    </xf>
    <xf numFmtId="5" fontId="4" fillId="0" borderId="0" xfId="1" applyNumberFormat="1" applyFont="1"/>
    <xf numFmtId="5" fontId="3" fillId="0" borderId="0" xfId="0" applyNumberFormat="1" applyFont="1"/>
    <xf numFmtId="4" fontId="3" fillId="0" borderId="0" xfId="0" applyNumberFormat="1" applyFont="1" applyAlignment="1">
      <alignment horizontal="left" indent="1"/>
    </xf>
    <xf numFmtId="7" fontId="3" fillId="0" borderId="0" xfId="0" applyNumberFormat="1" applyFont="1"/>
    <xf numFmtId="8" fontId="4" fillId="0" borderId="0" xfId="0" applyNumberFormat="1" applyFont="1"/>
    <xf numFmtId="6" fontId="7" fillId="0" borderId="0" xfId="0" applyNumberFormat="1" applyFont="1" applyAlignment="1">
      <alignment horizontal="right"/>
    </xf>
    <xf numFmtId="5" fontId="7" fillId="2" borderId="0" xfId="1" applyNumberFormat="1" applyFont="1" applyFill="1"/>
    <xf numFmtId="0" fontId="3" fillId="0" borderId="0" xfId="3" applyFont="1" applyAlignment="1">
      <alignment horizontal="left"/>
    </xf>
    <xf numFmtId="0" fontId="6" fillId="0" borderId="0" xfId="0" applyFont="1"/>
    <xf numFmtId="10" fontId="4" fillId="0" borderId="0" xfId="2" applyNumberFormat="1" applyFont="1" applyAlignment="1">
      <alignment horizontal="right"/>
    </xf>
    <xf numFmtId="0" fontId="9" fillId="0" borderId="0" xfId="0" applyFont="1"/>
    <xf numFmtId="10" fontId="7" fillId="0" borderId="0" xfId="2" applyNumberFormat="1" applyFont="1" applyAlignment="1">
      <alignment horizontal="right"/>
    </xf>
    <xf numFmtId="0" fontId="7" fillId="0" borderId="0" xfId="0" applyFont="1" applyAlignment="1">
      <alignment horizontal="right"/>
    </xf>
    <xf numFmtId="6" fontId="3" fillId="0" borderId="0" xfId="0" applyNumberFormat="1" applyFont="1"/>
    <xf numFmtId="0" fontId="3" fillId="0" borderId="2" xfId="0" applyFont="1" applyBorder="1"/>
    <xf numFmtId="6" fontId="3" fillId="0" borderId="2" xfId="0" applyNumberFormat="1" applyFont="1" applyBorder="1"/>
    <xf numFmtId="6" fontId="4" fillId="0" borderId="0" xfId="0" applyNumberFormat="1" applyFont="1" applyAlignment="1">
      <alignment horizontal="right"/>
    </xf>
    <xf numFmtId="0" fontId="10" fillId="0" borderId="0" xfId="5" applyAlignment="1"/>
    <xf numFmtId="0" fontId="5" fillId="0" borderId="0" xfId="0" applyFont="1"/>
    <xf numFmtId="0" fontId="6" fillId="2" borderId="0" xfId="0" applyFont="1" applyFill="1" applyAlignment="1">
      <alignment horizontal="center"/>
    </xf>
    <xf numFmtId="0" fontId="12" fillId="0" borderId="3" xfId="0" applyFont="1" applyBorder="1" applyAlignment="1">
      <alignment horizontal="center"/>
    </xf>
    <xf numFmtId="0" fontId="12" fillId="0" borderId="4" xfId="0" applyFont="1" applyBorder="1" applyAlignment="1">
      <alignment horizontal="center"/>
    </xf>
    <xf numFmtId="0" fontId="4" fillId="0" borderId="0" xfId="0" applyFont="1" applyAlignment="1">
      <alignment horizontal="left"/>
    </xf>
    <xf numFmtId="166" fontId="6" fillId="2" borderId="6" xfId="0" applyNumberFormat="1" applyFont="1" applyFill="1" applyBorder="1" applyAlignment="1">
      <alignment horizontal="center"/>
    </xf>
    <xf numFmtId="0" fontId="3" fillId="0" borderId="7" xfId="0" applyFont="1" applyBorder="1"/>
    <xf numFmtId="4" fontId="3" fillId="3" borderId="7" xfId="0" applyNumberFormat="1" applyFont="1" applyFill="1" applyBorder="1" applyAlignment="1">
      <alignment horizontal="left" indent="1"/>
    </xf>
    <xf numFmtId="5" fontId="3" fillId="3" borderId="7" xfId="0" applyNumberFormat="1" applyFont="1" applyFill="1" applyBorder="1"/>
    <xf numFmtId="4" fontId="3" fillId="4" borderId="8" xfId="0" applyNumberFormat="1" applyFont="1" applyFill="1" applyBorder="1" applyAlignment="1">
      <alignment horizontal="left" indent="1"/>
    </xf>
    <xf numFmtId="5" fontId="3" fillId="4" borderId="8" xfId="0" applyNumberFormat="1" applyFont="1" applyFill="1" applyBorder="1"/>
    <xf numFmtId="0" fontId="3" fillId="3" borderId="7" xfId="0" applyFont="1" applyFill="1" applyBorder="1"/>
    <xf numFmtId="0" fontId="3" fillId="4" borderId="8" xfId="0" applyFont="1" applyFill="1" applyBorder="1"/>
    <xf numFmtId="0" fontId="3" fillId="3" borderId="8" xfId="0" applyFont="1" applyFill="1" applyBorder="1"/>
    <xf numFmtId="5" fontId="3" fillId="3" borderId="8" xfId="0" applyNumberFormat="1" applyFont="1" applyFill="1" applyBorder="1"/>
    <xf numFmtId="5" fontId="3" fillId="0" borderId="7" xfId="0" applyNumberFormat="1" applyFont="1" applyBorder="1"/>
    <xf numFmtId="6" fontId="3" fillId="4" borderId="8" xfId="0" applyNumberFormat="1" applyFont="1" applyFill="1" applyBorder="1"/>
    <xf numFmtId="6" fontId="3" fillId="3" borderId="8" xfId="0" applyNumberFormat="1" applyFont="1" applyFill="1" applyBorder="1"/>
    <xf numFmtId="0" fontId="3" fillId="3" borderId="9" xfId="0" applyFont="1" applyFill="1" applyBorder="1"/>
    <xf numFmtId="6" fontId="3" fillId="3" borderId="9" xfId="0" applyNumberFormat="1" applyFont="1" applyFill="1" applyBorder="1"/>
    <xf numFmtId="165" fontId="3" fillId="3" borderId="9" xfId="2" applyNumberFormat="1" applyFont="1" applyFill="1" applyBorder="1"/>
    <xf numFmtId="10" fontId="11" fillId="0" borderId="0" xfId="2" applyNumberFormat="1" applyFont="1" applyAlignment="1">
      <alignment horizontal="center"/>
    </xf>
    <xf numFmtId="43" fontId="7" fillId="0" borderId="0" xfId="4" applyFont="1"/>
    <xf numFmtId="6" fontId="3" fillId="0" borderId="9" xfId="0" applyNumberFormat="1" applyFont="1" applyBorder="1"/>
    <xf numFmtId="0" fontId="11" fillId="4" borderId="9" xfId="5" applyFont="1" applyFill="1" applyBorder="1" applyAlignment="1"/>
    <xf numFmtId="5" fontId="3" fillId="4" borderId="9" xfId="0" applyNumberFormat="1" applyFont="1" applyFill="1" applyBorder="1"/>
    <xf numFmtId="0" fontId="9" fillId="3" borderId="0" xfId="0" applyFont="1" applyFill="1"/>
    <xf numFmtId="6" fontId="4" fillId="3" borderId="0" xfId="0" applyNumberFormat="1" applyFont="1" applyFill="1"/>
    <xf numFmtId="0" fontId="3" fillId="3" borderId="0" xfId="0" applyFont="1" applyFill="1"/>
    <xf numFmtId="0" fontId="3" fillId="3" borderId="2" xfId="0" applyFont="1" applyFill="1" applyBorder="1"/>
    <xf numFmtId="6" fontId="3" fillId="3" borderId="2" xfId="0" applyNumberFormat="1" applyFont="1" applyFill="1" applyBorder="1"/>
    <xf numFmtId="167" fontId="4" fillId="0" borderId="0" xfId="0" applyNumberFormat="1" applyFont="1"/>
    <xf numFmtId="165" fontId="5" fillId="0" borderId="0" xfId="2" applyNumberFormat="1" applyFont="1"/>
    <xf numFmtId="0" fontId="3" fillId="4" borderId="10" xfId="0" applyFont="1" applyFill="1" applyBorder="1"/>
    <xf numFmtId="167" fontId="3" fillId="4" borderId="2" xfId="0" applyNumberFormat="1" applyFont="1" applyFill="1" applyBorder="1"/>
    <xf numFmtId="167" fontId="3" fillId="4" borderId="11" xfId="0" applyNumberFormat="1" applyFont="1" applyFill="1" applyBorder="1"/>
    <xf numFmtId="165" fontId="5" fillId="4" borderId="13" xfId="2" applyNumberFormat="1" applyFont="1" applyFill="1" applyBorder="1"/>
    <xf numFmtId="165" fontId="5" fillId="4" borderId="14" xfId="2" applyNumberFormat="1" applyFont="1" applyFill="1" applyBorder="1"/>
    <xf numFmtId="167" fontId="3" fillId="0" borderId="2" xfId="0" applyNumberFormat="1" applyFont="1" applyBorder="1"/>
    <xf numFmtId="0" fontId="3" fillId="3" borderId="10" xfId="0" applyFont="1" applyFill="1" applyBorder="1"/>
    <xf numFmtId="167" fontId="3" fillId="3" borderId="2" xfId="0" applyNumberFormat="1" applyFont="1" applyFill="1" applyBorder="1"/>
    <xf numFmtId="167" fontId="3" fillId="3" borderId="11" xfId="0" applyNumberFormat="1" applyFont="1" applyFill="1" applyBorder="1"/>
    <xf numFmtId="165" fontId="5" fillId="3" borderId="13" xfId="2" applyNumberFormat="1" applyFont="1" applyFill="1" applyBorder="1"/>
    <xf numFmtId="165" fontId="5" fillId="3" borderId="14" xfId="2" applyNumberFormat="1" applyFont="1" applyFill="1" applyBorder="1"/>
    <xf numFmtId="0" fontId="5" fillId="4" borderId="12" xfId="0" applyFont="1" applyFill="1" applyBorder="1" applyAlignment="1">
      <alignment horizontal="left" indent="1"/>
    </xf>
    <xf numFmtId="0" fontId="5" fillId="0" borderId="0" xfId="0" applyFont="1" applyAlignment="1">
      <alignment horizontal="left" indent="1"/>
    </xf>
    <xf numFmtId="0" fontId="5" fillId="3" borderId="12" xfId="0" applyFont="1" applyFill="1" applyBorder="1" applyAlignment="1">
      <alignment horizontal="left" indent="1"/>
    </xf>
    <xf numFmtId="167" fontId="3" fillId="0" borderId="0" xfId="0" applyNumberFormat="1" applyFont="1"/>
    <xf numFmtId="5" fontId="3" fillId="0" borderId="2" xfId="0" applyNumberFormat="1" applyFont="1" applyBorder="1"/>
    <xf numFmtId="10" fontId="10" fillId="0" borderId="0" xfId="5" applyNumberFormat="1" applyAlignment="1"/>
    <xf numFmtId="10" fontId="7" fillId="0" borderId="0" xfId="2" applyNumberFormat="1" applyFont="1" applyBorder="1"/>
    <xf numFmtId="5" fontId="3" fillId="4" borderId="0" xfId="0" applyNumberFormat="1" applyFont="1" applyFill="1"/>
    <xf numFmtId="5" fontId="3" fillId="0" borderId="0" xfId="0" applyNumberFormat="1" applyFont="1" applyAlignment="1">
      <alignment horizontal="center"/>
    </xf>
    <xf numFmtId="6" fontId="14" fillId="0" borderId="0" xfId="0" applyNumberFormat="1" applyFont="1"/>
    <xf numFmtId="0" fontId="14" fillId="0" borderId="0" xfId="0" applyFont="1"/>
    <xf numFmtId="9" fontId="15" fillId="0" borderId="0" xfId="0" applyNumberFormat="1" applyFont="1"/>
    <xf numFmtId="6" fontId="14" fillId="0" borderId="0" xfId="0" applyNumberFormat="1" applyFont="1" applyAlignment="1">
      <alignment horizontal="right"/>
    </xf>
    <xf numFmtId="44" fontId="14" fillId="0" borderId="0" xfId="1" applyFont="1"/>
    <xf numFmtId="0" fontId="13" fillId="0" borderId="0" xfId="0" applyFont="1"/>
    <xf numFmtId="6" fontId="16" fillId="0" borderId="0" xfId="0" applyNumberFormat="1" applyFont="1"/>
    <xf numFmtId="0" fontId="17" fillId="2" borderId="0" xfId="0" applyFont="1" applyFill="1"/>
    <xf numFmtId="165" fontId="18" fillId="2" borderId="0" xfId="0" applyNumberFormat="1" applyFont="1" applyFill="1"/>
    <xf numFmtId="5" fontId="14" fillId="0" borderId="0" xfId="0" applyNumberFormat="1" applyFont="1"/>
    <xf numFmtId="0" fontId="18" fillId="2" borderId="0" xfId="0" applyFont="1" applyFill="1"/>
    <xf numFmtId="9" fontId="15" fillId="5" borderId="0" xfId="0" applyNumberFormat="1" applyFont="1" applyFill="1"/>
    <xf numFmtId="9" fontId="14" fillId="0" borderId="0" xfId="0" applyNumberFormat="1" applyFont="1"/>
    <xf numFmtId="0" fontId="4" fillId="0" borderId="0" xfId="3" applyFont="1" applyAlignment="1">
      <alignment horizontal="right"/>
    </xf>
    <xf numFmtId="43" fontId="10" fillId="0" borderId="0" xfId="0" applyNumberFormat="1" applyFont="1"/>
    <xf numFmtId="43" fontId="10" fillId="0" borderId="0" xfId="4" applyFont="1"/>
    <xf numFmtId="5" fontId="8" fillId="2" borderId="0" xfId="0" applyNumberFormat="1" applyFont="1" applyFill="1"/>
    <xf numFmtId="43" fontId="8" fillId="2" borderId="0" xfId="4" applyFont="1" applyFill="1"/>
    <xf numFmtId="7" fontId="8" fillId="2" borderId="0" xfId="0" applyNumberFormat="1" applyFont="1" applyFill="1"/>
    <xf numFmtId="43" fontId="8" fillId="0" borderId="0" xfId="4" applyFont="1" applyFill="1"/>
    <xf numFmtId="165" fontId="4" fillId="4" borderId="0" xfId="2" applyNumberFormat="1" applyFont="1" applyFill="1"/>
    <xf numFmtId="2" fontId="8" fillId="2" borderId="0" xfId="0" applyNumberFormat="1" applyFont="1" applyFill="1"/>
    <xf numFmtId="5" fontId="8" fillId="2" borderId="0" xfId="1" applyNumberFormat="1" applyFont="1" applyFill="1"/>
    <xf numFmtId="43" fontId="4" fillId="0" borderId="0" xfId="0" applyNumberFormat="1" applyFont="1"/>
    <xf numFmtId="43" fontId="8" fillId="2" borderId="0" xfId="0" applyNumberFormat="1" applyFont="1" applyFill="1"/>
    <xf numFmtId="8" fontId="3" fillId="0" borderId="0" xfId="0" applyNumberFormat="1" applyFont="1"/>
    <xf numFmtId="10" fontId="3" fillId="0" borderId="0" xfId="2" applyNumberFormat="1" applyFont="1" applyAlignment="1">
      <alignment horizontal="center"/>
    </xf>
    <xf numFmtId="165" fontId="3" fillId="4" borderId="0" xfId="0" applyNumberFormat="1" applyFont="1" applyFill="1"/>
    <xf numFmtId="0" fontId="5" fillId="0" borderId="0" xfId="0" applyFont="1" applyAlignment="1">
      <alignment horizontal="center"/>
    </xf>
    <xf numFmtId="10" fontId="3" fillId="4" borderId="0" xfId="2" applyNumberFormat="1" applyFont="1" applyFill="1" applyBorder="1"/>
    <xf numFmtId="0" fontId="4" fillId="0" borderId="0" xfId="0" applyFont="1" applyAlignment="1">
      <alignment horizontal="center" vertical="center"/>
    </xf>
    <xf numFmtId="0" fontId="6" fillId="2" borderId="1" xfId="0" applyFont="1" applyFill="1" applyBorder="1" applyAlignment="1">
      <alignment horizontal="center" vertical="center"/>
    </xf>
    <xf numFmtId="5" fontId="0" fillId="0" borderId="0" xfId="0" applyNumberFormat="1"/>
    <xf numFmtId="6" fontId="0" fillId="0" borderId="0" xfId="0" applyNumberFormat="1"/>
    <xf numFmtId="0" fontId="20" fillId="0" borderId="0" xfId="0" applyFont="1"/>
    <xf numFmtId="4" fontId="20" fillId="0" borderId="0" xfId="0" applyNumberFormat="1" applyFont="1"/>
    <xf numFmtId="0" fontId="20" fillId="0" borderId="0" xfId="0" applyFont="1" applyAlignment="1">
      <alignment horizontal="center"/>
    </xf>
    <xf numFmtId="44" fontId="20" fillId="0" borderId="0" xfId="1" applyFont="1"/>
    <xf numFmtId="0" fontId="11" fillId="0" borderId="18" xfId="0" applyFont="1" applyBorder="1" applyAlignment="1">
      <alignment horizontal="center" wrapText="1"/>
    </xf>
    <xf numFmtId="0" fontId="11" fillId="0" borderId="18" xfId="0" applyFont="1" applyBorder="1" applyAlignment="1" applyProtection="1">
      <alignment horizontal="center" wrapText="1"/>
      <protection locked="0"/>
    </xf>
    <xf numFmtId="0" fontId="11" fillId="0" borderId="18" xfId="0" applyFont="1" applyBorder="1" applyAlignment="1">
      <alignment horizontal="center" vertical="center" wrapText="1"/>
    </xf>
    <xf numFmtId="0" fontId="21" fillId="0" borderId="18" xfId="0" applyFont="1" applyBorder="1" applyAlignment="1" applyProtection="1">
      <alignment horizontal="left" vertical="center" wrapText="1"/>
      <protection locked="0"/>
    </xf>
    <xf numFmtId="0" fontId="20" fillId="0" borderId="0" xfId="0" applyFont="1" applyAlignment="1">
      <alignment horizontal="center" wrapText="1"/>
    </xf>
    <xf numFmtId="0" fontId="0" fillId="0" borderId="0" xfId="0" applyAlignment="1">
      <alignment wrapText="1"/>
    </xf>
    <xf numFmtId="0" fontId="23" fillId="0" borderId="0" xfId="0" applyFont="1" applyAlignment="1">
      <alignment wrapText="1"/>
    </xf>
    <xf numFmtId="44" fontId="10" fillId="0" borderId="0" xfId="1" applyFont="1"/>
    <xf numFmtId="7" fontId="10" fillId="0" borderId="0" xfId="1" applyNumberFormat="1" applyFont="1"/>
    <xf numFmtId="44" fontId="0" fillId="0" borderId="0" xfId="0" applyNumberFormat="1"/>
    <xf numFmtId="5" fontId="10" fillId="0" borderId="0" xfId="1" applyNumberFormat="1" applyFont="1"/>
    <xf numFmtId="168" fontId="11" fillId="0" borderId="18" xfId="0" applyNumberFormat="1" applyFont="1" applyBorder="1" applyAlignment="1" applyProtection="1">
      <alignment horizontal="center" wrapText="1"/>
      <protection locked="0"/>
    </xf>
    <xf numFmtId="169" fontId="11" fillId="0" borderId="18" xfId="0" applyNumberFormat="1" applyFont="1" applyBorder="1" applyAlignment="1" applyProtection="1">
      <alignment horizontal="center" wrapText="1"/>
      <protection locked="0"/>
    </xf>
    <xf numFmtId="0" fontId="20" fillId="9" borderId="0" xfId="0" applyFont="1" applyFill="1"/>
    <xf numFmtId="0" fontId="0" fillId="0" borderId="0" xfId="0" applyAlignment="1">
      <alignment horizontal="right"/>
    </xf>
    <xf numFmtId="0" fontId="20" fillId="10" borderId="20" xfId="0" applyFont="1" applyFill="1" applyBorder="1"/>
    <xf numFmtId="5" fontId="0" fillId="10" borderId="20" xfId="0" applyNumberFormat="1" applyFill="1" applyBorder="1"/>
    <xf numFmtId="0" fontId="20" fillId="11" borderId="20" xfId="0" applyFont="1" applyFill="1" applyBorder="1"/>
    <xf numFmtId="169" fontId="0" fillId="0" borderId="0" xfId="0" applyNumberFormat="1"/>
    <xf numFmtId="169" fontId="0" fillId="11" borderId="20" xfId="1" applyNumberFormat="1" applyFont="1" applyFill="1" applyBorder="1"/>
    <xf numFmtId="0" fontId="20" fillId="12" borderId="20" xfId="0" applyFont="1" applyFill="1" applyBorder="1"/>
    <xf numFmtId="5" fontId="0" fillId="12" borderId="20" xfId="0" applyNumberFormat="1" applyFill="1" applyBorder="1"/>
    <xf numFmtId="0" fontId="20" fillId="13" borderId="0" xfId="0" applyFont="1" applyFill="1"/>
    <xf numFmtId="5" fontId="0" fillId="13" borderId="0" xfId="0" applyNumberFormat="1" applyFill="1"/>
    <xf numFmtId="0" fontId="20" fillId="0" borderId="20" xfId="0" applyFont="1" applyBorder="1"/>
    <xf numFmtId="0" fontId="20" fillId="13" borderId="20" xfId="0" applyFont="1" applyFill="1" applyBorder="1"/>
    <xf numFmtId="0" fontId="0" fillId="13" borderId="20" xfId="0" applyFill="1" applyBorder="1"/>
    <xf numFmtId="5" fontId="0" fillId="13" borderId="20" xfId="0" applyNumberFormat="1" applyFill="1" applyBorder="1"/>
    <xf numFmtId="5" fontId="0" fillId="0" borderId="20" xfId="0" applyNumberFormat="1" applyBorder="1"/>
    <xf numFmtId="1" fontId="0" fillId="0" borderId="0" xfId="0" applyNumberFormat="1"/>
    <xf numFmtId="0" fontId="0" fillId="0" borderId="0" xfId="0" applyAlignment="1">
      <alignment horizontal="left"/>
    </xf>
    <xf numFmtId="5" fontId="20" fillId="0" borderId="20" xfId="0" applyNumberFormat="1" applyFont="1" applyBorder="1"/>
    <xf numFmtId="0" fontId="0" fillId="0" borderId="0" xfId="0" applyAlignment="1">
      <alignment horizontal="center"/>
    </xf>
    <xf numFmtId="0" fontId="26" fillId="0" borderId="0" xfId="0" applyFont="1" applyAlignment="1">
      <alignment horizontal="center" wrapText="1"/>
    </xf>
    <xf numFmtId="0" fontId="20" fillId="0" borderId="0" xfId="0" applyFont="1" applyAlignment="1">
      <alignment wrapText="1"/>
    </xf>
    <xf numFmtId="0" fontId="0" fillId="0" borderId="0" xfId="0" applyAlignment="1">
      <alignment horizontal="center" vertical="center"/>
    </xf>
    <xf numFmtId="0" fontId="20" fillId="14" borderId="0" xfId="0" applyFont="1" applyFill="1" applyAlignment="1">
      <alignment horizontal="center" wrapText="1"/>
    </xf>
    <xf numFmtId="2" fontId="0" fillId="0" borderId="0" xfId="0" applyNumberFormat="1"/>
    <xf numFmtId="49" fontId="20" fillId="14" borderId="21" xfId="0" applyNumberFormat="1" applyFont="1" applyFill="1" applyBorder="1" applyAlignment="1">
      <alignment horizontal="right"/>
    </xf>
    <xf numFmtId="2" fontId="20" fillId="14" borderId="21" xfId="0" applyNumberFormat="1" applyFont="1" applyFill="1" applyBorder="1"/>
    <xf numFmtId="9" fontId="0" fillId="0" borderId="0" xfId="0" applyNumberFormat="1"/>
    <xf numFmtId="170" fontId="0" fillId="0" borderId="0" xfId="0" applyNumberFormat="1"/>
    <xf numFmtId="43" fontId="0" fillId="0" borderId="0" xfId="4" applyFont="1"/>
    <xf numFmtId="0" fontId="20" fillId="14" borderId="0" xfId="0" applyFont="1" applyFill="1" applyAlignment="1">
      <alignment horizontal="right"/>
    </xf>
    <xf numFmtId="43" fontId="20" fillId="14" borderId="0" xfId="0" applyNumberFormat="1" applyFont="1" applyFill="1"/>
    <xf numFmtId="43" fontId="0" fillId="0" borderId="0" xfId="0" applyNumberFormat="1"/>
    <xf numFmtId="0" fontId="20" fillId="12" borderId="0" xfId="0" applyFont="1" applyFill="1" applyAlignment="1">
      <alignment horizontal="center"/>
    </xf>
    <xf numFmtId="0" fontId="20" fillId="12" borderId="22" xfId="0" applyFont="1" applyFill="1" applyBorder="1" applyAlignment="1">
      <alignment horizontal="center"/>
    </xf>
    <xf numFmtId="0" fontId="20" fillId="12" borderId="23" xfId="0" applyFont="1" applyFill="1" applyBorder="1" applyAlignment="1">
      <alignment horizontal="center"/>
    </xf>
    <xf numFmtId="0" fontId="20" fillId="15" borderId="24" xfId="0" applyFont="1" applyFill="1" applyBorder="1" applyAlignment="1">
      <alignment horizontal="center"/>
    </xf>
    <xf numFmtId="0" fontId="0" fillId="0" borderId="22" xfId="0" applyBorder="1" applyAlignment="1">
      <alignment horizontal="center"/>
    </xf>
    <xf numFmtId="0" fontId="0" fillId="0" borderId="25" xfId="0" applyBorder="1"/>
    <xf numFmtId="0" fontId="0" fillId="6" borderId="25" xfId="0" applyFill="1" applyBorder="1"/>
    <xf numFmtId="0" fontId="0" fillId="0" borderId="26" xfId="0" applyBorder="1" applyAlignment="1">
      <alignment horizontal="center"/>
    </xf>
    <xf numFmtId="0" fontId="0" fillId="6" borderId="0" xfId="0" applyFill="1"/>
    <xf numFmtId="0" fontId="0" fillId="0" borderId="28" xfId="0" applyBorder="1" applyAlignment="1">
      <alignment horizontal="center"/>
    </xf>
    <xf numFmtId="0" fontId="0" fillId="0" borderId="29" xfId="0" applyBorder="1"/>
    <xf numFmtId="0" fontId="0" fillId="6" borderId="29" xfId="0" applyFill="1" applyBorder="1"/>
    <xf numFmtId="0" fontId="0" fillId="0" borderId="26" xfId="0" applyBorder="1"/>
    <xf numFmtId="0" fontId="0" fillId="0" borderId="22" xfId="0" applyBorder="1"/>
    <xf numFmtId="0" fontId="20" fillId="12" borderId="0" xfId="0" applyFont="1" applyFill="1" applyAlignment="1">
      <alignment horizontal="center" wrapText="1"/>
    </xf>
    <xf numFmtId="0" fontId="20" fillId="12" borderId="0" xfId="0" applyFont="1" applyFill="1"/>
    <xf numFmtId="0" fontId="20" fillId="12" borderId="0" xfId="0" applyFont="1" applyFill="1" applyAlignment="1">
      <alignment wrapText="1"/>
    </xf>
    <xf numFmtId="44" fontId="20" fillId="12" borderId="0" xfId="0" applyNumberFormat="1" applyFont="1" applyFill="1"/>
    <xf numFmtId="6" fontId="28" fillId="0" borderId="0" xfId="0" applyNumberFormat="1" applyFont="1" applyAlignment="1">
      <alignment horizontal="right" vertical="center"/>
    </xf>
    <xf numFmtId="171" fontId="29" fillId="0" borderId="0" xfId="1" applyNumberFormat="1" applyFont="1"/>
    <xf numFmtId="0" fontId="0" fillId="0" borderId="0" xfId="0" applyAlignment="1">
      <alignment horizontal="left" vertical="center" wrapText="1"/>
    </xf>
    <xf numFmtId="172" fontId="7" fillId="0" borderId="0" xfId="2" applyNumberFormat="1" applyFont="1" applyAlignment="1">
      <alignment horizontal="right"/>
    </xf>
    <xf numFmtId="44" fontId="29" fillId="0" borderId="0" xfId="1" applyFont="1" applyAlignment="1">
      <alignment wrapText="1"/>
    </xf>
    <xf numFmtId="44" fontId="4" fillId="0" borderId="0" xfId="0" applyNumberFormat="1" applyFont="1"/>
    <xf numFmtId="172" fontId="4" fillId="0" borderId="0" xfId="2" applyNumberFormat="1" applyFont="1" applyAlignment="1">
      <alignment horizontal="right"/>
    </xf>
    <xf numFmtId="4" fontId="0" fillId="0" borderId="0" xfId="0" applyNumberFormat="1"/>
    <xf numFmtId="171" fontId="30" fillId="0" borderId="0" xfId="1" applyNumberFormat="1" applyFont="1"/>
    <xf numFmtId="0" fontId="4" fillId="0" borderId="0" xfId="0" applyFont="1" applyAlignment="1">
      <alignment horizontal="right"/>
    </xf>
    <xf numFmtId="43" fontId="4" fillId="0" borderId="0" xfId="4" applyFont="1"/>
    <xf numFmtId="0" fontId="0" fillId="0" borderId="22" xfId="0" applyBorder="1" applyAlignment="1">
      <alignment horizontal="center" vertical="center"/>
    </xf>
    <xf numFmtId="169" fontId="29" fillId="0" borderId="0" xfId="1" applyNumberFormat="1" applyFont="1"/>
    <xf numFmtId="0" fontId="11" fillId="12" borderId="18" xfId="0" applyFont="1" applyFill="1" applyBorder="1" applyAlignment="1">
      <alignment horizontal="center" vertical="center" wrapText="1"/>
    </xf>
    <xf numFmtId="0" fontId="20" fillId="12" borderId="18" xfId="0" applyFont="1" applyFill="1" applyBorder="1" applyAlignment="1">
      <alignment horizontal="center" vertical="center" wrapText="1"/>
    </xf>
    <xf numFmtId="0" fontId="20" fillId="0" borderId="30" xfId="0" applyFont="1" applyBorder="1" applyAlignment="1">
      <alignment horizontal="center" vertical="center" wrapText="1"/>
    </xf>
    <xf numFmtId="0" fontId="0" fillId="0" borderId="18" xfId="0" applyBorder="1" applyAlignment="1">
      <alignment vertical="center" wrapText="1"/>
    </xf>
    <xf numFmtId="0" fontId="20" fillId="0" borderId="19"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18" xfId="0" applyFont="1" applyBorder="1" applyAlignment="1">
      <alignment vertical="center" wrapText="1"/>
    </xf>
    <xf numFmtId="0" fontId="11" fillId="0" borderId="18" xfId="0" applyFont="1" applyBorder="1" applyAlignment="1">
      <alignment horizontal="center"/>
    </xf>
    <xf numFmtId="169" fontId="11" fillId="0" borderId="18" xfId="0" applyNumberFormat="1" applyFont="1" applyBorder="1" applyAlignment="1">
      <alignment horizontal="center" wrapText="1"/>
    </xf>
    <xf numFmtId="0" fontId="11" fillId="21" borderId="18" xfId="0" applyFont="1" applyFill="1" applyBorder="1" applyAlignment="1">
      <alignment horizontal="center"/>
    </xf>
    <xf numFmtId="168" fontId="0" fillId="0" borderId="0" xfId="0" applyNumberFormat="1"/>
    <xf numFmtId="0" fontId="11" fillId="15" borderId="18" xfId="0" applyFont="1" applyFill="1" applyBorder="1" applyAlignment="1">
      <alignment horizontal="center" vertical="center" wrapText="1"/>
    </xf>
    <xf numFmtId="169" fontId="0" fillId="0" borderId="18" xfId="0" applyNumberFormat="1" applyBorder="1"/>
    <xf numFmtId="168" fontId="0" fillId="0" borderId="18" xfId="0" applyNumberFormat="1" applyBorder="1"/>
    <xf numFmtId="0" fontId="11" fillId="22" borderId="18" xfId="0" applyFont="1" applyFill="1" applyBorder="1" applyAlignment="1">
      <alignment horizontal="center" vertical="center" wrapText="1"/>
    </xf>
    <xf numFmtId="0" fontId="11" fillId="17" borderId="18" xfId="0" applyFont="1" applyFill="1" applyBorder="1" applyAlignment="1">
      <alignment horizontal="center" vertical="center" wrapText="1"/>
    </xf>
    <xf numFmtId="0" fontId="11" fillId="18" borderId="18" xfId="0" applyFont="1" applyFill="1" applyBorder="1" applyAlignment="1">
      <alignment horizontal="center" vertical="center" wrapText="1"/>
    </xf>
    <xf numFmtId="0" fontId="11" fillId="19" borderId="18" xfId="0" applyFont="1" applyFill="1" applyBorder="1" applyAlignment="1">
      <alignment horizontal="center" vertical="center" wrapText="1"/>
    </xf>
    <xf numFmtId="0" fontId="10" fillId="23" borderId="0" xfId="0" applyFont="1" applyFill="1"/>
    <xf numFmtId="0" fontId="0" fillId="23" borderId="0" xfId="0" applyFill="1"/>
    <xf numFmtId="169" fontId="0" fillId="23" borderId="19" xfId="0" applyNumberFormat="1" applyFill="1" applyBorder="1"/>
    <xf numFmtId="0" fontId="0" fillId="23" borderId="19" xfId="0" applyFill="1" applyBorder="1"/>
    <xf numFmtId="168" fontId="0" fillId="23" borderId="19" xfId="0" applyNumberFormat="1" applyFill="1" applyBorder="1"/>
    <xf numFmtId="0" fontId="11" fillId="24" borderId="32" xfId="0" applyFont="1" applyFill="1" applyBorder="1" applyAlignment="1">
      <alignment horizontal="center"/>
    </xf>
    <xf numFmtId="0" fontId="0" fillId="3" borderId="25" xfId="0" applyFill="1" applyBorder="1"/>
    <xf numFmtId="0" fontId="0" fillId="3" borderId="29" xfId="0" applyFill="1" applyBorder="1"/>
    <xf numFmtId="0" fontId="0" fillId="0" borderId="23" xfId="0" applyBorder="1" applyAlignment="1">
      <alignment horizontal="center"/>
    </xf>
    <xf numFmtId="0" fontId="0" fillId="0" borderId="28" xfId="0" applyBorder="1"/>
    <xf numFmtId="0" fontId="20" fillId="12" borderId="21" xfId="0" applyFont="1" applyFill="1" applyBorder="1" applyAlignment="1">
      <alignment vertical="center"/>
    </xf>
    <xf numFmtId="0" fontId="20" fillId="12" borderId="21" xfId="0" applyFont="1" applyFill="1" applyBorder="1"/>
    <xf numFmtId="0" fontId="20" fillId="12" borderId="33" xfId="0" applyFont="1" applyFill="1" applyBorder="1" applyAlignment="1">
      <alignment horizontal="center"/>
    </xf>
    <xf numFmtId="169" fontId="11" fillId="26" borderId="18" xfId="0" applyNumberFormat="1" applyFont="1" applyFill="1" applyBorder="1" applyAlignment="1" applyProtection="1">
      <alignment horizontal="center" wrapText="1"/>
      <protection locked="0"/>
    </xf>
    <xf numFmtId="169" fontId="10" fillId="26" borderId="18" xfId="0" applyNumberFormat="1" applyFont="1" applyFill="1" applyBorder="1" applyAlignment="1">
      <alignment vertical="center" wrapText="1"/>
    </xf>
    <xf numFmtId="0" fontId="32" fillId="23" borderId="19" xfId="0" applyFont="1" applyFill="1" applyBorder="1"/>
    <xf numFmtId="0" fontId="11" fillId="23" borderId="19" xfId="0" applyFont="1" applyFill="1" applyBorder="1"/>
    <xf numFmtId="168" fontId="11" fillId="23" borderId="19" xfId="0" applyNumberFormat="1" applyFont="1" applyFill="1" applyBorder="1"/>
    <xf numFmtId="0" fontId="1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11" fillId="23" borderId="19" xfId="0" applyFont="1" applyFill="1" applyBorder="1" applyAlignment="1">
      <alignment wrapText="1"/>
    </xf>
    <xf numFmtId="0" fontId="10" fillId="0" borderId="0" xfId="0" applyFont="1"/>
    <xf numFmtId="0" fontId="25" fillId="0" borderId="0" xfId="6" applyAlignment="1" applyProtection="1"/>
    <xf numFmtId="9" fontId="10" fillId="0" borderId="0" xfId="0" applyNumberFormat="1" applyFont="1"/>
    <xf numFmtId="0" fontId="11" fillId="0" borderId="0" xfId="0" applyFont="1"/>
    <xf numFmtId="44" fontId="11" fillId="0" borderId="0" xfId="1" applyFont="1"/>
    <xf numFmtId="0" fontId="11" fillId="0" borderId="0" xfId="0" applyFont="1" applyAlignment="1">
      <alignment horizontal="right"/>
    </xf>
    <xf numFmtId="0" fontId="11" fillId="7" borderId="0" xfId="0" applyFont="1" applyFill="1"/>
    <xf numFmtId="44" fontId="11" fillId="7" borderId="0" xfId="1" applyFont="1" applyFill="1"/>
    <xf numFmtId="0" fontId="11" fillId="7" borderId="0" xfId="0" applyFont="1" applyFill="1" applyAlignment="1">
      <alignment horizontal="right"/>
    </xf>
    <xf numFmtId="1" fontId="11" fillId="0" borderId="0" xfId="1" applyNumberFormat="1" applyFont="1"/>
    <xf numFmtId="1" fontId="11" fillId="0" borderId="0" xfId="1" applyNumberFormat="1" applyFont="1" applyAlignment="1">
      <alignment horizontal="left"/>
    </xf>
    <xf numFmtId="0" fontId="11" fillId="0" borderId="0" xfId="0" applyFont="1" applyAlignment="1">
      <alignment horizontal="left"/>
    </xf>
    <xf numFmtId="9" fontId="10" fillId="0" borderId="0" xfId="2" applyFont="1"/>
    <xf numFmtId="168" fontId="10" fillId="0" borderId="0" xfId="0" applyNumberFormat="1" applyFont="1" applyAlignment="1">
      <alignment horizontal="right"/>
    </xf>
    <xf numFmtId="0" fontId="10" fillId="0" borderId="0" xfId="0" applyFont="1" applyAlignment="1">
      <alignment horizontal="right"/>
    </xf>
    <xf numFmtId="44" fontId="10" fillId="0" borderId="0" xfId="0" applyNumberFormat="1" applyFont="1" applyAlignment="1">
      <alignment horizontal="right"/>
    </xf>
    <xf numFmtId="44" fontId="10" fillId="0" borderId="0" xfId="0" applyNumberFormat="1" applyFont="1"/>
    <xf numFmtId="168" fontId="10" fillId="0" borderId="0" xfId="2" applyNumberFormat="1" applyFont="1" applyFill="1"/>
    <xf numFmtId="9" fontId="10" fillId="0" borderId="0" xfId="2" applyFont="1" applyFill="1"/>
    <xf numFmtId="3" fontId="10" fillId="0" borderId="16" xfId="0" applyNumberFormat="1" applyFont="1" applyBorder="1" applyAlignment="1">
      <alignment vertical="center"/>
    </xf>
    <xf numFmtId="0" fontId="11" fillId="0" borderId="0" xfId="0" applyFont="1" applyAlignment="1">
      <alignment horizontal="center" vertical="center"/>
    </xf>
    <xf numFmtId="0" fontId="0" fillId="25" borderId="18" xfId="0" applyFill="1" applyBorder="1" applyAlignment="1" applyProtection="1">
      <alignment vertical="center"/>
      <protection locked="0"/>
    </xf>
    <xf numFmtId="10" fontId="1" fillId="0" borderId="0" xfId="2" applyNumberFormat="1" applyFill="1" applyBorder="1" applyAlignment="1" applyProtection="1">
      <alignment vertical="center"/>
      <protection locked="0"/>
    </xf>
    <xf numFmtId="10" fontId="0" fillId="0" borderId="0" xfId="0" applyNumberFormat="1"/>
    <xf numFmtId="0" fontId="0" fillId="25" borderId="15" xfId="0" applyFill="1" applyBorder="1" applyAlignment="1" applyProtection="1">
      <alignment vertical="center"/>
      <protection locked="0"/>
    </xf>
    <xf numFmtId="9" fontId="10" fillId="0" borderId="0" xfId="2" applyFont="1" applyAlignment="1" applyProtection="1">
      <alignment vertical="center"/>
      <protection locked="0"/>
    </xf>
    <xf numFmtId="173" fontId="1" fillId="0" borderId="0" xfId="4" applyNumberFormat="1" applyFill="1" applyBorder="1" applyAlignment="1" applyProtection="1">
      <alignment vertical="center"/>
      <protection locked="0"/>
    </xf>
    <xf numFmtId="3" fontId="0" fillId="0" borderId="0" xfId="0" applyNumberFormat="1"/>
    <xf numFmtId="168" fontId="1" fillId="0" borderId="18" xfId="4" applyNumberFormat="1" applyFill="1" applyBorder="1" applyAlignment="1" applyProtection="1">
      <alignment vertical="center" wrapText="1"/>
    </xf>
    <xf numFmtId="168" fontId="10" fillId="0" borderId="18" xfId="0" applyNumberFormat="1" applyFont="1" applyBorder="1" applyAlignment="1">
      <alignment vertical="center" wrapText="1"/>
    </xf>
    <xf numFmtId="10" fontId="23" fillId="0" borderId="18" xfId="0" applyNumberFormat="1" applyFont="1" applyBorder="1"/>
    <xf numFmtId="9" fontId="23" fillId="0" borderId="0" xfId="0" applyNumberFormat="1" applyFont="1"/>
    <xf numFmtId="0" fontId="23" fillId="0" borderId="18" xfId="0" applyFont="1" applyBorder="1"/>
    <xf numFmtId="169" fontId="23" fillId="0" borderId="18" xfId="0" applyNumberFormat="1" applyFont="1" applyBorder="1"/>
    <xf numFmtId="0" fontId="34" fillId="0" borderId="18" xfId="0" applyFont="1" applyBorder="1"/>
    <xf numFmtId="3" fontId="33" fillId="0" borderId="16" xfId="0" applyNumberFormat="1" applyFont="1" applyBorder="1" applyAlignment="1">
      <alignment vertical="center"/>
    </xf>
    <xf numFmtId="10" fontId="22" fillId="0" borderId="18" xfId="2" applyNumberFormat="1" applyFont="1" applyFill="1" applyBorder="1" applyAlignment="1" applyProtection="1">
      <alignment vertical="center"/>
      <protection locked="0"/>
    </xf>
    <xf numFmtId="10" fontId="22" fillId="0" borderId="16" xfId="2" applyNumberFormat="1" applyFont="1" applyFill="1" applyBorder="1" applyAlignment="1" applyProtection="1">
      <alignment vertical="center"/>
      <protection locked="0"/>
    </xf>
    <xf numFmtId="173" fontId="23" fillId="0" borderId="16" xfId="4" applyNumberFormat="1" applyFont="1" applyFill="1" applyBorder="1" applyAlignment="1" applyProtection="1">
      <alignment vertical="center"/>
      <protection locked="0"/>
    </xf>
    <xf numFmtId="10" fontId="23" fillId="0" borderId="18" xfId="0" applyNumberFormat="1" applyFont="1" applyBorder="1" applyAlignment="1">
      <alignment horizontal="center"/>
    </xf>
    <xf numFmtId="3" fontId="23" fillId="0" borderId="18" xfId="0" applyNumberFormat="1" applyFont="1" applyBorder="1" applyAlignment="1">
      <alignment horizontal="center"/>
    </xf>
    <xf numFmtId="168" fontId="22" fillId="0" borderId="18" xfId="0" applyNumberFormat="1" applyFont="1" applyBorder="1" applyAlignment="1" applyProtection="1">
      <alignment horizontal="center" vertical="center" wrapText="1"/>
      <protection locked="0"/>
    </xf>
    <xf numFmtId="9" fontId="22" fillId="0" borderId="18" xfId="2" applyFont="1" applyFill="1" applyBorder="1" applyAlignment="1" applyProtection="1">
      <alignment horizontal="center" vertical="center" wrapText="1"/>
      <protection locked="0"/>
    </xf>
    <xf numFmtId="9" fontId="11" fillId="0" borderId="18" xfId="2" applyFont="1" applyFill="1" applyBorder="1" applyAlignment="1" applyProtection="1">
      <alignment horizontal="center" wrapText="1"/>
      <protection locked="0"/>
    </xf>
    <xf numFmtId="9" fontId="34" fillId="0" borderId="0" xfId="0" applyNumberFormat="1" applyFont="1"/>
    <xf numFmtId="10" fontId="34" fillId="0" borderId="18" xfId="0" applyNumberFormat="1" applyFont="1" applyBorder="1"/>
    <xf numFmtId="9" fontId="34" fillId="0" borderId="0" xfId="2" applyFont="1" applyFill="1"/>
    <xf numFmtId="10" fontId="34" fillId="0" borderId="0" xfId="0" applyNumberFormat="1" applyFont="1"/>
    <xf numFmtId="44" fontId="10" fillId="0" borderId="0" xfId="1" applyFont="1" applyFill="1"/>
    <xf numFmtId="44" fontId="34" fillId="0" borderId="0" xfId="0" applyNumberFormat="1" applyFont="1" applyAlignment="1">
      <alignment horizontal="right"/>
    </xf>
    <xf numFmtId="44" fontId="34" fillId="0" borderId="0" xfId="1" applyFont="1" applyFill="1"/>
    <xf numFmtId="0" fontId="34" fillId="0" borderId="0" xfId="0" applyFont="1" applyAlignment="1">
      <alignment horizontal="right"/>
    </xf>
    <xf numFmtId="44" fontId="34" fillId="0" borderId="0" xfId="1" applyFont="1" applyFill="1" applyAlignment="1">
      <alignment horizontal="right"/>
    </xf>
    <xf numFmtId="0" fontId="34" fillId="0" borderId="0" xfId="0" applyFont="1"/>
    <xf numFmtId="0" fontId="20" fillId="30" borderId="0" xfId="0" applyFont="1" applyFill="1"/>
    <xf numFmtId="0" fontId="0" fillId="30" borderId="0" xfId="0" applyFill="1"/>
    <xf numFmtId="4" fontId="20" fillId="0" borderId="21" xfId="0" applyNumberFormat="1" applyFont="1" applyBorder="1"/>
    <xf numFmtId="5" fontId="0" fillId="0" borderId="21" xfId="0" applyNumberFormat="1" applyBorder="1"/>
    <xf numFmtId="44" fontId="4" fillId="0" borderId="0" xfId="1" applyFont="1" applyAlignment="1">
      <alignment horizontal="right"/>
    </xf>
    <xf numFmtId="49" fontId="0" fillId="0" borderId="0" xfId="0" applyNumberFormat="1" applyAlignment="1">
      <alignment horizontal="right"/>
    </xf>
    <xf numFmtId="2" fontId="22" fillId="0" borderId="0" xfId="0" applyNumberFormat="1" applyFont="1"/>
    <xf numFmtId="0" fontId="9" fillId="0" borderId="0" xfId="0" applyFont="1" applyAlignment="1">
      <alignment horizontal="right" vertical="center" textRotation="90"/>
    </xf>
    <xf numFmtId="6" fontId="23" fillId="0" borderId="0" xfId="0" applyNumberFormat="1" applyFont="1"/>
    <xf numFmtId="0" fontId="20" fillId="15" borderId="23" xfId="0" applyFont="1" applyFill="1" applyBorder="1" applyAlignment="1">
      <alignment horizontal="center"/>
    </xf>
    <xf numFmtId="0" fontId="0" fillId="3" borderId="0" xfId="0" applyFill="1"/>
    <xf numFmtId="0" fontId="20" fillId="15" borderId="26" xfId="0" applyFont="1" applyFill="1" applyBorder="1" applyAlignment="1">
      <alignment horizontal="center"/>
    </xf>
    <xf numFmtId="1" fontId="24" fillId="0" borderId="0" xfId="0" applyNumberFormat="1" applyFont="1" applyAlignment="1">
      <alignment horizontal="right" wrapText="1"/>
    </xf>
    <xf numFmtId="1" fontId="6" fillId="2" borderId="0" xfId="0" applyNumberFormat="1" applyFont="1" applyFill="1"/>
    <xf numFmtId="0" fontId="0" fillId="0" borderId="0" xfId="0" applyAlignment="1">
      <alignment vertical="center" wrapText="1"/>
    </xf>
    <xf numFmtId="0" fontId="20" fillId="0" borderId="0" xfId="0" applyFont="1" applyAlignment="1">
      <alignment horizontal="right"/>
    </xf>
    <xf numFmtId="9" fontId="0" fillId="0" borderId="0" xfId="0" applyNumberFormat="1" applyAlignment="1">
      <alignment horizontal="center"/>
    </xf>
    <xf numFmtId="0" fontId="35" fillId="0" borderId="35" xfId="0" applyFont="1" applyBorder="1" applyProtection="1">
      <protection locked="0"/>
    </xf>
    <xf numFmtId="0" fontId="36" fillId="32" borderId="35" xfId="0" applyFont="1" applyFill="1" applyBorder="1" applyAlignment="1" applyProtection="1">
      <alignment horizontal="center"/>
      <protection locked="0"/>
    </xf>
    <xf numFmtId="10" fontId="38" fillId="0" borderId="35" xfId="2" applyNumberFormat="1" applyFont="1" applyFill="1" applyBorder="1" applyAlignment="1" applyProtection="1">
      <alignment horizontal="center" wrapText="1"/>
      <protection locked="0"/>
    </xf>
    <xf numFmtId="0" fontId="38" fillId="0" borderId="35" xfId="7" applyFont="1" applyBorder="1" applyAlignment="1">
      <alignment horizontal="center" wrapText="1"/>
    </xf>
    <xf numFmtId="0" fontId="39" fillId="0" borderId="35" xfId="0" applyFont="1" applyBorder="1"/>
    <xf numFmtId="10" fontId="39" fillId="33" borderId="35" xfId="2" applyNumberFormat="1" applyFont="1" applyFill="1" applyBorder="1" applyAlignment="1" applyProtection="1">
      <alignment horizontal="center"/>
      <protection locked="0"/>
    </xf>
    <xf numFmtId="43" fontId="39" fillId="34" borderId="35" xfId="4" applyFont="1" applyFill="1" applyBorder="1" applyAlignment="1" applyProtection="1"/>
    <xf numFmtId="2" fontId="39" fillId="0" borderId="35" xfId="2" applyNumberFormat="1" applyFont="1" applyFill="1" applyBorder="1" applyAlignment="1" applyProtection="1"/>
    <xf numFmtId="43" fontId="39" fillId="34" borderId="35" xfId="4" applyFont="1" applyFill="1" applyBorder="1" applyAlignment="1" applyProtection="1">
      <alignment horizontal="center"/>
    </xf>
    <xf numFmtId="43" fontId="38" fillId="34" borderId="35" xfId="8" applyNumberFormat="1" applyFont="1" applyFill="1" applyBorder="1" applyAlignment="1">
      <alignment horizontal="center"/>
    </xf>
    <xf numFmtId="0" fontId="36" fillId="34" borderId="35" xfId="0" applyFont="1" applyFill="1" applyBorder="1"/>
    <xf numFmtId="10" fontId="36" fillId="34" borderId="35" xfId="2" applyNumberFormat="1" applyFont="1" applyFill="1" applyBorder="1" applyAlignment="1" applyProtection="1">
      <alignment horizontal="center"/>
    </xf>
    <xf numFmtId="10" fontId="38" fillId="34" borderId="0" xfId="2" applyNumberFormat="1" applyFont="1" applyFill="1" applyBorder="1" applyAlignment="1" applyProtection="1">
      <alignment horizontal="center"/>
    </xf>
    <xf numFmtId="10" fontId="25" fillId="34" borderId="0" xfId="6" applyNumberFormat="1" applyFill="1" applyBorder="1" applyAlignment="1" applyProtection="1">
      <alignment horizontal="left"/>
    </xf>
    <xf numFmtId="0" fontId="25" fillId="0" borderId="0" xfId="6" applyFill="1" applyProtection="1"/>
    <xf numFmtId="174" fontId="0" fillId="0" borderId="0" xfId="0" applyNumberFormat="1"/>
    <xf numFmtId="10" fontId="39" fillId="36" borderId="35" xfId="2" applyNumberFormat="1" applyFont="1" applyFill="1" applyBorder="1" applyAlignment="1" applyProtection="1">
      <alignment horizontal="center"/>
      <protection locked="0"/>
    </xf>
    <xf numFmtId="10" fontId="39" fillId="0" borderId="35" xfId="2" applyNumberFormat="1" applyFont="1" applyFill="1" applyBorder="1" applyAlignment="1" applyProtection="1"/>
    <xf numFmtId="1" fontId="39" fillId="0" borderId="35" xfId="8" applyNumberFormat="1" applyFont="1" applyBorder="1" applyProtection="1">
      <protection locked="0" hidden="1"/>
    </xf>
    <xf numFmtId="1" fontId="39" fillId="34" borderId="35" xfId="8" applyNumberFormat="1" applyFont="1" applyFill="1" applyBorder="1" applyAlignment="1">
      <alignment horizontal="center"/>
    </xf>
    <xf numFmtId="43" fontId="38" fillId="34" borderId="35" xfId="4" applyFont="1" applyFill="1" applyBorder="1" applyAlignment="1">
      <alignment horizontal="center"/>
    </xf>
    <xf numFmtId="0" fontId="38" fillId="34" borderId="35" xfId="8" applyFont="1" applyFill="1" applyBorder="1" applyAlignment="1">
      <alignment horizontal="center"/>
    </xf>
    <xf numFmtId="10" fontId="38" fillId="0" borderId="35" xfId="9" applyNumberFormat="1" applyFont="1" applyFill="1" applyBorder="1" applyAlignment="1" applyProtection="1">
      <alignment horizontal="center"/>
      <protection locked="0" hidden="1"/>
    </xf>
    <xf numFmtId="0" fontId="39" fillId="35" borderId="35" xfId="0" applyFont="1" applyFill="1" applyBorder="1"/>
    <xf numFmtId="10" fontId="39" fillId="34" borderId="35" xfId="2" applyNumberFormat="1" applyFont="1" applyFill="1" applyBorder="1" applyAlignment="1" applyProtection="1"/>
    <xf numFmtId="10" fontId="39" fillId="0" borderId="35" xfId="10" applyNumberFormat="1" applyFont="1" applyBorder="1" applyAlignment="1" applyProtection="1">
      <alignment horizontal="center"/>
      <protection hidden="1"/>
    </xf>
    <xf numFmtId="10" fontId="39" fillId="0" borderId="35" xfId="10" applyNumberFormat="1" applyFont="1" applyBorder="1" applyAlignment="1" applyProtection="1">
      <alignment horizontal="center"/>
      <protection locked="0" hidden="1"/>
    </xf>
    <xf numFmtId="0" fontId="39" fillId="35" borderId="35" xfId="0" applyFont="1" applyFill="1" applyBorder="1" applyAlignment="1">
      <alignment wrapText="1"/>
    </xf>
    <xf numFmtId="10" fontId="39" fillId="33" borderId="35" xfId="2" applyNumberFormat="1" applyFont="1" applyFill="1" applyBorder="1" applyAlignment="1" applyProtection="1">
      <alignment horizontal="center" wrapText="1"/>
      <protection locked="0"/>
    </xf>
    <xf numFmtId="0" fontId="39" fillId="37" borderId="35" xfId="0" applyFont="1" applyFill="1" applyBorder="1"/>
    <xf numFmtId="10" fontId="39" fillId="33" borderId="35" xfId="2" applyNumberFormat="1" applyFont="1" applyFill="1" applyBorder="1" applyAlignment="1" applyProtection="1">
      <alignment horizontal="left"/>
      <protection locked="0"/>
    </xf>
    <xf numFmtId="10" fontId="39" fillId="34" borderId="35" xfId="2" applyNumberFormat="1" applyFont="1" applyFill="1" applyBorder="1" applyAlignment="1" applyProtection="1">
      <alignment horizontal="center"/>
    </xf>
    <xf numFmtId="0" fontId="40" fillId="34" borderId="35" xfId="8" applyFont="1" applyFill="1" applyBorder="1" applyAlignment="1">
      <alignment wrapText="1"/>
    </xf>
    <xf numFmtId="10" fontId="41" fillId="34" borderId="35" xfId="8" applyNumberFormat="1" applyFont="1" applyFill="1" applyBorder="1" applyAlignment="1">
      <alignment horizontal="center" wrapText="1"/>
    </xf>
    <xf numFmtId="10" fontId="41" fillId="34" borderId="35" xfId="8" applyNumberFormat="1" applyFont="1" applyFill="1" applyBorder="1" applyAlignment="1">
      <alignment horizontal="right" wrapText="1"/>
    </xf>
    <xf numFmtId="2" fontId="41" fillId="34" borderId="35" xfId="8" applyNumberFormat="1" applyFont="1" applyFill="1" applyBorder="1" applyAlignment="1">
      <alignment horizontal="right" wrapText="1"/>
    </xf>
    <xf numFmtId="173" fontId="38" fillId="34" borderId="35" xfId="4" applyNumberFormat="1" applyFont="1" applyFill="1" applyBorder="1" applyAlignment="1" applyProtection="1">
      <alignment horizontal="center"/>
    </xf>
    <xf numFmtId="9" fontId="38" fillId="34" borderId="35" xfId="2" applyFont="1" applyFill="1" applyBorder="1" applyAlignment="1" applyProtection="1"/>
    <xf numFmtId="43" fontId="38" fillId="34" borderId="35" xfId="8" applyNumberFormat="1" applyFont="1" applyFill="1" applyBorder="1"/>
    <xf numFmtId="10" fontId="38" fillId="34" borderId="35" xfId="2" applyNumberFormat="1" applyFont="1" applyFill="1" applyBorder="1" applyProtection="1"/>
    <xf numFmtId="43" fontId="38" fillId="38" borderId="35" xfId="4" applyFont="1" applyFill="1" applyBorder="1" applyAlignment="1" applyProtection="1">
      <alignment horizontal="center"/>
      <protection hidden="1"/>
    </xf>
    <xf numFmtId="43" fontId="38" fillId="34" borderId="35" xfId="4" applyFont="1" applyFill="1" applyBorder="1" applyAlignment="1" applyProtection="1">
      <alignment horizontal="center"/>
    </xf>
    <xf numFmtId="0" fontId="42" fillId="0" borderId="35" xfId="0" applyFont="1" applyBorder="1" applyAlignment="1">
      <alignment horizontal="center" wrapText="1"/>
    </xf>
    <xf numFmtId="1" fontId="38" fillId="34" borderId="35" xfId="0" applyNumberFormat="1" applyFont="1" applyFill="1" applyBorder="1" applyAlignment="1">
      <alignment horizontal="center"/>
    </xf>
    <xf numFmtId="0" fontId="1" fillId="0" borderId="18" xfId="11" applyBorder="1" applyAlignment="1">
      <alignment wrapText="1"/>
    </xf>
    <xf numFmtId="0" fontId="35" fillId="0" borderId="35" xfId="11" applyFont="1" applyBorder="1" applyProtection="1">
      <protection locked="0"/>
    </xf>
    <xf numFmtId="0" fontId="36" fillId="32" borderId="35" xfId="11" applyFont="1" applyFill="1" applyBorder="1" applyAlignment="1" applyProtection="1">
      <alignment horizontal="center"/>
      <protection locked="0"/>
    </xf>
    <xf numFmtId="10" fontId="38" fillId="0" borderId="35" xfId="12" applyNumberFormat="1" applyFont="1" applyFill="1" applyBorder="1" applyAlignment="1" applyProtection="1">
      <alignment horizontal="center" wrapText="1"/>
      <protection locked="0"/>
    </xf>
    <xf numFmtId="0" fontId="43" fillId="0" borderId="35" xfId="7" applyFont="1" applyBorder="1" applyAlignment="1">
      <alignment horizontal="center" wrapText="1"/>
    </xf>
    <xf numFmtId="9" fontId="43" fillId="0" borderId="35" xfId="12" applyFont="1" applyBorder="1" applyAlignment="1">
      <alignment horizontal="center"/>
    </xf>
    <xf numFmtId="0" fontId="1" fillId="0" borderId="0" xfId="11"/>
    <xf numFmtId="0" fontId="20" fillId="0" borderId="0" xfId="11" applyFont="1" applyAlignment="1">
      <alignment horizontal="center"/>
    </xf>
    <xf numFmtId="2" fontId="20" fillId="0" borderId="0" xfId="11" applyNumberFormat="1" applyFont="1" applyAlignment="1">
      <alignment horizontal="center"/>
    </xf>
    <xf numFmtId="0" fontId="44" fillId="35" borderId="35" xfId="11" applyFont="1" applyFill="1" applyBorder="1"/>
    <xf numFmtId="10" fontId="39" fillId="0" borderId="35" xfId="12" applyNumberFormat="1" applyFont="1" applyFill="1" applyBorder="1" applyAlignment="1" applyProtection="1"/>
    <xf numFmtId="2" fontId="39" fillId="0" borderId="35" xfId="12" applyNumberFormat="1" applyFont="1" applyFill="1" applyBorder="1" applyAlignment="1" applyProtection="1"/>
    <xf numFmtId="165" fontId="38" fillId="26" borderId="35" xfId="12" applyNumberFormat="1" applyFont="1" applyFill="1" applyBorder="1" applyAlignment="1" applyProtection="1">
      <alignment horizontal="right"/>
      <protection locked="0"/>
    </xf>
    <xf numFmtId="43" fontId="38" fillId="34" borderId="35" xfId="13" applyFont="1" applyFill="1" applyBorder="1" applyAlignment="1">
      <alignment horizontal="center"/>
    </xf>
    <xf numFmtId="0" fontId="20" fillId="26" borderId="0" xfId="11" applyFont="1" applyFill="1"/>
    <xf numFmtId="0" fontId="1" fillId="26" borderId="0" xfId="11" applyFill="1"/>
    <xf numFmtId="0" fontId="1" fillId="0" borderId="36" xfId="11" applyBorder="1"/>
    <xf numFmtId="0" fontId="39" fillId="35" borderId="35" xfId="11" applyFont="1" applyFill="1" applyBorder="1"/>
    <xf numFmtId="10" fontId="1" fillId="0" borderId="36" xfId="11" applyNumberFormat="1" applyBorder="1"/>
    <xf numFmtId="10" fontId="1" fillId="0" borderId="0" xfId="11" applyNumberFormat="1"/>
    <xf numFmtId="10" fontId="39" fillId="34" borderId="35" xfId="12" applyNumberFormat="1" applyFont="1" applyFill="1" applyBorder="1" applyAlignment="1" applyProtection="1"/>
    <xf numFmtId="10" fontId="1" fillId="26" borderId="0" xfId="11" applyNumberFormat="1" applyFill="1"/>
    <xf numFmtId="0" fontId="1" fillId="0" borderId="36" xfId="11" quotePrefix="1" applyBorder="1"/>
    <xf numFmtId="0" fontId="20" fillId="0" borderId="36" xfId="11" applyFont="1" applyBorder="1" applyAlignment="1">
      <alignment vertical="center"/>
    </xf>
    <xf numFmtId="0" fontId="20" fillId="30" borderId="36" xfId="11" applyFont="1" applyFill="1" applyBorder="1" applyAlignment="1">
      <alignment horizontal="right" vertical="center"/>
    </xf>
    <xf numFmtId="43" fontId="0" fillId="0" borderId="36" xfId="13" applyFont="1" applyBorder="1" applyAlignment="1">
      <alignment horizontal="right" vertical="center"/>
    </xf>
    <xf numFmtId="0" fontId="39" fillId="35" borderId="35" xfId="11" applyFont="1" applyFill="1" applyBorder="1" applyAlignment="1">
      <alignment wrapText="1"/>
    </xf>
    <xf numFmtId="0" fontId="1" fillId="0" borderId="36" xfId="8" applyFont="1" applyBorder="1"/>
    <xf numFmtId="0" fontId="39" fillId="39" borderId="35" xfId="11" applyFont="1" applyFill="1" applyBorder="1"/>
    <xf numFmtId="0" fontId="20" fillId="5" borderId="36" xfId="11" applyFont="1" applyFill="1" applyBorder="1" applyAlignment="1">
      <alignment vertical="center"/>
    </xf>
    <xf numFmtId="10" fontId="30" fillId="40" borderId="36" xfId="11" applyNumberFormat="1" applyFont="1" applyFill="1" applyBorder="1"/>
    <xf numFmtId="10" fontId="39" fillId="33" borderId="35" xfId="12" applyNumberFormat="1" applyFont="1" applyFill="1" applyBorder="1" applyAlignment="1" applyProtection="1">
      <alignment horizontal="left"/>
      <protection locked="0"/>
    </xf>
    <xf numFmtId="173" fontId="38" fillId="34" borderId="35" xfId="13" applyNumberFormat="1" applyFont="1" applyFill="1" applyBorder="1" applyAlignment="1" applyProtection="1">
      <alignment horizontal="center"/>
    </xf>
    <xf numFmtId="9" fontId="38" fillId="34" borderId="35" xfId="12" applyFont="1" applyFill="1" applyBorder="1" applyAlignment="1" applyProtection="1"/>
    <xf numFmtId="0" fontId="40" fillId="34" borderId="0" xfId="8" applyFont="1" applyFill="1" applyAlignment="1">
      <alignment wrapText="1"/>
    </xf>
    <xf numFmtId="0" fontId="47" fillId="0" borderId="0" xfId="14" applyFont="1"/>
    <xf numFmtId="0" fontId="48" fillId="0" borderId="0" xfId="14" applyFont="1"/>
    <xf numFmtId="0" fontId="48" fillId="26" borderId="0" xfId="14" applyFont="1" applyFill="1"/>
    <xf numFmtId="0" fontId="47" fillId="3" borderId="36" xfId="14" applyFont="1" applyFill="1" applyBorder="1"/>
    <xf numFmtId="0" fontId="48" fillId="0" borderId="36" xfId="14" applyFont="1" applyBorder="1"/>
    <xf numFmtId="0" fontId="47" fillId="0" borderId="0" xfId="14" applyFont="1" applyAlignment="1">
      <alignment wrapText="1"/>
    </xf>
    <xf numFmtId="0" fontId="47" fillId="3" borderId="37" xfId="14" applyFont="1" applyFill="1" applyBorder="1"/>
    <xf numFmtId="0" fontId="47" fillId="3" borderId="38" xfId="14" applyFont="1" applyFill="1" applyBorder="1"/>
    <xf numFmtId="0" fontId="47" fillId="14" borderId="39" xfId="14" applyFont="1" applyFill="1" applyBorder="1" applyAlignment="1">
      <alignment horizontal="center"/>
    </xf>
    <xf numFmtId="0" fontId="47" fillId="41" borderId="39" xfId="14" applyFont="1" applyFill="1" applyBorder="1" applyAlignment="1">
      <alignment horizontal="center"/>
    </xf>
    <xf numFmtId="0" fontId="47" fillId="3" borderId="39" xfId="14" applyFont="1" applyFill="1" applyBorder="1" applyAlignment="1">
      <alignment horizontal="center"/>
    </xf>
    <xf numFmtId="0" fontId="47" fillId="42" borderId="39" xfId="14" applyFont="1" applyFill="1" applyBorder="1" applyAlignment="1">
      <alignment horizontal="center"/>
    </xf>
    <xf numFmtId="0" fontId="47" fillId="43" borderId="39" xfId="14" applyFont="1" applyFill="1" applyBorder="1" applyAlignment="1">
      <alignment horizontal="center"/>
    </xf>
    <xf numFmtId="0" fontId="47" fillId="44" borderId="39" xfId="14" applyFont="1" applyFill="1" applyBorder="1" applyAlignment="1">
      <alignment horizontal="center"/>
    </xf>
    <xf numFmtId="0" fontId="47" fillId="3" borderId="40" xfId="14" applyFont="1" applyFill="1" applyBorder="1" applyAlignment="1">
      <alignment vertical="center"/>
    </xf>
    <xf numFmtId="0" fontId="47" fillId="3" borderId="41" xfId="14" applyFont="1" applyFill="1" applyBorder="1" applyAlignment="1">
      <alignment vertical="center"/>
    </xf>
    <xf numFmtId="0" fontId="48" fillId="14" borderId="42" xfId="14" applyFont="1" applyFill="1" applyBorder="1" applyAlignment="1">
      <alignment horizontal="center" vertical="center" wrapText="1"/>
    </xf>
    <xf numFmtId="0" fontId="48" fillId="41" borderId="42" xfId="14" applyFont="1" applyFill="1" applyBorder="1" applyAlignment="1">
      <alignment horizontal="center" vertical="center" wrapText="1"/>
    </xf>
    <xf numFmtId="0" fontId="48" fillId="3" borderId="42" xfId="14" applyFont="1" applyFill="1" applyBorder="1" applyAlignment="1">
      <alignment horizontal="center" vertical="center" wrapText="1"/>
    </xf>
    <xf numFmtId="0" fontId="48" fillId="42" borderId="42" xfId="14" applyFont="1" applyFill="1" applyBorder="1" applyAlignment="1">
      <alignment horizontal="center" vertical="center" wrapText="1"/>
    </xf>
    <xf numFmtId="0" fontId="48" fillId="43" borderId="42" xfId="14" applyFont="1" applyFill="1" applyBorder="1" applyAlignment="1">
      <alignment horizontal="center" vertical="center" wrapText="1"/>
    </xf>
    <xf numFmtId="0" fontId="48" fillId="44" borderId="42" xfId="14" applyFont="1" applyFill="1" applyBorder="1" applyAlignment="1">
      <alignment horizontal="center" vertical="center" wrapText="1"/>
    </xf>
    <xf numFmtId="0" fontId="48" fillId="0" borderId="0" xfId="14" applyFont="1" applyAlignment="1">
      <alignment vertical="center"/>
    </xf>
    <xf numFmtId="0" fontId="47" fillId="3" borderId="0" xfId="14" applyFont="1" applyFill="1"/>
    <xf numFmtId="0" fontId="47" fillId="3" borderId="43" xfId="14" applyFont="1" applyFill="1" applyBorder="1" applyAlignment="1">
      <alignment horizontal="left" indent="2"/>
    </xf>
    <xf numFmtId="0" fontId="47" fillId="3" borderId="44" xfId="14" applyFont="1" applyFill="1" applyBorder="1" applyAlignment="1">
      <alignment horizontal="left" indent="2"/>
    </xf>
    <xf numFmtId="0" fontId="48" fillId="0" borderId="45" xfId="14" applyFont="1" applyBorder="1" applyAlignment="1">
      <alignment horizontal="right" indent="2"/>
    </xf>
    <xf numFmtId="0" fontId="48" fillId="5" borderId="45" xfId="14" applyFont="1" applyFill="1" applyBorder="1" applyAlignment="1">
      <alignment horizontal="right" indent="2"/>
    </xf>
    <xf numFmtId="0" fontId="47" fillId="3" borderId="37" xfId="14" applyFont="1" applyFill="1" applyBorder="1" applyAlignment="1">
      <alignment horizontal="left" indent="2"/>
    </xf>
    <xf numFmtId="0" fontId="47" fillId="3" borderId="38" xfId="14" applyFont="1" applyFill="1" applyBorder="1" applyAlignment="1">
      <alignment horizontal="left" indent="2"/>
    </xf>
    <xf numFmtId="0" fontId="48" fillId="0" borderId="36" xfId="14" applyFont="1" applyBorder="1" applyAlignment="1">
      <alignment horizontal="right" indent="2"/>
    </xf>
    <xf numFmtId="0" fontId="47" fillId="3" borderId="46" xfId="14" applyFont="1" applyFill="1" applyBorder="1" applyAlignment="1">
      <alignment horizontal="left" indent="2"/>
    </xf>
    <xf numFmtId="0" fontId="47" fillId="3" borderId="47" xfId="14" applyFont="1" applyFill="1" applyBorder="1" applyAlignment="1">
      <alignment horizontal="left" indent="2"/>
    </xf>
    <xf numFmtId="2" fontId="48" fillId="0" borderId="48" xfId="14" applyNumberFormat="1" applyFont="1" applyBorder="1" applyAlignment="1">
      <alignment horizontal="right" indent="2"/>
    </xf>
    <xf numFmtId="175" fontId="48" fillId="5" borderId="36" xfId="14" applyNumberFormat="1" applyFont="1" applyFill="1" applyBorder="1" applyAlignment="1">
      <alignment horizontal="right" indent="2"/>
    </xf>
    <xf numFmtId="0" fontId="48" fillId="5" borderId="36" xfId="14" applyFont="1" applyFill="1" applyBorder="1" applyAlignment="1">
      <alignment horizontal="right" indent="2"/>
    </xf>
    <xf numFmtId="0" fontId="47" fillId="3" borderId="49" xfId="14" applyFont="1" applyFill="1" applyBorder="1" applyAlignment="1">
      <alignment horizontal="left" indent="2"/>
    </xf>
    <xf numFmtId="0" fontId="47" fillId="3" borderId="50" xfId="14" applyFont="1" applyFill="1" applyBorder="1" applyAlignment="1">
      <alignment horizontal="left" indent="2"/>
    </xf>
    <xf numFmtId="0" fontId="48" fillId="0" borderId="39" xfId="14" applyFont="1" applyBorder="1" applyAlignment="1">
      <alignment horizontal="right" indent="2"/>
    </xf>
    <xf numFmtId="165" fontId="48" fillId="0" borderId="36" xfId="14" applyNumberFormat="1" applyFont="1" applyBorder="1" applyAlignment="1">
      <alignment horizontal="right" indent="2"/>
    </xf>
    <xf numFmtId="0" fontId="47" fillId="3" borderId="43" xfId="14" applyFont="1" applyFill="1" applyBorder="1"/>
    <xf numFmtId="0" fontId="47" fillId="3" borderId="51" xfId="14" applyFont="1" applyFill="1" applyBorder="1"/>
    <xf numFmtId="0" fontId="48" fillId="3" borderId="51" xfId="14" applyFont="1" applyFill="1" applyBorder="1" applyAlignment="1">
      <alignment horizontal="right" indent="2"/>
    </xf>
    <xf numFmtId="0" fontId="48" fillId="3" borderId="44" xfId="14" applyFont="1" applyFill="1" applyBorder="1" applyAlignment="1">
      <alignment horizontal="right" indent="2"/>
    </xf>
    <xf numFmtId="4" fontId="48" fillId="0" borderId="39" xfId="14" applyNumberFormat="1" applyFont="1" applyBorder="1" applyAlignment="1">
      <alignment horizontal="right" indent="2"/>
    </xf>
    <xf numFmtId="4" fontId="48" fillId="0" borderId="48" xfId="14" applyNumberFormat="1" applyFont="1" applyBorder="1" applyAlignment="1">
      <alignment horizontal="right" indent="2"/>
    </xf>
    <xf numFmtId="4" fontId="49" fillId="0" borderId="48" xfId="14" applyNumberFormat="1" applyFont="1" applyBorder="1" applyAlignment="1">
      <alignment horizontal="right" indent="2"/>
    </xf>
    <xf numFmtId="4" fontId="48" fillId="0" borderId="42" xfId="14" applyNumberFormat="1" applyFont="1" applyBorder="1" applyAlignment="1">
      <alignment horizontal="right" indent="2"/>
    </xf>
    <xf numFmtId="4" fontId="49" fillId="0" borderId="42" xfId="14" applyNumberFormat="1" applyFont="1" applyBorder="1" applyAlignment="1">
      <alignment horizontal="right" indent="2"/>
    </xf>
    <xf numFmtId="4" fontId="48" fillId="26" borderId="39" xfId="14" applyNumberFormat="1" applyFont="1" applyFill="1" applyBorder="1" applyAlignment="1">
      <alignment horizontal="right" indent="2"/>
    </xf>
    <xf numFmtId="0" fontId="47" fillId="3" borderId="52" xfId="14" applyFont="1" applyFill="1" applyBorder="1" applyAlignment="1">
      <alignment horizontal="left" indent="2"/>
    </xf>
    <xf numFmtId="0" fontId="47" fillId="3" borderId="41" xfId="14" applyFont="1" applyFill="1" applyBorder="1" applyAlignment="1">
      <alignment horizontal="left" indent="2"/>
    </xf>
    <xf numFmtId="0" fontId="48" fillId="3" borderId="46" xfId="14" applyFont="1" applyFill="1" applyBorder="1" applyAlignment="1">
      <alignment horizontal="left" indent="2"/>
    </xf>
    <xf numFmtId="0" fontId="48" fillId="3" borderId="47" xfId="14" applyFont="1" applyFill="1" applyBorder="1" applyAlignment="1">
      <alignment horizontal="left" indent="2"/>
    </xf>
    <xf numFmtId="0" fontId="48" fillId="3" borderId="53" xfId="14" applyFont="1" applyFill="1" applyBorder="1" applyAlignment="1">
      <alignment horizontal="left" indent="2"/>
    </xf>
    <xf numFmtId="0" fontId="48" fillId="3" borderId="54" xfId="14" applyFont="1" applyFill="1" applyBorder="1" applyAlignment="1">
      <alignment horizontal="left" indent="2"/>
    </xf>
    <xf numFmtId="4" fontId="48" fillId="0" borderId="55" xfId="14" applyNumberFormat="1" applyFont="1" applyBorder="1" applyAlignment="1">
      <alignment horizontal="right" indent="2"/>
    </xf>
    <xf numFmtId="4" fontId="49" fillId="0" borderId="55" xfId="14" applyNumberFormat="1" applyFont="1" applyBorder="1" applyAlignment="1">
      <alignment horizontal="right" indent="2"/>
    </xf>
    <xf numFmtId="0" fontId="48" fillId="0" borderId="39" xfId="14" applyFont="1" applyBorder="1"/>
    <xf numFmtId="0" fontId="48" fillId="0" borderId="49" xfId="14" applyFont="1" applyBorder="1"/>
    <xf numFmtId="0" fontId="48" fillId="0" borderId="48" xfId="14" applyFont="1" applyBorder="1"/>
    <xf numFmtId="0" fontId="48" fillId="0" borderId="46" xfId="14" applyFont="1" applyBorder="1"/>
    <xf numFmtId="3" fontId="47" fillId="0" borderId="0" xfId="14" applyNumberFormat="1" applyFont="1" applyAlignment="1">
      <alignment horizontal="right" indent="2"/>
    </xf>
    <xf numFmtId="0" fontId="48" fillId="0" borderId="50" xfId="14" applyFont="1" applyBorder="1"/>
    <xf numFmtId="3" fontId="47" fillId="0" borderId="46" xfId="14" applyNumberFormat="1" applyFont="1" applyBorder="1" applyAlignment="1">
      <alignment horizontal="right" indent="2"/>
    </xf>
    <xf numFmtId="0" fontId="48" fillId="0" borderId="56" xfId="14" applyFont="1" applyBorder="1"/>
    <xf numFmtId="3" fontId="47" fillId="0" borderId="53" xfId="14" applyNumberFormat="1" applyFont="1" applyBorder="1" applyAlignment="1">
      <alignment horizontal="right" indent="2"/>
    </xf>
    <xf numFmtId="0" fontId="48" fillId="0" borderId="57" xfId="14" applyFont="1" applyBorder="1"/>
    <xf numFmtId="0" fontId="48" fillId="0" borderId="54" xfId="14" applyFont="1" applyBorder="1"/>
    <xf numFmtId="0" fontId="48" fillId="0" borderId="58" xfId="14" applyFont="1" applyBorder="1"/>
    <xf numFmtId="0" fontId="48" fillId="0" borderId="38" xfId="14" applyFont="1" applyBorder="1"/>
    <xf numFmtId="0" fontId="20" fillId="12" borderId="18" xfId="11" applyFont="1" applyFill="1" applyBorder="1" applyAlignment="1">
      <alignment horizontal="center" wrapText="1"/>
    </xf>
    <xf numFmtId="0" fontId="20" fillId="45" borderId="18" xfId="11" applyFont="1" applyFill="1" applyBorder="1" applyAlignment="1">
      <alignment horizontal="center" wrapText="1"/>
    </xf>
    <xf numFmtId="0" fontId="20" fillId="0" borderId="18" xfId="11" applyFont="1" applyBorder="1" applyAlignment="1">
      <alignment horizontal="center" wrapText="1"/>
    </xf>
    <xf numFmtId="0" fontId="20" fillId="0" borderId="18" xfId="11" applyFont="1" applyBorder="1" applyAlignment="1">
      <alignment wrapText="1"/>
    </xf>
    <xf numFmtId="0" fontId="20" fillId="0" borderId="18" xfId="11" applyFont="1" applyBorder="1" applyAlignment="1">
      <alignment horizontal="left" vertical="center" wrapText="1"/>
    </xf>
    <xf numFmtId="2" fontId="1" fillId="0" borderId="18" xfId="11" applyNumberFormat="1" applyBorder="1" applyAlignment="1">
      <alignment horizontal="right" vertical="center" wrapText="1"/>
    </xf>
    <xf numFmtId="43" fontId="1" fillId="26" borderId="18" xfId="11" applyNumberFormat="1" applyFill="1" applyBorder="1" applyAlignment="1">
      <alignment horizontal="right" vertical="center" wrapText="1"/>
    </xf>
    <xf numFmtId="0" fontId="20" fillId="0" borderId="18" xfId="11" applyFont="1" applyBorder="1" applyAlignment="1">
      <alignment horizontal="left" wrapText="1"/>
    </xf>
    <xf numFmtId="0" fontId="1" fillId="26" borderId="18" xfId="11" applyFill="1" applyBorder="1" applyAlignment="1">
      <alignment wrapText="1"/>
    </xf>
    <xf numFmtId="2" fontId="1" fillId="0" borderId="18" xfId="11" applyNumberFormat="1" applyBorder="1" applyAlignment="1">
      <alignment wrapText="1"/>
    </xf>
    <xf numFmtId="43" fontId="1" fillId="0" borderId="18" xfId="11" applyNumberFormat="1" applyBorder="1" applyAlignment="1">
      <alignment wrapText="1"/>
    </xf>
    <xf numFmtId="43" fontId="0" fillId="0" borderId="18" xfId="13" applyFont="1" applyBorder="1" applyAlignment="1">
      <alignment wrapText="1"/>
    </xf>
    <xf numFmtId="2" fontId="1" fillId="26" borderId="18" xfId="11" applyNumberFormat="1" applyFill="1" applyBorder="1" applyAlignment="1">
      <alignment wrapText="1"/>
    </xf>
    <xf numFmtId="43" fontId="30" fillId="26" borderId="18" xfId="11" applyNumberFormat="1" applyFont="1" applyFill="1" applyBorder="1" applyAlignment="1">
      <alignment wrapText="1"/>
    </xf>
    <xf numFmtId="4" fontId="1" fillId="0" borderId="18" xfId="11" applyNumberFormat="1" applyBorder="1" applyAlignment="1">
      <alignment wrapText="1"/>
    </xf>
    <xf numFmtId="0" fontId="0" fillId="0" borderId="18" xfId="0" applyBorder="1" applyAlignment="1">
      <alignment wrapText="1"/>
    </xf>
    <xf numFmtId="0" fontId="0" fillId="26" borderId="18" xfId="0" applyFill="1" applyBorder="1" applyAlignment="1">
      <alignment wrapText="1"/>
    </xf>
    <xf numFmtId="0" fontId="53" fillId="0" borderId="0" xfId="0" applyFont="1"/>
    <xf numFmtId="0" fontId="54" fillId="0" borderId="0" xfId="0" applyFont="1" applyAlignment="1">
      <alignment horizontal="center"/>
    </xf>
    <xf numFmtId="0" fontId="54" fillId="0" borderId="0" xfId="0" applyFont="1"/>
    <xf numFmtId="43" fontId="0" fillId="26" borderId="0" xfId="0" applyNumberFormat="1" applyFill="1"/>
    <xf numFmtId="9" fontId="43" fillId="0" borderId="35" xfId="2" applyFont="1" applyBorder="1" applyAlignment="1">
      <alignment horizontal="center"/>
    </xf>
    <xf numFmtId="0" fontId="43" fillId="0" borderId="35" xfId="7" applyFont="1" applyBorder="1" applyAlignment="1">
      <alignment horizontal="center"/>
    </xf>
    <xf numFmtId="173" fontId="43" fillId="0" borderId="35" xfId="7" applyNumberFormat="1" applyFont="1" applyBorder="1" applyAlignment="1">
      <alignment horizontal="center" wrapText="1"/>
    </xf>
    <xf numFmtId="0" fontId="54" fillId="0" borderId="35" xfId="7" applyFont="1" applyBorder="1" applyAlignment="1">
      <alignment horizontal="center"/>
    </xf>
    <xf numFmtId="10" fontId="43" fillId="0" borderId="35" xfId="9" applyNumberFormat="1" applyFont="1" applyBorder="1" applyAlignment="1" applyProtection="1">
      <alignment horizontal="center" wrapText="1"/>
      <protection hidden="1"/>
    </xf>
    <xf numFmtId="10" fontId="43" fillId="0" borderId="35" xfId="9" applyNumberFormat="1" applyFont="1" applyBorder="1" applyAlignment="1" applyProtection="1">
      <alignment horizontal="center"/>
      <protection hidden="1"/>
    </xf>
    <xf numFmtId="0" fontId="44" fillId="35" borderId="35" xfId="0" applyFont="1" applyFill="1" applyBorder="1"/>
    <xf numFmtId="43" fontId="38" fillId="24" borderId="35" xfId="4" applyFont="1" applyFill="1" applyBorder="1" applyAlignment="1" applyProtection="1">
      <alignment horizontal="center"/>
      <protection hidden="1"/>
    </xf>
    <xf numFmtId="0" fontId="23" fillId="0" borderId="0" xfId="0" applyFont="1" applyAlignment="1">
      <alignment horizontal="center" vertical="center"/>
    </xf>
    <xf numFmtId="39" fontId="38" fillId="34" borderId="35" xfId="8" applyNumberFormat="1" applyFont="1" applyFill="1" applyBorder="1" applyAlignment="1">
      <alignment horizontal="center"/>
    </xf>
    <xf numFmtId="0" fontId="54" fillId="24" borderId="21" xfId="0" applyFont="1" applyFill="1" applyBorder="1"/>
    <xf numFmtId="174" fontId="54" fillId="24" borderId="21" xfId="0" applyNumberFormat="1" applyFont="1" applyFill="1" applyBorder="1"/>
    <xf numFmtId="43" fontId="0" fillId="0" borderId="0" xfId="0" applyNumberFormat="1" applyAlignment="1">
      <alignment horizontal="center"/>
    </xf>
    <xf numFmtId="0" fontId="53" fillId="0" borderId="0" xfId="0" applyFont="1" applyAlignment="1">
      <alignment vertical="center" wrapText="1"/>
    </xf>
    <xf numFmtId="0" fontId="54" fillId="0" borderId="0" xfId="0" applyFont="1" applyAlignment="1">
      <alignment horizontal="center" vertical="center" wrapText="1"/>
    </xf>
    <xf numFmtId="0" fontId="30" fillId="0" borderId="0" xfId="0" applyFont="1"/>
    <xf numFmtId="0" fontId="55" fillId="32" borderId="35" xfId="0" applyFont="1" applyFill="1" applyBorder="1" applyAlignment="1" applyProtection="1">
      <alignment horizontal="center" vertical="center"/>
      <protection locked="0"/>
    </xf>
    <xf numFmtId="43" fontId="56" fillId="0" borderId="35" xfId="4" applyFont="1" applyFill="1" applyBorder="1" applyProtection="1">
      <protection locked="0" hidden="1"/>
    </xf>
    <xf numFmtId="10" fontId="56" fillId="34" borderId="35" xfId="4" applyNumberFormat="1" applyFont="1" applyFill="1" applyBorder="1" applyAlignment="1" applyProtection="1">
      <alignment horizontal="center"/>
    </xf>
    <xf numFmtId="1" fontId="0" fillId="0" borderId="0" xfId="0" applyNumberFormat="1" applyAlignment="1">
      <alignment horizontal="center"/>
    </xf>
    <xf numFmtId="0" fontId="0" fillId="24" borderId="0" xfId="0" applyFill="1" applyAlignment="1">
      <alignment horizontal="center" wrapText="1"/>
    </xf>
    <xf numFmtId="10" fontId="56" fillId="36" borderId="35" xfId="2" applyNumberFormat="1" applyFont="1" applyFill="1" applyBorder="1" applyAlignment="1" applyProtection="1">
      <alignment horizontal="center"/>
      <protection locked="0"/>
    </xf>
    <xf numFmtId="10" fontId="56" fillId="33" borderId="35" xfId="2" applyNumberFormat="1" applyFont="1" applyFill="1" applyBorder="1" applyAlignment="1" applyProtection="1">
      <alignment horizontal="center"/>
      <protection locked="0"/>
    </xf>
    <xf numFmtId="10" fontId="56" fillId="33" borderId="35" xfId="2" applyNumberFormat="1" applyFont="1" applyFill="1" applyBorder="1" applyAlignment="1" applyProtection="1">
      <alignment horizontal="center" wrapText="1"/>
      <protection locked="0"/>
    </xf>
    <xf numFmtId="10" fontId="56" fillId="34" borderId="35" xfId="2" applyNumberFormat="1" applyFont="1" applyFill="1" applyBorder="1" applyAlignment="1" applyProtection="1">
      <alignment horizontal="center"/>
    </xf>
    <xf numFmtId="0" fontId="0" fillId="0" borderId="0" xfId="0" applyAlignment="1">
      <alignment vertical="center"/>
    </xf>
    <xf numFmtId="43" fontId="38" fillId="0" borderId="35" xfId="8" applyNumberFormat="1" applyFont="1" applyBorder="1" applyAlignment="1">
      <alignment horizontal="center"/>
    </xf>
    <xf numFmtId="165" fontId="56" fillId="0" borderId="35" xfId="2" applyNumberFormat="1" applyFont="1" applyFill="1" applyBorder="1" applyAlignment="1" applyProtection="1">
      <alignment horizontal="right"/>
      <protection locked="0"/>
    </xf>
    <xf numFmtId="0" fontId="20" fillId="0" borderId="0" xfId="0" applyFont="1" applyAlignment="1">
      <alignment horizontal="center" vertical="center"/>
    </xf>
    <xf numFmtId="43" fontId="20" fillId="0" borderId="0" xfId="0" applyNumberFormat="1" applyFont="1" applyAlignment="1">
      <alignment horizontal="center" vertical="center"/>
    </xf>
    <xf numFmtId="10" fontId="20" fillId="0" borderId="0" xfId="0" applyNumberFormat="1" applyFont="1"/>
    <xf numFmtId="10" fontId="57" fillId="0" borderId="0" xfId="0" applyNumberFormat="1" applyFont="1"/>
    <xf numFmtId="0" fontId="56" fillId="0" borderId="0" xfId="0" applyFont="1"/>
    <xf numFmtId="0" fontId="20" fillId="0" borderId="0" xfId="11" applyFont="1"/>
    <xf numFmtId="43" fontId="1" fillId="0" borderId="0" xfId="11" applyNumberFormat="1"/>
    <xf numFmtId="0" fontId="1" fillId="0" borderId="0" xfId="11" applyAlignment="1">
      <alignment horizontal="center"/>
    </xf>
    <xf numFmtId="10" fontId="20" fillId="5" borderId="36" xfId="11" applyNumberFormat="1" applyFont="1" applyFill="1" applyBorder="1"/>
    <xf numFmtId="0" fontId="20" fillId="0" borderId="36" xfId="11" applyFont="1" applyBorder="1" applyAlignment="1">
      <alignment horizontal="center"/>
    </xf>
    <xf numFmtId="1" fontId="48" fillId="0" borderId="36" xfId="14" applyNumberFormat="1" applyFont="1" applyBorder="1"/>
    <xf numFmtId="0" fontId="48" fillId="0" borderId="0" xfId="15" applyFont="1"/>
    <xf numFmtId="1" fontId="48" fillId="0" borderId="0" xfId="14" applyNumberFormat="1" applyFont="1"/>
    <xf numFmtId="0" fontId="47" fillId="0" borderId="0" xfId="14" applyFont="1" applyAlignment="1">
      <alignment horizontal="right"/>
    </xf>
    <xf numFmtId="1" fontId="48" fillId="0" borderId="25" xfId="14" applyNumberFormat="1" applyFont="1" applyBorder="1"/>
    <xf numFmtId="2" fontId="58" fillId="0" borderId="48" xfId="14" applyNumberFormat="1" applyFont="1" applyBorder="1" applyAlignment="1">
      <alignment horizontal="right" indent="2"/>
    </xf>
    <xf numFmtId="165" fontId="58" fillId="0" borderId="36" xfId="14" applyNumberFormat="1" applyFont="1" applyBorder="1" applyAlignment="1">
      <alignment horizontal="right" indent="2"/>
    </xf>
    <xf numFmtId="9" fontId="58" fillId="0" borderId="0" xfId="15" applyNumberFormat="1" applyFont="1"/>
    <xf numFmtId="2" fontId="58" fillId="0" borderId="0" xfId="15" applyNumberFormat="1" applyFont="1"/>
    <xf numFmtId="0" fontId="58" fillId="0" borderId="36" xfId="14" applyFont="1" applyBorder="1" applyAlignment="1">
      <alignment horizontal="right" indent="2"/>
    </xf>
    <xf numFmtId="0" fontId="58" fillId="0" borderId="39" xfId="14" applyFont="1" applyBorder="1" applyAlignment="1">
      <alignment horizontal="right" indent="2"/>
    </xf>
    <xf numFmtId="4" fontId="58" fillId="0" borderId="39" xfId="14" applyNumberFormat="1" applyFont="1" applyBorder="1" applyAlignment="1">
      <alignment horizontal="right" indent="2"/>
    </xf>
    <xf numFmtId="4" fontId="58" fillId="0" borderId="48" xfId="14" applyNumberFormat="1" applyFont="1" applyBorder="1" applyAlignment="1">
      <alignment horizontal="right" indent="2"/>
    </xf>
    <xf numFmtId="4" fontId="58" fillId="0" borderId="42" xfId="14" applyNumberFormat="1" applyFont="1" applyBorder="1" applyAlignment="1">
      <alignment horizontal="right" indent="2"/>
    </xf>
    <xf numFmtId="4" fontId="58" fillId="0" borderId="60" xfId="14" applyNumberFormat="1" applyFont="1" applyBorder="1" applyAlignment="1">
      <alignment horizontal="right" indent="2"/>
    </xf>
    <xf numFmtId="4" fontId="49" fillId="0" borderId="59" xfId="14" applyNumberFormat="1" applyFont="1" applyBorder="1" applyAlignment="1">
      <alignment horizontal="right" indent="2"/>
    </xf>
    <xf numFmtId="4" fontId="48" fillId="0" borderId="59" xfId="14" applyNumberFormat="1" applyFont="1" applyBorder="1" applyAlignment="1">
      <alignment horizontal="right" indent="2"/>
    </xf>
    <xf numFmtId="0" fontId="47" fillId="0" borderId="0" xfId="14" applyFont="1" applyAlignment="1">
      <alignment horizontal="center"/>
    </xf>
    <xf numFmtId="0" fontId="59" fillId="0" borderId="0" xfId="14" applyFont="1" applyAlignment="1">
      <alignment horizontal="center"/>
    </xf>
    <xf numFmtId="4" fontId="58" fillId="0" borderId="55" xfId="14" applyNumberFormat="1" applyFont="1" applyBorder="1" applyAlignment="1">
      <alignment horizontal="right" indent="2"/>
    </xf>
    <xf numFmtId="0" fontId="1" fillId="0" borderId="18" xfId="11" applyBorder="1" applyAlignment="1">
      <alignment horizontal="right" vertical="center" wrapText="1"/>
    </xf>
    <xf numFmtId="9" fontId="20" fillId="0" borderId="18" xfId="11" applyNumberFormat="1" applyFont="1" applyBorder="1" applyAlignment="1">
      <alignment horizontal="right" vertical="center" wrapText="1"/>
    </xf>
    <xf numFmtId="1" fontId="30" fillId="0" borderId="18" xfId="11" applyNumberFormat="1" applyFont="1" applyBorder="1" applyAlignment="1">
      <alignment horizontal="right" vertical="center" wrapText="1"/>
    </xf>
    <xf numFmtId="0" fontId="0" fillId="12" borderId="0" xfId="0" applyFill="1" applyAlignment="1">
      <alignment wrapText="1"/>
    </xf>
    <xf numFmtId="10" fontId="0" fillId="0" borderId="18" xfId="0" applyNumberFormat="1" applyBorder="1" applyAlignment="1">
      <alignment wrapText="1"/>
    </xf>
    <xf numFmtId="43" fontId="0" fillId="0" borderId="0" xfId="0" applyNumberFormat="1" applyAlignment="1">
      <alignment wrapText="1"/>
    </xf>
    <xf numFmtId="43" fontId="0" fillId="14" borderId="18" xfId="0" applyNumberFormat="1" applyFill="1" applyBorder="1" applyAlignment="1">
      <alignment wrapText="1"/>
    </xf>
    <xf numFmtId="0" fontId="0" fillId="14" borderId="18" xfId="0" applyFill="1" applyBorder="1" applyAlignment="1">
      <alignment wrapText="1"/>
    </xf>
    <xf numFmtId="2" fontId="0" fillId="0" borderId="18" xfId="0" applyNumberFormat="1" applyBorder="1" applyAlignment="1">
      <alignment wrapText="1"/>
    </xf>
    <xf numFmtId="0" fontId="30" fillId="0" borderId="18" xfId="0" applyFont="1" applyBorder="1" applyAlignment="1">
      <alignment wrapText="1"/>
    </xf>
    <xf numFmtId="9" fontId="23" fillId="0" borderId="18" xfId="0" applyNumberFormat="1" applyFont="1" applyBorder="1" applyAlignment="1">
      <alignment wrapText="1"/>
    </xf>
    <xf numFmtId="4" fontId="0" fillId="0" borderId="18" xfId="0" applyNumberFormat="1" applyBorder="1" applyAlignment="1">
      <alignment vertical="center" wrapText="1"/>
    </xf>
    <xf numFmtId="0" fontId="23" fillId="0" borderId="18" xfId="0" applyFont="1" applyBorder="1" applyAlignment="1">
      <alignment wrapText="1"/>
    </xf>
    <xf numFmtId="43" fontId="0" fillId="0" borderId="18" xfId="13" applyFont="1" applyFill="1" applyBorder="1" applyAlignment="1">
      <alignment wrapText="1"/>
    </xf>
    <xf numFmtId="43" fontId="0" fillId="0" borderId="15" xfId="13" applyFont="1" applyFill="1" applyBorder="1" applyAlignment="1">
      <alignment wrapText="1"/>
    </xf>
    <xf numFmtId="43" fontId="0" fillId="0" borderId="18" xfId="13" applyFont="1" applyFill="1" applyBorder="1" applyAlignment="1">
      <alignment vertical="center" wrapText="1"/>
    </xf>
    <xf numFmtId="43" fontId="0" fillId="0" borderId="15" xfId="13" applyFont="1" applyFill="1" applyBorder="1" applyAlignment="1">
      <alignment vertical="center" wrapText="1"/>
    </xf>
    <xf numFmtId="4" fontId="0" fillId="0" borderId="0" xfId="0" applyNumberFormat="1" applyAlignment="1">
      <alignment wrapText="1"/>
    </xf>
    <xf numFmtId="176" fontId="0" fillId="0" borderId="18" xfId="13" applyNumberFormat="1" applyFont="1" applyFill="1" applyBorder="1" applyAlignment="1">
      <alignment vertical="center" wrapText="1"/>
    </xf>
    <xf numFmtId="0" fontId="54" fillId="0" borderId="10" xfId="0" applyFont="1" applyBorder="1" applyAlignment="1">
      <alignment horizontal="center" wrapText="1"/>
    </xf>
    <xf numFmtId="0" fontId="54" fillId="0" borderId="18" xfId="0" applyFont="1" applyBorder="1" applyAlignment="1">
      <alignment horizontal="center" wrapText="1"/>
    </xf>
    <xf numFmtId="0" fontId="54" fillId="0" borderId="2" xfId="0" applyFont="1" applyBorder="1" applyAlignment="1">
      <alignment horizontal="center" wrapText="1"/>
    </xf>
    <xf numFmtId="2" fontId="24" fillId="0" borderId="0" xfId="0" applyNumberFormat="1" applyFont="1" applyAlignment="1">
      <alignment horizontal="right" wrapText="1"/>
    </xf>
    <xf numFmtId="43" fontId="60" fillId="0" borderId="18" xfId="0" applyNumberFormat="1" applyFont="1" applyBorder="1" applyAlignment="1">
      <alignment horizontal="right" wrapText="1"/>
    </xf>
    <xf numFmtId="0" fontId="20" fillId="0" borderId="18" xfId="0" applyFont="1" applyBorder="1" applyAlignment="1">
      <alignment horizontal="right" wrapText="1"/>
    </xf>
    <xf numFmtId="0" fontId="60" fillId="0" borderId="18" xfId="0" applyFont="1" applyBorder="1" applyAlignment="1">
      <alignment horizontal="right" wrapText="1"/>
    </xf>
    <xf numFmtId="43" fontId="0" fillId="0" borderId="18" xfId="0" applyNumberFormat="1" applyBorder="1" applyAlignment="1">
      <alignment vertical="center" wrapText="1"/>
    </xf>
    <xf numFmtId="43" fontId="0" fillId="0" borderId="18" xfId="0" applyNumberFormat="1" applyBorder="1" applyAlignment="1">
      <alignment wrapText="1"/>
    </xf>
    <xf numFmtId="0" fontId="0" fillId="0" borderId="61" xfId="0" applyBorder="1" applyAlignment="1">
      <alignment wrapText="1"/>
    </xf>
    <xf numFmtId="0" fontId="20" fillId="12" borderId="18" xfId="0" applyFont="1" applyFill="1" applyBorder="1" applyAlignment="1">
      <alignment horizontal="center" wrapText="1"/>
    </xf>
    <xf numFmtId="43" fontId="23" fillId="0" borderId="18" xfId="13" applyFont="1" applyFill="1" applyBorder="1" applyAlignment="1">
      <alignment vertical="center" wrapText="1"/>
    </xf>
    <xf numFmtId="0" fontId="2" fillId="0" borderId="18" xfId="3" applyBorder="1" applyAlignment="1">
      <alignment vertical="center" wrapText="1"/>
    </xf>
    <xf numFmtId="0" fontId="2" fillId="26" borderId="18" xfId="3" applyFill="1" applyBorder="1" applyAlignment="1">
      <alignment vertical="center" wrapText="1"/>
    </xf>
    <xf numFmtId="43" fontId="2" fillId="26" borderId="18" xfId="3" applyNumberFormat="1" applyFill="1" applyBorder="1" applyAlignment="1">
      <alignment vertical="center" wrapText="1"/>
    </xf>
    <xf numFmtId="43" fontId="2" fillId="0" borderId="18" xfId="3" applyNumberFormat="1" applyBorder="1" applyAlignment="1">
      <alignment vertical="center" wrapText="1"/>
    </xf>
    <xf numFmtId="2" fontId="2" fillId="0" borderId="18" xfId="3" applyNumberFormat="1" applyBorder="1" applyAlignment="1">
      <alignment vertical="center" wrapText="1"/>
    </xf>
    <xf numFmtId="9" fontId="56" fillId="0" borderId="0" xfId="3" applyNumberFormat="1" applyFont="1" applyAlignment="1">
      <alignment vertical="center" wrapText="1"/>
    </xf>
    <xf numFmtId="0" fontId="56" fillId="0" borderId="0" xfId="3" applyFont="1" applyAlignment="1">
      <alignment vertical="center" wrapText="1"/>
    </xf>
    <xf numFmtId="0" fontId="20" fillId="0" borderId="0" xfId="3" applyFont="1" applyAlignment="1">
      <alignment horizontal="right" vertical="center" wrapText="1"/>
    </xf>
    <xf numFmtId="9" fontId="61" fillId="0" borderId="18" xfId="3" applyNumberFormat="1" applyFont="1" applyBorder="1" applyAlignment="1">
      <alignment vertical="center" wrapText="1"/>
    </xf>
    <xf numFmtId="2" fontId="61" fillId="0" borderId="18" xfId="3" applyNumberFormat="1" applyFont="1" applyBorder="1" applyAlignment="1">
      <alignment vertical="center" wrapText="1"/>
    </xf>
    <xf numFmtId="168" fontId="2" fillId="0" borderId="18" xfId="3" applyNumberFormat="1" applyBorder="1" applyAlignment="1">
      <alignment vertical="center" wrapText="1"/>
    </xf>
    <xf numFmtId="0" fontId="62" fillId="0" borderId="0" xfId="0" applyFont="1" applyAlignment="1">
      <alignment horizontal="center"/>
    </xf>
    <xf numFmtId="0" fontId="62" fillId="0" borderId="0" xfId="0" applyFont="1" applyAlignment="1">
      <alignment horizontal="center" wrapText="1"/>
    </xf>
    <xf numFmtId="44" fontId="62" fillId="0" borderId="0" xfId="0" applyNumberFormat="1" applyFont="1" applyAlignment="1">
      <alignment horizontal="center" wrapText="1"/>
    </xf>
    <xf numFmtId="0" fontId="63" fillId="0" borderId="0" xfId="0" applyFont="1" applyAlignment="1">
      <alignment horizontal="right"/>
    </xf>
    <xf numFmtId="0" fontId="64" fillId="0" borderId="0" xfId="0" applyFont="1" applyAlignment="1">
      <alignment horizontal="center"/>
    </xf>
    <xf numFmtId="44" fontId="65" fillId="0" borderId="0" xfId="1" applyFont="1" applyAlignment="1">
      <alignment horizontal="center" wrapText="1"/>
    </xf>
    <xf numFmtId="44" fontId="64" fillId="0" borderId="0" xfId="0" applyNumberFormat="1" applyFont="1" applyAlignment="1">
      <alignment horizontal="center" wrapText="1"/>
    </xf>
    <xf numFmtId="0" fontId="64" fillId="0" borderId="0" xfId="0" applyFont="1" applyAlignment="1">
      <alignment horizontal="left" wrapText="1"/>
    </xf>
    <xf numFmtId="0" fontId="66" fillId="0" borderId="0" xfId="3" applyFont="1" applyAlignment="1">
      <alignment horizontal="right"/>
    </xf>
    <xf numFmtId="44" fontId="67" fillId="0" borderId="0" xfId="1" applyFont="1" applyFill="1" applyAlignment="1">
      <alignment wrapText="1"/>
    </xf>
    <xf numFmtId="0" fontId="64" fillId="0" borderId="0" xfId="0" applyFont="1" applyAlignment="1">
      <alignment wrapText="1"/>
    </xf>
    <xf numFmtId="0" fontId="63" fillId="0" borderId="0" xfId="3" applyFont="1" applyAlignment="1">
      <alignment horizontal="right"/>
    </xf>
    <xf numFmtId="0" fontId="68" fillId="0" borderId="0" xfId="6" applyFont="1" applyAlignment="1">
      <alignment wrapText="1"/>
    </xf>
    <xf numFmtId="8" fontId="67" fillId="0" borderId="0" xfId="0" applyNumberFormat="1" applyFont="1" applyAlignment="1">
      <alignment wrapText="1"/>
    </xf>
    <xf numFmtId="7" fontId="69" fillId="0" borderId="0" xfId="1" applyNumberFormat="1" applyFont="1"/>
    <xf numFmtId="44" fontId="70" fillId="0" borderId="0" xfId="1" applyFont="1" applyFill="1" applyAlignment="1">
      <alignment wrapText="1"/>
    </xf>
    <xf numFmtId="0" fontId="71" fillId="0" borderId="0" xfId="0" applyFont="1" applyAlignment="1">
      <alignment horizontal="left"/>
    </xf>
    <xf numFmtId="0" fontId="64" fillId="8" borderId="0" xfId="0" applyFont="1" applyFill="1"/>
    <xf numFmtId="0" fontId="72" fillId="8" borderId="0" xfId="0" applyFont="1" applyFill="1" applyAlignment="1">
      <alignment horizontal="center" wrapText="1"/>
    </xf>
    <xf numFmtId="44" fontId="72" fillId="8" borderId="0" xfId="0" applyNumberFormat="1" applyFont="1" applyFill="1" applyAlignment="1">
      <alignment horizontal="center" wrapText="1"/>
    </xf>
    <xf numFmtId="0" fontId="64" fillId="8" borderId="0" xfId="0" applyFont="1" applyFill="1" applyAlignment="1">
      <alignment wrapText="1"/>
    </xf>
    <xf numFmtId="0" fontId="67" fillId="0" borderId="0" xfId="0" applyFont="1" applyAlignment="1">
      <alignment wrapText="1"/>
    </xf>
    <xf numFmtId="44" fontId="64" fillId="0" borderId="0" xfId="0" applyNumberFormat="1" applyFont="1"/>
    <xf numFmtId="10" fontId="67" fillId="0" borderId="0" xfId="2" applyNumberFormat="1" applyFont="1" applyAlignment="1">
      <alignment wrapText="1"/>
    </xf>
    <xf numFmtId="10" fontId="67" fillId="0" borderId="0" xfId="0" applyNumberFormat="1" applyFont="1" applyAlignment="1">
      <alignment wrapText="1"/>
    </xf>
    <xf numFmtId="0" fontId="73" fillId="0" borderId="0" xfId="0" applyFont="1"/>
    <xf numFmtId="0" fontId="74" fillId="0" borderId="0" xfId="0" applyFont="1" applyAlignment="1">
      <alignment horizontal="right"/>
    </xf>
    <xf numFmtId="0" fontId="66" fillId="0" borderId="0" xfId="3" applyFont="1" applyAlignment="1">
      <alignment horizontal="right" vertical="center"/>
    </xf>
    <xf numFmtId="9" fontId="67" fillId="0" borderId="0" xfId="0" applyNumberFormat="1" applyFont="1" applyAlignment="1">
      <alignment vertical="center" wrapText="1"/>
    </xf>
    <xf numFmtId="43" fontId="72" fillId="0" borderId="0" xfId="4" applyFont="1" applyAlignment="1">
      <alignment vertical="center" wrapText="1"/>
    </xf>
    <xf numFmtId="0" fontId="67" fillId="0" borderId="0" xfId="0" applyFont="1" applyAlignment="1">
      <alignment horizontal="right" wrapText="1"/>
    </xf>
    <xf numFmtId="0" fontId="64" fillId="0" borderId="0" xfId="0" applyFont="1"/>
    <xf numFmtId="9" fontId="67" fillId="0" borderId="0" xfId="0" applyNumberFormat="1" applyFont="1" applyAlignment="1">
      <alignment wrapText="1"/>
    </xf>
    <xf numFmtId="43" fontId="70" fillId="0" borderId="0" xfId="4" applyFont="1" applyAlignment="1">
      <alignment wrapText="1"/>
    </xf>
    <xf numFmtId="0" fontId="62" fillId="0" borderId="0" xfId="0" applyFont="1" applyAlignment="1">
      <alignment horizontal="right"/>
    </xf>
    <xf numFmtId="0" fontId="64" fillId="0" borderId="0" xfId="0" applyFont="1" applyAlignment="1">
      <alignment horizontal="right"/>
    </xf>
    <xf numFmtId="43" fontId="67" fillId="0" borderId="0" xfId="4" applyFont="1" applyAlignment="1">
      <alignment wrapText="1"/>
    </xf>
    <xf numFmtId="4" fontId="70" fillId="0" borderId="0" xfId="0" applyNumberFormat="1" applyFont="1" applyAlignment="1">
      <alignment wrapText="1"/>
    </xf>
    <xf numFmtId="2" fontId="70" fillId="0" borderId="0" xfId="0" applyNumberFormat="1" applyFont="1" applyAlignment="1">
      <alignment wrapText="1"/>
    </xf>
    <xf numFmtId="9" fontId="67" fillId="0" borderId="0" xfId="4" applyNumberFormat="1" applyFont="1" applyAlignment="1">
      <alignment vertical="center" wrapText="1"/>
    </xf>
    <xf numFmtId="44" fontId="70" fillId="0" borderId="0" xfId="1" applyFont="1" applyAlignment="1">
      <alignment horizontal="center" wrapText="1"/>
    </xf>
    <xf numFmtId="0" fontId="74" fillId="0" borderId="0" xfId="3" applyFont="1" applyAlignment="1">
      <alignment horizontal="right"/>
    </xf>
    <xf numFmtId="0" fontId="0" fillId="8" borderId="18" xfId="0" applyFill="1" applyBorder="1" applyAlignment="1">
      <alignment vertical="center" wrapText="1"/>
    </xf>
    <xf numFmtId="43" fontId="0" fillId="8" borderId="18" xfId="13" applyFont="1" applyFill="1" applyBorder="1" applyAlignment="1">
      <alignment vertical="center" wrapText="1"/>
    </xf>
    <xf numFmtId="0" fontId="20" fillId="26" borderId="18" xfId="0" applyFont="1" applyFill="1" applyBorder="1" applyAlignment="1">
      <alignment horizontal="right" wrapText="1"/>
    </xf>
    <xf numFmtId="0" fontId="20" fillId="26" borderId="18" xfId="0" applyFont="1" applyFill="1" applyBorder="1" applyAlignment="1">
      <alignment vertical="center" wrapText="1"/>
    </xf>
    <xf numFmtId="43" fontId="20" fillId="26" borderId="18" xfId="13" applyFont="1" applyFill="1" applyBorder="1" applyAlignment="1">
      <alignment vertical="center" wrapText="1"/>
    </xf>
    <xf numFmtId="0" fontId="0" fillId="0" borderId="18" xfId="0" applyBorder="1" applyAlignment="1">
      <alignment horizontal="center" wrapText="1"/>
    </xf>
    <xf numFmtId="2" fontId="30" fillId="0" borderId="0" xfId="0" applyNumberFormat="1" applyFont="1"/>
    <xf numFmtId="2" fontId="56" fillId="0" borderId="0" xfId="3" applyNumberFormat="1" applyFont="1" applyAlignment="1">
      <alignment vertical="center" wrapText="1"/>
    </xf>
    <xf numFmtId="2" fontId="23" fillId="0" borderId="18" xfId="0" applyNumberFormat="1" applyFont="1" applyBorder="1" applyAlignment="1">
      <alignment wrapText="1"/>
    </xf>
    <xf numFmtId="43" fontId="0" fillId="38" borderId="18" xfId="0" applyNumberFormat="1" applyFill="1" applyBorder="1" applyAlignment="1">
      <alignment horizontal="center" vertical="center" wrapText="1"/>
    </xf>
    <xf numFmtId="43" fontId="60" fillId="0" borderId="18" xfId="0" applyNumberFormat="1" applyFont="1" applyBorder="1" applyAlignment="1">
      <alignment horizontal="right" vertical="center" wrapText="1"/>
    </xf>
    <xf numFmtId="0" fontId="20" fillId="31" borderId="0" xfId="0" applyFont="1" applyFill="1" applyAlignment="1">
      <alignment wrapText="1"/>
    </xf>
    <xf numFmtId="43" fontId="20" fillId="31" borderId="0" xfId="0" applyNumberFormat="1" applyFont="1" applyFill="1" applyAlignment="1">
      <alignment wrapText="1"/>
    </xf>
    <xf numFmtId="7" fontId="78" fillId="0" borderId="0" xfId="1" applyNumberFormat="1" applyFont="1"/>
    <xf numFmtId="0" fontId="25" fillId="0" borderId="0" xfId="6" applyAlignment="1">
      <alignment wrapText="1"/>
    </xf>
    <xf numFmtId="9" fontId="56" fillId="0" borderId="0" xfId="0" applyNumberFormat="1" applyFont="1" applyAlignment="1">
      <alignment wrapText="1"/>
    </xf>
    <xf numFmtId="165" fontId="10" fillId="0" borderId="0" xfId="1" applyNumberFormat="1" applyFont="1"/>
    <xf numFmtId="171" fontId="23" fillId="0" borderId="0" xfId="1" applyNumberFormat="1" applyFont="1" applyAlignment="1">
      <alignment wrapText="1"/>
    </xf>
    <xf numFmtId="0" fontId="23" fillId="0" borderId="18" xfId="0" applyFont="1" applyBorder="1" applyAlignment="1">
      <alignment horizontal="center"/>
    </xf>
    <xf numFmtId="0" fontId="34" fillId="0" borderId="18" xfId="0" applyFont="1" applyBorder="1" applyAlignment="1">
      <alignment horizontal="center"/>
    </xf>
    <xf numFmtId="0" fontId="0" fillId="48" borderId="0" xfId="0" applyFill="1"/>
    <xf numFmtId="0" fontId="11" fillId="10" borderId="18" xfId="0" applyFont="1" applyFill="1" applyBorder="1" applyAlignment="1">
      <alignment horizontal="center" vertical="center" wrapText="1"/>
    </xf>
    <xf numFmtId="0" fontId="11" fillId="0" borderId="0" xfId="0" applyFont="1" applyAlignment="1">
      <alignment horizontal="center" wrapText="1"/>
    </xf>
    <xf numFmtId="0" fontId="0" fillId="0" borderId="24" xfId="0" applyBorder="1" applyAlignment="1">
      <alignment horizontal="center"/>
    </xf>
    <xf numFmtId="0" fontId="0" fillId="0" borderId="27" xfId="0" applyBorder="1" applyAlignment="1">
      <alignment horizontal="center"/>
    </xf>
    <xf numFmtId="0" fontId="20" fillId="0" borderId="25" xfId="0" applyFont="1" applyBorder="1" applyAlignment="1">
      <alignment horizontal="center" vertical="center"/>
    </xf>
    <xf numFmtId="0" fontId="0" fillId="6" borderId="62" xfId="0" applyFill="1" applyBorder="1"/>
    <xf numFmtId="44" fontId="0" fillId="0" borderId="0" xfId="1" applyFont="1"/>
    <xf numFmtId="44" fontId="11" fillId="24" borderId="32" xfId="1" applyFont="1" applyFill="1" applyBorder="1" applyAlignment="1">
      <alignment horizontal="center"/>
    </xf>
    <xf numFmtId="0" fontId="54" fillId="31" borderId="0" xfId="0" applyFont="1" applyFill="1" applyAlignment="1">
      <alignment horizontal="left" vertical="center" wrapText="1"/>
    </xf>
    <xf numFmtId="0" fontId="20" fillId="49" borderId="0" xfId="0" applyFont="1" applyFill="1" applyAlignment="1">
      <alignment horizontal="center"/>
    </xf>
    <xf numFmtId="0" fontId="20" fillId="49" borderId="0" xfId="0" applyFont="1" applyFill="1" applyAlignment="1">
      <alignment vertical="center" wrapText="1"/>
    </xf>
    <xf numFmtId="44" fontId="67" fillId="0" borderId="0" xfId="1" applyFont="1"/>
    <xf numFmtId="9" fontId="23" fillId="0" borderId="0" xfId="2" applyFont="1" applyAlignment="1">
      <alignment wrapText="1"/>
    </xf>
    <xf numFmtId="44" fontId="72" fillId="0" borderId="0" xfId="1" applyFont="1" applyFill="1" applyAlignment="1">
      <alignment wrapText="1"/>
    </xf>
    <xf numFmtId="44" fontId="23" fillId="0" borderId="0" xfId="0" applyNumberFormat="1" applyFont="1"/>
    <xf numFmtId="44" fontId="25" fillId="0" borderId="0" xfId="6" applyNumberFormat="1"/>
    <xf numFmtId="9" fontId="23" fillId="0" borderId="0" xfId="2" applyFont="1" applyAlignment="1">
      <alignment horizontal="center" wrapText="1"/>
    </xf>
    <xf numFmtId="44" fontId="67" fillId="0" borderId="0" xfId="0" applyNumberFormat="1" applyFont="1" applyAlignment="1">
      <alignment horizontal="center" wrapText="1"/>
    </xf>
    <xf numFmtId="4" fontId="64" fillId="0" borderId="0" xfId="0" applyNumberFormat="1" applyFont="1" applyAlignment="1">
      <alignment wrapText="1"/>
    </xf>
    <xf numFmtId="5" fontId="20" fillId="0" borderId="21" xfId="0" applyNumberFormat="1" applyFont="1" applyBorder="1"/>
    <xf numFmtId="0" fontId="0" fillId="42" borderId="0" xfId="0" applyFill="1" applyAlignment="1">
      <alignment wrapText="1"/>
    </xf>
    <xf numFmtId="0" fontId="4" fillId="0" borderId="18" xfId="0" applyFont="1" applyBorder="1" applyAlignment="1">
      <alignment wrapText="1"/>
    </xf>
    <xf numFmtId="0" fontId="8" fillId="0" borderId="18" xfId="0" applyFont="1" applyBorder="1" applyAlignment="1">
      <alignment horizontal="center" wrapText="1"/>
    </xf>
    <xf numFmtId="0" fontId="6" fillId="2" borderId="18" xfId="0" applyFont="1" applyFill="1" applyBorder="1" applyAlignment="1">
      <alignment wrapText="1"/>
    </xf>
    <xf numFmtId="0" fontId="7" fillId="0" borderId="18" xfId="0" applyFont="1" applyBorder="1" applyAlignment="1">
      <alignment horizontal="center" wrapText="1"/>
    </xf>
    <xf numFmtId="0" fontId="20" fillId="44" borderId="18" xfId="0" applyFont="1" applyFill="1" applyBorder="1" applyAlignment="1">
      <alignment horizontal="center" wrapText="1"/>
    </xf>
    <xf numFmtId="0" fontId="6" fillId="2" borderId="18" xfId="0" applyFont="1" applyFill="1" applyBorder="1" applyAlignment="1">
      <alignment horizontal="right" wrapText="1"/>
    </xf>
    <xf numFmtId="0" fontId="3" fillId="42" borderId="18" xfId="0" applyFont="1" applyFill="1" applyBorder="1" applyAlignment="1">
      <alignment horizontal="center" wrapText="1"/>
    </xf>
    <xf numFmtId="0" fontId="3" fillId="42" borderId="18" xfId="0" applyFont="1" applyFill="1" applyBorder="1" applyAlignment="1">
      <alignment horizontal="center" vertical="center" wrapText="1"/>
    </xf>
    <xf numFmtId="0" fontId="3" fillId="44" borderId="18" xfId="0" applyFont="1" applyFill="1" applyBorder="1" applyAlignment="1">
      <alignment horizontal="center" vertical="center" wrapText="1"/>
    </xf>
    <xf numFmtId="0" fontId="6" fillId="2" borderId="18" xfId="0" applyFont="1" applyFill="1" applyBorder="1" applyAlignment="1">
      <alignment horizontal="center" wrapText="1"/>
    </xf>
    <xf numFmtId="0" fontId="4" fillId="0" borderId="18" xfId="0" applyFont="1" applyBorder="1" applyAlignment="1">
      <alignment horizontal="center" wrapText="1"/>
    </xf>
    <xf numFmtId="0" fontId="4" fillId="0" borderId="18" xfId="0" applyFont="1" applyBorder="1" applyAlignment="1">
      <alignment horizontal="center" vertical="center" wrapText="1"/>
    </xf>
    <xf numFmtId="0" fontId="3" fillId="0" borderId="18" xfId="3" applyFont="1" applyBorder="1" applyAlignment="1">
      <alignment horizontal="center" wrapText="1"/>
    </xf>
    <xf numFmtId="10" fontId="7" fillId="0" borderId="18" xfId="3" applyNumberFormat="1" applyFont="1" applyBorder="1" applyAlignment="1">
      <alignment wrapText="1"/>
    </xf>
    <xf numFmtId="165" fontId="7" fillId="0" borderId="18" xfId="2" applyNumberFormat="1" applyFont="1" applyBorder="1" applyAlignment="1">
      <alignment wrapText="1"/>
    </xf>
    <xf numFmtId="165" fontId="4" fillId="0" borderId="18" xfId="2" applyNumberFormat="1" applyFont="1" applyBorder="1" applyAlignment="1">
      <alignment wrapText="1"/>
    </xf>
    <xf numFmtId="165" fontId="4" fillId="0" borderId="18" xfId="0" applyNumberFormat="1" applyFont="1" applyBorder="1" applyAlignment="1">
      <alignment wrapText="1"/>
    </xf>
    <xf numFmtId="7" fontId="3" fillId="0" borderId="18" xfId="3" applyNumberFormat="1" applyFont="1" applyBorder="1" applyAlignment="1">
      <alignment horizontal="center" wrapText="1"/>
    </xf>
    <xf numFmtId="0" fontId="3" fillId="0" borderId="18" xfId="0" applyFont="1" applyBorder="1" applyAlignment="1">
      <alignment wrapText="1"/>
    </xf>
    <xf numFmtId="10" fontId="4" fillId="0" borderId="18" xfId="3" applyNumberFormat="1" applyFont="1" applyBorder="1" applyAlignment="1">
      <alignment wrapText="1"/>
    </xf>
    <xf numFmtId="1" fontId="6" fillId="2" borderId="18" xfId="0" applyNumberFormat="1" applyFont="1" applyFill="1" applyBorder="1" applyAlignment="1">
      <alignment wrapText="1"/>
    </xf>
    <xf numFmtId="10" fontId="3" fillId="0" borderId="18" xfId="3" applyNumberFormat="1" applyFont="1" applyBorder="1" applyAlignment="1">
      <alignment wrapText="1"/>
    </xf>
    <xf numFmtId="7" fontId="4" fillId="0" borderId="18" xfId="0" applyNumberFormat="1" applyFont="1" applyBorder="1" applyAlignment="1">
      <alignment wrapText="1"/>
    </xf>
    <xf numFmtId="1" fontId="3" fillId="0" borderId="18" xfId="3" applyNumberFormat="1" applyFont="1" applyBorder="1" applyAlignment="1">
      <alignment horizontal="center" wrapText="1"/>
    </xf>
    <xf numFmtId="5" fontId="7" fillId="0" borderId="18" xfId="0" applyNumberFormat="1" applyFont="1" applyBorder="1" applyAlignment="1">
      <alignment wrapText="1"/>
    </xf>
    <xf numFmtId="5" fontId="4" fillId="0" borderId="18" xfId="0" applyNumberFormat="1" applyFont="1" applyBorder="1" applyAlignment="1">
      <alignment wrapText="1"/>
    </xf>
    <xf numFmtId="0" fontId="7" fillId="0" borderId="18" xfId="0" applyFont="1" applyBorder="1" applyAlignment="1">
      <alignment wrapText="1"/>
    </xf>
    <xf numFmtId="7" fontId="3" fillId="6" borderId="18" xfId="0" applyNumberFormat="1" applyFont="1" applyFill="1" applyBorder="1" applyAlignment="1">
      <alignment wrapText="1"/>
    </xf>
    <xf numFmtId="0" fontId="4" fillId="0" borderId="18" xfId="0" applyFont="1" applyBorder="1" applyAlignment="1">
      <alignment horizontal="left" vertical="center" wrapText="1"/>
    </xf>
    <xf numFmtId="44" fontId="4" fillId="0" borderId="18" xfId="0" applyNumberFormat="1" applyFont="1" applyBorder="1" applyAlignment="1">
      <alignment horizontal="left" vertical="center" wrapText="1"/>
    </xf>
    <xf numFmtId="44" fontId="4" fillId="0" borderId="18" xfId="1" applyFont="1" applyBorder="1" applyAlignment="1">
      <alignment wrapText="1"/>
    </xf>
    <xf numFmtId="0" fontId="3" fillId="50" borderId="18" xfId="0" applyFont="1" applyFill="1" applyBorder="1" applyAlignment="1">
      <alignment wrapText="1"/>
    </xf>
    <xf numFmtId="44" fontId="3" fillId="50" borderId="18" xfId="0" applyNumberFormat="1" applyFont="1" applyFill="1" applyBorder="1" applyAlignment="1">
      <alignment wrapText="1"/>
    </xf>
    <xf numFmtId="0" fontId="76" fillId="46" borderId="18" xfId="0" applyFont="1" applyFill="1" applyBorder="1" applyAlignment="1">
      <alignment horizontal="center" vertical="center" wrapText="1"/>
    </xf>
    <xf numFmtId="0" fontId="64" fillId="0" borderId="18" xfId="0" applyFont="1" applyBorder="1" applyAlignment="1">
      <alignment vertical="center" wrapText="1"/>
    </xf>
    <xf numFmtId="44" fontId="67" fillId="0" borderId="18" xfId="1" applyFont="1" applyFill="1" applyBorder="1" applyAlignment="1">
      <alignment vertical="center" wrapText="1"/>
    </xf>
    <xf numFmtId="44" fontId="77" fillId="0" borderId="18" xfId="1" applyFont="1" applyFill="1" applyBorder="1" applyAlignment="1">
      <alignment vertical="center" wrapText="1"/>
    </xf>
    <xf numFmtId="0" fontId="76" fillId="47" borderId="18" xfId="0" applyFont="1" applyFill="1" applyBorder="1" applyAlignment="1">
      <alignment horizontal="right" vertical="center" wrapText="1"/>
    </xf>
    <xf numFmtId="44" fontId="76" fillId="47" borderId="18" xfId="1" applyFont="1" applyFill="1" applyBorder="1" applyAlignment="1">
      <alignment vertical="center" wrapText="1"/>
    </xf>
    <xf numFmtId="0" fontId="76" fillId="47" borderId="18" xfId="0" applyFont="1" applyFill="1" applyBorder="1" applyAlignment="1">
      <alignment vertical="center" wrapText="1"/>
    </xf>
    <xf numFmtId="0" fontId="3" fillId="4" borderId="18" xfId="0" applyFont="1" applyFill="1" applyBorder="1" applyAlignment="1">
      <alignment wrapText="1"/>
    </xf>
    <xf numFmtId="9" fontId="7" fillId="0" borderId="18" xfId="0" applyNumberFormat="1" applyFont="1" applyBorder="1" applyAlignment="1">
      <alignment wrapText="1"/>
    </xf>
    <xf numFmtId="9" fontId="7" fillId="0" borderId="18" xfId="0" applyNumberFormat="1" applyFont="1" applyBorder="1" applyAlignment="1">
      <alignment horizontal="center" vertical="center" wrapText="1"/>
    </xf>
    <xf numFmtId="0" fontId="4" fillId="0" borderId="18" xfId="0" applyFont="1" applyBorder="1" applyAlignment="1">
      <alignment vertical="center" wrapText="1"/>
    </xf>
    <xf numFmtId="5" fontId="4" fillId="0" borderId="18" xfId="0" applyNumberFormat="1" applyFont="1" applyBorder="1" applyAlignment="1">
      <alignment horizontal="center" vertical="center" wrapText="1"/>
    </xf>
    <xf numFmtId="0" fontId="3" fillId="3" borderId="18" xfId="0" applyFont="1" applyFill="1" applyBorder="1" applyAlignment="1">
      <alignment wrapText="1"/>
    </xf>
    <xf numFmtId="0" fontId="3" fillId="7" borderId="18" xfId="0" applyFont="1" applyFill="1" applyBorder="1" applyAlignment="1">
      <alignment wrapText="1"/>
    </xf>
    <xf numFmtId="0" fontId="3" fillId="42" borderId="15" xfId="0" applyFont="1" applyFill="1" applyBorder="1" applyAlignment="1">
      <alignment horizontal="center" vertical="center" wrapText="1"/>
    </xf>
    <xf numFmtId="0" fontId="4" fillId="0" borderId="15" xfId="0" applyFont="1" applyBorder="1" applyAlignment="1">
      <alignment horizontal="center" vertical="center" wrapText="1"/>
    </xf>
    <xf numFmtId="0" fontId="34" fillId="0" borderId="15" xfId="0" applyFont="1" applyBorder="1" applyAlignment="1">
      <alignment horizontal="center" vertical="center" wrapText="1"/>
    </xf>
    <xf numFmtId="9" fontId="7" fillId="0" borderId="15" xfId="0" applyNumberFormat="1" applyFont="1" applyBorder="1" applyAlignment="1">
      <alignment horizontal="center" vertical="center" wrapText="1"/>
    </xf>
    <xf numFmtId="5" fontId="4" fillId="0" borderId="15" xfId="0" applyNumberFormat="1" applyFont="1" applyBorder="1" applyAlignment="1">
      <alignment horizontal="center" vertical="center" wrapText="1"/>
    </xf>
    <xf numFmtId="0" fontId="3" fillId="44" borderId="63" xfId="0" applyFont="1" applyFill="1" applyBorder="1" applyAlignment="1">
      <alignment horizontal="center" vertical="center" wrapText="1"/>
    </xf>
    <xf numFmtId="0" fontId="4" fillId="0" borderId="63" xfId="0" applyFont="1" applyBorder="1" applyAlignment="1">
      <alignment horizontal="center" vertical="center" wrapText="1"/>
    </xf>
    <xf numFmtId="9" fontId="7" fillId="0" borderId="63" xfId="0" applyNumberFormat="1" applyFont="1" applyBorder="1" applyAlignment="1">
      <alignment horizontal="center" vertical="center" wrapText="1"/>
    </xf>
    <xf numFmtId="5" fontId="4" fillId="0" borderId="63" xfId="0" applyNumberFormat="1" applyFont="1" applyBorder="1" applyAlignment="1">
      <alignment horizontal="center" vertical="center" wrapText="1"/>
    </xf>
    <xf numFmtId="9" fontId="4" fillId="0" borderId="63" xfId="0" applyNumberFormat="1" applyFont="1" applyBorder="1" applyAlignment="1">
      <alignment horizontal="center" vertical="center" wrapText="1"/>
    </xf>
    <xf numFmtId="9" fontId="4" fillId="0" borderId="18" xfId="0" applyNumberFormat="1" applyFont="1" applyBorder="1" applyAlignment="1">
      <alignment horizontal="center" vertical="center" wrapText="1"/>
    </xf>
    <xf numFmtId="0" fontId="20" fillId="5" borderId="0" xfId="0" applyFont="1" applyFill="1"/>
    <xf numFmtId="5" fontId="10" fillId="0" borderId="18" xfId="0" applyNumberFormat="1" applyFont="1" applyBorder="1" applyAlignment="1">
      <alignment horizontal="right" vertical="center" wrapText="1"/>
    </xf>
    <xf numFmtId="5" fontId="34" fillId="0" borderId="18" xfId="0" applyNumberFormat="1" applyFont="1" applyBorder="1" applyAlignment="1">
      <alignment horizontal="right" vertical="center" wrapText="1"/>
    </xf>
    <xf numFmtId="0" fontId="6" fillId="2" borderId="18" xfId="0" applyFont="1" applyFill="1" applyBorder="1" applyAlignment="1">
      <alignment horizontal="right" vertical="center" wrapText="1"/>
    </xf>
    <xf numFmtId="5" fontId="3" fillId="4" borderId="18" xfId="0" applyNumberFormat="1" applyFont="1" applyFill="1" applyBorder="1" applyAlignment="1">
      <alignment horizontal="right" vertical="center" wrapText="1"/>
    </xf>
    <xf numFmtId="5" fontId="4" fillId="0" borderId="18" xfId="0" applyNumberFormat="1" applyFont="1" applyBorder="1" applyAlignment="1">
      <alignment horizontal="right" vertical="center" wrapText="1"/>
    </xf>
    <xf numFmtId="0" fontId="4" fillId="0" borderId="18" xfId="0" applyFont="1" applyBorder="1" applyAlignment="1">
      <alignment horizontal="right" vertical="center" wrapText="1"/>
    </xf>
    <xf numFmtId="5" fontId="3" fillId="3" borderId="18" xfId="0" applyNumberFormat="1" applyFont="1" applyFill="1" applyBorder="1" applyAlignment="1">
      <alignment horizontal="right" vertical="center" wrapText="1"/>
    </xf>
    <xf numFmtId="44" fontId="4" fillId="0" borderId="18" xfId="1" applyFont="1" applyBorder="1" applyAlignment="1">
      <alignment horizontal="right" vertical="center" wrapText="1"/>
    </xf>
    <xf numFmtId="44" fontId="3" fillId="7" borderId="18" xfId="1" applyFont="1" applyFill="1" applyBorder="1" applyAlignment="1">
      <alignment horizontal="right" vertical="center" wrapText="1"/>
    </xf>
    <xf numFmtId="0" fontId="34" fillId="0" borderId="18" xfId="0" applyFont="1" applyBorder="1" applyAlignment="1">
      <alignment horizontal="right" vertical="center" wrapText="1"/>
    </xf>
    <xf numFmtId="168" fontId="34" fillId="0" borderId="18" xfId="0" applyNumberFormat="1" applyFont="1" applyBorder="1" applyAlignment="1">
      <alignment horizontal="right" vertical="center" wrapText="1"/>
    </xf>
    <xf numFmtId="44" fontId="34" fillId="0" borderId="18" xfId="0" applyNumberFormat="1" applyFont="1" applyBorder="1" applyAlignment="1">
      <alignment horizontal="right" vertical="center" wrapText="1"/>
    </xf>
    <xf numFmtId="9" fontId="7" fillId="0" borderId="18" xfId="0" applyNumberFormat="1" applyFont="1" applyBorder="1" applyAlignment="1">
      <alignment horizontal="right" vertical="center" wrapText="1"/>
    </xf>
    <xf numFmtId="9" fontId="34" fillId="0" borderId="18" xfId="0" applyNumberFormat="1" applyFont="1" applyBorder="1" applyAlignment="1">
      <alignment horizontal="right" vertical="center" wrapText="1"/>
    </xf>
    <xf numFmtId="0" fontId="4" fillId="0" borderId="18" xfId="0" applyFont="1" applyBorder="1" applyAlignment="1">
      <alignment horizontal="right" wrapText="1"/>
    </xf>
    <xf numFmtId="0" fontId="3" fillId="0" borderId="18" xfId="0" applyFont="1" applyBorder="1" applyAlignment="1">
      <alignment horizontal="right" wrapText="1"/>
    </xf>
    <xf numFmtId="0" fontId="20" fillId="42" borderId="0" xfId="0" applyFont="1" applyFill="1" applyAlignment="1">
      <alignment horizontal="center" wrapText="1"/>
    </xf>
    <xf numFmtId="0" fontId="20" fillId="42" borderId="0" xfId="0" applyFont="1" applyFill="1" applyAlignment="1">
      <alignment horizontal="center"/>
    </xf>
    <xf numFmtId="0" fontId="20" fillId="16" borderId="0" xfId="0" applyFont="1" applyFill="1" applyAlignment="1">
      <alignment horizontal="center"/>
    </xf>
    <xf numFmtId="0" fontId="20" fillId="5" borderId="0" xfId="0" applyFont="1" applyFill="1" applyAlignment="1">
      <alignment wrapText="1"/>
    </xf>
    <xf numFmtId="0" fontId="23" fillId="0" borderId="0" xfId="0" applyFont="1" applyAlignment="1">
      <alignment vertical="center" wrapText="1"/>
    </xf>
    <xf numFmtId="0" fontId="20" fillId="42" borderId="0" xfId="0" applyFont="1" applyFill="1" applyAlignment="1">
      <alignment horizontal="center" vertical="center" wrapText="1"/>
    </xf>
    <xf numFmtId="0" fontId="0" fillId="42" borderId="0" xfId="0" applyFill="1" applyAlignment="1">
      <alignment horizontal="center" vertical="center"/>
    </xf>
    <xf numFmtId="0" fontId="80" fillId="0" borderId="0" xfId="0" applyFont="1" applyAlignment="1">
      <alignment vertical="center" wrapText="1"/>
    </xf>
    <xf numFmtId="7" fontId="0" fillId="0" borderId="0" xfId="0" applyNumberFormat="1"/>
    <xf numFmtId="171" fontId="0" fillId="0" borderId="0" xfId="0" applyNumberFormat="1"/>
    <xf numFmtId="1" fontId="11" fillId="21" borderId="18" xfId="0" applyNumberFormat="1" applyFont="1" applyFill="1" applyBorder="1" applyAlignment="1">
      <alignment horizontal="center"/>
    </xf>
    <xf numFmtId="1" fontId="11" fillId="0" borderId="0" xfId="0" applyNumberFormat="1" applyFont="1"/>
    <xf numFmtId="0" fontId="81" fillId="0" borderId="0" xfId="0" applyFont="1" applyAlignment="1">
      <alignment horizontal="right"/>
    </xf>
    <xf numFmtId="44" fontId="81" fillId="0" borderId="0" xfId="1" applyFont="1"/>
    <xf numFmtId="0" fontId="20" fillId="0" borderId="21" xfId="0" applyFont="1" applyBorder="1"/>
    <xf numFmtId="5" fontId="10" fillId="0" borderId="0" xfId="1" applyNumberFormat="1" applyFont="1" applyFill="1"/>
    <xf numFmtId="8" fontId="0" fillId="0" borderId="0" xfId="0" applyNumberFormat="1"/>
    <xf numFmtId="10" fontId="24" fillId="0" borderId="0" xfId="2" applyNumberFormat="1" applyFont="1" applyAlignment="1">
      <alignment horizontal="right" wrapText="1"/>
    </xf>
    <xf numFmtId="0" fontId="30" fillId="0" borderId="0" xfId="0" applyFont="1" applyAlignment="1">
      <alignment horizontal="right"/>
    </xf>
    <xf numFmtId="8" fontId="20" fillId="0" borderId="21" xfId="0" applyNumberFormat="1" applyFont="1" applyBorder="1"/>
    <xf numFmtId="9" fontId="64" fillId="0" borderId="0" xfId="0" applyNumberFormat="1" applyFont="1"/>
    <xf numFmtId="1" fontId="10" fillId="0" borderId="18" xfId="0" applyNumberFormat="1" applyFont="1" applyBorder="1" applyAlignment="1">
      <alignment horizontal="center" wrapText="1"/>
    </xf>
    <xf numFmtId="10" fontId="10" fillId="0" borderId="0" xfId="2" applyNumberFormat="1" applyFont="1"/>
    <xf numFmtId="171" fontId="4" fillId="0" borderId="0" xfId="0" applyNumberFormat="1" applyFont="1"/>
    <xf numFmtId="10" fontId="81" fillId="0" borderId="0" xfId="0" applyNumberFormat="1" applyFont="1" applyAlignment="1">
      <alignment horizontal="right"/>
    </xf>
    <xf numFmtId="10" fontId="30" fillId="0" borderId="0" xfId="0" applyNumberFormat="1" applyFont="1" applyAlignment="1">
      <alignment horizontal="right"/>
    </xf>
    <xf numFmtId="1" fontId="20" fillId="0" borderId="0" xfId="0" applyNumberFormat="1" applyFont="1"/>
    <xf numFmtId="43" fontId="20" fillId="0" borderId="21" xfId="0" applyNumberFormat="1" applyFont="1" applyBorder="1"/>
    <xf numFmtId="0" fontId="3" fillId="29" borderId="18" xfId="0" applyFont="1" applyFill="1" applyBorder="1" applyAlignment="1">
      <alignment wrapText="1"/>
    </xf>
    <xf numFmtId="171" fontId="10" fillId="0" borderId="18" xfId="0" applyNumberFormat="1" applyFont="1" applyBorder="1" applyAlignment="1">
      <alignment horizontal="right" vertical="center" wrapText="1"/>
    </xf>
    <xf numFmtId="171" fontId="34" fillId="0" borderId="18" xfId="1" applyNumberFormat="1" applyFont="1" applyBorder="1" applyAlignment="1">
      <alignment horizontal="right" vertical="center" wrapText="1"/>
    </xf>
    <xf numFmtId="0" fontId="3" fillId="0" borderId="18" xfId="0" applyFont="1" applyBorder="1" applyAlignment="1">
      <alignment horizontal="center" wrapText="1"/>
    </xf>
    <xf numFmtId="14" fontId="4" fillId="0" borderId="18" xfId="0" applyNumberFormat="1" applyFont="1" applyBorder="1" applyAlignment="1">
      <alignment horizontal="center" wrapText="1"/>
    </xf>
    <xf numFmtId="9" fontId="34" fillId="0" borderId="0" xfId="1" applyNumberFormat="1" applyFont="1"/>
    <xf numFmtId="44" fontId="33" fillId="0" borderId="0" xfId="1" applyFont="1"/>
    <xf numFmtId="10" fontId="23" fillId="0" borderId="18" xfId="2" applyNumberFormat="1" applyFont="1" applyFill="1" applyBorder="1" applyAlignment="1" applyProtection="1">
      <alignment vertical="center"/>
      <protection locked="0"/>
    </xf>
    <xf numFmtId="1" fontId="23" fillId="0" borderId="0" xfId="2" applyNumberFormat="1" applyFont="1" applyAlignment="1">
      <alignment wrapText="1"/>
    </xf>
    <xf numFmtId="10" fontId="0" fillId="0" borderId="0" xfId="2" applyNumberFormat="1" applyFont="1"/>
    <xf numFmtId="173" fontId="0" fillId="0" borderId="0" xfId="4" applyNumberFormat="1" applyFont="1"/>
    <xf numFmtId="15" fontId="82" fillId="0" borderId="24" xfId="0" applyNumberFormat="1" applyFont="1" applyBorder="1"/>
    <xf numFmtId="0" fontId="82" fillId="0" borderId="25" xfId="0" applyFont="1" applyBorder="1"/>
    <xf numFmtId="0" fontId="0" fillId="0" borderId="62" xfId="0" applyBorder="1"/>
    <xf numFmtId="15" fontId="0" fillId="0" borderId="23" xfId="0" applyNumberFormat="1" applyBorder="1"/>
    <xf numFmtId="0" fontId="0" fillId="0" borderId="64" xfId="0" applyBorder="1"/>
    <xf numFmtId="0" fontId="83" fillId="0" borderId="23" xfId="0" applyFont="1" applyBorder="1"/>
    <xf numFmtId="0" fontId="0" fillId="0" borderId="23" xfId="0" applyBorder="1"/>
    <xf numFmtId="0" fontId="20" fillId="0" borderId="23" xfId="0" applyFont="1" applyBorder="1"/>
    <xf numFmtId="8" fontId="83" fillId="0" borderId="65" xfId="0" applyNumberFormat="1" applyFont="1" applyBorder="1"/>
    <xf numFmtId="10" fontId="0" fillId="0" borderId="20" xfId="0" applyNumberFormat="1" applyBorder="1"/>
    <xf numFmtId="8" fontId="0" fillId="0" borderId="65" xfId="0" applyNumberFormat="1" applyBorder="1"/>
    <xf numFmtId="10" fontId="0" fillId="0" borderId="66" xfId="0" applyNumberFormat="1" applyBorder="1"/>
    <xf numFmtId="0" fontId="0" fillId="0" borderId="67" xfId="0" applyBorder="1"/>
    <xf numFmtId="8" fontId="83" fillId="0" borderId="67" xfId="0" applyNumberFormat="1" applyFont="1" applyBorder="1"/>
    <xf numFmtId="8" fontId="0" fillId="0" borderId="67" xfId="0" applyNumberFormat="1" applyBorder="1"/>
    <xf numFmtId="10" fontId="0" fillId="0" borderId="64" xfId="0" applyNumberFormat="1" applyBorder="1"/>
    <xf numFmtId="8" fontId="0" fillId="0" borderId="68" xfId="0" applyNumberFormat="1" applyBorder="1"/>
    <xf numFmtId="10" fontId="0" fillId="0" borderId="69" xfId="0" applyNumberFormat="1" applyBorder="1"/>
    <xf numFmtId="10" fontId="0" fillId="0" borderId="70" xfId="0" applyNumberFormat="1" applyBorder="1"/>
    <xf numFmtId="2" fontId="0" fillId="0" borderId="35" xfId="0" applyNumberFormat="1" applyBorder="1"/>
    <xf numFmtId="8" fontId="83" fillId="0" borderId="0" xfId="0" applyNumberFormat="1" applyFont="1"/>
    <xf numFmtId="0" fontId="0" fillId="0" borderId="35" xfId="0" applyBorder="1"/>
    <xf numFmtId="0" fontId="20" fillId="0" borderId="27" xfId="0" applyFont="1" applyBorder="1"/>
    <xf numFmtId="8" fontId="0" fillId="0" borderId="29" xfId="0" applyNumberFormat="1" applyBorder="1"/>
    <xf numFmtId="0" fontId="0" fillId="0" borderId="71" xfId="0" applyBorder="1"/>
    <xf numFmtId="171" fontId="0" fillId="0" borderId="0" xfId="1" applyNumberFormat="1" applyFont="1"/>
    <xf numFmtId="0" fontId="20" fillId="42" borderId="0" xfId="0" applyFont="1" applyFill="1" applyAlignment="1">
      <alignment wrapText="1"/>
    </xf>
    <xf numFmtId="0" fontId="0" fillId="42" borderId="0" xfId="0" applyFill="1" applyAlignment="1">
      <alignment wrapText="1"/>
    </xf>
    <xf numFmtId="0" fontId="20" fillId="0" borderId="0" xfId="0" applyFont="1" applyAlignment="1">
      <alignment wrapText="1"/>
    </xf>
    <xf numFmtId="0" fontId="20" fillId="0" borderId="0" xfId="0" applyFont="1" applyAlignment="1">
      <alignment vertical="center" wrapText="1"/>
    </xf>
    <xf numFmtId="0" fontId="52" fillId="50" borderId="0" xfId="0" applyFont="1" applyFill="1" applyAlignment="1">
      <alignment wrapText="1"/>
    </xf>
    <xf numFmtId="0" fontId="6" fillId="2" borderId="0" xfId="0" applyFont="1" applyFill="1" applyAlignment="1">
      <alignment horizontal="center"/>
    </xf>
    <xf numFmtId="0" fontId="74" fillId="0" borderId="0" xfId="0" applyFont="1" applyAlignment="1">
      <alignment horizontal="right" vertical="center"/>
    </xf>
    <xf numFmtId="0" fontId="72" fillId="0" borderId="0" xfId="0" applyFont="1" applyAlignment="1">
      <alignment horizontal="right" vertical="center"/>
    </xf>
    <xf numFmtId="0" fontId="64" fillId="0" borderId="0" xfId="0" applyFont="1" applyAlignment="1">
      <alignment vertical="center" wrapText="1"/>
    </xf>
    <xf numFmtId="0" fontId="64" fillId="0" borderId="0" xfId="0" applyFont="1" applyAlignment="1">
      <alignment wrapText="1"/>
    </xf>
    <xf numFmtId="0" fontId="9" fillId="0" borderId="0" xfId="0" applyFont="1" applyAlignment="1">
      <alignment horizontal="right" vertical="center" textRotation="90"/>
    </xf>
    <xf numFmtId="0" fontId="9" fillId="0" borderId="0" xfId="0" applyFont="1" applyAlignment="1">
      <alignment horizontal="center"/>
    </xf>
    <xf numFmtId="0" fontId="18" fillId="2" borderId="0" xfId="0" applyFont="1" applyFill="1" applyAlignment="1">
      <alignment horizontal="center"/>
    </xf>
    <xf numFmtId="0" fontId="19" fillId="0" borderId="0" xfId="0" applyFont="1" applyAlignment="1">
      <alignment horizontal="center"/>
    </xf>
    <xf numFmtId="0" fontId="6" fillId="2" borderId="18" xfId="0" applyFont="1" applyFill="1" applyBorder="1" applyAlignment="1">
      <alignment horizontal="center" wrapText="1"/>
    </xf>
    <xf numFmtId="0" fontId="75" fillId="46" borderId="18" xfId="0" applyFont="1" applyFill="1" applyBorder="1" applyAlignment="1">
      <alignment horizontal="center" vertical="center" wrapText="1"/>
    </xf>
    <xf numFmtId="0" fontId="3" fillId="29" borderId="18" xfId="0" applyFont="1" applyFill="1" applyBorder="1" applyAlignment="1">
      <alignment wrapText="1"/>
    </xf>
    <xf numFmtId="0" fontId="0" fillId="0" borderId="18" xfId="0" applyBorder="1" applyAlignment="1">
      <alignment wrapText="1"/>
    </xf>
    <xf numFmtId="0" fontId="3" fillId="0" borderId="10" xfId="0" applyFont="1" applyBorder="1" applyAlignment="1">
      <alignment vertical="center" wrapText="1"/>
    </xf>
    <xf numFmtId="0" fontId="20" fillId="0" borderId="11" xfId="0" applyFont="1" applyBorder="1" applyAlignment="1">
      <alignment vertical="center" wrapText="1"/>
    </xf>
    <xf numFmtId="0" fontId="3" fillId="0" borderId="31" xfId="0" applyFont="1" applyBorder="1" applyAlignment="1">
      <alignment vertical="center" wrapText="1"/>
    </xf>
    <xf numFmtId="0" fontId="20" fillId="0" borderId="17" xfId="0" applyFont="1" applyBorder="1" applyAlignment="1">
      <alignment vertical="center" wrapText="1"/>
    </xf>
    <xf numFmtId="0" fontId="20" fillId="0" borderId="31" xfId="0" applyFont="1" applyBorder="1" applyAlignment="1">
      <alignment vertical="center" wrapText="1"/>
    </xf>
    <xf numFmtId="0" fontId="20" fillId="0" borderId="12" xfId="0" applyFont="1" applyBorder="1" applyAlignment="1">
      <alignment vertical="center" wrapText="1"/>
    </xf>
    <xf numFmtId="0" fontId="20" fillId="0" borderId="14" xfId="0" applyFont="1" applyBorder="1" applyAlignment="1">
      <alignment vertical="center" wrapText="1"/>
    </xf>
    <xf numFmtId="0" fontId="4" fillId="5" borderId="18" xfId="0" applyFont="1" applyFill="1" applyBorder="1" applyAlignment="1">
      <alignment vertical="center" wrapText="1"/>
    </xf>
    <xf numFmtId="0" fontId="0" fillId="5" borderId="18" xfId="0" applyFill="1" applyBorder="1" applyAlignment="1">
      <alignment vertical="center" wrapText="1"/>
    </xf>
    <xf numFmtId="0" fontId="0" fillId="5" borderId="18" xfId="0" applyFill="1" applyBorder="1" applyAlignment="1">
      <alignment wrapText="1"/>
    </xf>
    <xf numFmtId="0" fontId="0" fillId="5" borderId="15" xfId="0" applyFill="1" applyBorder="1" applyAlignment="1">
      <alignment wrapText="1"/>
    </xf>
    <xf numFmtId="0" fontId="20" fillId="44" borderId="63" xfId="0" applyFont="1" applyFill="1" applyBorder="1" applyAlignment="1">
      <alignment horizontal="center" wrapText="1"/>
    </xf>
    <xf numFmtId="0" fontId="20" fillId="44" borderId="18" xfId="0" applyFont="1" applyFill="1" applyBorder="1" applyAlignment="1">
      <alignment horizontal="center" wrapText="1"/>
    </xf>
    <xf numFmtId="0" fontId="20" fillId="9" borderId="0" xfId="0" applyFont="1" applyFill="1" applyAlignment="1">
      <alignment horizontal="center"/>
    </xf>
    <xf numFmtId="0" fontId="6" fillId="2" borderId="1" xfId="0" applyFont="1" applyFill="1" applyBorder="1" applyAlignment="1">
      <alignment horizontal="center"/>
    </xf>
    <xf numFmtId="1" fontId="6" fillId="2" borderId="1" xfId="0" applyNumberFormat="1" applyFont="1" applyFill="1" applyBorder="1" applyAlignment="1">
      <alignment horizontal="center"/>
    </xf>
    <xf numFmtId="1" fontId="6" fillId="2" borderId="3" xfId="0" applyNumberFormat="1" applyFont="1" applyFill="1" applyBorder="1" applyAlignment="1">
      <alignment horizontal="center"/>
    </xf>
    <xf numFmtId="0" fontId="6" fillId="2" borderId="4" xfId="0" applyFont="1" applyFill="1" applyBorder="1" applyAlignment="1">
      <alignment horizontal="center"/>
    </xf>
    <xf numFmtId="0" fontId="6" fillId="2" borderId="5" xfId="0" applyFont="1" applyFill="1" applyBorder="1" applyAlignment="1">
      <alignment horizontal="center"/>
    </xf>
    <xf numFmtId="0" fontId="20" fillId="0" borderId="0" xfId="0" applyFont="1" applyAlignment="1">
      <alignment horizontal="center"/>
    </xf>
    <xf numFmtId="0" fontId="0" fillId="0" borderId="0" xfId="0" applyAlignment="1">
      <alignment horizontal="center"/>
    </xf>
    <xf numFmtId="0" fontId="0" fillId="0" borderId="64" xfId="0" applyBorder="1" applyAlignment="1">
      <alignment horizontal="center"/>
    </xf>
    <xf numFmtId="0" fontId="20" fillId="5" borderId="0" xfId="0" applyFont="1" applyFill="1" applyAlignment="1">
      <alignment horizontal="center" vertical="center" wrapText="1"/>
    </xf>
    <xf numFmtId="0" fontId="0" fillId="0" borderId="0" xfId="0" applyAlignment="1">
      <alignment horizontal="center" vertical="center" wrapText="1"/>
    </xf>
    <xf numFmtId="0" fontId="20" fillId="44" borderId="0" xfId="0" applyFont="1" applyFill="1" applyAlignment="1">
      <alignment wrapText="1"/>
    </xf>
    <xf numFmtId="0" fontId="0" fillId="0" borderId="0" xfId="0" applyAlignment="1">
      <alignment wrapText="1"/>
    </xf>
    <xf numFmtId="1" fontId="20" fillId="16" borderId="0" xfId="0" applyNumberFormat="1" applyFont="1" applyFill="1" applyAlignment="1">
      <alignment horizontal="center" wrapText="1"/>
    </xf>
    <xf numFmtId="0" fontId="20" fillId="16" borderId="0" xfId="0" applyFont="1" applyFill="1" applyAlignment="1">
      <alignment horizontal="center" wrapText="1"/>
    </xf>
    <xf numFmtId="1" fontId="20" fillId="42" borderId="0" xfId="0" applyNumberFormat="1" applyFont="1" applyFill="1" applyAlignment="1">
      <alignment horizontal="center" wrapText="1"/>
    </xf>
    <xf numFmtId="0" fontId="20" fillId="42" borderId="0" xfId="0" applyFont="1" applyFill="1" applyAlignment="1">
      <alignment horizontal="center" wrapText="1"/>
    </xf>
    <xf numFmtId="0" fontId="20" fillId="0" borderId="0" xfId="0" applyFont="1" applyAlignment="1">
      <alignment horizontal="right" wrapText="1"/>
    </xf>
    <xf numFmtId="0" fontId="0" fillId="0" borderId="0" xfId="0" applyAlignment="1">
      <alignment horizontal="right" wrapText="1"/>
    </xf>
    <xf numFmtId="0" fontId="0" fillId="0" borderId="0" xfId="0" applyAlignment="1">
      <alignment horizontal="left" wrapText="1"/>
    </xf>
    <xf numFmtId="0" fontId="26" fillId="0" borderId="0" xfId="0" applyFont="1" applyAlignment="1">
      <alignment horizontal="center" wrapText="1"/>
    </xf>
    <xf numFmtId="0" fontId="0" fillId="0" borderId="0" xfId="0" applyAlignment="1">
      <alignment horizontal="left" vertical="top" wrapText="1"/>
    </xf>
    <xf numFmtId="0" fontId="20" fillId="0" borderId="0" xfId="0" applyFont="1" applyAlignment="1">
      <alignment horizontal="right"/>
    </xf>
    <xf numFmtId="0" fontId="27" fillId="0" borderId="0" xfId="0" applyFont="1" applyAlignment="1">
      <alignment horizontal="center"/>
    </xf>
    <xf numFmtId="0" fontId="20" fillId="14" borderId="0" xfId="0" applyFont="1" applyFill="1" applyAlignment="1">
      <alignment horizontal="center" wrapText="1"/>
    </xf>
    <xf numFmtId="0" fontId="20" fillId="0" borderId="15" xfId="11" applyFont="1" applyBorder="1" applyAlignment="1">
      <alignment horizontal="left" vertical="center" wrapText="1"/>
    </xf>
    <xf numFmtId="0" fontId="20" fillId="0" borderId="16" xfId="11" applyFont="1" applyBorder="1" applyAlignment="1">
      <alignment horizontal="left" vertical="center" wrapText="1"/>
    </xf>
    <xf numFmtId="0" fontId="0" fillId="0" borderId="18" xfId="11" applyFont="1" applyBorder="1" applyAlignment="1">
      <alignment horizontal="left" vertical="center" wrapText="1"/>
    </xf>
    <xf numFmtId="0" fontId="1" fillId="0" borderId="18" xfId="11" applyBorder="1" applyAlignment="1">
      <alignment horizontal="left" vertical="center" wrapText="1"/>
    </xf>
    <xf numFmtId="0" fontId="52" fillId="17" borderId="15" xfId="11" applyFont="1" applyFill="1" applyBorder="1" applyAlignment="1">
      <alignment horizontal="center" wrapText="1"/>
    </xf>
    <xf numFmtId="0" fontId="52" fillId="17" borderId="9" xfId="11" applyFont="1" applyFill="1" applyBorder="1" applyAlignment="1">
      <alignment horizontal="center" wrapText="1"/>
    </xf>
    <xf numFmtId="0" fontId="52" fillId="17" borderId="16" xfId="11" applyFont="1" applyFill="1" applyBorder="1" applyAlignment="1">
      <alignment horizontal="center" wrapText="1"/>
    </xf>
    <xf numFmtId="0" fontId="1" fillId="0" borderId="15" xfId="11" applyBorder="1" applyAlignment="1">
      <alignment horizontal="left" vertical="center" wrapText="1"/>
    </xf>
    <xf numFmtId="0" fontId="1" fillId="0" borderId="9" xfId="11" applyBorder="1" applyAlignment="1">
      <alignment horizontal="left" vertical="center" wrapText="1"/>
    </xf>
    <xf numFmtId="0" fontId="1" fillId="0" borderId="16" xfId="11" applyBorder="1" applyAlignment="1">
      <alignment horizontal="left" vertical="center" wrapText="1"/>
    </xf>
    <xf numFmtId="0" fontId="20" fillId="30" borderId="0" xfId="11" applyFont="1" applyFill="1" applyAlignment="1">
      <alignment horizontal="center" wrapText="1"/>
    </xf>
    <xf numFmtId="0" fontId="0" fillId="0" borderId="0" xfId="0" applyAlignment="1">
      <alignment horizontal="center" wrapText="1"/>
    </xf>
    <xf numFmtId="0" fontId="47" fillId="31" borderId="0" xfId="15" applyFont="1" applyFill="1" applyAlignment="1">
      <alignment horizontal="center"/>
    </xf>
    <xf numFmtId="3" fontId="48" fillId="0" borderId="53" xfId="14" applyNumberFormat="1" applyFont="1" applyBorder="1" applyAlignment="1">
      <alignment horizontal="left" indent="1"/>
    </xf>
    <xf numFmtId="3" fontId="48" fillId="0" borderId="54" xfId="14" applyNumberFormat="1" applyFont="1" applyBorder="1" applyAlignment="1">
      <alignment horizontal="left" indent="1"/>
    </xf>
    <xf numFmtId="3" fontId="48" fillId="0" borderId="57" xfId="14" applyNumberFormat="1" applyFont="1" applyBorder="1" applyAlignment="1">
      <alignment horizontal="left" indent="1"/>
    </xf>
    <xf numFmtId="0" fontId="47" fillId="0" borderId="0" xfId="14" applyFont="1" applyAlignment="1">
      <alignment horizontal="center" wrapText="1"/>
    </xf>
    <xf numFmtId="0" fontId="48" fillId="0" borderId="0" xfId="14" applyFont="1" applyAlignment="1">
      <alignment vertical="center" wrapText="1"/>
    </xf>
    <xf numFmtId="0" fontId="0" fillId="0" borderId="0" xfId="0" applyAlignment="1">
      <alignment vertical="center" wrapText="1"/>
    </xf>
    <xf numFmtId="0" fontId="54" fillId="12" borderId="10" xfId="0" applyFont="1" applyFill="1" applyBorder="1" applyAlignment="1">
      <alignment horizontal="center" wrapText="1"/>
    </xf>
    <xf numFmtId="0" fontId="54" fillId="12" borderId="2" xfId="0" applyFont="1" applyFill="1" applyBorder="1" applyAlignment="1">
      <alignment horizontal="center" wrapText="1"/>
    </xf>
    <xf numFmtId="0" fontId="0" fillId="0" borderId="31" xfId="0" applyBorder="1" applyAlignment="1">
      <alignment wrapText="1"/>
    </xf>
    <xf numFmtId="0" fontId="2" fillId="5" borderId="15" xfId="3" applyFill="1" applyBorder="1" applyAlignment="1">
      <alignment vertical="center" wrapText="1"/>
    </xf>
    <xf numFmtId="0" fontId="2" fillId="5" borderId="9" xfId="3" applyFill="1" applyBorder="1" applyAlignment="1">
      <alignment vertical="center" wrapText="1"/>
    </xf>
    <xf numFmtId="0" fontId="2" fillId="5" borderId="16" xfId="3" applyFill="1" applyBorder="1" applyAlignment="1">
      <alignment vertical="center" wrapText="1"/>
    </xf>
    <xf numFmtId="0" fontId="2" fillId="0" borderId="15" xfId="3" applyBorder="1" applyAlignment="1">
      <alignment vertical="center" wrapText="1"/>
    </xf>
    <xf numFmtId="0" fontId="0" fillId="0" borderId="9" xfId="0" applyBorder="1" applyAlignment="1">
      <alignment vertical="center" wrapText="1"/>
    </xf>
    <xf numFmtId="0" fontId="0" fillId="0" borderId="16" xfId="0" applyBorder="1" applyAlignment="1">
      <alignment vertical="center" wrapText="1"/>
    </xf>
    <xf numFmtId="0" fontId="54" fillId="31" borderId="0" xfId="0" applyFont="1" applyFill="1" applyAlignment="1">
      <alignment horizontal="left" vertical="center" wrapText="1"/>
    </xf>
    <xf numFmtId="0" fontId="54" fillId="24" borderId="0" xfId="0" applyFont="1" applyFill="1" applyAlignment="1">
      <alignment horizontal="center"/>
    </xf>
    <xf numFmtId="0" fontId="25" fillId="20" borderId="15" xfId="6" applyFill="1" applyBorder="1" applyAlignment="1" applyProtection="1">
      <alignment horizontal="center"/>
    </xf>
    <xf numFmtId="0" fontId="25" fillId="20" borderId="16" xfId="6" applyFill="1" applyBorder="1" applyAlignment="1" applyProtection="1">
      <alignment horizontal="center"/>
    </xf>
    <xf numFmtId="0" fontId="11" fillId="0" borderId="31" xfId="0" applyFont="1" applyBorder="1" applyAlignment="1">
      <alignment horizontal="right" vertical="center" wrapText="1"/>
    </xf>
    <xf numFmtId="0" fontId="0" fillId="0" borderId="0" xfId="0" applyAlignment="1">
      <alignment horizontal="right" vertical="center" wrapText="1"/>
    </xf>
    <xf numFmtId="0" fontId="11" fillId="0" borderId="0" xfId="0" applyFont="1" applyAlignment="1">
      <alignment horizontal="center"/>
    </xf>
    <xf numFmtId="0" fontId="31" fillId="0" borderId="0" xfId="0" applyFont="1" applyAlignment="1">
      <alignment horizontal="center"/>
    </xf>
    <xf numFmtId="0" fontId="0" fillId="0" borderId="23" xfId="0" applyBorder="1" applyAlignment="1">
      <alignment horizontal="center" vertical="center"/>
    </xf>
    <xf numFmtId="0" fontId="0" fillId="0" borderId="0" xfId="0" applyAlignment="1">
      <alignment horizontal="center" vertical="center"/>
    </xf>
    <xf numFmtId="0" fontId="20" fillId="16" borderId="0" xfId="0" applyFont="1" applyFill="1" applyAlignment="1">
      <alignment horizontal="center" vertical="center" wrapText="1"/>
    </xf>
    <xf numFmtId="0" fontId="20" fillId="29" borderId="24" xfId="0" applyFont="1" applyFill="1" applyBorder="1" applyAlignment="1">
      <alignment horizontal="center" vertical="center" wrapText="1"/>
    </xf>
    <xf numFmtId="0" fontId="20" fillId="29" borderId="23" xfId="0" applyFont="1" applyFill="1" applyBorder="1" applyAlignment="1">
      <alignment horizontal="center" vertical="center" wrapText="1"/>
    </xf>
    <xf numFmtId="0" fontId="20" fillId="29" borderId="27" xfId="0" applyFont="1" applyFill="1" applyBorder="1" applyAlignment="1">
      <alignment horizontal="center" vertical="center" wrapText="1"/>
    </xf>
    <xf numFmtId="0" fontId="20" fillId="12" borderId="0" xfId="0" applyFont="1" applyFill="1" applyAlignment="1">
      <alignment horizontal="center" vertical="center"/>
    </xf>
    <xf numFmtId="0" fontId="20" fillId="17" borderId="24" xfId="0" applyFont="1" applyFill="1" applyBorder="1" applyAlignment="1">
      <alignment horizontal="center" vertical="center" wrapText="1"/>
    </xf>
    <xf numFmtId="0" fontId="20" fillId="17" borderId="23" xfId="0" applyFont="1" applyFill="1" applyBorder="1" applyAlignment="1">
      <alignment horizontal="center" vertical="center" wrapText="1"/>
    </xf>
    <xf numFmtId="0" fontId="20" fillId="17" borderId="27" xfId="0" applyFont="1" applyFill="1" applyBorder="1" applyAlignment="1">
      <alignment horizontal="center" vertical="center" wrapText="1"/>
    </xf>
    <xf numFmtId="0" fontId="20" fillId="18" borderId="0" xfId="0" applyFont="1" applyFill="1" applyAlignment="1">
      <alignment horizontal="center" vertical="center" wrapText="1"/>
    </xf>
    <xf numFmtId="0" fontId="20" fillId="19" borderId="24" xfId="0" applyFont="1" applyFill="1" applyBorder="1" applyAlignment="1">
      <alignment horizontal="center" vertical="center" wrapText="1"/>
    </xf>
    <xf numFmtId="0" fontId="20" fillId="19" borderId="23" xfId="0" applyFont="1" applyFill="1" applyBorder="1" applyAlignment="1">
      <alignment horizontal="center" vertical="center" wrapText="1"/>
    </xf>
    <xf numFmtId="0" fontId="20" fillId="19" borderId="27" xfId="0" applyFont="1" applyFill="1" applyBorder="1" applyAlignment="1">
      <alignment horizontal="center" vertical="center" wrapText="1"/>
    </xf>
    <xf numFmtId="0" fontId="11" fillId="27" borderId="0" xfId="0" applyFont="1" applyFill="1" applyAlignment="1">
      <alignment horizontal="center" vertical="center" textRotation="90" wrapText="1"/>
    </xf>
    <xf numFmtId="0" fontId="11" fillId="21" borderId="0" xfId="0" applyFont="1" applyFill="1" applyAlignment="1">
      <alignment horizontal="center" vertical="center" textRotation="90" wrapText="1"/>
    </xf>
    <xf numFmtId="0" fontId="0" fillId="21" borderId="0" xfId="0" applyFill="1" applyAlignment="1">
      <alignment horizontal="center" vertical="center" textRotation="90" wrapText="1"/>
    </xf>
    <xf numFmtId="0" fontId="11" fillId="28" borderId="11" xfId="0" applyFont="1" applyFill="1" applyBorder="1" applyAlignment="1">
      <alignment horizontal="center" vertical="center" textRotation="90" wrapText="1"/>
    </xf>
    <xf numFmtId="0" fontId="0" fillId="28" borderId="17" xfId="0" applyFill="1" applyBorder="1" applyAlignment="1">
      <alignment horizontal="center" vertical="center" textRotation="90" wrapText="1"/>
    </xf>
    <xf numFmtId="0" fontId="0" fillId="0" borderId="17" xfId="0" applyBorder="1" applyAlignment="1">
      <alignment horizontal="center" vertical="center" wrapText="1"/>
    </xf>
    <xf numFmtId="0" fontId="0" fillId="0" borderId="34" xfId="0" applyBorder="1" applyAlignment="1">
      <alignment horizontal="center" vertical="center" wrapText="1"/>
    </xf>
    <xf numFmtId="0" fontId="25" fillId="20" borderId="0" xfId="6" applyFill="1" applyAlignment="1" applyProtection="1">
      <alignment horizontal="center"/>
    </xf>
    <xf numFmtId="169" fontId="11" fillId="25" borderId="15" xfId="0" applyNumberFormat="1" applyFont="1" applyFill="1" applyBorder="1" applyAlignment="1" applyProtection="1">
      <alignment horizontal="center" vertical="center"/>
      <protection locked="0"/>
    </xf>
    <xf numFmtId="169" fontId="11" fillId="25" borderId="9" xfId="0" applyNumberFormat="1" applyFont="1" applyFill="1" applyBorder="1" applyAlignment="1" applyProtection="1">
      <alignment horizontal="center" vertical="center"/>
      <protection locked="0"/>
    </xf>
    <xf numFmtId="0" fontId="11" fillId="0" borderId="0" xfId="0" applyFont="1" applyAlignment="1">
      <alignment horizontal="center" vertical="center" textRotation="90" wrapText="1"/>
    </xf>
    <xf numFmtId="0" fontId="25" fillId="0" borderId="0" xfId="6" applyFill="1" applyAlignment="1" applyProtection="1">
      <alignment horizontal="center"/>
    </xf>
    <xf numFmtId="0" fontId="11" fillId="0" borderId="18" xfId="0" applyFont="1" applyBorder="1" applyAlignment="1">
      <alignment horizontal="center"/>
    </xf>
  </cellXfs>
  <cellStyles count="16">
    <cellStyle name="Comma" xfId="4" builtinId="3"/>
    <cellStyle name="Comma 2" xfId="13" xr:uid="{76B41012-3314-4139-B990-A610734D69BB}"/>
    <cellStyle name="Currency" xfId="1" builtinId="4"/>
    <cellStyle name="Hyperlink" xfId="6" builtinId="8"/>
    <cellStyle name="Normal" xfId="0" builtinId="0"/>
    <cellStyle name="Normal 2" xfId="11" xr:uid="{4B30C3FC-3979-4783-BBAD-2D2409F77AEE}"/>
    <cellStyle name="Normal 3" xfId="14" xr:uid="{5431C5AF-9FB1-4CA1-A572-003FAC6A74FB}"/>
    <cellStyle name="Normal 3 2" xfId="5" xr:uid="{766E1C67-C0EA-4F53-8757-1AD06735C5FF}"/>
    <cellStyle name="Normal 3 3" xfId="15" xr:uid="{535FD885-EFF7-4D98-BB75-790CABDC2E05}"/>
    <cellStyle name="Normal 4" xfId="3" xr:uid="{049B2DD1-9332-4CC2-996F-2353E00B977E}"/>
    <cellStyle name="Normal 4 2" xfId="8" xr:uid="{A1C3A2BF-5207-409C-9493-866AF0EA3F19}"/>
    <cellStyle name="Normal 4 2 10 2" xfId="10" xr:uid="{76528B23-D07D-4BBE-90E0-355A5BFC8713}"/>
    <cellStyle name="Normal 4 5" xfId="7" xr:uid="{BAE0C765-3729-4062-8E36-65AB0C4D3C10}"/>
    <cellStyle name="Per cent" xfId="2" builtinId="5"/>
    <cellStyle name="Percent 2" xfId="12" xr:uid="{9EFC3BC6-4984-4DEB-A394-F6E537CC8829}"/>
    <cellStyle name="Percent 2 10 2" xfId="9" xr:uid="{0841144D-7196-4B5C-A3D9-0F5C536ACF75}"/>
  </cellStyles>
  <dxfs count="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00B050"/>
        </patternFill>
      </fill>
    </dxf>
    <dxf>
      <fill>
        <patternFill>
          <bgColor rgb="FFFF0000"/>
        </patternFill>
      </fill>
    </dxf>
    <dxf>
      <fill>
        <patternFill>
          <bgColor rgb="FF00B050"/>
        </patternFill>
      </fill>
    </dxf>
  </dxfs>
  <tableStyles count="0" defaultTableStyle="TableStyleMedium2" defaultPivotStyle="PivotStyleLight16"/>
  <colors>
    <mruColors>
      <color rgb="FF0000FF"/>
      <color rgb="FF3083FB"/>
      <color rgb="FF2C3449"/>
      <color rgb="FFE6D2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Income and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graphs!$A$2</c:f>
              <c:strCache>
                <c:ptCount val="1"/>
                <c:pt idx="0">
                  <c:v>Total Revenue</c:v>
                </c:pt>
              </c:strCache>
            </c:strRef>
          </c:tx>
          <c:spPr>
            <a:ln w="28575" cap="rnd">
              <a:solidFill>
                <a:schemeClr val="accent1"/>
              </a:solidFill>
              <a:round/>
            </a:ln>
            <a:effectLst/>
          </c:spPr>
          <c:marker>
            <c:symbol val="none"/>
          </c:marker>
          <c:cat>
            <c:numRef>
              <c:f>graphs!$B$1:$X$1</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graphs!$B$2:$X$2</c:f>
              <c:numCache>
                <c:formatCode>"$"#,##0_);\("$"#,##0\)</c:formatCode>
                <c:ptCount val="23"/>
                <c:pt idx="0">
                  <c:v>0</c:v>
                </c:pt>
                <c:pt idx="1">
                  <c:v>42079157.63449195</c:v>
                </c:pt>
                <c:pt idx="2">
                  <c:v>73261682.810393706</c:v>
                </c:pt>
                <c:pt idx="3">
                  <c:v>79804721.610527456</c:v>
                </c:pt>
                <c:pt idx="4">
                  <c:v>81225241.641189128</c:v>
                </c:pt>
                <c:pt idx="5">
                  <c:v>82228619.621948481</c:v>
                </c:pt>
                <c:pt idx="6">
                  <c:v>83477384.448526293</c:v>
                </c:pt>
                <c:pt idx="7">
                  <c:v>84751354.788526297</c:v>
                </c:pt>
                <c:pt idx="8">
                  <c:v>86051039.398996562</c:v>
                </c:pt>
                <c:pt idx="9">
                  <c:v>87376957.305918336</c:v>
                </c:pt>
                <c:pt idx="10">
                  <c:v>88729638.011477888</c:v>
                </c:pt>
                <c:pt idx="11">
                  <c:v>90109621.705521971</c:v>
                </c:pt>
                <c:pt idx="12">
                  <c:v>91517459.481281281</c:v>
                </c:pt>
                <c:pt idx="13">
                  <c:v>92953713.555448398</c:v>
                </c:pt>
                <c:pt idx="14">
                  <c:v>94418957.492697492</c:v>
                </c:pt>
                <c:pt idx="15">
                  <c:v>95913776.434736222</c:v>
                </c:pt>
                <c:pt idx="16">
                  <c:v>97438767.333980471</c:v>
                </c:pt>
                <c:pt idx="17">
                  <c:v>98994539.191946119</c:v>
                </c:pt>
                <c:pt idx="18">
                  <c:v>100581713.30245224</c:v>
                </c:pt>
                <c:pt idx="19">
                  <c:v>102200923.4997333</c:v>
                </c:pt>
                <c:pt idx="20">
                  <c:v>103852816.41155936</c:v>
                </c:pt>
                <c:pt idx="21">
                  <c:v>105538051.71746549</c:v>
                </c:pt>
                <c:pt idx="22">
                  <c:v>107257302.41219306</c:v>
                </c:pt>
              </c:numCache>
            </c:numRef>
          </c:val>
          <c:smooth val="0"/>
          <c:extLst>
            <c:ext xmlns:c16="http://schemas.microsoft.com/office/drawing/2014/chart" uri="{C3380CC4-5D6E-409C-BE32-E72D297353CC}">
              <c16:uniqueId val="{00000000-CADB-44B5-B727-86BA0D49B675}"/>
            </c:ext>
          </c:extLst>
        </c:ser>
        <c:ser>
          <c:idx val="1"/>
          <c:order val="1"/>
          <c:tx>
            <c:strRef>
              <c:f>graphs!$A$3</c:f>
              <c:strCache>
                <c:ptCount val="1"/>
                <c:pt idx="0">
                  <c:v>Total Expenses</c:v>
                </c:pt>
              </c:strCache>
            </c:strRef>
          </c:tx>
          <c:spPr>
            <a:ln w="28575" cap="rnd">
              <a:solidFill>
                <a:schemeClr val="accent2"/>
              </a:solidFill>
              <a:round/>
            </a:ln>
            <a:effectLst/>
          </c:spPr>
          <c:marker>
            <c:symbol val="none"/>
          </c:marker>
          <c:cat>
            <c:numRef>
              <c:f>graphs!$B$1:$X$1</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graphs!$B$3:$X$3</c:f>
              <c:numCache>
                <c:formatCode>"$"#,##0_);\("$"#,##0\)</c:formatCode>
                <c:ptCount val="23"/>
                <c:pt idx="0">
                  <c:v>4213882.049129135</c:v>
                </c:pt>
                <c:pt idx="1">
                  <c:v>14503584.947462868</c:v>
                </c:pt>
                <c:pt idx="2">
                  <c:v>16601801.022423325</c:v>
                </c:pt>
                <c:pt idx="3">
                  <c:v>14831083.644016823</c:v>
                </c:pt>
                <c:pt idx="4">
                  <c:v>14043196.631043853</c:v>
                </c:pt>
                <c:pt idx="5">
                  <c:v>13700323.296883605</c:v>
                </c:pt>
                <c:pt idx="6">
                  <c:v>13326670.615055246</c:v>
                </c:pt>
                <c:pt idx="7">
                  <c:v>12919923.927017292</c:v>
                </c:pt>
                <c:pt idx="8">
                  <c:v>12477599.753433965</c:v>
                </c:pt>
                <c:pt idx="9">
                  <c:v>11997033.563115837</c:v>
                </c:pt>
                <c:pt idx="10">
                  <c:v>11475366.657263037</c:v>
                </c:pt>
                <c:pt idx="11">
                  <c:v>11210606.342172302</c:v>
                </c:pt>
                <c:pt idx="12">
                  <c:v>11076025.625162281</c:v>
                </c:pt>
                <c:pt idx="13">
                  <c:v>10925063.395949617</c:v>
                </c:pt>
                <c:pt idx="14">
                  <c:v>10756434.773982327</c:v>
                </c:pt>
                <c:pt idx="15">
                  <c:v>10568760.300582958</c:v>
                </c:pt>
                <c:pt idx="16">
                  <c:v>10585140.268039811</c:v>
                </c:pt>
                <c:pt idx="17">
                  <c:v>10711909.421827443</c:v>
                </c:pt>
                <c:pt idx="18">
                  <c:v>10840669.517143866</c:v>
                </c:pt>
                <c:pt idx="19">
                  <c:v>10971455.035642283</c:v>
                </c:pt>
                <c:pt idx="20">
                  <c:v>11104301.097661486</c:v>
                </c:pt>
                <c:pt idx="21">
                  <c:v>11239243.474541649</c:v>
                </c:pt>
                <c:pt idx="22">
                  <c:v>11376318.601182893</c:v>
                </c:pt>
              </c:numCache>
            </c:numRef>
          </c:val>
          <c:smooth val="0"/>
          <c:extLst>
            <c:ext xmlns:c16="http://schemas.microsoft.com/office/drawing/2014/chart" uri="{C3380CC4-5D6E-409C-BE32-E72D297353CC}">
              <c16:uniqueId val="{00000001-CADB-44B5-B727-86BA0D49B675}"/>
            </c:ext>
          </c:extLst>
        </c:ser>
        <c:ser>
          <c:idx val="2"/>
          <c:order val="2"/>
          <c:tx>
            <c:strRef>
              <c:f>graphs!$A$4</c:f>
              <c:strCache>
                <c:ptCount val="1"/>
                <c:pt idx="0">
                  <c:v>Interest Expense</c:v>
                </c:pt>
              </c:strCache>
            </c:strRef>
          </c:tx>
          <c:spPr>
            <a:ln w="28575" cap="rnd">
              <a:solidFill>
                <a:schemeClr val="accent3"/>
              </a:solidFill>
              <a:round/>
            </a:ln>
            <a:effectLst/>
          </c:spPr>
          <c:marker>
            <c:symbol val="none"/>
          </c:marker>
          <c:cat>
            <c:numRef>
              <c:f>graphs!$B$1:$X$1</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graphs!$B$4:$X$4</c:f>
              <c:numCache>
                <c:formatCode>"$"#,##0_);[Red]\("$"#,##0\)</c:formatCode>
                <c:ptCount val="23"/>
                <c:pt idx="0">
                  <c:v>9254241.349580016</c:v>
                </c:pt>
                <c:pt idx="1">
                  <c:v>14539844.006718803</c:v>
                </c:pt>
                <c:pt idx="2">
                  <c:v>12846520.505936589</c:v>
                </c:pt>
                <c:pt idx="3">
                  <c:v>11888299.526458202</c:v>
                </c:pt>
                <c:pt idx="4">
                  <c:v>11002520.550931798</c:v>
                </c:pt>
                <c:pt idx="5">
                  <c:v>10052708.541643836</c:v>
                </c:pt>
                <c:pt idx="6">
                  <c:v>9034234.5454062242</c:v>
                </c:pt>
                <c:pt idx="7">
                  <c:v>7942134.9816306233</c:v>
                </c:pt>
                <c:pt idx="8">
                  <c:v>6771087.4520866219</c:v>
                </c:pt>
                <c:pt idx="9">
                  <c:v>5515384.8019453902</c:v>
                </c:pt>
                <c:pt idx="10">
                  <c:v>4168907.305694059</c:v>
                </c:pt>
                <c:pt idx="11">
                  <c:v>2970391.9454732942</c:v>
                </c:pt>
                <c:pt idx="12">
                  <c:v>2396680.3164087497</c:v>
                </c:pt>
                <c:pt idx="13">
                  <c:v>1824323.0820041397</c:v>
                </c:pt>
                <c:pt idx="14">
                  <c:v>1210590.0968457698</c:v>
                </c:pt>
                <c:pt idx="15">
                  <c:v>552490.30456616264</c:v>
                </c:pt>
                <c:pt idx="16">
                  <c:v>29793.11121479913</c:v>
                </c:pt>
                <c:pt idx="17">
                  <c:v>0</c:v>
                </c:pt>
                <c:pt idx="18">
                  <c:v>0</c:v>
                </c:pt>
                <c:pt idx="19">
                  <c:v>0</c:v>
                </c:pt>
                <c:pt idx="20">
                  <c:v>0</c:v>
                </c:pt>
                <c:pt idx="21">
                  <c:v>0</c:v>
                </c:pt>
                <c:pt idx="22">
                  <c:v>0</c:v>
                </c:pt>
              </c:numCache>
            </c:numRef>
          </c:val>
          <c:smooth val="0"/>
          <c:extLst>
            <c:ext xmlns:c16="http://schemas.microsoft.com/office/drawing/2014/chart" uri="{C3380CC4-5D6E-409C-BE32-E72D297353CC}">
              <c16:uniqueId val="{00000002-CADB-44B5-B727-86BA0D49B675}"/>
            </c:ext>
          </c:extLst>
        </c:ser>
        <c:ser>
          <c:idx val="3"/>
          <c:order val="3"/>
          <c:tx>
            <c:strRef>
              <c:f>graphs!$A$5</c:f>
              <c:strCache>
                <c:ptCount val="1"/>
                <c:pt idx="0">
                  <c:v>Debt Amortization Payments</c:v>
                </c:pt>
              </c:strCache>
            </c:strRef>
          </c:tx>
          <c:spPr>
            <a:ln w="28575" cap="rnd">
              <a:solidFill>
                <a:schemeClr val="accent4"/>
              </a:solidFill>
              <a:round/>
            </a:ln>
            <a:effectLst/>
          </c:spPr>
          <c:marker>
            <c:symbol val="none"/>
          </c:marker>
          <c:cat>
            <c:numRef>
              <c:f>graphs!$B$1:$X$1</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graphs!$B$5:$X$5</c:f>
              <c:numCache>
                <c:formatCode>"$"#,##0_);[Red]\("$"#,##0\)</c:formatCode>
                <c:ptCount val="23"/>
                <c:pt idx="0">
                  <c:v>0</c:v>
                </c:pt>
                <c:pt idx="1">
                  <c:v>8061833.3182707066</c:v>
                </c:pt>
                <c:pt idx="2">
                  <c:v>11427056.342834271</c:v>
                </c:pt>
                <c:pt idx="3">
                  <c:v>12253119.169806525</c:v>
                </c:pt>
                <c:pt idx="4">
                  <c:v>13138898.145332925</c:v>
                </c:pt>
                <c:pt idx="5">
                  <c:v>14088710.15462089</c:v>
                </c:pt>
                <c:pt idx="6">
                  <c:v>15107184.150858499</c:v>
                </c:pt>
                <c:pt idx="7">
                  <c:v>16199283.7146341</c:v>
                </c:pt>
                <c:pt idx="8">
                  <c:v>17370331.244178101</c:v>
                </c:pt>
                <c:pt idx="9">
                  <c:v>18626033.894319337</c:v>
                </c:pt>
                <c:pt idx="10">
                  <c:v>19972511.390570667</c:v>
                </c:pt>
                <c:pt idx="11">
                  <c:v>10800603.35279372</c:v>
                </c:pt>
                <c:pt idx="12">
                  <c:v>7917507.1825256934</c:v>
                </c:pt>
                <c:pt idx="13">
                  <c:v>8489864.4169303011</c:v>
                </c:pt>
                <c:pt idx="14">
                  <c:v>9103597.4020886701</c:v>
                </c:pt>
                <c:pt idx="15">
                  <c:v>9761697.1943682786</c:v>
                </c:pt>
                <c:pt idx="16">
                  <c:v>2548753.7635188112</c:v>
                </c:pt>
                <c:pt idx="17">
                  <c:v>0</c:v>
                </c:pt>
                <c:pt idx="18">
                  <c:v>0</c:v>
                </c:pt>
                <c:pt idx="19">
                  <c:v>0</c:v>
                </c:pt>
                <c:pt idx="20">
                  <c:v>0</c:v>
                </c:pt>
                <c:pt idx="21">
                  <c:v>0</c:v>
                </c:pt>
                <c:pt idx="22">
                  <c:v>0</c:v>
                </c:pt>
              </c:numCache>
            </c:numRef>
          </c:val>
          <c:smooth val="0"/>
          <c:extLst>
            <c:ext xmlns:c16="http://schemas.microsoft.com/office/drawing/2014/chart" uri="{C3380CC4-5D6E-409C-BE32-E72D297353CC}">
              <c16:uniqueId val="{00000003-CADB-44B5-B727-86BA0D49B675}"/>
            </c:ext>
          </c:extLst>
        </c:ser>
        <c:dLbls>
          <c:showLegendKey val="0"/>
          <c:showVal val="0"/>
          <c:showCatName val="0"/>
          <c:showSerName val="0"/>
          <c:showPercent val="0"/>
          <c:showBubbleSize val="0"/>
        </c:dLbls>
        <c:smooth val="0"/>
        <c:axId val="711692464"/>
        <c:axId val="711689512"/>
      </c:lineChart>
      <c:catAx>
        <c:axId val="71169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689512"/>
        <c:crosses val="autoZero"/>
        <c:auto val="1"/>
        <c:lblAlgn val="ctr"/>
        <c:lblOffset val="100"/>
        <c:noMultiLvlLbl val="0"/>
      </c:catAx>
      <c:valAx>
        <c:axId val="711689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69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to Mortgage</a:t>
            </a:r>
            <a:r>
              <a:rPr lang="en-US" b="1" baseline="0"/>
              <a:t> / Expense ratio</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graphs!$A$16</c:f>
              <c:strCache>
                <c:ptCount val="1"/>
                <c:pt idx="0">
                  <c:v>Total Revenue</c:v>
                </c:pt>
              </c:strCache>
            </c:strRef>
          </c:tx>
          <c:spPr>
            <a:solidFill>
              <a:schemeClr val="accent1"/>
            </a:solidFill>
            <a:ln>
              <a:noFill/>
            </a:ln>
            <a:effectLst/>
          </c:spPr>
          <c:invertIfNegative val="0"/>
          <c:cat>
            <c:numRef>
              <c:f>graphs!$B$15:$X$15</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graphs!$B$16:$X$16</c:f>
              <c:numCache>
                <c:formatCode>"$"#,##0_);\("$"#,##0\)</c:formatCode>
                <c:ptCount val="23"/>
                <c:pt idx="0">
                  <c:v>0</c:v>
                </c:pt>
                <c:pt idx="1">
                  <c:v>42079157.63449195</c:v>
                </c:pt>
                <c:pt idx="2">
                  <c:v>73261682.810393706</c:v>
                </c:pt>
                <c:pt idx="3">
                  <c:v>79804721.610527456</c:v>
                </c:pt>
                <c:pt idx="4">
                  <c:v>81225241.641189128</c:v>
                </c:pt>
                <c:pt idx="5">
                  <c:v>82228619.621948481</c:v>
                </c:pt>
                <c:pt idx="6">
                  <c:v>83477384.448526293</c:v>
                </c:pt>
                <c:pt idx="7">
                  <c:v>84751354.788526297</c:v>
                </c:pt>
                <c:pt idx="8">
                  <c:v>86051039.398996562</c:v>
                </c:pt>
                <c:pt idx="9">
                  <c:v>87376957.305918336</c:v>
                </c:pt>
                <c:pt idx="10">
                  <c:v>88729638.011477888</c:v>
                </c:pt>
                <c:pt idx="11">
                  <c:v>90109621.705521971</c:v>
                </c:pt>
                <c:pt idx="12">
                  <c:v>91517459.481281281</c:v>
                </c:pt>
                <c:pt idx="13">
                  <c:v>92953713.555448398</c:v>
                </c:pt>
                <c:pt idx="14">
                  <c:v>94418957.492697492</c:v>
                </c:pt>
                <c:pt idx="15">
                  <c:v>95913776.434736222</c:v>
                </c:pt>
                <c:pt idx="16">
                  <c:v>97438767.333980471</c:v>
                </c:pt>
                <c:pt idx="17">
                  <c:v>98994539.191946119</c:v>
                </c:pt>
                <c:pt idx="18">
                  <c:v>100581713.30245224</c:v>
                </c:pt>
                <c:pt idx="19">
                  <c:v>102200923.4997333</c:v>
                </c:pt>
                <c:pt idx="20">
                  <c:v>103852816.41155936</c:v>
                </c:pt>
                <c:pt idx="21">
                  <c:v>105538051.71746549</c:v>
                </c:pt>
                <c:pt idx="22">
                  <c:v>107257302.41219306</c:v>
                </c:pt>
              </c:numCache>
            </c:numRef>
          </c:val>
          <c:extLst>
            <c:ext xmlns:c16="http://schemas.microsoft.com/office/drawing/2014/chart" uri="{C3380CC4-5D6E-409C-BE32-E72D297353CC}">
              <c16:uniqueId val="{00000000-53CA-423A-A0C1-0EB43E492573}"/>
            </c:ext>
          </c:extLst>
        </c:ser>
        <c:ser>
          <c:idx val="1"/>
          <c:order val="1"/>
          <c:tx>
            <c:strRef>
              <c:f>graphs!$A$17</c:f>
              <c:strCache>
                <c:ptCount val="1"/>
                <c:pt idx="0">
                  <c:v>Expense and Mortgage</c:v>
                </c:pt>
              </c:strCache>
            </c:strRef>
          </c:tx>
          <c:spPr>
            <a:solidFill>
              <a:schemeClr val="accent2"/>
            </a:solidFill>
            <a:ln>
              <a:noFill/>
            </a:ln>
            <a:effectLst/>
          </c:spPr>
          <c:invertIfNegative val="0"/>
          <c:cat>
            <c:numRef>
              <c:f>graphs!$B$15:$X$15</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graphs!$B$17:$X$17</c:f>
              <c:numCache>
                <c:formatCode>"$"#,##0_);\("$"#,##0\)</c:formatCode>
                <c:ptCount val="23"/>
                <c:pt idx="0">
                  <c:v>13468123.398709152</c:v>
                </c:pt>
                <c:pt idx="1">
                  <c:v>37105262.272452377</c:v>
                </c:pt>
                <c:pt idx="2">
                  <c:v>40875377.871194184</c:v>
                </c:pt>
                <c:pt idx="3">
                  <c:v>38972502.340281546</c:v>
                </c:pt>
                <c:pt idx="4">
                  <c:v>38184615.32730858</c:v>
                </c:pt>
                <c:pt idx="5">
                  <c:v>37841741.993148327</c:v>
                </c:pt>
                <c:pt idx="6">
                  <c:v>37468089.31131997</c:v>
                </c:pt>
                <c:pt idx="7">
                  <c:v>37061342.623282015</c:v>
                </c:pt>
                <c:pt idx="8">
                  <c:v>36619018.449698687</c:v>
                </c:pt>
                <c:pt idx="9">
                  <c:v>36138452.259380564</c:v>
                </c:pt>
                <c:pt idx="10">
                  <c:v>35616785.353527762</c:v>
                </c:pt>
                <c:pt idx="11">
                  <c:v>24981601.640439317</c:v>
                </c:pt>
                <c:pt idx="12">
                  <c:v>21390213.124096725</c:v>
                </c:pt>
                <c:pt idx="13">
                  <c:v>21239250.894884057</c:v>
                </c:pt>
                <c:pt idx="14">
                  <c:v>21070622.272916768</c:v>
                </c:pt>
                <c:pt idx="15">
                  <c:v>20882947.799517401</c:v>
                </c:pt>
                <c:pt idx="16">
                  <c:v>13163687.142773423</c:v>
                </c:pt>
                <c:pt idx="17">
                  <c:v>10711909.421827443</c:v>
                </c:pt>
                <c:pt idx="18">
                  <c:v>10840669.517143866</c:v>
                </c:pt>
                <c:pt idx="19">
                  <c:v>10971455.035642283</c:v>
                </c:pt>
                <c:pt idx="20">
                  <c:v>11104301.097661486</c:v>
                </c:pt>
                <c:pt idx="21">
                  <c:v>11239243.474541649</c:v>
                </c:pt>
                <c:pt idx="22">
                  <c:v>11376318.601182893</c:v>
                </c:pt>
              </c:numCache>
            </c:numRef>
          </c:val>
          <c:extLst>
            <c:ext xmlns:c16="http://schemas.microsoft.com/office/drawing/2014/chart" uri="{C3380CC4-5D6E-409C-BE32-E72D297353CC}">
              <c16:uniqueId val="{00000001-53CA-423A-A0C1-0EB43E492573}"/>
            </c:ext>
          </c:extLst>
        </c:ser>
        <c:dLbls>
          <c:showLegendKey val="0"/>
          <c:showVal val="0"/>
          <c:showCatName val="0"/>
          <c:showSerName val="0"/>
          <c:showPercent val="0"/>
          <c:showBubbleSize val="0"/>
        </c:dLbls>
        <c:gapWidth val="219"/>
        <c:overlap val="-27"/>
        <c:axId val="714158000"/>
        <c:axId val="714158656"/>
      </c:barChart>
      <c:lineChart>
        <c:grouping val="standard"/>
        <c:varyColors val="0"/>
        <c:ser>
          <c:idx val="2"/>
          <c:order val="2"/>
          <c:tx>
            <c:strRef>
              <c:f>graphs!$A$18</c:f>
              <c:strCache>
                <c:ptCount val="1"/>
                <c:pt idx="0">
                  <c:v>Mortgage line 1.3 times </c:v>
                </c:pt>
              </c:strCache>
            </c:strRef>
          </c:tx>
          <c:spPr>
            <a:ln w="28575" cap="rnd">
              <a:solidFill>
                <a:schemeClr val="accent3"/>
              </a:solidFill>
              <a:round/>
            </a:ln>
            <a:effectLst/>
          </c:spPr>
          <c:marker>
            <c:symbol val="none"/>
          </c:marker>
          <c:cat>
            <c:numRef>
              <c:f>graphs!$B$15:$X$15</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graphs!$B$18:$X$18</c:f>
              <c:numCache>
                <c:formatCode>"$"#,##0_);\("$"#,##0\)</c:formatCode>
                <c:ptCount val="23"/>
                <c:pt idx="0">
                  <c:v>17508560.418321896</c:v>
                </c:pt>
                <c:pt idx="1">
                  <c:v>48236840.954188094</c:v>
                </c:pt>
                <c:pt idx="2">
                  <c:v>53137991.232552439</c:v>
                </c:pt>
                <c:pt idx="3">
                  <c:v>50664253.042366013</c:v>
                </c:pt>
                <c:pt idx="4">
                  <c:v>49639999.925501153</c:v>
                </c:pt>
                <c:pt idx="5">
                  <c:v>49194264.591092825</c:v>
                </c:pt>
                <c:pt idx="6">
                  <c:v>48708516.104715966</c:v>
                </c:pt>
                <c:pt idx="7">
                  <c:v>48179745.410266623</c:v>
                </c:pt>
                <c:pt idx="8">
                  <c:v>47604723.984608293</c:v>
                </c:pt>
                <c:pt idx="9">
                  <c:v>46979987.937194735</c:v>
                </c:pt>
                <c:pt idx="10">
                  <c:v>46301820.959586091</c:v>
                </c:pt>
                <c:pt idx="11">
                  <c:v>32476082.132571112</c:v>
                </c:pt>
                <c:pt idx="12">
                  <c:v>27807277.061325744</c:v>
                </c:pt>
                <c:pt idx="13">
                  <c:v>27611026.163349275</c:v>
                </c:pt>
                <c:pt idx="14">
                  <c:v>27391808.954791799</c:v>
                </c:pt>
                <c:pt idx="15">
                  <c:v>27147832.139372621</c:v>
                </c:pt>
                <c:pt idx="16">
                  <c:v>17112793.285605449</c:v>
                </c:pt>
                <c:pt idx="17">
                  <c:v>13925482.248375677</c:v>
                </c:pt>
                <c:pt idx="18">
                  <c:v>14092870.372287026</c:v>
                </c:pt>
                <c:pt idx="19">
                  <c:v>14262891.546334969</c:v>
                </c:pt>
                <c:pt idx="20">
                  <c:v>14435591.426959932</c:v>
                </c:pt>
                <c:pt idx="21">
                  <c:v>14611016.516904144</c:v>
                </c:pt>
                <c:pt idx="22">
                  <c:v>14789214.18153776</c:v>
                </c:pt>
              </c:numCache>
            </c:numRef>
          </c:val>
          <c:smooth val="0"/>
          <c:extLst>
            <c:ext xmlns:c16="http://schemas.microsoft.com/office/drawing/2014/chart" uri="{C3380CC4-5D6E-409C-BE32-E72D297353CC}">
              <c16:uniqueId val="{00000002-53CA-423A-A0C1-0EB43E492573}"/>
            </c:ext>
          </c:extLst>
        </c:ser>
        <c:dLbls>
          <c:showLegendKey val="0"/>
          <c:showVal val="0"/>
          <c:showCatName val="0"/>
          <c:showSerName val="0"/>
          <c:showPercent val="0"/>
          <c:showBubbleSize val="0"/>
        </c:dLbls>
        <c:marker val="1"/>
        <c:smooth val="0"/>
        <c:axId val="714158000"/>
        <c:axId val="714158656"/>
      </c:lineChart>
      <c:catAx>
        <c:axId val="71415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58656"/>
        <c:crosses val="autoZero"/>
        <c:auto val="1"/>
        <c:lblAlgn val="ctr"/>
        <c:lblOffset val="100"/>
        <c:noMultiLvlLbl val="0"/>
      </c:catAx>
      <c:valAx>
        <c:axId val="714158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58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Income and Expense With Loan Ratio Guideline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graphs!$A$21</c:f>
              <c:strCache>
                <c:ptCount val="1"/>
                <c:pt idx="0">
                  <c:v>Total Revenue</c:v>
                </c:pt>
              </c:strCache>
            </c:strRef>
          </c:tx>
          <c:spPr>
            <a:ln w="28575" cap="rnd">
              <a:solidFill>
                <a:schemeClr val="accent1"/>
              </a:solidFill>
              <a:round/>
            </a:ln>
            <a:effectLst/>
          </c:spPr>
          <c:marker>
            <c:symbol val="none"/>
          </c:marker>
          <c:cat>
            <c:numRef>
              <c:f>graphs!$B$20:$X$20</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graphs!$B$21:$X$21</c:f>
              <c:numCache>
                <c:formatCode>"$"#,##0_);\("$"#,##0\)</c:formatCode>
                <c:ptCount val="23"/>
                <c:pt idx="0">
                  <c:v>0</c:v>
                </c:pt>
                <c:pt idx="1">
                  <c:v>42079157.63449195</c:v>
                </c:pt>
                <c:pt idx="2">
                  <c:v>73261682.810393706</c:v>
                </c:pt>
                <c:pt idx="3">
                  <c:v>79804721.610527456</c:v>
                </c:pt>
                <c:pt idx="4">
                  <c:v>81225241.641189128</c:v>
                </c:pt>
                <c:pt idx="5">
                  <c:v>82228619.621948481</c:v>
                </c:pt>
                <c:pt idx="6">
                  <c:v>83477384.448526293</c:v>
                </c:pt>
                <c:pt idx="7">
                  <c:v>84751354.788526297</c:v>
                </c:pt>
                <c:pt idx="8">
                  <c:v>86051039.398996562</c:v>
                </c:pt>
                <c:pt idx="9">
                  <c:v>87376957.305918336</c:v>
                </c:pt>
                <c:pt idx="10">
                  <c:v>88729638.011477888</c:v>
                </c:pt>
                <c:pt idx="11">
                  <c:v>90109621.705521971</c:v>
                </c:pt>
                <c:pt idx="12">
                  <c:v>91517459.481281281</c:v>
                </c:pt>
                <c:pt idx="13">
                  <c:v>92953713.555448398</c:v>
                </c:pt>
                <c:pt idx="14">
                  <c:v>94418957.492697492</c:v>
                </c:pt>
                <c:pt idx="15">
                  <c:v>95913776.434736222</c:v>
                </c:pt>
                <c:pt idx="16">
                  <c:v>97438767.333980471</c:v>
                </c:pt>
                <c:pt idx="17">
                  <c:v>98994539.191946119</c:v>
                </c:pt>
                <c:pt idx="18">
                  <c:v>100581713.30245224</c:v>
                </c:pt>
                <c:pt idx="19">
                  <c:v>102200923.4997333</c:v>
                </c:pt>
                <c:pt idx="20">
                  <c:v>103852816.41155936</c:v>
                </c:pt>
                <c:pt idx="21">
                  <c:v>105538051.71746549</c:v>
                </c:pt>
                <c:pt idx="22">
                  <c:v>107257302.41219306</c:v>
                </c:pt>
              </c:numCache>
            </c:numRef>
          </c:val>
          <c:smooth val="0"/>
          <c:extLst>
            <c:ext xmlns:c16="http://schemas.microsoft.com/office/drawing/2014/chart" uri="{C3380CC4-5D6E-409C-BE32-E72D297353CC}">
              <c16:uniqueId val="{00000000-C329-4A55-8ABC-BB744E4DFED5}"/>
            </c:ext>
          </c:extLst>
        </c:ser>
        <c:ser>
          <c:idx val="1"/>
          <c:order val="1"/>
          <c:tx>
            <c:strRef>
              <c:f>graphs!$A$22</c:f>
              <c:strCache>
                <c:ptCount val="1"/>
                <c:pt idx="0">
                  <c:v>Total Expense</c:v>
                </c:pt>
              </c:strCache>
            </c:strRef>
          </c:tx>
          <c:spPr>
            <a:ln w="28575" cap="rnd">
              <a:solidFill>
                <a:schemeClr val="accent2"/>
              </a:solidFill>
              <a:round/>
            </a:ln>
            <a:effectLst/>
          </c:spPr>
          <c:marker>
            <c:symbol val="none"/>
          </c:marker>
          <c:cat>
            <c:numRef>
              <c:f>graphs!$B$20:$X$20</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graphs!$B$22:$X$22</c:f>
              <c:numCache>
                <c:formatCode>"$"#,##0_);\("$"#,##0\)</c:formatCode>
                <c:ptCount val="23"/>
                <c:pt idx="0">
                  <c:v>13468123.398709152</c:v>
                </c:pt>
                <c:pt idx="1">
                  <c:v>37105262.272452377</c:v>
                </c:pt>
                <c:pt idx="2">
                  <c:v>40875377.871194184</c:v>
                </c:pt>
                <c:pt idx="3">
                  <c:v>38972502.340281546</c:v>
                </c:pt>
                <c:pt idx="4">
                  <c:v>38184615.32730858</c:v>
                </c:pt>
                <c:pt idx="5">
                  <c:v>37841741.993148327</c:v>
                </c:pt>
                <c:pt idx="6">
                  <c:v>37468089.31131997</c:v>
                </c:pt>
                <c:pt idx="7">
                  <c:v>37061342.623282015</c:v>
                </c:pt>
                <c:pt idx="8">
                  <c:v>36619018.449698687</c:v>
                </c:pt>
                <c:pt idx="9">
                  <c:v>36138452.259380564</c:v>
                </c:pt>
                <c:pt idx="10">
                  <c:v>35616785.353527762</c:v>
                </c:pt>
                <c:pt idx="11">
                  <c:v>24981601.640439317</c:v>
                </c:pt>
                <c:pt idx="12">
                  <c:v>21390213.124096725</c:v>
                </c:pt>
                <c:pt idx="13">
                  <c:v>21239250.894884057</c:v>
                </c:pt>
                <c:pt idx="14">
                  <c:v>21070622.272916768</c:v>
                </c:pt>
                <c:pt idx="15">
                  <c:v>20882947.799517401</c:v>
                </c:pt>
                <c:pt idx="16">
                  <c:v>13163687.142773423</c:v>
                </c:pt>
                <c:pt idx="17">
                  <c:v>10711909.421827443</c:v>
                </c:pt>
                <c:pt idx="18">
                  <c:v>10840669.517143866</c:v>
                </c:pt>
                <c:pt idx="19">
                  <c:v>10971455.035642283</c:v>
                </c:pt>
                <c:pt idx="20">
                  <c:v>11104301.097661486</c:v>
                </c:pt>
                <c:pt idx="21">
                  <c:v>11239243.474541649</c:v>
                </c:pt>
                <c:pt idx="22">
                  <c:v>11376318.601182893</c:v>
                </c:pt>
              </c:numCache>
            </c:numRef>
          </c:val>
          <c:smooth val="0"/>
          <c:extLst>
            <c:ext xmlns:c16="http://schemas.microsoft.com/office/drawing/2014/chart" uri="{C3380CC4-5D6E-409C-BE32-E72D297353CC}">
              <c16:uniqueId val="{00000001-C329-4A55-8ABC-BB744E4DFED5}"/>
            </c:ext>
          </c:extLst>
        </c:ser>
        <c:ser>
          <c:idx val="2"/>
          <c:order val="2"/>
          <c:tx>
            <c:strRef>
              <c:f>graphs!$A$23</c:f>
              <c:strCache>
                <c:ptCount val="1"/>
                <c:pt idx="0">
                  <c:v>Loan Ratio</c:v>
                </c:pt>
              </c:strCache>
            </c:strRef>
          </c:tx>
          <c:spPr>
            <a:ln w="28575" cap="rnd">
              <a:solidFill>
                <a:schemeClr val="accent3"/>
              </a:solidFill>
              <a:round/>
            </a:ln>
            <a:effectLst/>
          </c:spPr>
          <c:marker>
            <c:symbol val="none"/>
          </c:marker>
          <c:cat>
            <c:numRef>
              <c:f>graphs!$B$20:$X$20</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graphs!$B$23:$X$23</c:f>
              <c:numCache>
                <c:formatCode>"$"#,##0_);\("$"#,##0\)</c:formatCode>
                <c:ptCount val="23"/>
                <c:pt idx="0">
                  <c:v>17508560.418321896</c:v>
                </c:pt>
                <c:pt idx="1">
                  <c:v>48236840.954188094</c:v>
                </c:pt>
                <c:pt idx="2">
                  <c:v>53137991.232552439</c:v>
                </c:pt>
                <c:pt idx="3">
                  <c:v>50664253.042366013</c:v>
                </c:pt>
                <c:pt idx="4">
                  <c:v>49639999.925501153</c:v>
                </c:pt>
                <c:pt idx="5">
                  <c:v>49194264.591092825</c:v>
                </c:pt>
                <c:pt idx="6">
                  <c:v>48708516.104715966</c:v>
                </c:pt>
                <c:pt idx="7">
                  <c:v>48179745.410266623</c:v>
                </c:pt>
                <c:pt idx="8">
                  <c:v>47604723.984608293</c:v>
                </c:pt>
                <c:pt idx="9">
                  <c:v>46979987.937194735</c:v>
                </c:pt>
                <c:pt idx="10">
                  <c:v>46301820.959586091</c:v>
                </c:pt>
                <c:pt idx="11">
                  <c:v>32476082.132571112</c:v>
                </c:pt>
                <c:pt idx="12">
                  <c:v>27807277.061325744</c:v>
                </c:pt>
                <c:pt idx="13">
                  <c:v>27611026.163349275</c:v>
                </c:pt>
                <c:pt idx="14">
                  <c:v>27391808.954791799</c:v>
                </c:pt>
                <c:pt idx="15">
                  <c:v>27147832.139372621</c:v>
                </c:pt>
                <c:pt idx="16">
                  <c:v>17112793.285605449</c:v>
                </c:pt>
                <c:pt idx="17">
                  <c:v>13925482.248375677</c:v>
                </c:pt>
                <c:pt idx="18">
                  <c:v>14092870.372287026</c:v>
                </c:pt>
                <c:pt idx="19">
                  <c:v>14262891.546334969</c:v>
                </c:pt>
                <c:pt idx="20">
                  <c:v>14435591.426959932</c:v>
                </c:pt>
                <c:pt idx="21">
                  <c:v>14611016.516904144</c:v>
                </c:pt>
                <c:pt idx="22">
                  <c:v>14789214.18153776</c:v>
                </c:pt>
              </c:numCache>
            </c:numRef>
          </c:val>
          <c:smooth val="0"/>
          <c:extLst>
            <c:ext xmlns:c16="http://schemas.microsoft.com/office/drawing/2014/chart" uri="{C3380CC4-5D6E-409C-BE32-E72D297353CC}">
              <c16:uniqueId val="{00000002-C329-4A55-8ABC-BB744E4DFED5}"/>
            </c:ext>
          </c:extLst>
        </c:ser>
        <c:dLbls>
          <c:showLegendKey val="0"/>
          <c:showVal val="0"/>
          <c:showCatName val="0"/>
          <c:showSerName val="0"/>
          <c:showPercent val="0"/>
          <c:showBubbleSize val="0"/>
        </c:dLbls>
        <c:smooth val="0"/>
        <c:axId val="648837680"/>
        <c:axId val="648839976"/>
      </c:lineChart>
      <c:catAx>
        <c:axId val="64883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839976"/>
        <c:crosses val="autoZero"/>
        <c:auto val="1"/>
        <c:lblAlgn val="ctr"/>
        <c:lblOffset val="100"/>
        <c:noMultiLvlLbl val="0"/>
      </c:catAx>
      <c:valAx>
        <c:axId val="648839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837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Adjusted Revenue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graphs!$A$27</c:f>
              <c:strCache>
                <c:ptCount val="1"/>
                <c:pt idx="0">
                  <c:v>Core Revenue (Electrical and Fuel)</c:v>
                </c:pt>
              </c:strCache>
            </c:strRef>
          </c:tx>
          <c:spPr>
            <a:solidFill>
              <a:schemeClr val="accent1"/>
            </a:solidFill>
            <a:ln>
              <a:noFill/>
            </a:ln>
            <a:effectLst/>
          </c:spPr>
          <c:cat>
            <c:numRef>
              <c:f>graphs!$B$26:$X$26</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graphs!$B$27:$X$27</c:f>
              <c:numCache>
                <c:formatCode>"$"#,##0_);\("$"#,##0\)</c:formatCode>
                <c:ptCount val="23"/>
                <c:pt idx="0">
                  <c:v>0</c:v>
                </c:pt>
                <c:pt idx="1">
                  <c:v>0</c:v>
                </c:pt>
                <c:pt idx="2">
                  <c:v>16398976.114098672</c:v>
                </c:pt>
                <c:pt idx="3">
                  <c:v>21765913.751440059</c:v>
                </c:pt>
                <c:pt idx="4">
                  <c:v>21825546.391854964</c:v>
                </c:pt>
                <c:pt idx="5">
                  <c:v>21765913.751440059</c:v>
                </c:pt>
                <c:pt idx="6">
                  <c:v>21765913.751440059</c:v>
                </c:pt>
                <c:pt idx="7">
                  <c:v>21765913.751440059</c:v>
                </c:pt>
                <c:pt idx="8">
                  <c:v>21765913.751440059</c:v>
                </c:pt>
                <c:pt idx="9">
                  <c:v>21765913.751440059</c:v>
                </c:pt>
                <c:pt idx="10">
                  <c:v>21765913.751440059</c:v>
                </c:pt>
                <c:pt idx="11">
                  <c:v>21765913.751440059</c:v>
                </c:pt>
                <c:pt idx="12">
                  <c:v>21765913.751440059</c:v>
                </c:pt>
                <c:pt idx="13">
                  <c:v>21765913.751440059</c:v>
                </c:pt>
                <c:pt idx="14">
                  <c:v>21765913.751440059</c:v>
                </c:pt>
                <c:pt idx="15">
                  <c:v>21765913.751440059</c:v>
                </c:pt>
                <c:pt idx="16">
                  <c:v>21765913.751440059</c:v>
                </c:pt>
                <c:pt idx="17">
                  <c:v>21765913.751440059</c:v>
                </c:pt>
                <c:pt idx="18">
                  <c:v>21765913.751440059</c:v>
                </c:pt>
                <c:pt idx="19">
                  <c:v>21765913.751440059</c:v>
                </c:pt>
                <c:pt idx="20">
                  <c:v>21765913.751440059</c:v>
                </c:pt>
                <c:pt idx="21">
                  <c:v>21765913.751440059</c:v>
                </c:pt>
                <c:pt idx="22">
                  <c:v>21765913.751440059</c:v>
                </c:pt>
              </c:numCache>
            </c:numRef>
          </c:val>
          <c:extLst>
            <c:ext xmlns:c16="http://schemas.microsoft.com/office/drawing/2014/chart" uri="{C3380CC4-5D6E-409C-BE32-E72D297353CC}">
              <c16:uniqueId val="{00000000-5D92-4F4F-B67D-87680F6FA2E9}"/>
            </c:ext>
          </c:extLst>
        </c:ser>
        <c:ser>
          <c:idx val="1"/>
          <c:order val="1"/>
          <c:tx>
            <c:strRef>
              <c:f>graphs!$A$28</c:f>
              <c:strCache>
                <c:ptCount val="1"/>
                <c:pt idx="0">
                  <c:v>Commodities (adjusted at 75% of value)</c:v>
                </c:pt>
              </c:strCache>
            </c:strRef>
          </c:tx>
          <c:spPr>
            <a:solidFill>
              <a:schemeClr val="accent2"/>
            </a:solidFill>
            <a:ln>
              <a:noFill/>
            </a:ln>
            <a:effectLst/>
          </c:spPr>
          <c:cat>
            <c:numRef>
              <c:f>graphs!$B$26:$X$26</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graphs!$B$28:$X$28</c:f>
              <c:numCache>
                <c:formatCode>"$"#,##0_);\("$"#,##0\)</c:formatCode>
                <c:ptCount val="23"/>
                <c:pt idx="0">
                  <c:v>0</c:v>
                </c:pt>
                <c:pt idx="1">
                  <c:v>21774743.542467795</c:v>
                </c:pt>
                <c:pt idx="2">
                  <c:v>29411946.090564854</c:v>
                </c:pt>
                <c:pt idx="3">
                  <c:v>30005607.271741983</c:v>
                </c:pt>
                <c:pt idx="4">
                  <c:v>30694486.457242362</c:v>
                </c:pt>
                <c:pt idx="5">
                  <c:v>31229119.501843493</c:v>
                </c:pt>
                <c:pt idx="6">
                  <c:v>31859459.157488834</c:v>
                </c:pt>
                <c:pt idx="7">
                  <c:v>32502521.812943872</c:v>
                </c:pt>
                <c:pt idx="8">
                  <c:v>33158564.273762114</c:v>
                </c:pt>
                <c:pt idx="9">
                  <c:v>33827848.52895169</c:v>
                </c:pt>
                <c:pt idx="10">
                  <c:v>34510641.855600022</c:v>
                </c:pt>
                <c:pt idx="11">
                  <c:v>35207216.925610393</c:v>
                </c:pt>
                <c:pt idx="12">
                  <c:v>35917851.914592713</c:v>
                </c:pt>
                <c:pt idx="13">
                  <c:v>36642830.612952381</c:v>
                </c:pt>
                <c:pt idx="14">
                  <c:v>37382442.539221235</c:v>
                </c:pt>
                <c:pt idx="15">
                  <c:v>38136983.055676207</c:v>
                </c:pt>
                <c:pt idx="16">
                  <c:v>38906753.486291394</c:v>
                </c:pt>
                <c:pt idx="17">
                  <c:v>39692061.237071216</c:v>
                </c:pt>
                <c:pt idx="18">
                  <c:v>40493219.91881223</c:v>
                </c:pt>
                <c:pt idx="19">
                  <c:v>41310549.472342819</c:v>
                </c:pt>
                <c:pt idx="20">
                  <c:v>42144376.296290889</c:v>
                </c:pt>
                <c:pt idx="21">
                  <c:v>42995033.377430297</c:v>
                </c:pt>
                <c:pt idx="22">
                  <c:v>43862860.423658401</c:v>
                </c:pt>
              </c:numCache>
            </c:numRef>
          </c:val>
          <c:extLst>
            <c:ext xmlns:c16="http://schemas.microsoft.com/office/drawing/2014/chart" uri="{C3380CC4-5D6E-409C-BE32-E72D297353CC}">
              <c16:uniqueId val="{00000001-5D92-4F4F-B67D-87680F6FA2E9}"/>
            </c:ext>
          </c:extLst>
        </c:ser>
        <c:dLbls>
          <c:showLegendKey val="0"/>
          <c:showVal val="0"/>
          <c:showCatName val="0"/>
          <c:showSerName val="0"/>
          <c:showPercent val="0"/>
          <c:showBubbleSize val="0"/>
        </c:dLbls>
        <c:axId val="744826744"/>
        <c:axId val="744831664"/>
      </c:areaChart>
      <c:catAx>
        <c:axId val="744826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31664"/>
        <c:crosses val="autoZero"/>
        <c:auto val="1"/>
        <c:lblAlgn val="ctr"/>
        <c:lblOffset val="100"/>
        <c:noMultiLvlLbl val="0"/>
      </c:catAx>
      <c:valAx>
        <c:axId val="744831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267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Core Revenue to Total Expense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graphs!$A$34</c:f>
              <c:strCache>
                <c:ptCount val="1"/>
                <c:pt idx="0">
                  <c:v>Core Revenue (Electrical and Fuel)</c:v>
                </c:pt>
              </c:strCache>
            </c:strRef>
          </c:tx>
          <c:spPr>
            <a:ln w="28575" cap="rnd">
              <a:solidFill>
                <a:schemeClr val="accent1"/>
              </a:solidFill>
              <a:round/>
            </a:ln>
            <a:effectLst/>
          </c:spPr>
          <c:marker>
            <c:symbol val="none"/>
          </c:marker>
          <c:cat>
            <c:numRef>
              <c:f>graphs!$B$33:$X$33</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graphs!$B$34:$X$34</c:f>
              <c:numCache>
                <c:formatCode>"$"#,##0_);\("$"#,##0\)</c:formatCode>
                <c:ptCount val="23"/>
                <c:pt idx="0">
                  <c:v>0</c:v>
                </c:pt>
                <c:pt idx="1">
                  <c:v>0</c:v>
                </c:pt>
                <c:pt idx="2">
                  <c:v>16398976.114098672</c:v>
                </c:pt>
                <c:pt idx="3">
                  <c:v>21765913.751440059</c:v>
                </c:pt>
                <c:pt idx="4">
                  <c:v>21825546.391854964</c:v>
                </c:pt>
                <c:pt idx="5">
                  <c:v>21765913.751440059</c:v>
                </c:pt>
                <c:pt idx="6">
                  <c:v>21765913.751440059</c:v>
                </c:pt>
                <c:pt idx="7">
                  <c:v>21765913.751440059</c:v>
                </c:pt>
                <c:pt idx="8">
                  <c:v>21765913.751440059</c:v>
                </c:pt>
                <c:pt idx="9">
                  <c:v>21765913.751440059</c:v>
                </c:pt>
                <c:pt idx="10">
                  <c:v>21765913.751440059</c:v>
                </c:pt>
                <c:pt idx="11">
                  <c:v>21765913.751440059</c:v>
                </c:pt>
                <c:pt idx="12">
                  <c:v>21765913.751440059</c:v>
                </c:pt>
                <c:pt idx="13">
                  <c:v>21765913.751440059</c:v>
                </c:pt>
                <c:pt idx="14">
                  <c:v>21765913.751440059</c:v>
                </c:pt>
                <c:pt idx="15">
                  <c:v>21765913.751440059</c:v>
                </c:pt>
                <c:pt idx="16">
                  <c:v>21765913.751440059</c:v>
                </c:pt>
                <c:pt idx="17">
                  <c:v>21765913.751440059</c:v>
                </c:pt>
                <c:pt idx="18">
                  <c:v>21765913.751440059</c:v>
                </c:pt>
                <c:pt idx="19">
                  <c:v>21765913.751440059</c:v>
                </c:pt>
                <c:pt idx="20">
                  <c:v>21765913.751440059</c:v>
                </c:pt>
                <c:pt idx="21">
                  <c:v>21765913.751440059</c:v>
                </c:pt>
                <c:pt idx="22">
                  <c:v>21765913.751440059</c:v>
                </c:pt>
              </c:numCache>
            </c:numRef>
          </c:val>
          <c:smooth val="0"/>
          <c:extLst>
            <c:ext xmlns:c16="http://schemas.microsoft.com/office/drawing/2014/chart" uri="{C3380CC4-5D6E-409C-BE32-E72D297353CC}">
              <c16:uniqueId val="{00000000-72E4-4197-838C-B5B957C636B4}"/>
            </c:ext>
          </c:extLst>
        </c:ser>
        <c:ser>
          <c:idx val="1"/>
          <c:order val="1"/>
          <c:tx>
            <c:strRef>
              <c:f>graphs!$A$35</c:f>
              <c:strCache>
                <c:ptCount val="1"/>
                <c:pt idx="0">
                  <c:v>Total Expense</c:v>
                </c:pt>
              </c:strCache>
            </c:strRef>
          </c:tx>
          <c:spPr>
            <a:ln w="28575" cap="rnd">
              <a:solidFill>
                <a:schemeClr val="accent2"/>
              </a:solidFill>
              <a:round/>
            </a:ln>
            <a:effectLst/>
          </c:spPr>
          <c:marker>
            <c:symbol val="none"/>
          </c:marker>
          <c:cat>
            <c:numRef>
              <c:f>graphs!$B$33:$X$33</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graphs!$B$35:$X$35</c:f>
              <c:numCache>
                <c:formatCode>"$"#,##0_);\("$"#,##0\)</c:formatCode>
                <c:ptCount val="23"/>
                <c:pt idx="0">
                  <c:v>13468123.398709152</c:v>
                </c:pt>
                <c:pt idx="1">
                  <c:v>37105262.272452377</c:v>
                </c:pt>
                <c:pt idx="2">
                  <c:v>40875377.871194184</c:v>
                </c:pt>
                <c:pt idx="3">
                  <c:v>38972502.340281546</c:v>
                </c:pt>
                <c:pt idx="4">
                  <c:v>38184615.32730858</c:v>
                </c:pt>
                <c:pt idx="5">
                  <c:v>37841741.993148327</c:v>
                </c:pt>
                <c:pt idx="6">
                  <c:v>37468089.31131997</c:v>
                </c:pt>
                <c:pt idx="7">
                  <c:v>37061342.623282015</c:v>
                </c:pt>
                <c:pt idx="8">
                  <c:v>36619018.449698687</c:v>
                </c:pt>
                <c:pt idx="9">
                  <c:v>36138452.259380564</c:v>
                </c:pt>
                <c:pt idx="10">
                  <c:v>35616785.353527762</c:v>
                </c:pt>
                <c:pt idx="11">
                  <c:v>24981601.640439317</c:v>
                </c:pt>
                <c:pt idx="12">
                  <c:v>21390213.124096725</c:v>
                </c:pt>
                <c:pt idx="13">
                  <c:v>21239250.894884057</c:v>
                </c:pt>
                <c:pt idx="14">
                  <c:v>21070622.272916768</c:v>
                </c:pt>
                <c:pt idx="15">
                  <c:v>20882947.799517401</c:v>
                </c:pt>
                <c:pt idx="16">
                  <c:v>13163687.142773423</c:v>
                </c:pt>
                <c:pt idx="17">
                  <c:v>10711909.421827443</c:v>
                </c:pt>
                <c:pt idx="18">
                  <c:v>10840669.517143866</c:v>
                </c:pt>
                <c:pt idx="19">
                  <c:v>10971455.035642283</c:v>
                </c:pt>
                <c:pt idx="20">
                  <c:v>11104301.097661486</c:v>
                </c:pt>
                <c:pt idx="21">
                  <c:v>11239243.474541649</c:v>
                </c:pt>
                <c:pt idx="22">
                  <c:v>11376318.601182893</c:v>
                </c:pt>
              </c:numCache>
            </c:numRef>
          </c:val>
          <c:smooth val="0"/>
          <c:extLst>
            <c:ext xmlns:c16="http://schemas.microsoft.com/office/drawing/2014/chart" uri="{C3380CC4-5D6E-409C-BE32-E72D297353CC}">
              <c16:uniqueId val="{00000001-72E4-4197-838C-B5B957C636B4}"/>
            </c:ext>
          </c:extLst>
        </c:ser>
        <c:ser>
          <c:idx val="2"/>
          <c:order val="2"/>
          <c:tx>
            <c:strRef>
              <c:f>graphs!$A$36</c:f>
              <c:strCache>
                <c:ptCount val="1"/>
                <c:pt idx="0">
                  <c:v>Loan Ratio</c:v>
                </c:pt>
              </c:strCache>
            </c:strRef>
          </c:tx>
          <c:spPr>
            <a:ln w="28575" cap="rnd">
              <a:solidFill>
                <a:schemeClr val="accent3"/>
              </a:solidFill>
              <a:round/>
            </a:ln>
            <a:effectLst/>
          </c:spPr>
          <c:marker>
            <c:symbol val="none"/>
          </c:marker>
          <c:cat>
            <c:numRef>
              <c:f>graphs!$B$33:$X$33</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graphs!$B$36:$X$36</c:f>
              <c:numCache>
                <c:formatCode>"$"#,##0_);\("$"#,##0\)</c:formatCode>
                <c:ptCount val="23"/>
                <c:pt idx="0">
                  <c:v>17508560.418321896</c:v>
                </c:pt>
                <c:pt idx="1">
                  <c:v>48236840.954188094</c:v>
                </c:pt>
                <c:pt idx="2">
                  <c:v>53137991.232552439</c:v>
                </c:pt>
                <c:pt idx="3">
                  <c:v>50664253.042366013</c:v>
                </c:pt>
                <c:pt idx="4">
                  <c:v>49639999.925501153</c:v>
                </c:pt>
                <c:pt idx="5">
                  <c:v>49194264.591092825</c:v>
                </c:pt>
                <c:pt idx="6">
                  <c:v>48708516.104715966</c:v>
                </c:pt>
                <c:pt idx="7">
                  <c:v>48179745.410266623</c:v>
                </c:pt>
                <c:pt idx="8">
                  <c:v>47604723.984608293</c:v>
                </c:pt>
                <c:pt idx="9">
                  <c:v>46979987.937194735</c:v>
                </c:pt>
                <c:pt idx="10">
                  <c:v>46301820.959586091</c:v>
                </c:pt>
                <c:pt idx="11">
                  <c:v>32476082.132571112</c:v>
                </c:pt>
                <c:pt idx="12">
                  <c:v>27807277.061325744</c:v>
                </c:pt>
                <c:pt idx="13">
                  <c:v>27611026.163349275</c:v>
                </c:pt>
                <c:pt idx="14">
                  <c:v>27391808.954791799</c:v>
                </c:pt>
                <c:pt idx="15">
                  <c:v>27147832.139372621</c:v>
                </c:pt>
                <c:pt idx="16">
                  <c:v>17112793.285605449</c:v>
                </c:pt>
                <c:pt idx="17">
                  <c:v>13925482.248375677</c:v>
                </c:pt>
                <c:pt idx="18">
                  <c:v>14092870.372287026</c:v>
                </c:pt>
                <c:pt idx="19">
                  <c:v>14262891.546334969</c:v>
                </c:pt>
                <c:pt idx="20">
                  <c:v>14435591.426959932</c:v>
                </c:pt>
                <c:pt idx="21">
                  <c:v>14611016.516904144</c:v>
                </c:pt>
                <c:pt idx="22">
                  <c:v>14789214.18153776</c:v>
                </c:pt>
              </c:numCache>
            </c:numRef>
          </c:val>
          <c:smooth val="0"/>
          <c:extLst>
            <c:ext xmlns:c16="http://schemas.microsoft.com/office/drawing/2014/chart" uri="{C3380CC4-5D6E-409C-BE32-E72D297353CC}">
              <c16:uniqueId val="{00000002-72E4-4197-838C-B5B957C636B4}"/>
            </c:ext>
          </c:extLst>
        </c:ser>
        <c:dLbls>
          <c:showLegendKey val="0"/>
          <c:showVal val="0"/>
          <c:showCatName val="0"/>
          <c:showSerName val="0"/>
          <c:showPercent val="0"/>
          <c:showBubbleSize val="0"/>
        </c:dLbls>
        <c:smooth val="0"/>
        <c:axId val="405754456"/>
        <c:axId val="405755768"/>
      </c:lineChart>
      <c:catAx>
        <c:axId val="405754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755768"/>
        <c:crosses val="autoZero"/>
        <c:auto val="1"/>
        <c:lblAlgn val="ctr"/>
        <c:lblOffset val="100"/>
        <c:noMultiLvlLbl val="0"/>
      </c:catAx>
      <c:valAx>
        <c:axId val="405755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754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 Revenue Breakout</a:t>
            </a:r>
          </a:p>
        </c:rich>
      </c:tx>
      <c:layout>
        <c:manualLayout>
          <c:xMode val="edge"/>
          <c:yMode val="edge"/>
          <c:x val="0.3578730682804217"/>
          <c:y val="1.2762582308790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367575052485226E-2"/>
          <c:y val="0.24204446736349391"/>
          <c:w val="0.76651091479012967"/>
          <c:h val="0.67070535578518675"/>
        </c:manualLayout>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30D-434A-951A-4910D915879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E5DB-4F3F-A939-9DF7BEBE440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DB-4F3F-A939-9DF7BEBE440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30D-434A-951A-4910D915879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30D-434A-951A-4910D915879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30D-434A-951A-4910D915879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30D-434A-951A-4910D915879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30D-434A-951A-4910D915879D}"/>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DB-4F3F-A939-9DF7BEBE440D}"/>
              </c:ext>
            </c:extLst>
          </c:dPt>
          <c:dLbls>
            <c:dLbl>
              <c:idx val="0"/>
              <c:layout>
                <c:manualLayout>
                  <c:x val="-1.3206095687278417E-2"/>
                  <c:y val="-0.12830754708293043"/>
                </c:manualLayout>
              </c:layout>
              <c:showLegendKey val="0"/>
              <c:showVal val="1"/>
              <c:showCatName val="1"/>
              <c:showSerName val="0"/>
              <c:showPercent val="1"/>
              <c:showBubbleSize val="0"/>
              <c:extLst>
                <c:ext xmlns:c15="http://schemas.microsoft.com/office/drawing/2012/chart" uri="{CE6537A1-D6FC-4f65-9D91-7224C49458BB}">
                  <c15:layout>
                    <c:manualLayout>
                      <c:w val="0.18028089414026222"/>
                      <c:h val="7.301169590643275E-2"/>
                    </c:manualLayout>
                  </c15:layout>
                </c:ext>
                <c:ext xmlns:c16="http://schemas.microsoft.com/office/drawing/2014/chart" uri="{C3380CC4-5D6E-409C-BE32-E72D297353CC}">
                  <c16:uniqueId val="{00000001-030D-434A-951A-4910D915879D}"/>
                </c:ext>
              </c:extLst>
            </c:dLbl>
            <c:dLbl>
              <c:idx val="1"/>
              <c:layout>
                <c:manualLayout>
                  <c:x val="5.7795569125238096E-2"/>
                  <c:y val="-0.11502444609386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8824199364032443"/>
                      <c:h val="8.0554288396570056E-2"/>
                    </c:manualLayout>
                  </c15:layout>
                </c:ext>
                <c:ext xmlns:c16="http://schemas.microsoft.com/office/drawing/2014/chart" uri="{C3380CC4-5D6E-409C-BE32-E72D297353CC}">
                  <c16:uniqueId val="{00000001-E5DB-4F3F-A939-9DF7BEBE440D}"/>
                </c:ext>
              </c:extLst>
            </c:dLbl>
            <c:dLbl>
              <c:idx val="2"/>
              <c:layout>
                <c:manualLayout>
                  <c:x val="0.14322465811147125"/>
                  <c:y val="1.10213197034581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5DB-4F3F-A939-9DF7BEBE440D}"/>
                </c:ext>
              </c:extLst>
            </c:dLbl>
            <c:dLbl>
              <c:idx val="3"/>
              <c:layout>
                <c:manualLayout>
                  <c:x val="2.9739221756307433E-2"/>
                  <c:y val="-4.1288667631911562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30D-434A-951A-4910D915879D}"/>
                </c:ext>
              </c:extLst>
            </c:dLbl>
            <c:dLbl>
              <c:idx val="4"/>
              <c:layout>
                <c:manualLayout>
                  <c:x val="4.0486425950933713E-2"/>
                  <c:y val="2.747110558548602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30D-434A-951A-4910D915879D}"/>
                </c:ext>
              </c:extLst>
            </c:dLbl>
            <c:dLbl>
              <c:idx val="5"/>
              <c:layout>
                <c:manualLayout>
                  <c:x val="1.9590040452761665E-2"/>
                  <c:y val="0.1117258369019663"/>
                </c:manualLayout>
              </c:layout>
              <c:showLegendKey val="0"/>
              <c:showVal val="1"/>
              <c:showCatName val="1"/>
              <c:showSerName val="0"/>
              <c:showPercent val="1"/>
              <c:showBubbleSize val="0"/>
              <c:extLst>
                <c:ext xmlns:c15="http://schemas.microsoft.com/office/drawing/2012/chart" uri="{CE6537A1-D6FC-4f65-9D91-7224C49458BB}">
                  <c15:layout>
                    <c:manualLayout>
                      <c:w val="0.14656697856997866"/>
                      <c:h val="7.301169590643275E-2"/>
                    </c:manualLayout>
                  </c15:layout>
                </c:ext>
                <c:ext xmlns:c16="http://schemas.microsoft.com/office/drawing/2014/chart" uri="{C3380CC4-5D6E-409C-BE32-E72D297353CC}">
                  <c16:uniqueId val="{0000000B-030D-434A-951A-4910D915879D}"/>
                </c:ext>
              </c:extLst>
            </c:dLbl>
            <c:dLbl>
              <c:idx val="6"/>
              <c:delete val="1"/>
              <c:extLst>
                <c:ext xmlns:c15="http://schemas.microsoft.com/office/drawing/2012/chart" uri="{CE6537A1-D6FC-4f65-9D91-7224C49458BB}"/>
                <c:ext xmlns:c16="http://schemas.microsoft.com/office/drawing/2014/chart" uri="{C3380CC4-5D6E-409C-BE32-E72D297353CC}">
                  <c16:uniqueId val="{0000000D-030D-434A-951A-4910D915879D}"/>
                </c:ext>
              </c:extLst>
            </c:dLbl>
            <c:dLbl>
              <c:idx val="7"/>
              <c:layout>
                <c:manualLayout>
                  <c:x val="0"/>
                  <c:y val="9.0194087581157614E-2"/>
                </c:manualLayout>
              </c:layout>
              <c:showLegendKey val="0"/>
              <c:showVal val="1"/>
              <c:showCatName val="1"/>
              <c:showSerName val="0"/>
              <c:showPercent val="1"/>
              <c:showBubbleSize val="0"/>
              <c:extLst>
                <c:ext xmlns:c15="http://schemas.microsoft.com/office/drawing/2012/chart" uri="{CE6537A1-D6FC-4f65-9D91-7224C49458BB}">
                  <c15:layout>
                    <c:manualLayout>
                      <c:w val="0.16344205229973358"/>
                      <c:h val="7.301169590643275E-2"/>
                    </c:manualLayout>
                  </c15:layout>
                </c:ext>
                <c:ext xmlns:c16="http://schemas.microsoft.com/office/drawing/2014/chart" uri="{C3380CC4-5D6E-409C-BE32-E72D297353CC}">
                  <c16:uniqueId val="{0000000F-030D-434A-951A-4910D915879D}"/>
                </c:ext>
              </c:extLst>
            </c:dLbl>
            <c:dLbl>
              <c:idx val="8"/>
              <c:layout>
                <c:manualLayout>
                  <c:x val="-2.5588343830358309E-2"/>
                  <c:y val="-0.13109614587650228"/>
                </c:manualLayout>
              </c:layout>
              <c:showLegendKey val="0"/>
              <c:showVal val="1"/>
              <c:showCatName val="1"/>
              <c:showSerName val="0"/>
              <c:showPercent val="1"/>
              <c:showBubbleSize val="0"/>
              <c:extLst>
                <c:ext xmlns:c15="http://schemas.microsoft.com/office/drawing/2012/chart" uri="{CE6537A1-D6FC-4f65-9D91-7224C49458BB}">
                  <c15:layout>
                    <c:manualLayout>
                      <c:w val="0.15103263023973382"/>
                      <c:h val="7.301169590643275E-2"/>
                    </c:manualLayout>
                  </c15:layout>
                </c:ext>
                <c:ext xmlns:c16="http://schemas.microsoft.com/office/drawing/2014/chart" uri="{C3380CC4-5D6E-409C-BE32-E72D297353CC}">
                  <c16:uniqueId val="{00000002-E5DB-4F3F-A939-9DF7BEBE44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graphs!$A$45:$A$53</c:f>
              <c:strCache>
                <c:ptCount val="9"/>
                <c:pt idx="0">
                  <c:v>Income Power</c:v>
                </c:pt>
                <c:pt idx="1">
                  <c:v>Activated Carbon Ash </c:v>
                </c:pt>
                <c:pt idx="2">
                  <c:v>Aluminum</c:v>
                </c:pt>
                <c:pt idx="3">
                  <c:v>Ferrous Metals</c:v>
                </c:pt>
                <c:pt idx="4">
                  <c:v>Non-Ferrous Metals</c:v>
                </c:pt>
                <c:pt idx="5">
                  <c:v>Steel from Tires</c:v>
                </c:pt>
                <c:pt idx="6">
                  <c:v>Steel, OTR Tires</c:v>
                </c:pt>
                <c:pt idx="7">
                  <c:v>Carbon Black </c:v>
                </c:pt>
                <c:pt idx="8">
                  <c:v>Graphene</c:v>
                </c:pt>
              </c:strCache>
            </c:strRef>
          </c:cat>
          <c:val>
            <c:numRef>
              <c:f>graphs!$B$45:$B$53</c:f>
              <c:numCache>
                <c:formatCode>"$"#,##0_);\("$"#,##0\)</c:formatCode>
                <c:ptCount val="9"/>
                <c:pt idx="0">
                  <c:v>21765913.751440059</c:v>
                </c:pt>
                <c:pt idx="1">
                  <c:v>19432270.784634773</c:v>
                </c:pt>
                <c:pt idx="2">
                  <c:v>4333307.0758211743</c:v>
                </c:pt>
                <c:pt idx="3">
                  <c:v>560594.7599393077</c:v>
                </c:pt>
                <c:pt idx="4">
                  <c:v>11596173.864873566</c:v>
                </c:pt>
                <c:pt idx="5">
                  <c:v>1627533.1740173423</c:v>
                </c:pt>
                <c:pt idx="6">
                  <c:v>0</c:v>
                </c:pt>
                <c:pt idx="7">
                  <c:v>10340589.56017079</c:v>
                </c:pt>
                <c:pt idx="8">
                  <c:v>23266326.510384284</c:v>
                </c:pt>
              </c:numCache>
            </c:numRef>
          </c:val>
          <c:extLst>
            <c:ext xmlns:c16="http://schemas.microsoft.com/office/drawing/2014/chart" uri="{C3380CC4-5D6E-409C-BE32-E72D297353CC}">
              <c16:uniqueId val="{00000000-E5DB-4F3F-A939-9DF7BEBE440D}"/>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 Revenue Breakout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4-BE15-415E-8C97-DE0B9B0507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15-415E-8C97-DE0B9B0507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BE15-415E-8C97-DE0B9B0507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BE15-415E-8C97-DE0B9B0507A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5B8-45D7-827B-EA77D82E7F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F1-4043-B8BC-8F4EDF75A7F0}"/>
              </c:ext>
            </c:extLst>
          </c:dPt>
          <c:dLbls>
            <c:dLbl>
              <c:idx val="0"/>
              <c:layout>
                <c:manualLayout>
                  <c:x val="0.35571677358855675"/>
                  <c:y val="0.1092564317594969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700683208549781"/>
                      <c:h val="0.19411226042603955"/>
                    </c:manualLayout>
                  </c15:layout>
                </c:ext>
                <c:ext xmlns:c16="http://schemas.microsoft.com/office/drawing/2014/chart" uri="{C3380CC4-5D6E-409C-BE32-E72D297353CC}">
                  <c16:uniqueId val="{00000004-BE15-415E-8C97-DE0B9B0507A4}"/>
                </c:ext>
              </c:extLst>
            </c:dLbl>
            <c:dLbl>
              <c:idx val="1"/>
              <c:layout>
                <c:manualLayout>
                  <c:x val="8.8602343734982658E-2"/>
                  <c:y val="-5.26708032765664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087714738202654"/>
                      <c:h val="0.14127122357719274"/>
                    </c:manualLayout>
                  </c15:layout>
                </c:ext>
                <c:ext xmlns:c16="http://schemas.microsoft.com/office/drawing/2014/chart" uri="{C3380CC4-5D6E-409C-BE32-E72D297353CC}">
                  <c16:uniqueId val="{00000003-BE15-415E-8C97-DE0B9B0507A4}"/>
                </c:ext>
              </c:extLst>
            </c:dLbl>
            <c:dLbl>
              <c:idx val="2"/>
              <c:layout>
                <c:manualLayout>
                  <c:x val="4.7889098928796468E-2"/>
                  <c:y val="4.2060454510970307E-3"/>
                </c:manualLayout>
              </c:layout>
              <c:showLegendKey val="0"/>
              <c:showVal val="0"/>
              <c:showCatName val="1"/>
              <c:showSerName val="0"/>
              <c:showPercent val="1"/>
              <c:showBubbleSize val="0"/>
              <c:extLst>
                <c:ext xmlns:c15="http://schemas.microsoft.com/office/drawing/2012/chart" uri="{CE6537A1-D6FC-4f65-9D91-7224C49458BB}">
                  <c15:layout>
                    <c:manualLayout>
                      <c:w val="0.32059221330793009"/>
                      <c:h val="0.10104196670498661"/>
                    </c:manualLayout>
                  </c15:layout>
                </c:ext>
                <c:ext xmlns:c16="http://schemas.microsoft.com/office/drawing/2014/chart" uri="{C3380CC4-5D6E-409C-BE32-E72D297353CC}">
                  <c16:uniqueId val="{00000001-BE15-415E-8C97-DE0B9B0507A4}"/>
                </c:ext>
              </c:extLst>
            </c:dLbl>
            <c:dLbl>
              <c:idx val="3"/>
              <c:layout>
                <c:manualLayout>
                  <c:x val="-9.5836545951604818E-2"/>
                  <c:y val="2.60881148899743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E15-415E-8C97-DE0B9B0507A4}"/>
                </c:ext>
              </c:extLst>
            </c:dLbl>
            <c:dLbl>
              <c:idx val="4"/>
              <c:layout>
                <c:manualLayout>
                  <c:x val="-8.2682089527915656E-2"/>
                  <c:y val="3.7686821052465222E-2"/>
                </c:manualLayout>
              </c:layout>
              <c:showLegendKey val="0"/>
              <c:showVal val="0"/>
              <c:showCatName val="1"/>
              <c:showSerName val="0"/>
              <c:showPercent val="1"/>
              <c:showBubbleSize val="0"/>
              <c:extLst>
                <c:ext xmlns:c15="http://schemas.microsoft.com/office/drawing/2012/chart" uri="{CE6537A1-D6FC-4f65-9D91-7224C49458BB}">
                  <c15:layout>
                    <c:manualLayout>
                      <c:w val="0.26498148461522658"/>
                      <c:h val="0.12712820424301716"/>
                    </c:manualLayout>
                  </c15:layout>
                </c:ext>
                <c:ext xmlns:c16="http://schemas.microsoft.com/office/drawing/2014/chart" uri="{C3380CC4-5D6E-409C-BE32-E72D297353CC}">
                  <c16:uniqueId val="{00000009-C5B8-45D7-827B-EA77D82E7F53}"/>
                </c:ext>
              </c:extLst>
            </c:dLbl>
            <c:dLbl>
              <c:idx val="5"/>
              <c:layout>
                <c:manualLayout>
                  <c:x val="0.20056186990008634"/>
                  <c:y val="4.6749169176390579E-3"/>
                </c:manualLayout>
              </c:layout>
              <c:showLegendKey val="0"/>
              <c:showVal val="0"/>
              <c:showCatName val="1"/>
              <c:showSerName val="0"/>
              <c:showPercent val="1"/>
              <c:showBubbleSize val="0"/>
              <c:extLst>
                <c:ext xmlns:c15="http://schemas.microsoft.com/office/drawing/2012/chart" uri="{CE6537A1-D6FC-4f65-9D91-7224C49458BB}">
                  <c15:layout>
                    <c:manualLayout>
                      <c:w val="0.23511076058943139"/>
                      <c:h val="8.8287798193591213E-2"/>
                    </c:manualLayout>
                  </c15:layout>
                </c:ext>
                <c:ext xmlns:c16="http://schemas.microsoft.com/office/drawing/2014/chart" uri="{C3380CC4-5D6E-409C-BE32-E72D297353CC}">
                  <c16:uniqueId val="{0000000B-BFF1-4043-B8BC-8F4EDF75A7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graphs!$J$44:$J$49</c:f>
              <c:strCache>
                <c:ptCount val="6"/>
                <c:pt idx="0">
                  <c:v>Income Power</c:v>
                </c:pt>
                <c:pt idx="1">
                  <c:v>Activated Carbon Ash </c:v>
                </c:pt>
                <c:pt idx="2">
                  <c:v>Carbon Black </c:v>
                </c:pt>
                <c:pt idx="3">
                  <c:v>Graphene</c:v>
                </c:pt>
                <c:pt idx="4">
                  <c:v>Ferrous and non-ferrous metals</c:v>
                </c:pt>
                <c:pt idx="5">
                  <c:v>Steel</c:v>
                </c:pt>
              </c:strCache>
            </c:strRef>
          </c:cat>
          <c:val>
            <c:numRef>
              <c:f>graphs!$K$44:$K$49</c:f>
              <c:numCache>
                <c:formatCode>_("$"* #,##0.00_);_("$"* \(#,##0.00\);_("$"* "-"??_);_(@_)</c:formatCode>
                <c:ptCount val="6"/>
                <c:pt idx="0">
                  <c:v>21765913.751440059</c:v>
                </c:pt>
                <c:pt idx="1">
                  <c:v>16233629.086404346</c:v>
                </c:pt>
                <c:pt idx="2">
                  <c:v>10340589.56017079</c:v>
                </c:pt>
                <c:pt idx="3">
                  <c:v>23266326.510384284</c:v>
                </c:pt>
                <c:pt idx="4">
                  <c:v>13775732.928880844</c:v>
                </c:pt>
                <c:pt idx="5">
                  <c:v>1359633.6818086645</c:v>
                </c:pt>
              </c:numCache>
            </c:numRef>
          </c:val>
          <c:extLst>
            <c:ext xmlns:c16="http://schemas.microsoft.com/office/drawing/2014/chart" uri="{C3380CC4-5D6E-409C-BE32-E72D297353CC}">
              <c16:uniqueId val="{00000000-BE15-415E-8C97-DE0B9B0507A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7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735-4CD4-B2ED-CD96828F2DA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735-4CD4-B2ED-CD96828F2DA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735-4CD4-B2ED-CD96828F2D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graphs!$A$214:$A$216</c:f>
              <c:strCache>
                <c:ptCount val="3"/>
                <c:pt idx="0">
                  <c:v>Male</c:v>
                </c:pt>
                <c:pt idx="1">
                  <c:v>Female</c:v>
                </c:pt>
                <c:pt idx="2">
                  <c:v>XPAT</c:v>
                </c:pt>
              </c:strCache>
            </c:strRef>
          </c:cat>
          <c:val>
            <c:numRef>
              <c:f>graphs!$B$214:$B$216</c:f>
              <c:numCache>
                <c:formatCode>General</c:formatCode>
                <c:ptCount val="3"/>
                <c:pt idx="0">
                  <c:v>48</c:v>
                </c:pt>
                <c:pt idx="1">
                  <c:v>46</c:v>
                </c:pt>
                <c:pt idx="2">
                  <c:v>13</c:v>
                </c:pt>
              </c:numCache>
            </c:numRef>
          </c:val>
          <c:extLst>
            <c:ext xmlns:c16="http://schemas.microsoft.com/office/drawing/2014/chart" uri="{C3380CC4-5D6E-409C-BE32-E72D297353CC}">
              <c16:uniqueId val="{00000000-AB48-48FE-960A-73669E1EBCF4}"/>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FB0-43BB-B858-010F5F92127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FB0-43BB-B858-010F5F92127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FB0-43BB-B858-010F5F9212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graphs!$A$220:$A$222</c:f>
              <c:strCache>
                <c:ptCount val="3"/>
                <c:pt idx="0">
                  <c:v>Country</c:v>
                </c:pt>
                <c:pt idx="1">
                  <c:v>Djbouiti</c:v>
                </c:pt>
                <c:pt idx="2">
                  <c:v>XPAT</c:v>
                </c:pt>
              </c:strCache>
            </c:strRef>
          </c:cat>
          <c:val>
            <c:numRef>
              <c:f>graphs!$B$220:$B$222</c:f>
              <c:numCache>
                <c:formatCode>General</c:formatCode>
                <c:ptCount val="3"/>
                <c:pt idx="1">
                  <c:v>94</c:v>
                </c:pt>
                <c:pt idx="2">
                  <c:v>13</c:v>
                </c:pt>
              </c:numCache>
            </c:numRef>
          </c:val>
          <c:extLst>
            <c:ext xmlns:c16="http://schemas.microsoft.com/office/drawing/2014/chart" uri="{C3380CC4-5D6E-409C-BE32-E72D297353CC}">
              <c16:uniqueId val="{00000000-86F5-488A-BB8B-ADA38C610292}"/>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Salary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graphs!$B$235</c:f>
              <c:strCache>
                <c:ptCount val="1"/>
                <c:pt idx="0">
                  <c:v>Total Salary</c:v>
                </c:pt>
              </c:strCache>
            </c:strRef>
          </c:tx>
          <c:dPt>
            <c:idx val="0"/>
            <c:bubble3D val="0"/>
            <c:spPr>
              <a:solidFill>
                <a:schemeClr val="accent1"/>
              </a:solidFill>
              <a:ln>
                <a:noFill/>
              </a:ln>
              <a:effectLst/>
            </c:spPr>
            <c:extLst>
              <c:ext xmlns:c16="http://schemas.microsoft.com/office/drawing/2014/chart" uri="{C3380CC4-5D6E-409C-BE32-E72D297353CC}">
                <c16:uniqueId val="{00000001-D352-4407-84D6-49440352896F}"/>
              </c:ext>
            </c:extLst>
          </c:dPt>
          <c:dPt>
            <c:idx val="1"/>
            <c:bubble3D val="0"/>
            <c:spPr>
              <a:solidFill>
                <a:schemeClr val="accent2"/>
              </a:solidFill>
              <a:ln>
                <a:noFill/>
              </a:ln>
              <a:effectLst/>
            </c:spPr>
            <c:extLst>
              <c:ext xmlns:c16="http://schemas.microsoft.com/office/drawing/2014/chart" uri="{C3380CC4-5D6E-409C-BE32-E72D297353CC}">
                <c16:uniqueId val="{00000003-D352-4407-84D6-49440352896F}"/>
              </c:ext>
            </c:extLst>
          </c:dPt>
          <c:dPt>
            <c:idx val="2"/>
            <c:bubble3D val="0"/>
            <c:spPr>
              <a:solidFill>
                <a:schemeClr val="accent3"/>
              </a:solidFill>
              <a:ln>
                <a:noFill/>
              </a:ln>
              <a:effectLst/>
            </c:spPr>
            <c:extLst>
              <c:ext xmlns:c16="http://schemas.microsoft.com/office/drawing/2014/chart" uri="{C3380CC4-5D6E-409C-BE32-E72D297353CC}">
                <c16:uniqueId val="{00000005-D352-4407-84D6-4944035289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graphs!$A$236:$A$238</c:f>
              <c:strCache>
                <c:ptCount val="3"/>
                <c:pt idx="0">
                  <c:v>Male</c:v>
                </c:pt>
                <c:pt idx="1">
                  <c:v>Female</c:v>
                </c:pt>
                <c:pt idx="2">
                  <c:v>XPAT</c:v>
                </c:pt>
              </c:strCache>
            </c:strRef>
          </c:cat>
          <c:val>
            <c:numRef>
              <c:f>graphs!$B$236:$B$238</c:f>
              <c:numCache>
                <c:formatCode>_("$"* #,##0.00_);_("$"* \(#,##0.00\);_("$"* "-"??_);_(@_)</c:formatCode>
                <c:ptCount val="3"/>
                <c:pt idx="0">
                  <c:v>1388000</c:v>
                </c:pt>
                <c:pt idx="1">
                  <c:v>1292000</c:v>
                </c:pt>
                <c:pt idx="2">
                  <c:v>937326</c:v>
                </c:pt>
              </c:numCache>
            </c:numRef>
          </c:val>
          <c:extLst>
            <c:ext xmlns:c16="http://schemas.microsoft.com/office/drawing/2014/chart" uri="{C3380CC4-5D6E-409C-BE32-E72D297353CC}">
              <c16:uniqueId val="{00000000-197B-4BAA-9DB5-DA64EFFA0B5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a:t>
            </a:r>
            <a:r>
              <a:rPr lang="en-US" baseline="0"/>
              <a:t> by Gender</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graphs!$B$240</c:f>
              <c:strCache>
                <c:ptCount val="1"/>
                <c:pt idx="0">
                  <c:v>Average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FF0-47E8-8375-63E4BB2265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FF0-47E8-8375-63E4BB2265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FF0-47E8-8375-63E4BB2265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graphs!$A$241:$A$243</c:f>
              <c:strCache>
                <c:ptCount val="3"/>
                <c:pt idx="0">
                  <c:v>Male</c:v>
                </c:pt>
                <c:pt idx="1">
                  <c:v>Female</c:v>
                </c:pt>
                <c:pt idx="2">
                  <c:v>XPAT</c:v>
                </c:pt>
              </c:strCache>
            </c:strRef>
          </c:cat>
          <c:val>
            <c:numRef>
              <c:f>graphs!$B$241:$B$243</c:f>
              <c:numCache>
                <c:formatCode>_("$"* #,##0.00_);_("$"* \(#,##0.00\);_("$"* "-"??_);_(@_)</c:formatCode>
                <c:ptCount val="3"/>
                <c:pt idx="0">
                  <c:v>28916.666666666668</c:v>
                </c:pt>
                <c:pt idx="1">
                  <c:v>28086.956521739132</c:v>
                </c:pt>
                <c:pt idx="2">
                  <c:v>72102</c:v>
                </c:pt>
              </c:numCache>
            </c:numRef>
          </c:val>
          <c:extLst>
            <c:ext xmlns:c16="http://schemas.microsoft.com/office/drawing/2014/chart" uri="{C3380CC4-5D6E-409C-BE32-E72D297353CC}">
              <c16:uniqueId val="{00000000-DB63-456E-A77B-18E67F666D28}"/>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 Year Revnue 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3F-4164-A16F-12163DF39A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E28-48A3-8DB9-E3E684E93D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9E28-48A3-8DB9-E3E684E93D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C-9E28-48A3-8DB9-E3E684E93D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D-9E28-48A3-8DB9-E3E684E93D4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E-9E28-48A3-8DB9-E3E684E93D4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E3F-4164-A16F-12163DF39AB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E3F-4164-A16F-12163DF39AB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3-9E28-48A3-8DB9-E3E684E93D4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1-9E28-48A3-8DB9-E3E684E93D4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6-9E28-48A3-8DB9-E3E684E93D4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5-9E28-48A3-8DB9-E3E684E93D4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7-9E28-48A3-8DB9-E3E684E93D4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4-9E28-48A3-8DB9-E3E684E93D4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9-9E28-48A3-8DB9-E3E684E93D4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8-9E28-48A3-8DB9-E3E684E93D49}"/>
              </c:ext>
            </c:extLst>
          </c:dPt>
          <c:dPt>
            <c:idx val="16"/>
            <c:bubble3D val="0"/>
            <c:explosion val="5"/>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A-9E28-48A3-8DB9-E3E684E93D4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8E6-4716-9852-C739A4C747D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8E6-4716-9852-C739A4C747D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D8E6-4716-9852-C739A4C747D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D8E6-4716-9852-C739A4C747D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D8E6-4716-9852-C739A4C747D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D8E6-4716-9852-C739A4C747D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D8E6-4716-9852-C739A4C747D3}"/>
              </c:ext>
            </c:extLst>
          </c:dPt>
          <c:dLbls>
            <c:dLbl>
              <c:idx val="1"/>
              <c:layout>
                <c:manualLayout>
                  <c:x val="9.6723078698846707E-2"/>
                  <c:y val="0.11305772134709827"/>
                </c:manualLayout>
              </c:layout>
              <c:showLegendKey val="0"/>
              <c:showVal val="1"/>
              <c:showCatName val="1"/>
              <c:showSerName val="0"/>
              <c:showPercent val="1"/>
              <c:showBubbleSize val="0"/>
              <c:extLst>
                <c:ext xmlns:c15="http://schemas.microsoft.com/office/drawing/2012/chart" uri="{CE6537A1-D6FC-4f65-9D91-7224C49458BB}">
                  <c15:layout>
                    <c:manualLayout>
                      <c:w val="0.19278141999589282"/>
                      <c:h val="8.0321642181558087E-2"/>
                    </c:manualLayout>
                  </c15:layout>
                </c:ext>
                <c:ext xmlns:c16="http://schemas.microsoft.com/office/drawing/2014/chart" uri="{C3380CC4-5D6E-409C-BE32-E72D297353CC}">
                  <c16:uniqueId val="{00000002-9E28-48A3-8DB9-E3E684E93D49}"/>
                </c:ext>
              </c:extLst>
            </c:dLbl>
            <c:dLbl>
              <c:idx val="2"/>
              <c:layout>
                <c:manualLayout>
                  <c:x val="7.6370643468011298E-2"/>
                  <c:y val="-0.2412336624525026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E28-48A3-8DB9-E3E684E93D49}"/>
                </c:ext>
              </c:extLst>
            </c:dLbl>
            <c:dLbl>
              <c:idx val="3"/>
              <c:layout>
                <c:manualLayout>
                  <c:x val="0.2840932349885808"/>
                  <c:y val="-0.2175437521918130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9E28-48A3-8DB9-E3E684E93D49}"/>
                </c:ext>
              </c:extLst>
            </c:dLbl>
            <c:dLbl>
              <c:idx val="4"/>
              <c:layout>
                <c:manualLayout>
                  <c:x val="0.31766384266130482"/>
                  <c:y val="-7.7258107906860551E-2"/>
                </c:manualLayout>
              </c:layout>
              <c:showLegendKey val="0"/>
              <c:showVal val="1"/>
              <c:showCatName val="1"/>
              <c:showSerName val="0"/>
              <c:showPercent val="1"/>
              <c:showBubbleSize val="0"/>
              <c:extLst>
                <c:ext xmlns:c15="http://schemas.microsoft.com/office/drawing/2012/chart" uri="{CE6537A1-D6FC-4f65-9D91-7224C49458BB}">
                  <c15:layout>
                    <c:manualLayout>
                      <c:w val="0.21199368562550247"/>
                      <c:h val="8.0321642181558087E-2"/>
                    </c:manualLayout>
                  </c15:layout>
                </c:ext>
                <c:ext xmlns:c16="http://schemas.microsoft.com/office/drawing/2014/chart" uri="{C3380CC4-5D6E-409C-BE32-E72D297353CC}">
                  <c16:uniqueId val="{0000000D-9E28-48A3-8DB9-E3E684E93D49}"/>
                </c:ext>
              </c:extLst>
            </c:dLbl>
            <c:dLbl>
              <c:idx val="5"/>
              <c:layout>
                <c:manualLayout>
                  <c:x val="3.6240889477729681E-2"/>
                  <c:y val="1.436698436947024E-2"/>
                </c:manualLayout>
              </c:layout>
              <c:showLegendKey val="0"/>
              <c:showVal val="1"/>
              <c:showCatName val="1"/>
              <c:showSerName val="0"/>
              <c:showPercent val="1"/>
              <c:showBubbleSize val="0"/>
              <c:extLst>
                <c:ext xmlns:c15="http://schemas.microsoft.com/office/drawing/2012/chart" uri="{CE6537A1-D6FC-4f65-9D91-7224C49458BB}">
                  <c15:layout>
                    <c:manualLayout>
                      <c:w val="0.28048137711115062"/>
                      <c:h val="7.9613962514760217E-2"/>
                    </c:manualLayout>
                  </c15:layout>
                </c:ext>
                <c:ext xmlns:c16="http://schemas.microsoft.com/office/drawing/2014/chart" uri="{C3380CC4-5D6E-409C-BE32-E72D297353CC}">
                  <c16:uniqueId val="{0000000E-9E28-48A3-8DB9-E3E684E93D49}"/>
                </c:ext>
              </c:extLst>
            </c:dLbl>
            <c:dLbl>
              <c:idx val="6"/>
              <c:layout>
                <c:manualLayout>
                  <c:x val="-0.11836451649844312"/>
                  <c:y val="4.333424608836429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CE3F-4164-A16F-12163DF39AB0}"/>
                </c:ext>
              </c:extLst>
            </c:dLbl>
            <c:dLbl>
              <c:idx val="7"/>
              <c:layout>
                <c:manualLayout>
                  <c:x val="-7.8183518545384356E-2"/>
                  <c:y val="-5.835226899691424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CE3F-4164-A16F-12163DF39AB0}"/>
                </c:ext>
              </c:extLst>
            </c:dLbl>
            <c:dLbl>
              <c:idx val="8"/>
              <c:layout>
                <c:manualLayout>
                  <c:x val="-0.34279660091993452"/>
                  <c:y val="-8.060040453600533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E28-48A3-8DB9-E3E684E93D49}"/>
                </c:ext>
              </c:extLst>
            </c:dLbl>
            <c:dLbl>
              <c:idx val="16"/>
              <c:layout>
                <c:manualLayout>
                  <c:x val="-3.2195629011720073E-2"/>
                  <c:y val="9.2193933220335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9E28-48A3-8DB9-E3E684E93D49}"/>
                </c:ext>
              </c:extLst>
            </c:dLbl>
            <c:dLbl>
              <c:idx val="17"/>
              <c:layout>
                <c:manualLayout>
                  <c:x val="0.35163110098087075"/>
                  <c:y val="0.14306734530803877"/>
                </c:manualLayout>
              </c:layout>
              <c:showLegendKey val="0"/>
              <c:showVal val="1"/>
              <c:showCatName val="1"/>
              <c:showSerName val="0"/>
              <c:showPercent val="1"/>
              <c:showBubbleSize val="0"/>
              <c:extLst>
                <c:ext xmlns:c15="http://schemas.microsoft.com/office/drawing/2012/chart" uri="{CE6537A1-D6FC-4f65-9D91-7224C49458BB}">
                  <c15:layout>
                    <c:manualLayout>
                      <c:w val="0.29342367660061802"/>
                      <c:h val="8.0321642181558087E-2"/>
                    </c:manualLayout>
                  </c15:layout>
                </c:ext>
                <c:ext xmlns:c16="http://schemas.microsoft.com/office/drawing/2014/chart" uri="{C3380CC4-5D6E-409C-BE32-E72D297353CC}">
                  <c16:uniqueId val="{00000023-D8E6-4716-9852-C739A4C747D3}"/>
                </c:ext>
              </c:extLst>
            </c:dLbl>
            <c:dLbl>
              <c:idx val="18"/>
              <c:layout>
                <c:manualLayout>
                  <c:x val="7.9675042974268334E-3"/>
                  <c:y val="9.393370195825975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8576940508574137"/>
                      <c:h val="9.2367900217673549E-2"/>
                    </c:manualLayout>
                  </c15:layout>
                </c:ext>
                <c:ext xmlns:c16="http://schemas.microsoft.com/office/drawing/2014/chart" uri="{C3380CC4-5D6E-409C-BE32-E72D297353CC}">
                  <c16:uniqueId val="{00000025-D8E6-4716-9852-C739A4C747D3}"/>
                </c:ext>
              </c:extLst>
            </c:dLbl>
            <c:dLbl>
              <c:idx val="19"/>
              <c:layout>
                <c:manualLayout>
                  <c:x val="-0.40097265636877677"/>
                  <c:y val="3.203930291136828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7-D8E6-4716-9852-C739A4C747D3}"/>
                </c:ext>
              </c:extLst>
            </c:dLbl>
            <c:dLbl>
              <c:idx val="20"/>
              <c:layout>
                <c:manualLayout>
                  <c:x val="-0.31079119565499858"/>
                  <c:y val="-8.5161675469998824E-2"/>
                </c:manualLayout>
              </c:layout>
              <c:showLegendKey val="0"/>
              <c:showVal val="1"/>
              <c:showCatName val="1"/>
              <c:showSerName val="0"/>
              <c:showPercent val="1"/>
              <c:showBubbleSize val="0"/>
              <c:extLst>
                <c:ext xmlns:c15="http://schemas.microsoft.com/office/drawing/2012/chart" uri="{CE6537A1-D6FC-4f65-9D91-7224C49458BB}">
                  <c15:layout>
                    <c:manualLayout>
                      <c:w val="0.22716831683168312"/>
                      <c:h val="9.0841278485026697E-2"/>
                    </c:manualLayout>
                  </c15:layout>
                </c:ext>
                <c:ext xmlns:c16="http://schemas.microsoft.com/office/drawing/2014/chart" uri="{C3380CC4-5D6E-409C-BE32-E72D297353CC}">
                  <c16:uniqueId val="{00000029-D8E6-4716-9852-C739A4C747D3}"/>
                </c:ext>
              </c:extLst>
            </c:dLbl>
            <c:dLbl>
              <c:idx val="21"/>
              <c:layout>
                <c:manualLayout>
                  <c:x val="0.42637449595186694"/>
                  <c:y val="7.5288352869243388E-2"/>
                </c:manualLayout>
              </c:layout>
              <c:showLegendKey val="0"/>
              <c:showVal val="1"/>
              <c:showCatName val="1"/>
              <c:showSerName val="0"/>
              <c:showPercent val="1"/>
              <c:showBubbleSize val="0"/>
              <c:extLst>
                <c:ext xmlns:c15="http://schemas.microsoft.com/office/drawing/2012/chart" uri="{CE6537A1-D6FC-4f65-9D91-7224C49458BB}">
                  <c15:layout>
                    <c:manualLayout>
                      <c:w val="0.2208861211110599"/>
                      <c:h val="8.0321642181558087E-2"/>
                    </c:manualLayout>
                  </c15:layout>
                </c:ext>
                <c:ext xmlns:c16="http://schemas.microsoft.com/office/drawing/2014/chart" uri="{C3380CC4-5D6E-409C-BE32-E72D297353CC}">
                  <c16:uniqueId val="{0000002B-D8E6-4716-9852-C739A4C747D3}"/>
                </c:ext>
              </c:extLst>
            </c:dLbl>
            <c:dLbl>
              <c:idx val="22"/>
              <c:layout>
                <c:manualLayout>
                  <c:x val="0.41718850176813882"/>
                  <c:y val="-3.1779984063276798E-2"/>
                </c:manualLayout>
              </c:layout>
              <c:showLegendKey val="0"/>
              <c:showVal val="1"/>
              <c:showCatName val="1"/>
              <c:showSerName val="0"/>
              <c:showPercent val="1"/>
              <c:showBubbleSize val="0"/>
              <c:extLst>
                <c:ext xmlns:c15="http://schemas.microsoft.com/office/drawing/2012/chart" uri="{CE6537A1-D6FC-4f65-9D91-7224C49458BB}">
                  <c15:layout>
                    <c:manualLayout>
                      <c:w val="0.1741696384768649"/>
                      <c:h val="8.0321642181558087E-2"/>
                    </c:manualLayout>
                  </c15:layout>
                </c:ext>
                <c:ext xmlns:c16="http://schemas.microsoft.com/office/drawing/2014/chart" uri="{C3380CC4-5D6E-409C-BE32-E72D297353CC}">
                  <c16:uniqueId val="{0000002D-D8E6-4716-9852-C739A4C747D3}"/>
                </c:ext>
              </c:extLst>
            </c:dLbl>
            <c:dLbl>
              <c:idx val="23"/>
              <c:layout>
                <c:manualLayout>
                  <c:x val="-0.38502906979330576"/>
                  <c:y val="0.29071070389558151"/>
                </c:manualLayout>
              </c:layout>
              <c:showLegendKey val="0"/>
              <c:showVal val="1"/>
              <c:showCatName val="1"/>
              <c:showSerName val="0"/>
              <c:showPercent val="1"/>
              <c:showBubbleSize val="0"/>
              <c:extLst>
                <c:ext xmlns:c15="http://schemas.microsoft.com/office/drawing/2012/chart" uri="{CE6537A1-D6FC-4f65-9D91-7224C49458BB}">
                  <c15:layout>
                    <c:manualLayout>
                      <c:w val="0.2131864917146685"/>
                      <c:h val="8.0321642181558087E-2"/>
                    </c:manualLayout>
                  </c15:layout>
                </c:ext>
                <c:ext xmlns:c16="http://schemas.microsoft.com/office/drawing/2014/chart" uri="{C3380CC4-5D6E-409C-BE32-E72D297353CC}">
                  <c16:uniqueId val="{0000002F-D8E6-4716-9852-C739A4C747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graphs!$A$170:$A$193</c:f>
              <c:strCache>
                <c:ptCount val="24"/>
                <c:pt idx="0">
                  <c:v>Revenue Stream Breakout for 10 years</c:v>
                </c:pt>
                <c:pt idx="1">
                  <c:v>Income Power</c:v>
                </c:pt>
                <c:pt idx="2">
                  <c:v>Activated Carbon Ash </c:v>
                </c:pt>
                <c:pt idx="3">
                  <c:v>Aluminum</c:v>
                </c:pt>
                <c:pt idx="4">
                  <c:v>Ferrous Metals</c:v>
                </c:pt>
                <c:pt idx="5">
                  <c:v>Non-Ferrous Metals</c:v>
                </c:pt>
                <c:pt idx="6">
                  <c:v>Steel from Tires</c:v>
                </c:pt>
                <c:pt idx="7">
                  <c:v>Steel, OTR Tires</c:v>
                </c:pt>
                <c:pt idx="8">
                  <c:v>Carbon Black </c:v>
                </c:pt>
                <c:pt idx="16">
                  <c:v>Graphene</c:v>
                </c:pt>
                <c:pt idx="17">
                  <c:v>Light Oil Sale</c:v>
                </c:pt>
                <c:pt idx="18">
                  <c:v>Diesel</c:v>
                </c:pt>
                <c:pt idx="19">
                  <c:v>JP </c:v>
                </c:pt>
                <c:pt idx="20">
                  <c:v>Gas</c:v>
                </c:pt>
                <c:pt idx="21">
                  <c:v>Lube oil</c:v>
                </c:pt>
                <c:pt idx="22">
                  <c:v>Petroleum Coke</c:v>
                </c:pt>
                <c:pt idx="23">
                  <c:v>RNG Sale price</c:v>
                </c:pt>
              </c:strCache>
            </c:strRef>
          </c:cat>
          <c:val>
            <c:numRef>
              <c:f>graphs!$B$170:$B$193</c:f>
              <c:numCache>
                <c:formatCode>"$"#,##0_);\("$"#,##0\)</c:formatCode>
                <c:ptCount val="24"/>
                <c:pt idx="1">
                  <c:v>212351832.51747409</c:v>
                </c:pt>
                <c:pt idx="2">
                  <c:v>174428808.97889802</c:v>
                </c:pt>
                <c:pt idx="3">
                  <c:v>38896822.741528355</c:v>
                </c:pt>
                <c:pt idx="4">
                  <c:v>5032035.492905084</c:v>
                </c:pt>
                <c:pt idx="5">
                  <c:v>104090089.02662517</c:v>
                </c:pt>
                <c:pt idx="6">
                  <c:v>14609135.301982479</c:v>
                </c:pt>
                <c:pt idx="7">
                  <c:v>0</c:v>
                </c:pt>
                <c:pt idx="8">
                  <c:v>92819657.625727057</c:v>
                </c:pt>
                <c:pt idx="16">
                  <c:v>208844229.65788591</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9E28-48A3-8DB9-E3E684E93D4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 year Revenue and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graphs!$A$198:$A$201</c:f>
              <c:strCache>
                <c:ptCount val="4"/>
                <c:pt idx="0">
                  <c:v>Total Revenue</c:v>
                </c:pt>
                <c:pt idx="1">
                  <c:v>Total Expenses</c:v>
                </c:pt>
                <c:pt idx="2">
                  <c:v>Interest Expense</c:v>
                </c:pt>
                <c:pt idx="3">
                  <c:v>Debt Amortization Payments</c:v>
                </c:pt>
              </c:strCache>
            </c:strRef>
          </c:cat>
          <c:val>
            <c:numRef>
              <c:f>graphs!$B$198:$B$201</c:f>
              <c:numCache>
                <c:formatCode>"$"#,##0_);\("$"#,##0\)</c:formatCode>
                <c:ptCount val="4"/>
                <c:pt idx="0">
                  <c:v>788985797.27199602</c:v>
                </c:pt>
                <c:pt idx="1">
                  <c:v>135876584.05771586</c:v>
                </c:pt>
                <c:pt idx="2">
                  <c:v>93761642.218452156</c:v>
                </c:pt>
                <c:pt idx="3">
                  <c:v>146244961.52542603</c:v>
                </c:pt>
              </c:numCache>
            </c:numRef>
          </c:val>
          <c:extLst>
            <c:ext xmlns:c16="http://schemas.microsoft.com/office/drawing/2014/chart" uri="{C3380CC4-5D6E-409C-BE32-E72D297353CC}">
              <c16:uniqueId val="{00000000-EFEC-42D8-A52A-4AD0C2C18398}"/>
            </c:ext>
          </c:extLst>
        </c:ser>
        <c:dLbls>
          <c:showLegendKey val="0"/>
          <c:showVal val="0"/>
          <c:showCatName val="0"/>
          <c:showSerName val="0"/>
          <c:showPercent val="0"/>
          <c:showBubbleSize val="0"/>
        </c:dLbls>
        <c:gapWidth val="150"/>
        <c:overlap val="100"/>
        <c:axId val="1223582832"/>
        <c:axId val="1223591832"/>
      </c:barChart>
      <c:catAx>
        <c:axId val="122358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91832"/>
        <c:crosses val="autoZero"/>
        <c:auto val="1"/>
        <c:lblAlgn val="ctr"/>
        <c:lblOffset val="100"/>
        <c:noMultiLvlLbl val="0"/>
      </c:catAx>
      <c:valAx>
        <c:axId val="1223591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8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Cash Flow </a:t>
            </a:r>
            <a:endParaRPr lang="en-US"/>
          </a:p>
        </c:rich>
      </c:tx>
      <c:layout>
        <c:manualLayout>
          <c:xMode val="edge"/>
          <c:yMode val="edge"/>
          <c:x val="0.44408840786793546"/>
          <c:y val="3.43347587915606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graphs!$A$9</c:f>
              <c:strCache>
                <c:ptCount val="1"/>
                <c:pt idx="0">
                  <c:v>Net Income</c:v>
                </c:pt>
              </c:strCache>
            </c:strRef>
          </c:tx>
          <c:spPr>
            <a:ln w="28575" cap="rnd">
              <a:solidFill>
                <a:schemeClr val="accent1"/>
              </a:solidFill>
              <a:round/>
            </a:ln>
            <a:effectLst/>
          </c:spPr>
          <c:marker>
            <c:symbol val="none"/>
          </c:marker>
          <c:cat>
            <c:numRef>
              <c:f>graphs!$B$8:$X$8</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graphs!$B$9:$X$9</c:f>
              <c:numCache>
                <c:formatCode>_("$"* #,##0.00_);_("$"* \(#,##0.00\);_("$"* "-"??_);_(@_)</c:formatCode>
                <c:ptCount val="23"/>
                <c:pt idx="0">
                  <c:v>-13468123.398709152</c:v>
                </c:pt>
                <c:pt idx="1">
                  <c:v>-16090608.325115725</c:v>
                </c:pt>
                <c:pt idx="2">
                  <c:v>7219852.4206439964</c:v>
                </c:pt>
                <c:pt idx="3">
                  <c:v>16491829.578662636</c:v>
                </c:pt>
                <c:pt idx="4">
                  <c:v>19586015.597823687</c:v>
                </c:pt>
                <c:pt idx="5">
                  <c:v>21882078.922031239</c:v>
                </c:pt>
                <c:pt idx="6">
                  <c:v>24522970.426675029</c:v>
                </c:pt>
                <c:pt idx="7">
                  <c:v>27152929.875631452</c:v>
                </c:pt>
                <c:pt idx="8">
                  <c:v>57215423.841561176</c:v>
                </c:pt>
                <c:pt idx="9">
                  <c:v>68030818.4503185</c:v>
                </c:pt>
                <c:pt idx="10">
                  <c:v>57848122.4074305</c:v>
                </c:pt>
                <c:pt idx="11">
                  <c:v>60008444.18862927</c:v>
                </c:pt>
                <c:pt idx="12">
                  <c:v>61587062.571810648</c:v>
                </c:pt>
                <c:pt idx="13">
                  <c:v>63200435.687752448</c:v>
                </c:pt>
                <c:pt idx="14">
                  <c:v>64998520.123252243</c:v>
                </c:pt>
                <c:pt idx="15">
                  <c:v>66870994.689426422</c:v>
                </c:pt>
                <c:pt idx="16">
                  <c:v>68496041.189537436</c:v>
                </c:pt>
                <c:pt idx="17">
                  <c:v>69663077.841851681</c:v>
                </c:pt>
                <c:pt idx="18">
                  <c:v>70829809.054003447</c:v>
                </c:pt>
                <c:pt idx="19">
                  <c:v>72020548.797029555</c:v>
                </c:pt>
                <c:pt idx="20">
                  <c:v>73235786.276875049</c:v>
                </c:pt>
                <c:pt idx="21">
                  <c:v>74476020.620095819</c:v>
                </c:pt>
                <c:pt idx="22">
                  <c:v>75741761.074564874</c:v>
                </c:pt>
              </c:numCache>
            </c:numRef>
          </c:val>
          <c:smooth val="0"/>
          <c:extLst>
            <c:ext xmlns:c16="http://schemas.microsoft.com/office/drawing/2014/chart" uri="{C3380CC4-5D6E-409C-BE32-E72D297353CC}">
              <c16:uniqueId val="{00000000-FD4D-4657-A959-1F3D2CB447AA}"/>
            </c:ext>
          </c:extLst>
        </c:ser>
        <c:ser>
          <c:idx val="1"/>
          <c:order val="1"/>
          <c:tx>
            <c:strRef>
              <c:f>graphs!$A$10</c:f>
              <c:strCache>
                <c:ptCount val="1"/>
                <c:pt idx="0">
                  <c:v>Depreciation</c:v>
                </c:pt>
              </c:strCache>
            </c:strRef>
          </c:tx>
          <c:spPr>
            <a:ln w="28575" cap="rnd">
              <a:solidFill>
                <a:schemeClr val="accent2"/>
              </a:solidFill>
              <a:round/>
            </a:ln>
            <a:effectLst/>
          </c:spPr>
          <c:marker>
            <c:symbol val="none"/>
          </c:marker>
          <c:cat>
            <c:numRef>
              <c:f>graphs!$B$8:$X$8</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graphs!$B$10:$X$10</c:f>
              <c:numCache>
                <c:formatCode>_("$"* #,##0.00_);_("$"* \(#,##0.00\);_("$"* "-"??_);_(@_)</c:formatCode>
                <c:ptCount val="23"/>
                <c:pt idx="0">
                  <c:v>0</c:v>
                </c:pt>
                <c:pt idx="1">
                  <c:v>27292294.795189284</c:v>
                </c:pt>
                <c:pt idx="2">
                  <c:v>36389726.393585712</c:v>
                </c:pt>
                <c:pt idx="3">
                  <c:v>36389726.393585712</c:v>
                </c:pt>
                <c:pt idx="4">
                  <c:v>36389726.393585712</c:v>
                </c:pt>
                <c:pt idx="5">
                  <c:v>36389726.393585712</c:v>
                </c:pt>
                <c:pt idx="6">
                  <c:v>36389726.393585712</c:v>
                </c:pt>
                <c:pt idx="7">
                  <c:v>36532583.536442854</c:v>
                </c:pt>
                <c:pt idx="8">
                  <c:v>9383145.8841107134</c:v>
                </c:pt>
                <c:pt idx="9">
                  <c:v>428571.4285714287</c:v>
                </c:pt>
                <c:pt idx="10">
                  <c:v>571428.57142857148</c:v>
                </c:pt>
                <c:pt idx="11">
                  <c:v>714285.71428571409</c:v>
                </c:pt>
                <c:pt idx="12">
                  <c:v>857142.85714285739</c:v>
                </c:pt>
                <c:pt idx="13">
                  <c:v>1000000.0000000001</c:v>
                </c:pt>
                <c:pt idx="14">
                  <c:v>1000000.0000000001</c:v>
                </c:pt>
                <c:pt idx="15">
                  <c:v>1000000.0000000001</c:v>
                </c:pt>
                <c:pt idx="16">
                  <c:v>1000000.0000000001</c:v>
                </c:pt>
                <c:pt idx="17">
                  <c:v>1000000.0000000001</c:v>
                </c:pt>
                <c:pt idx="18">
                  <c:v>1000000.0000000001</c:v>
                </c:pt>
                <c:pt idx="19">
                  <c:v>1000000.0000000001</c:v>
                </c:pt>
                <c:pt idx="20">
                  <c:v>1000000.0000000001</c:v>
                </c:pt>
                <c:pt idx="21">
                  <c:v>1000000.0000000001</c:v>
                </c:pt>
                <c:pt idx="22">
                  <c:v>1000000.0000000001</c:v>
                </c:pt>
              </c:numCache>
            </c:numRef>
          </c:val>
          <c:smooth val="0"/>
          <c:extLst>
            <c:ext xmlns:c16="http://schemas.microsoft.com/office/drawing/2014/chart" uri="{C3380CC4-5D6E-409C-BE32-E72D297353CC}">
              <c16:uniqueId val="{00000001-FD4D-4657-A959-1F3D2CB447AA}"/>
            </c:ext>
          </c:extLst>
        </c:ser>
        <c:ser>
          <c:idx val="2"/>
          <c:order val="2"/>
          <c:tx>
            <c:strRef>
              <c:f>graphs!$A$11</c:f>
              <c:strCache>
                <c:ptCount val="1"/>
                <c:pt idx="0">
                  <c:v>Amortization</c:v>
                </c:pt>
              </c:strCache>
            </c:strRef>
          </c:tx>
          <c:spPr>
            <a:ln w="28575" cap="rnd">
              <a:solidFill>
                <a:schemeClr val="accent3"/>
              </a:solidFill>
              <a:round/>
            </a:ln>
            <a:effectLst/>
          </c:spPr>
          <c:marker>
            <c:symbol val="none"/>
          </c:marker>
          <c:cat>
            <c:numRef>
              <c:f>graphs!$B$8:$X$8</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graphs!$B$11:$X$11</c:f>
              <c:numCache>
                <c:formatCode>_("$"* #,##0.00_);_("$"* \(#,##0.00\);_("$"* "-"??_);_(@_)</c:formatCode>
                <c:ptCount val="23"/>
                <c:pt idx="0">
                  <c:v>0</c:v>
                </c:pt>
                <c:pt idx="1">
                  <c:v>1834042.2102367198</c:v>
                </c:pt>
                <c:pt idx="2">
                  <c:v>203782.46780407999</c:v>
                </c:pt>
                <c:pt idx="3">
                  <c:v>203782.46780407999</c:v>
                </c:pt>
                <c:pt idx="4">
                  <c:v>203782.46780407999</c:v>
                </c:pt>
                <c:pt idx="5">
                  <c:v>203782.46780407999</c:v>
                </c:pt>
                <c:pt idx="6">
                  <c:v>203782.46780407999</c:v>
                </c:pt>
                <c:pt idx="7">
                  <c:v>203782.46780407999</c:v>
                </c:pt>
                <c:pt idx="8">
                  <c:v>203782.46780407999</c:v>
                </c:pt>
                <c:pt idx="9">
                  <c:v>203782.46780407999</c:v>
                </c:pt>
                <c:pt idx="10">
                  <c:v>203782.46780407999</c:v>
                </c:pt>
                <c:pt idx="11">
                  <c:v>203782.46780407999</c:v>
                </c:pt>
                <c:pt idx="12">
                  <c:v>203782.46780407999</c:v>
                </c:pt>
                <c:pt idx="13">
                  <c:v>203782.46780407999</c:v>
                </c:pt>
                <c:pt idx="14">
                  <c:v>203782.46780407999</c:v>
                </c:pt>
                <c:pt idx="15">
                  <c:v>203782.46780407999</c:v>
                </c:pt>
                <c:pt idx="16">
                  <c:v>203782.46780407999</c:v>
                </c:pt>
                <c:pt idx="17">
                  <c:v>203782.46780407999</c:v>
                </c:pt>
                <c:pt idx="18">
                  <c:v>203782.46780407999</c:v>
                </c:pt>
                <c:pt idx="19">
                  <c:v>203782.46780407999</c:v>
                </c:pt>
                <c:pt idx="20">
                  <c:v>203782.46780407999</c:v>
                </c:pt>
                <c:pt idx="21">
                  <c:v>203782.46780407999</c:v>
                </c:pt>
                <c:pt idx="22">
                  <c:v>203782.46780407999</c:v>
                </c:pt>
              </c:numCache>
            </c:numRef>
          </c:val>
          <c:smooth val="0"/>
          <c:extLst>
            <c:ext xmlns:c16="http://schemas.microsoft.com/office/drawing/2014/chart" uri="{C3380CC4-5D6E-409C-BE32-E72D297353CC}">
              <c16:uniqueId val="{00000002-FD4D-4657-A959-1F3D2CB447AA}"/>
            </c:ext>
          </c:extLst>
        </c:ser>
        <c:ser>
          <c:idx val="3"/>
          <c:order val="3"/>
          <c:tx>
            <c:strRef>
              <c:f>graphs!$A$12</c:f>
              <c:strCache>
                <c:ptCount val="1"/>
                <c:pt idx="0">
                  <c:v>Net Cashflow from Operating Activities</c:v>
                </c:pt>
              </c:strCache>
            </c:strRef>
          </c:tx>
          <c:spPr>
            <a:ln w="28575" cap="rnd">
              <a:solidFill>
                <a:schemeClr val="accent4"/>
              </a:solidFill>
              <a:round/>
            </a:ln>
            <a:effectLst/>
          </c:spPr>
          <c:marker>
            <c:symbol val="none"/>
          </c:marker>
          <c:cat>
            <c:numRef>
              <c:f>graphs!$B$8:$X$8</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cat>
          <c:val>
            <c:numRef>
              <c:f>graphs!$B$12:$X$12</c:f>
              <c:numCache>
                <c:formatCode>_("$"* #,##0.00_);_("$"* \(#,##0.00\);_("$"* "-"??_);_(@_)</c:formatCode>
                <c:ptCount val="23"/>
                <c:pt idx="0">
                  <c:v>-13468123.398709152</c:v>
                </c:pt>
                <c:pt idx="1">
                  <c:v>13035728.680310279</c:v>
                </c:pt>
                <c:pt idx="2">
                  <c:v>43813361.282033794</c:v>
                </c:pt>
                <c:pt idx="3">
                  <c:v>53085338.440052427</c:v>
                </c:pt>
                <c:pt idx="4">
                  <c:v>56179524.45921348</c:v>
                </c:pt>
                <c:pt idx="5">
                  <c:v>58475587.783421032</c:v>
                </c:pt>
                <c:pt idx="6">
                  <c:v>61116479.288064823</c:v>
                </c:pt>
                <c:pt idx="7">
                  <c:v>63889295.879878387</c:v>
                </c:pt>
                <c:pt idx="8">
                  <c:v>66802352.193475969</c:v>
                </c:pt>
                <c:pt idx="9">
                  <c:v>68663172.346694008</c:v>
                </c:pt>
                <c:pt idx="10">
                  <c:v>58623333.446663156</c:v>
                </c:pt>
                <c:pt idx="11">
                  <c:v>60926512.370719068</c:v>
                </c:pt>
                <c:pt idx="12">
                  <c:v>62647987.896757588</c:v>
                </c:pt>
                <c:pt idx="13">
                  <c:v>64404218.15555653</c:v>
                </c:pt>
                <c:pt idx="14">
                  <c:v>66202302.591056325</c:v>
                </c:pt>
                <c:pt idx="15">
                  <c:v>68074777.157230496</c:v>
                </c:pt>
                <c:pt idx="16">
                  <c:v>69699823.65734151</c:v>
                </c:pt>
                <c:pt idx="17">
                  <c:v>70866860.309655756</c:v>
                </c:pt>
                <c:pt idx="18">
                  <c:v>72033591.521807522</c:v>
                </c:pt>
                <c:pt idx="19">
                  <c:v>73224331.264833629</c:v>
                </c:pt>
                <c:pt idx="20">
                  <c:v>74439568.744679123</c:v>
                </c:pt>
                <c:pt idx="21">
                  <c:v>75679803.087899894</c:v>
                </c:pt>
                <c:pt idx="22">
                  <c:v>76945543.542368948</c:v>
                </c:pt>
              </c:numCache>
            </c:numRef>
          </c:val>
          <c:smooth val="0"/>
          <c:extLst>
            <c:ext xmlns:c16="http://schemas.microsoft.com/office/drawing/2014/chart" uri="{C3380CC4-5D6E-409C-BE32-E72D297353CC}">
              <c16:uniqueId val="{00000003-FD4D-4657-A959-1F3D2CB447AA}"/>
            </c:ext>
          </c:extLst>
        </c:ser>
        <c:dLbls>
          <c:showLegendKey val="0"/>
          <c:showVal val="0"/>
          <c:showCatName val="0"/>
          <c:showSerName val="0"/>
          <c:showPercent val="0"/>
          <c:showBubbleSize val="0"/>
        </c:dLbls>
        <c:smooth val="0"/>
        <c:axId val="992342783"/>
        <c:axId val="1548641263"/>
      </c:lineChart>
      <c:catAx>
        <c:axId val="99234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641263"/>
        <c:crosses val="autoZero"/>
        <c:auto val="1"/>
        <c:lblAlgn val="ctr"/>
        <c:lblOffset val="100"/>
        <c:noMultiLvlLbl val="0"/>
      </c:catAx>
      <c:valAx>
        <c:axId val="15486412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342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vs.</a:t>
            </a:r>
            <a:r>
              <a:rPr lang="en-US" b="1" baseline="0">
                <a:solidFill>
                  <a:sysClr val="windowText" lastClr="000000"/>
                </a:solidFill>
              </a:rPr>
              <a:t> EBITDA</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graphs!$A$39</c:f>
              <c:strCache>
                <c:ptCount val="1"/>
                <c:pt idx="0">
                  <c:v>Revenue</c:v>
                </c:pt>
              </c:strCache>
            </c:strRef>
          </c:tx>
          <c:spPr>
            <a:solidFill>
              <a:schemeClr val="accent1"/>
            </a:solidFill>
            <a:ln>
              <a:noFill/>
            </a:ln>
            <a:effectLst/>
          </c:spPr>
          <c:invertIfNegative val="0"/>
          <c:cat>
            <c:numRef>
              <c:f>graphs!$B$38:$L$38</c:f>
              <c:numCache>
                <c:formatCode>0</c:formatCode>
                <c:ptCount val="11"/>
                <c:pt idx="0">
                  <c:v>2026</c:v>
                </c:pt>
                <c:pt idx="1">
                  <c:v>2027</c:v>
                </c:pt>
                <c:pt idx="2">
                  <c:v>2028</c:v>
                </c:pt>
                <c:pt idx="3">
                  <c:v>2029</c:v>
                </c:pt>
                <c:pt idx="4">
                  <c:v>2030</c:v>
                </c:pt>
                <c:pt idx="5">
                  <c:v>2031</c:v>
                </c:pt>
                <c:pt idx="6">
                  <c:v>2032</c:v>
                </c:pt>
                <c:pt idx="7">
                  <c:v>2033</c:v>
                </c:pt>
                <c:pt idx="8">
                  <c:v>2034</c:v>
                </c:pt>
                <c:pt idx="9">
                  <c:v>2035</c:v>
                </c:pt>
                <c:pt idx="10">
                  <c:v>2036</c:v>
                </c:pt>
              </c:numCache>
            </c:numRef>
          </c:cat>
          <c:val>
            <c:numRef>
              <c:f>graphs!$B$39:$L$39</c:f>
              <c:numCache>
                <c:formatCode>_("$"* #,##0.00_);_("$"* \(#,##0.00\);_("$"* "-"??_);_(@_)</c:formatCode>
                <c:ptCount val="11"/>
                <c:pt idx="0">
                  <c:v>0</c:v>
                </c:pt>
                <c:pt idx="1">
                  <c:v>42079157.63449195</c:v>
                </c:pt>
                <c:pt idx="2">
                  <c:v>73261682.810393706</c:v>
                </c:pt>
                <c:pt idx="3">
                  <c:v>79804721.610527456</c:v>
                </c:pt>
                <c:pt idx="4">
                  <c:v>81225241.641189128</c:v>
                </c:pt>
                <c:pt idx="5">
                  <c:v>82228619.621948481</c:v>
                </c:pt>
                <c:pt idx="6">
                  <c:v>83477384.448526293</c:v>
                </c:pt>
                <c:pt idx="7">
                  <c:v>84751354.788526297</c:v>
                </c:pt>
                <c:pt idx="8">
                  <c:v>86051039.398996562</c:v>
                </c:pt>
                <c:pt idx="9">
                  <c:v>87376957.305918336</c:v>
                </c:pt>
                <c:pt idx="10">
                  <c:v>88729638.011477888</c:v>
                </c:pt>
              </c:numCache>
            </c:numRef>
          </c:val>
          <c:extLst>
            <c:ext xmlns:c16="http://schemas.microsoft.com/office/drawing/2014/chart" uri="{C3380CC4-5D6E-409C-BE32-E72D297353CC}">
              <c16:uniqueId val="{00000000-99B3-4A09-9C3A-CEAC817D6042}"/>
            </c:ext>
          </c:extLst>
        </c:ser>
        <c:ser>
          <c:idx val="1"/>
          <c:order val="1"/>
          <c:tx>
            <c:strRef>
              <c:f>graphs!$A$40</c:f>
              <c:strCache>
                <c:ptCount val="1"/>
                <c:pt idx="0">
                  <c:v>EBITDA</c:v>
                </c:pt>
              </c:strCache>
            </c:strRef>
          </c:tx>
          <c:spPr>
            <a:solidFill>
              <a:schemeClr val="accent2"/>
            </a:solidFill>
            <a:ln>
              <a:noFill/>
            </a:ln>
            <a:effectLst/>
          </c:spPr>
          <c:invertIfNegative val="0"/>
          <c:cat>
            <c:numRef>
              <c:f>graphs!$B$38:$L$38</c:f>
              <c:numCache>
                <c:formatCode>0</c:formatCode>
                <c:ptCount val="11"/>
                <c:pt idx="0">
                  <c:v>2026</c:v>
                </c:pt>
                <c:pt idx="1">
                  <c:v>2027</c:v>
                </c:pt>
                <c:pt idx="2">
                  <c:v>2028</c:v>
                </c:pt>
                <c:pt idx="3">
                  <c:v>2029</c:v>
                </c:pt>
                <c:pt idx="4">
                  <c:v>2030</c:v>
                </c:pt>
                <c:pt idx="5">
                  <c:v>2031</c:v>
                </c:pt>
                <c:pt idx="6">
                  <c:v>2032</c:v>
                </c:pt>
                <c:pt idx="7">
                  <c:v>2033</c:v>
                </c:pt>
                <c:pt idx="8">
                  <c:v>2034</c:v>
                </c:pt>
                <c:pt idx="9">
                  <c:v>2035</c:v>
                </c:pt>
                <c:pt idx="10">
                  <c:v>2036</c:v>
                </c:pt>
              </c:numCache>
            </c:numRef>
          </c:cat>
          <c:val>
            <c:numRef>
              <c:f>graphs!$B$40:$L$40</c:f>
              <c:numCache>
                <c:formatCode>_("$"* #,##0.00_);_("$"* \(#,##0.00\);_("$"* "-"??_);_(@_)</c:formatCode>
                <c:ptCount val="11"/>
                <c:pt idx="0">
                  <c:v>-4213882.049129135</c:v>
                </c:pt>
                <c:pt idx="1">
                  <c:v>27575572.687029082</c:v>
                </c:pt>
                <c:pt idx="2">
                  <c:v>56659881.787970379</c:v>
                </c:pt>
                <c:pt idx="3">
                  <c:v>64973637.966510631</c:v>
                </c:pt>
                <c:pt idx="4">
                  <c:v>67182045.010145277</c:v>
                </c:pt>
                <c:pt idx="5">
                  <c:v>68528296.325064868</c:v>
                </c:pt>
                <c:pt idx="6">
                  <c:v>70150713.833471045</c:v>
                </c:pt>
                <c:pt idx="7">
                  <c:v>71831430.86150901</c:v>
                </c:pt>
                <c:pt idx="8">
                  <c:v>73573439.645562589</c:v>
                </c:pt>
                <c:pt idx="9">
                  <c:v>75379923.742802501</c:v>
                </c:pt>
                <c:pt idx="10">
                  <c:v>77254271.354214847</c:v>
                </c:pt>
              </c:numCache>
            </c:numRef>
          </c:val>
          <c:extLst>
            <c:ext xmlns:c16="http://schemas.microsoft.com/office/drawing/2014/chart" uri="{C3380CC4-5D6E-409C-BE32-E72D297353CC}">
              <c16:uniqueId val="{00000001-99B3-4A09-9C3A-CEAC817D6042}"/>
            </c:ext>
          </c:extLst>
        </c:ser>
        <c:dLbls>
          <c:showLegendKey val="0"/>
          <c:showVal val="0"/>
          <c:showCatName val="0"/>
          <c:showSerName val="0"/>
          <c:showPercent val="0"/>
          <c:showBubbleSize val="0"/>
        </c:dLbls>
        <c:gapWidth val="219"/>
        <c:overlap val="-27"/>
        <c:axId val="188662112"/>
        <c:axId val="188671232"/>
      </c:barChart>
      <c:catAx>
        <c:axId val="18866211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8671232"/>
        <c:crosses val="autoZero"/>
        <c:auto val="1"/>
        <c:lblAlgn val="ctr"/>
        <c:lblOffset val="100"/>
        <c:noMultiLvlLbl val="0"/>
      </c:catAx>
      <c:valAx>
        <c:axId val="1886712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8662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Compostion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graphs!$S$66</c:f>
              <c:strCache>
                <c:ptCount val="1"/>
                <c:pt idx="0">
                  <c:v>Electricty</c:v>
                </c:pt>
              </c:strCache>
            </c:strRef>
          </c:tx>
          <c:spPr>
            <a:solidFill>
              <a:schemeClr val="accent1"/>
            </a:solidFill>
            <a:ln>
              <a:noFill/>
            </a:ln>
            <a:effectLst/>
          </c:spPr>
          <c:invertIfNegative val="0"/>
          <c:cat>
            <c:numRef>
              <c:f>graphs!$T$65:$AC$65</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graphs!$T$66:$AC$66</c:f>
              <c:numCache>
                <c:formatCode>"$"#,##0_);\("$"#,##0\)</c:formatCode>
                <c:ptCount val="10"/>
                <c:pt idx="0">
                  <c:v>0</c:v>
                </c:pt>
                <c:pt idx="1">
                  <c:v>0</c:v>
                </c:pt>
                <c:pt idx="2">
                  <c:v>16398976.114098672</c:v>
                </c:pt>
                <c:pt idx="3">
                  <c:v>21765913.751440059</c:v>
                </c:pt>
                <c:pt idx="4">
                  <c:v>21825546.391854964</c:v>
                </c:pt>
                <c:pt idx="5">
                  <c:v>21765913.751440059</c:v>
                </c:pt>
                <c:pt idx="6">
                  <c:v>21765913.751440059</c:v>
                </c:pt>
                <c:pt idx="7">
                  <c:v>21765913.751440059</c:v>
                </c:pt>
                <c:pt idx="8">
                  <c:v>21765913.751440059</c:v>
                </c:pt>
                <c:pt idx="9">
                  <c:v>21765913.751440059</c:v>
                </c:pt>
              </c:numCache>
            </c:numRef>
          </c:val>
          <c:extLst>
            <c:ext xmlns:c16="http://schemas.microsoft.com/office/drawing/2014/chart" uri="{C3380CC4-5D6E-409C-BE32-E72D297353CC}">
              <c16:uniqueId val="{00000000-AFA3-426D-A8C2-736ACA997B35}"/>
            </c:ext>
          </c:extLst>
        </c:ser>
        <c:ser>
          <c:idx val="1"/>
          <c:order val="1"/>
          <c:tx>
            <c:strRef>
              <c:f>graphs!$S$67</c:f>
              <c:strCache>
                <c:ptCount val="1"/>
                <c:pt idx="0">
                  <c:v>Activated Carbon</c:v>
                </c:pt>
              </c:strCache>
            </c:strRef>
          </c:tx>
          <c:spPr>
            <a:solidFill>
              <a:schemeClr val="accent2"/>
            </a:solidFill>
            <a:ln>
              <a:noFill/>
            </a:ln>
            <a:effectLst/>
          </c:spPr>
          <c:invertIfNegative val="0"/>
          <c:cat>
            <c:numRef>
              <c:f>graphs!$T$65:$AC$65</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graphs!$T$67:$AC$67</c:f>
              <c:numCache>
                <c:formatCode>"$"#,##0_);\("$"#,##0\)</c:formatCode>
                <c:ptCount val="10"/>
                <c:pt idx="0">
                  <c:v>0</c:v>
                </c:pt>
                <c:pt idx="1">
                  <c:v>11780568.4423823</c:v>
                </c:pt>
                <c:pt idx="2">
                  <c:v>15912446.604378657</c:v>
                </c:pt>
                <c:pt idx="3">
                  <c:v>16233629.086404346</c:v>
                </c:pt>
                <c:pt idx="4">
                  <c:v>16606326.398659352</c:v>
                </c:pt>
                <c:pt idx="5">
                  <c:v>16895573.487204812</c:v>
                </c:pt>
                <c:pt idx="6">
                  <c:v>17236599.75191351</c:v>
                </c:pt>
                <c:pt idx="7">
                  <c:v>17584509.412045822</c:v>
                </c:pt>
                <c:pt idx="8">
                  <c:v>17939441.404503275</c:v>
                </c:pt>
                <c:pt idx="9">
                  <c:v>18301537.470539238</c:v>
                </c:pt>
              </c:numCache>
            </c:numRef>
          </c:val>
          <c:extLst>
            <c:ext xmlns:c16="http://schemas.microsoft.com/office/drawing/2014/chart" uri="{C3380CC4-5D6E-409C-BE32-E72D297353CC}">
              <c16:uniqueId val="{00000001-AFA3-426D-A8C2-736ACA997B35}"/>
            </c:ext>
          </c:extLst>
        </c:ser>
        <c:ser>
          <c:idx val="2"/>
          <c:order val="2"/>
          <c:tx>
            <c:strRef>
              <c:f>graphs!$S$68</c:f>
              <c:strCache>
                <c:ptCount val="1"/>
                <c:pt idx="0">
                  <c:v>Carbon Black</c:v>
                </c:pt>
              </c:strCache>
            </c:strRef>
          </c:tx>
          <c:spPr>
            <a:solidFill>
              <a:schemeClr val="accent3"/>
            </a:solidFill>
            <a:ln>
              <a:noFill/>
            </a:ln>
            <a:effectLst/>
          </c:spPr>
          <c:invertIfNegative val="0"/>
          <c:cat>
            <c:numRef>
              <c:f>graphs!$T$65:$AC$65</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graphs!$T$68:$AC$68</c:f>
              <c:numCache>
                <c:formatCode>"$"#,##0_);\("$"#,##0\)</c:formatCode>
                <c:ptCount val="10"/>
                <c:pt idx="0">
                  <c:v>0</c:v>
                </c:pt>
                <c:pt idx="1">
                  <c:v>6268851.6642377293</c:v>
                </c:pt>
                <c:pt idx="2">
                  <c:v>8467568.2557963952</c:v>
                </c:pt>
                <c:pt idx="3">
                  <c:v>8638480.6652287878</c:v>
                </c:pt>
                <c:pt idx="4">
                  <c:v>8836805.9139308166</c:v>
                </c:pt>
                <c:pt idx="5">
                  <c:v>8990724.3858001921</c:v>
                </c:pt>
                <c:pt idx="6">
                  <c:v>9172196.3646375388</c:v>
                </c:pt>
                <c:pt idx="7">
                  <c:v>9357331.2384419646</c:v>
                </c:pt>
                <c:pt idx="8">
                  <c:v>9546202.940388307</c:v>
                </c:pt>
                <c:pt idx="9">
                  <c:v>9738886.8959449064</c:v>
                </c:pt>
              </c:numCache>
            </c:numRef>
          </c:val>
          <c:extLst>
            <c:ext xmlns:c16="http://schemas.microsoft.com/office/drawing/2014/chart" uri="{C3380CC4-5D6E-409C-BE32-E72D297353CC}">
              <c16:uniqueId val="{00000002-AFA3-426D-A8C2-736ACA997B35}"/>
            </c:ext>
          </c:extLst>
        </c:ser>
        <c:ser>
          <c:idx val="3"/>
          <c:order val="3"/>
          <c:tx>
            <c:strRef>
              <c:f>graphs!$S$69</c:f>
              <c:strCache>
                <c:ptCount val="1"/>
                <c:pt idx="0">
                  <c:v>Graphene</c:v>
                </c:pt>
              </c:strCache>
            </c:strRef>
          </c:tx>
          <c:spPr>
            <a:solidFill>
              <a:schemeClr val="accent4"/>
            </a:solidFill>
            <a:ln>
              <a:noFill/>
            </a:ln>
            <a:effectLst/>
          </c:spPr>
          <c:invertIfNegative val="0"/>
          <c:cat>
            <c:numRef>
              <c:f>graphs!$T$65:$AC$65</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graphs!$T$69:$AC$69</c:f>
              <c:numCache>
                <c:formatCode>"$"#,##0_);\("$"#,##0\)</c:formatCode>
                <c:ptCount val="10"/>
                <c:pt idx="0">
                  <c:v>0</c:v>
                </c:pt>
                <c:pt idx="1">
                  <c:v>14104916.244534891</c:v>
                </c:pt>
                <c:pt idx="2">
                  <c:v>19052028.575541887</c:v>
                </c:pt>
                <c:pt idx="3">
                  <c:v>19436581.496764768</c:v>
                </c:pt>
                <c:pt idx="4">
                  <c:v>19882813.30634433</c:v>
                </c:pt>
                <c:pt idx="5">
                  <c:v>20229129.868050434</c:v>
                </c:pt>
                <c:pt idx="6">
                  <c:v>20637441.820434462</c:v>
                </c:pt>
                <c:pt idx="7">
                  <c:v>21053995.286494412</c:v>
                </c:pt>
                <c:pt idx="8">
                  <c:v>21478956.615873687</c:v>
                </c:pt>
                <c:pt idx="9">
                  <c:v>21912495.51587604</c:v>
                </c:pt>
              </c:numCache>
            </c:numRef>
          </c:val>
          <c:extLst>
            <c:ext xmlns:c16="http://schemas.microsoft.com/office/drawing/2014/chart" uri="{C3380CC4-5D6E-409C-BE32-E72D297353CC}">
              <c16:uniqueId val="{00000003-AFA3-426D-A8C2-736ACA997B35}"/>
            </c:ext>
          </c:extLst>
        </c:ser>
        <c:ser>
          <c:idx val="4"/>
          <c:order val="4"/>
          <c:tx>
            <c:strRef>
              <c:f>graphs!$S$70</c:f>
              <c:strCache>
                <c:ptCount val="1"/>
                <c:pt idx="0">
                  <c:v>Ferrous</c:v>
                </c:pt>
              </c:strCache>
            </c:strRef>
          </c:tx>
          <c:spPr>
            <a:solidFill>
              <a:schemeClr val="accent5"/>
            </a:solidFill>
            <a:ln>
              <a:noFill/>
            </a:ln>
            <a:effectLst/>
          </c:spPr>
          <c:invertIfNegative val="0"/>
          <c:cat>
            <c:numRef>
              <c:f>graphs!$T$65:$AC$65</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graphs!$T$70:$AC$70</c:f>
              <c:numCache>
                <c:formatCode>"$"#,##0_);\("$"#,##0\)</c:formatCode>
                <c:ptCount val="10"/>
                <c:pt idx="0">
                  <c:v>0</c:v>
                </c:pt>
                <c:pt idx="1">
                  <c:v>339853.48450001108</c:v>
                </c:pt>
                <c:pt idx="2">
                  <c:v>459052.5874764031</c:v>
                </c:pt>
                <c:pt idx="3">
                  <c:v>468318.26817854075</c:v>
                </c:pt>
                <c:pt idx="4">
                  <c:v>479070.0821383805</c:v>
                </c:pt>
                <c:pt idx="5">
                  <c:v>487414.46988201432</c:v>
                </c:pt>
                <c:pt idx="6">
                  <c:v>497252.61690642382</c:v>
                </c:pt>
                <c:pt idx="7">
                  <c:v>507289.3405896207</c:v>
                </c:pt>
                <c:pt idx="8">
                  <c:v>517528.64907351631</c:v>
                </c:pt>
                <c:pt idx="9">
                  <c:v>527974.63140178355</c:v>
                </c:pt>
              </c:numCache>
            </c:numRef>
          </c:val>
          <c:extLst>
            <c:ext xmlns:c16="http://schemas.microsoft.com/office/drawing/2014/chart" uri="{C3380CC4-5D6E-409C-BE32-E72D297353CC}">
              <c16:uniqueId val="{00000004-AFA3-426D-A8C2-736ACA997B35}"/>
            </c:ext>
          </c:extLst>
        </c:ser>
        <c:ser>
          <c:idx val="5"/>
          <c:order val="5"/>
          <c:tx>
            <c:strRef>
              <c:f>graphs!$S$71</c:f>
              <c:strCache>
                <c:ptCount val="1"/>
                <c:pt idx="0">
                  <c:v>Non-ferrous</c:v>
                </c:pt>
              </c:strCache>
            </c:strRef>
          </c:tx>
          <c:spPr>
            <a:solidFill>
              <a:schemeClr val="accent6"/>
            </a:solidFill>
            <a:ln>
              <a:noFill/>
            </a:ln>
            <a:effectLst/>
          </c:spPr>
          <c:invertIfNegative val="0"/>
          <c:cat>
            <c:numRef>
              <c:f>graphs!$T$65:$AC$65</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graphs!$T$71:$AC$71</c:f>
              <c:numCache>
                <c:formatCode>"$"#,##0_);\("$"#,##0\)</c:formatCode>
                <c:ptCount val="10"/>
                <c:pt idx="0">
                  <c:v>0</c:v>
                </c:pt>
                <c:pt idx="1">
                  <c:v>9657046.3922240883</c:v>
                </c:pt>
                <c:pt idx="2">
                  <c:v>13044127.354621805</c:v>
                </c:pt>
                <c:pt idx="3">
                  <c:v>13307414.660702305</c:v>
                </c:pt>
                <c:pt idx="4">
                  <c:v>13612930.922698233</c:v>
                </c:pt>
                <c:pt idx="5">
                  <c:v>13850039.392171575</c:v>
                </c:pt>
                <c:pt idx="6">
                  <c:v>14129593.513465978</c:v>
                </c:pt>
                <c:pt idx="7">
                  <c:v>14414790.254576821</c:v>
                </c:pt>
                <c:pt idx="8">
                  <c:v>14705743.508149453</c:v>
                </c:pt>
                <c:pt idx="9">
                  <c:v>15002569.465678882</c:v>
                </c:pt>
              </c:numCache>
            </c:numRef>
          </c:val>
          <c:extLst>
            <c:ext xmlns:c16="http://schemas.microsoft.com/office/drawing/2014/chart" uri="{C3380CC4-5D6E-409C-BE32-E72D297353CC}">
              <c16:uniqueId val="{00000005-AFA3-426D-A8C2-736ACA997B35}"/>
            </c:ext>
          </c:extLst>
        </c:ser>
        <c:ser>
          <c:idx val="6"/>
          <c:order val="6"/>
          <c:tx>
            <c:strRef>
              <c:f>graphs!$S$72</c:f>
              <c:strCache>
                <c:ptCount val="1"/>
                <c:pt idx="0">
                  <c:v>Tire Steel</c:v>
                </c:pt>
              </c:strCache>
            </c:strRef>
          </c:tx>
          <c:spPr>
            <a:solidFill>
              <a:schemeClr val="accent1">
                <a:lumMod val="60000"/>
              </a:schemeClr>
            </a:solidFill>
            <a:ln>
              <a:noFill/>
            </a:ln>
            <a:effectLst/>
          </c:spPr>
          <c:invertIfNegative val="0"/>
          <c:cat>
            <c:numRef>
              <c:f>graphs!$T$65:$AC$65</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graphs!$T$72:$AC$72</c:f>
              <c:numCache>
                <c:formatCode>"$"#,##0_);\("$"#,##0\)</c:formatCode>
                <c:ptCount val="10"/>
                <c:pt idx="0">
                  <c:v>0</c:v>
                </c:pt>
                <c:pt idx="1">
                  <c:v>986671.40661293361</c:v>
                </c:pt>
                <c:pt idx="2">
                  <c:v>1332733.3184798779</c:v>
                </c:pt>
                <c:pt idx="3">
                  <c:v>1359633.6818086645</c:v>
                </c:pt>
                <c:pt idx="4">
                  <c:v>1390848.6255630376</c:v>
                </c:pt>
                <c:pt idx="5">
                  <c:v>1415074.2673993944</c:v>
                </c:pt>
                <c:pt idx="6">
                  <c:v>1443636.6297283247</c:v>
                </c:pt>
                <c:pt idx="7">
                  <c:v>1472775.5049376062</c:v>
                </c:pt>
                <c:pt idx="8">
                  <c:v>1502502.5295682708</c:v>
                </c:pt>
                <c:pt idx="9">
                  <c:v>1532829.5750374338</c:v>
                </c:pt>
              </c:numCache>
            </c:numRef>
          </c:val>
          <c:extLst>
            <c:ext xmlns:c16="http://schemas.microsoft.com/office/drawing/2014/chart" uri="{C3380CC4-5D6E-409C-BE32-E72D297353CC}">
              <c16:uniqueId val="{00000006-AFA3-426D-A8C2-736ACA997B35}"/>
            </c:ext>
          </c:extLst>
        </c:ser>
        <c:dLbls>
          <c:showLegendKey val="0"/>
          <c:showVal val="0"/>
          <c:showCatName val="0"/>
          <c:showSerName val="0"/>
          <c:showPercent val="0"/>
          <c:showBubbleSize val="0"/>
        </c:dLbls>
        <c:gapWidth val="150"/>
        <c:overlap val="100"/>
        <c:axId val="1518188176"/>
        <c:axId val="1518189136"/>
      </c:barChart>
      <c:catAx>
        <c:axId val="151818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89136"/>
        <c:crosses val="autoZero"/>
        <c:auto val="1"/>
        <c:lblAlgn val="ctr"/>
        <c:lblOffset val="100"/>
        <c:noMultiLvlLbl val="0"/>
      </c:catAx>
      <c:valAx>
        <c:axId val="1518189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88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graphs!$S$96</c:f>
              <c:strCache>
                <c:ptCount val="1"/>
                <c:pt idx="0">
                  <c:v>Employee</c:v>
                </c:pt>
              </c:strCache>
            </c:strRef>
          </c:tx>
          <c:spPr>
            <a:solidFill>
              <a:schemeClr val="accent1"/>
            </a:solidFill>
            <a:ln>
              <a:noFill/>
            </a:ln>
            <a:effectLst/>
          </c:spPr>
          <c:invertIfNegative val="0"/>
          <c:cat>
            <c:numRef>
              <c:f>graphs!$T$95:$AC$95</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graphs!$T$96:$AC$96</c:f>
              <c:numCache>
                <c:formatCode>"$"#,##0_);\("$"#,##0\)</c:formatCode>
                <c:ptCount val="10"/>
                <c:pt idx="0">
                  <c:v>601983.14987559081</c:v>
                </c:pt>
                <c:pt idx="1">
                  <c:v>3603546.064866703</c:v>
                </c:pt>
                <c:pt idx="2">
                  <c:v>4846945.0927410424</c:v>
                </c:pt>
                <c:pt idx="3">
                  <c:v>4895637.3135650316</c:v>
                </c:pt>
                <c:pt idx="4">
                  <c:v>4944818.6945349295</c:v>
                </c:pt>
                <c:pt idx="5">
                  <c:v>4994494.1497344263</c:v>
                </c:pt>
                <c:pt idx="6">
                  <c:v>5044668.6426139101</c:v>
                </c:pt>
                <c:pt idx="7">
                  <c:v>5095347.1864863969</c:v>
                </c:pt>
                <c:pt idx="8">
                  <c:v>5146534.8450284442</c:v>
                </c:pt>
                <c:pt idx="9">
                  <c:v>5198236.7327861134</c:v>
                </c:pt>
              </c:numCache>
            </c:numRef>
          </c:val>
          <c:extLst>
            <c:ext xmlns:c16="http://schemas.microsoft.com/office/drawing/2014/chart" uri="{C3380CC4-5D6E-409C-BE32-E72D297353CC}">
              <c16:uniqueId val="{00000000-8EB7-41EB-9B7B-2EDF14779E09}"/>
            </c:ext>
          </c:extLst>
        </c:ser>
        <c:ser>
          <c:idx val="1"/>
          <c:order val="1"/>
          <c:tx>
            <c:strRef>
              <c:f>graphs!$S$97</c:f>
              <c:strCache>
                <c:ptCount val="1"/>
                <c:pt idx="0">
                  <c:v>Insurance</c:v>
                </c:pt>
              </c:strCache>
            </c:strRef>
          </c:tx>
          <c:spPr>
            <a:solidFill>
              <a:schemeClr val="accent2"/>
            </a:solidFill>
            <a:ln>
              <a:noFill/>
            </a:ln>
            <a:effectLst/>
          </c:spPr>
          <c:invertIfNegative val="0"/>
          <c:cat>
            <c:numRef>
              <c:f>graphs!$T$95:$AC$95</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graphs!$T$97:$AC$97</c:f>
              <c:numCache>
                <c:formatCode>"$"#,##0_);\("$"#,##0\)</c:formatCode>
                <c:ptCount val="10"/>
                <c:pt idx="0">
                  <c:v>601983.14987559081</c:v>
                </c:pt>
                <c:pt idx="1">
                  <c:v>7511416.2775470056</c:v>
                </c:pt>
                <c:pt idx="2">
                  <c:v>7147871.1544609787</c:v>
                </c:pt>
                <c:pt idx="3">
                  <c:v>6758045.3250321718</c:v>
                </c:pt>
                <c:pt idx="4">
                  <c:v>6340038.9548741085</c:v>
                </c:pt>
                <c:pt idx="5">
                  <c:v>5891814.8704188941</c:v>
                </c:pt>
                <c:pt idx="6">
                  <c:v>5411188.6306567034</c:v>
                </c:pt>
                <c:pt idx="7">
                  <c:v>4895817.8811604725</c:v>
                </c:pt>
                <c:pt idx="8">
                  <c:v>4343190.9385122219</c:v>
                </c:pt>
                <c:pt idx="9">
                  <c:v>3750614.5494965934</c:v>
                </c:pt>
              </c:numCache>
            </c:numRef>
          </c:val>
          <c:extLst>
            <c:ext xmlns:c16="http://schemas.microsoft.com/office/drawing/2014/chart" uri="{C3380CC4-5D6E-409C-BE32-E72D297353CC}">
              <c16:uniqueId val="{00000001-8EB7-41EB-9B7B-2EDF14779E09}"/>
            </c:ext>
          </c:extLst>
        </c:ser>
        <c:ser>
          <c:idx val="2"/>
          <c:order val="2"/>
          <c:tx>
            <c:strRef>
              <c:f>graphs!$S$98</c:f>
              <c:strCache>
                <c:ptCount val="1"/>
                <c:pt idx="0">
                  <c:v>O&amp;M</c:v>
                </c:pt>
              </c:strCache>
            </c:strRef>
          </c:tx>
          <c:spPr>
            <a:solidFill>
              <a:schemeClr val="accent3"/>
            </a:solidFill>
            <a:ln>
              <a:noFill/>
            </a:ln>
            <a:effectLst/>
          </c:spPr>
          <c:invertIfNegative val="0"/>
          <c:cat>
            <c:numRef>
              <c:f>graphs!$T$95:$AC$95</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graphs!$T$98:$AC$98</c:f>
              <c:numCache>
                <c:formatCode>"$"#,##0_);\("$"#,##0\)</c:formatCode>
                <c:ptCount val="10"/>
                <c:pt idx="0">
                  <c:v>3009915.7493779538</c:v>
                </c:pt>
                <c:pt idx="1">
                  <c:v>2791307.0661262479</c:v>
                </c:pt>
                <c:pt idx="2">
                  <c:v>3787418.8823645012</c:v>
                </c:pt>
                <c:pt idx="3">
                  <c:v>2341292.7030769684</c:v>
                </c:pt>
                <c:pt idx="4">
                  <c:v>1905354.3719294234</c:v>
                </c:pt>
                <c:pt idx="5">
                  <c:v>1943812.7222717521</c:v>
                </c:pt>
                <c:pt idx="6">
                  <c:v>1983047.3296363144</c:v>
                </c:pt>
                <c:pt idx="7">
                  <c:v>2023073.8622709461</c:v>
                </c:pt>
                <c:pt idx="8">
                  <c:v>2063908.3046769733</c:v>
                </c:pt>
                <c:pt idx="9">
                  <c:v>2105566.9639925798</c:v>
                </c:pt>
              </c:numCache>
            </c:numRef>
          </c:val>
          <c:extLst>
            <c:ext xmlns:c16="http://schemas.microsoft.com/office/drawing/2014/chart" uri="{C3380CC4-5D6E-409C-BE32-E72D297353CC}">
              <c16:uniqueId val="{00000002-8EB7-41EB-9B7B-2EDF14779E09}"/>
            </c:ext>
          </c:extLst>
        </c:ser>
        <c:ser>
          <c:idx val="3"/>
          <c:order val="3"/>
          <c:tx>
            <c:strRef>
              <c:f>graphs!$S$99</c:f>
              <c:strCache>
                <c:ptCount val="1"/>
                <c:pt idx="0">
                  <c:v>Other</c:v>
                </c:pt>
              </c:strCache>
            </c:strRef>
          </c:tx>
          <c:spPr>
            <a:solidFill>
              <a:schemeClr val="accent4"/>
            </a:solidFill>
            <a:ln>
              <a:noFill/>
            </a:ln>
            <a:effectLst/>
          </c:spPr>
          <c:invertIfNegative val="0"/>
          <c:cat>
            <c:numRef>
              <c:f>graphs!$T$95:$AC$95</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graphs!$T$99:$AC$99</c:f>
              <c:numCache>
                <c:formatCode>"$"#,##0_);\("$"#,##0\)</c:formatCode>
                <c:ptCount val="10"/>
                <c:pt idx="0">
                  <c:v>0</c:v>
                </c:pt>
                <c:pt idx="1">
                  <c:v>597315.53892291163</c:v>
                </c:pt>
                <c:pt idx="2">
                  <c:v>819565.89285680302</c:v>
                </c:pt>
                <c:pt idx="3">
                  <c:v>836108.30234265269</c:v>
                </c:pt>
                <c:pt idx="4">
                  <c:v>852984.6097053939</c:v>
                </c:pt>
                <c:pt idx="5">
                  <c:v>870201.55445853481</c:v>
                </c:pt>
                <c:pt idx="6">
                  <c:v>887766.01214832184</c:v>
                </c:pt>
                <c:pt idx="7">
                  <c:v>905684.99709947233</c:v>
                </c:pt>
                <c:pt idx="8">
                  <c:v>923965.66521632846</c:v>
                </c:pt>
                <c:pt idx="9">
                  <c:v>942615.31684055051</c:v>
                </c:pt>
              </c:numCache>
            </c:numRef>
          </c:val>
          <c:extLst>
            <c:ext xmlns:c16="http://schemas.microsoft.com/office/drawing/2014/chart" uri="{C3380CC4-5D6E-409C-BE32-E72D297353CC}">
              <c16:uniqueId val="{00000003-8EB7-41EB-9B7B-2EDF14779E09}"/>
            </c:ext>
          </c:extLst>
        </c:ser>
        <c:dLbls>
          <c:showLegendKey val="0"/>
          <c:showVal val="0"/>
          <c:showCatName val="0"/>
          <c:showSerName val="0"/>
          <c:showPercent val="0"/>
          <c:showBubbleSize val="0"/>
        </c:dLbls>
        <c:gapWidth val="150"/>
        <c:overlap val="100"/>
        <c:axId val="1161055008"/>
        <c:axId val="1161043008"/>
      </c:barChart>
      <c:catAx>
        <c:axId val="116105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043008"/>
        <c:crosses val="autoZero"/>
        <c:auto val="1"/>
        <c:lblAlgn val="ctr"/>
        <c:lblOffset val="100"/>
        <c:noMultiLvlLbl val="0"/>
      </c:catAx>
      <c:valAx>
        <c:axId val="1161043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055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61433998295904912"/>
          <c:y val="0.105610555278240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graphs!$S$121</c:f>
              <c:strCache>
                <c:ptCount val="1"/>
                <c:pt idx="0">
                  <c:v>Net Cashflow from Operating Activities</c:v>
                </c:pt>
              </c:strCache>
            </c:strRef>
          </c:tx>
          <c:spPr>
            <a:solidFill>
              <a:schemeClr val="accent1"/>
            </a:solidFill>
            <a:ln>
              <a:noFill/>
            </a:ln>
            <a:effectLst/>
          </c:spPr>
          <c:invertIfNegative val="0"/>
          <c:cat>
            <c:numRef>
              <c:f>graphs!$T$120:$AC$120</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graphs!$T$121:$AC$121</c:f>
              <c:numCache>
                <c:formatCode>"$"#,##0_);\("$"#,##0\)</c:formatCode>
                <c:ptCount val="10"/>
                <c:pt idx="0">
                  <c:v>-13468123.398709152</c:v>
                </c:pt>
                <c:pt idx="1">
                  <c:v>13035728.680310279</c:v>
                </c:pt>
                <c:pt idx="2">
                  <c:v>43813361.282033794</c:v>
                </c:pt>
                <c:pt idx="3">
                  <c:v>53085338.440052427</c:v>
                </c:pt>
                <c:pt idx="4">
                  <c:v>56179524.45921348</c:v>
                </c:pt>
                <c:pt idx="5">
                  <c:v>58475587.783421032</c:v>
                </c:pt>
                <c:pt idx="6">
                  <c:v>61116479.288064823</c:v>
                </c:pt>
                <c:pt idx="7">
                  <c:v>63889295.879878387</c:v>
                </c:pt>
                <c:pt idx="8">
                  <c:v>66802352.193475969</c:v>
                </c:pt>
                <c:pt idx="9">
                  <c:v>68663172.346694008</c:v>
                </c:pt>
              </c:numCache>
            </c:numRef>
          </c:val>
          <c:extLst>
            <c:ext xmlns:c16="http://schemas.microsoft.com/office/drawing/2014/chart" uri="{C3380CC4-5D6E-409C-BE32-E72D297353CC}">
              <c16:uniqueId val="{00000000-4975-4B0C-A96C-955F44D10152}"/>
            </c:ext>
          </c:extLst>
        </c:ser>
        <c:dLbls>
          <c:showLegendKey val="0"/>
          <c:showVal val="0"/>
          <c:showCatName val="0"/>
          <c:showSerName val="0"/>
          <c:showPercent val="0"/>
          <c:showBubbleSize val="0"/>
        </c:dLbls>
        <c:gapWidth val="219"/>
        <c:overlap val="-27"/>
        <c:axId val="1653977856"/>
        <c:axId val="1653971136"/>
      </c:barChart>
      <c:catAx>
        <c:axId val="165397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971136"/>
        <c:crosses val="autoZero"/>
        <c:auto val="1"/>
        <c:lblAlgn val="ctr"/>
        <c:lblOffset val="100"/>
        <c:noMultiLvlLbl val="0"/>
      </c:catAx>
      <c:valAx>
        <c:axId val="1653971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97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graphs!$S$189</c:f>
              <c:strCache>
                <c:ptCount val="1"/>
                <c:pt idx="0">
                  <c:v>Outstanding Debt</c:v>
                </c:pt>
              </c:strCache>
            </c:strRef>
          </c:tx>
          <c:spPr>
            <a:solidFill>
              <a:schemeClr val="accent1"/>
            </a:solidFill>
            <a:ln>
              <a:noFill/>
            </a:ln>
            <a:effectLst/>
          </c:spPr>
          <c:invertIfNegative val="0"/>
          <c:cat>
            <c:numRef>
              <c:f>graphs!$T$188:$AJ$188</c:f>
              <c:numCache>
                <c:formatCode>General</c:formatCode>
                <c:ptCount val="17"/>
                <c:pt idx="0">
                  <c:v>2024</c:v>
                </c:pt>
                <c:pt idx="1">
                  <c:v>0</c:v>
                </c:pt>
                <c:pt idx="2">
                  <c:v>0</c:v>
                </c:pt>
                <c:pt idx="3">
                  <c:v>0</c:v>
                </c:pt>
                <c:pt idx="4">
                  <c:v>0</c:v>
                </c:pt>
                <c:pt idx="5">
                  <c:v>0</c:v>
                </c:pt>
                <c:pt idx="6">
                  <c:v>0</c:v>
                </c:pt>
                <c:pt idx="7">
                  <c:v>0</c:v>
                </c:pt>
                <c:pt idx="8">
                  <c:v>0</c:v>
                </c:pt>
                <c:pt idx="9">
                  <c:v>0</c:v>
                </c:pt>
                <c:pt idx="10">
                  <c:v>1</c:v>
                </c:pt>
                <c:pt idx="11">
                  <c:v>2</c:v>
                </c:pt>
                <c:pt idx="12">
                  <c:v>3</c:v>
                </c:pt>
                <c:pt idx="13">
                  <c:v>4</c:v>
                </c:pt>
                <c:pt idx="14">
                  <c:v>5</c:v>
                </c:pt>
                <c:pt idx="15">
                  <c:v>6</c:v>
                </c:pt>
                <c:pt idx="16">
                  <c:v>7</c:v>
                </c:pt>
              </c:numCache>
            </c:numRef>
          </c:cat>
          <c:val>
            <c:numRef>
              <c:f>graphs!$T$189:$AJ$189</c:f>
              <c:numCache>
                <c:formatCode>"$"#,##0_);[Red]\("$"#,##0\)</c:formatCode>
                <c:ptCount val="17"/>
                <c:pt idx="0">
                  <c:v>194866984.83765143</c:v>
                </c:pt>
                <c:pt idx="1">
                  <c:v>186805151.51938075</c:v>
                </c:pt>
                <c:pt idx="2">
                  <c:v>175378095.17654648</c:v>
                </c:pt>
                <c:pt idx="3">
                  <c:v>163124976.00673997</c:v>
                </c:pt>
                <c:pt idx="4">
                  <c:v>149986077.86140704</c:v>
                </c:pt>
                <c:pt idx="5">
                  <c:v>135897367.70678616</c:v>
                </c:pt>
                <c:pt idx="6">
                  <c:v>120790183.55592768</c:v>
                </c:pt>
                <c:pt idx="7">
                  <c:v>104590899.84129357</c:v>
                </c:pt>
                <c:pt idx="8">
                  <c:v>87220568.597115487</c:v>
                </c:pt>
                <c:pt idx="9">
                  <c:v>68594534.702796161</c:v>
                </c:pt>
                <c:pt idx="10">
                  <c:v>48622023.312225491</c:v>
                </c:pt>
                <c:pt idx="11">
                  <c:v>37821419.959431708</c:v>
                </c:pt>
                <c:pt idx="12">
                  <c:v>29903912.776906002</c:v>
                </c:pt>
                <c:pt idx="13">
                  <c:v>21414048.359975699</c:v>
                </c:pt>
                <c:pt idx="14">
                  <c:v>12310450.957887026</c:v>
                </c:pt>
                <c:pt idx="15">
                  <c:v>2548753.7635187455</c:v>
                </c:pt>
                <c:pt idx="16">
                  <c:v>0</c:v>
                </c:pt>
              </c:numCache>
            </c:numRef>
          </c:val>
          <c:extLst>
            <c:ext xmlns:c16="http://schemas.microsoft.com/office/drawing/2014/chart" uri="{C3380CC4-5D6E-409C-BE32-E72D297353CC}">
              <c16:uniqueId val="{00000000-543A-45FB-87B1-1DD504E3D4A4}"/>
            </c:ext>
          </c:extLst>
        </c:ser>
        <c:dLbls>
          <c:showLegendKey val="0"/>
          <c:showVal val="0"/>
          <c:showCatName val="0"/>
          <c:showSerName val="0"/>
          <c:showPercent val="0"/>
          <c:showBubbleSize val="0"/>
        </c:dLbls>
        <c:gapWidth val="219"/>
        <c:overlap val="-27"/>
        <c:axId val="1639678736"/>
        <c:axId val="1639675856"/>
      </c:barChart>
      <c:catAx>
        <c:axId val="16396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675856"/>
        <c:crosses val="autoZero"/>
        <c:auto val="1"/>
        <c:lblAlgn val="ctr"/>
        <c:lblOffset val="100"/>
        <c:noMultiLvlLbl val="0"/>
      </c:catAx>
      <c:valAx>
        <c:axId val="1639675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67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Byproducts Volume per Year in MT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1081583552056"/>
          <c:y val="0.15669581357578918"/>
          <c:w val="0.40339260717410325"/>
          <c:h val="0.66860653122779545"/>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3C-46D5-A513-8F89E4F12C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3C-46D5-A513-8F89E4F12C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433C-46D5-A513-8F89E4F12C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433C-46D5-A513-8F89E4F12C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433C-46D5-A513-8F89E4F12C81}"/>
              </c:ext>
            </c:extLst>
          </c:dPt>
          <c:dPt>
            <c:idx val="5"/>
            <c:bubble3D val="0"/>
            <c:explosion val="2"/>
            <c:spPr>
              <a:solidFill>
                <a:schemeClr val="accent6"/>
              </a:solidFill>
              <a:ln w="19050">
                <a:solidFill>
                  <a:schemeClr val="lt1"/>
                </a:solidFill>
              </a:ln>
              <a:effectLst/>
            </c:spPr>
            <c:extLst>
              <c:ext xmlns:c16="http://schemas.microsoft.com/office/drawing/2014/chart" uri="{C3380CC4-5D6E-409C-BE32-E72D297353CC}">
                <c16:uniqueId val="{00000002-433C-46D5-A513-8F89E4F12C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433C-46D5-A513-8F89E4F12C81}"/>
              </c:ext>
            </c:extLst>
          </c:dPt>
          <c:dLbls>
            <c:dLbl>
              <c:idx val="0"/>
              <c:layout>
                <c:manualLayout>
                  <c:x val="3.730905511811014E-2"/>
                  <c:y val="-7.95612737634315E-2"/>
                </c:manualLayout>
              </c:layout>
              <c:showLegendKey val="0"/>
              <c:showVal val="1"/>
              <c:showCatName val="1"/>
              <c:showSerName val="0"/>
              <c:showPercent val="1"/>
              <c:showBubbleSize val="0"/>
              <c:extLst>
                <c:ext xmlns:c15="http://schemas.microsoft.com/office/drawing/2012/chart" uri="{CE6537A1-D6FC-4f65-9D91-7224C49458BB}">
                  <c15:layout>
                    <c:manualLayout>
                      <c:w val="0.25336811023622047"/>
                      <c:h val="0.16553885529502183"/>
                    </c:manualLayout>
                  </c15:layout>
                </c:ext>
                <c:ext xmlns:c16="http://schemas.microsoft.com/office/drawing/2014/chart" uri="{C3380CC4-5D6E-409C-BE32-E72D297353CC}">
                  <c16:uniqueId val="{00000001-433C-46D5-A513-8F89E4F12C81}"/>
                </c:ext>
              </c:extLst>
            </c:dLbl>
            <c:dLbl>
              <c:idx val="1"/>
              <c:layout>
                <c:manualLayout>
                  <c:x val="0.22473512685914251"/>
                  <c:y val="3.462246777163904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33C-46D5-A513-8F89E4F12C81}"/>
                </c:ext>
              </c:extLst>
            </c:dLbl>
            <c:dLbl>
              <c:idx val="2"/>
              <c:layout>
                <c:manualLayout>
                  <c:x val="-1.990310586176728E-2"/>
                  <c:y val="8.566689868186366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33C-46D5-A513-8F89E4F12C81}"/>
                </c:ext>
              </c:extLst>
            </c:dLbl>
            <c:dLbl>
              <c:idx val="3"/>
              <c:layout>
                <c:manualLayout>
                  <c:x val="-9.560389326334208E-2"/>
                  <c:y val="-3.1282899029886457E-2"/>
                </c:manualLayout>
              </c:layout>
              <c:showLegendKey val="0"/>
              <c:showVal val="1"/>
              <c:showCatName val="1"/>
              <c:showSerName val="0"/>
              <c:showPercent val="1"/>
              <c:showBubbleSize val="0"/>
              <c:extLst>
                <c:ext xmlns:c15="http://schemas.microsoft.com/office/drawing/2012/chart" uri="{CE6537A1-D6FC-4f65-9D91-7224C49458BB}">
                  <c15:layout>
                    <c:manualLayout>
                      <c:w val="0.23131955380577429"/>
                      <c:h val="0.16553885529502183"/>
                    </c:manualLayout>
                  </c15:layout>
                </c:ext>
                <c:ext xmlns:c16="http://schemas.microsoft.com/office/drawing/2014/chart" uri="{C3380CC4-5D6E-409C-BE32-E72D297353CC}">
                  <c16:uniqueId val="{00000005-433C-46D5-A513-8F89E4F12C81}"/>
                </c:ext>
              </c:extLst>
            </c:dLbl>
            <c:dLbl>
              <c:idx val="4"/>
              <c:layout>
                <c:manualLayout>
                  <c:x val="-8.0167322834645671E-2"/>
                  <c:y val="-3.710285523701802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33C-46D5-A513-8F89E4F12C81}"/>
                </c:ext>
              </c:extLst>
            </c:dLbl>
            <c:dLbl>
              <c:idx val="5"/>
              <c:layout>
                <c:manualLayout>
                  <c:x val="-0.14109208223972003"/>
                  <c:y val="0.1307391134119284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33C-46D5-A513-8F89E4F12C81}"/>
                </c:ext>
              </c:extLst>
            </c:dLbl>
            <c:dLbl>
              <c:idx val="6"/>
              <c:layout>
                <c:manualLayout>
                  <c:x val="-0.26656846019247593"/>
                  <c:y val="0.1128598048172155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433C-46D5-A513-8F89E4F12C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graphs!$H$110:$H$116</c:f>
              <c:strCache>
                <c:ptCount val="7"/>
                <c:pt idx="0">
                  <c:v>Activated Carbon Ash </c:v>
                </c:pt>
                <c:pt idx="1">
                  <c:v>Aluminum</c:v>
                </c:pt>
                <c:pt idx="2">
                  <c:v>Ferrous Metals</c:v>
                </c:pt>
                <c:pt idx="3">
                  <c:v>Non-Ferrous Metals</c:v>
                </c:pt>
                <c:pt idx="4">
                  <c:v>Steel</c:v>
                </c:pt>
                <c:pt idx="5">
                  <c:v>Carbon Black </c:v>
                </c:pt>
                <c:pt idx="6">
                  <c:v>Graphene</c:v>
                </c:pt>
              </c:strCache>
            </c:strRef>
          </c:cat>
          <c:val>
            <c:numRef>
              <c:f>graphs!$I$110:$I$116</c:f>
              <c:numCache>
                <c:formatCode>_(* #,##0.00_);_(* \(#,##0.00\);_(* "-"??_);_(@_)</c:formatCode>
                <c:ptCount val="7"/>
                <c:pt idx="0">
                  <c:v>24653.791254248023</c:v>
                </c:pt>
                <c:pt idx="1">
                  <c:v>1806.75</c:v>
                </c:pt>
                <c:pt idx="2">
                  <c:v>2489.3000000000038</c:v>
                </c:pt>
                <c:pt idx="3">
                  <c:v>1204.5</c:v>
                </c:pt>
                <c:pt idx="4">
                  <c:v>5475</c:v>
                </c:pt>
                <c:pt idx="5">
                  <c:v>9183.4</c:v>
                </c:pt>
                <c:pt idx="6">
                  <c:v>2066.2649999999999</c:v>
                </c:pt>
              </c:numCache>
            </c:numRef>
          </c:val>
          <c:extLst>
            <c:ext xmlns:c16="http://schemas.microsoft.com/office/drawing/2014/chart" uri="{C3380CC4-5D6E-409C-BE32-E72D297353CC}">
              <c16:uniqueId val="{00000000-433C-46D5-A513-8F89E4F12C8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graphs!$A$126</c:f>
              <c:strCache>
                <c:ptCount val="1"/>
                <c:pt idx="0">
                  <c:v>Expenses</c:v>
                </c:pt>
              </c:strCache>
            </c:strRef>
          </c:tx>
          <c:spPr>
            <a:solidFill>
              <a:schemeClr val="accent1"/>
            </a:solidFill>
            <a:ln>
              <a:noFill/>
            </a:ln>
            <a:effectLst/>
          </c:spPr>
          <c:invertIfNegative val="0"/>
          <c:val>
            <c:numRef>
              <c:f>graphs!$B$126:$X$126</c:f>
              <c:numCache>
                <c:formatCode>General</c:formatCode>
                <c:ptCount val="2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numCache>
            </c:numRef>
          </c:val>
          <c:extLst>
            <c:ext xmlns:c16="http://schemas.microsoft.com/office/drawing/2014/chart" uri="{C3380CC4-5D6E-409C-BE32-E72D297353CC}">
              <c16:uniqueId val="{00000000-7CAF-44D7-9A0B-7DBAE1BC1CF5}"/>
            </c:ext>
          </c:extLst>
        </c:ser>
        <c:ser>
          <c:idx val="1"/>
          <c:order val="1"/>
          <c:tx>
            <c:strRef>
              <c:f>graphs!$A$127</c:f>
              <c:strCache>
                <c:ptCount val="1"/>
                <c:pt idx="0">
                  <c:v>Employee Cost</c:v>
                </c:pt>
              </c:strCache>
            </c:strRef>
          </c:tx>
          <c:spPr>
            <a:solidFill>
              <a:schemeClr val="accent2"/>
            </a:solidFill>
            <a:ln>
              <a:noFill/>
            </a:ln>
            <a:effectLst/>
          </c:spPr>
          <c:invertIfNegative val="0"/>
          <c:val>
            <c:numRef>
              <c:f>graphs!$B$127:$X$127</c:f>
              <c:numCache>
                <c:formatCode>"$"#,##0_);\("$"#,##0\)</c:formatCode>
                <c:ptCount val="23"/>
                <c:pt idx="0">
                  <c:v>601983.14987559081</c:v>
                </c:pt>
                <c:pt idx="1">
                  <c:v>3603546.064866703</c:v>
                </c:pt>
                <c:pt idx="2">
                  <c:v>4846945.0927410424</c:v>
                </c:pt>
                <c:pt idx="3">
                  <c:v>4895637.3135650316</c:v>
                </c:pt>
                <c:pt idx="4">
                  <c:v>4944818.6945349295</c:v>
                </c:pt>
                <c:pt idx="5">
                  <c:v>4994494.1497344263</c:v>
                </c:pt>
                <c:pt idx="6">
                  <c:v>5044668.6426139101</c:v>
                </c:pt>
                <c:pt idx="7">
                  <c:v>5095347.1864863969</c:v>
                </c:pt>
                <c:pt idx="8">
                  <c:v>5146534.8450284442</c:v>
                </c:pt>
                <c:pt idx="9">
                  <c:v>5198236.7327861134</c:v>
                </c:pt>
                <c:pt idx="10">
                  <c:v>5250458.0156859886</c:v>
                </c:pt>
                <c:pt idx="11">
                  <c:v>5303203.9115513535</c:v>
                </c:pt>
                <c:pt idx="12">
                  <c:v>5356479.6906235432</c:v>
                </c:pt>
                <c:pt idx="13">
                  <c:v>5410290.676088525</c:v>
                </c:pt>
                <c:pt idx="14">
                  <c:v>5464642.2446087878</c:v>
                </c:pt>
                <c:pt idx="15">
                  <c:v>5519539.8268605629</c:v>
                </c:pt>
                <c:pt idx="16">
                  <c:v>5574988.90807644</c:v>
                </c:pt>
                <c:pt idx="17">
                  <c:v>5630995.0285934424</c:v>
                </c:pt>
                <c:pt idx="18">
                  <c:v>5687563.7844066005</c:v>
                </c:pt>
                <c:pt idx="19">
                  <c:v>5744700.8277280945</c:v>
                </c:pt>
                <c:pt idx="20">
                  <c:v>5802411.8675520048</c:v>
                </c:pt>
                <c:pt idx="21">
                  <c:v>5860702.6702247448</c:v>
                </c:pt>
                <c:pt idx="22">
                  <c:v>5919579.0600212188</c:v>
                </c:pt>
              </c:numCache>
            </c:numRef>
          </c:val>
          <c:extLst>
            <c:ext xmlns:c16="http://schemas.microsoft.com/office/drawing/2014/chart" uri="{C3380CC4-5D6E-409C-BE32-E72D297353CC}">
              <c16:uniqueId val="{00000001-7CAF-44D7-9A0B-7DBAE1BC1CF5}"/>
            </c:ext>
          </c:extLst>
        </c:ser>
        <c:ser>
          <c:idx val="2"/>
          <c:order val="2"/>
          <c:tx>
            <c:strRef>
              <c:f>graphs!$A$128</c:f>
              <c:strCache>
                <c:ptCount val="1"/>
                <c:pt idx="0">
                  <c:v>Turbine LTMA Cost 5 year term</c:v>
                </c:pt>
              </c:strCache>
            </c:strRef>
          </c:tx>
          <c:spPr>
            <a:solidFill>
              <a:schemeClr val="accent3"/>
            </a:solidFill>
            <a:ln>
              <a:noFill/>
            </a:ln>
            <a:effectLst/>
          </c:spPr>
          <c:invertIfNegative val="0"/>
          <c:val>
            <c:numRef>
              <c:f>graphs!$B$128:$X$128</c:f>
              <c:numCache>
                <c:formatCode>"$"#,##0_);\("$"#,##0\)</c:formatCode>
                <c:ptCount val="23"/>
                <c:pt idx="0">
                  <c:v>1203966.2997511816</c:v>
                </c:pt>
                <c:pt idx="1">
                  <c:v>1630842.105175195</c:v>
                </c:pt>
                <c:pt idx="2">
                  <c:v>2212827.9107133681</c:v>
                </c:pt>
                <c:pt idx="3">
                  <c:v>560150.89845767792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2-7CAF-44D7-9A0B-7DBAE1BC1CF5}"/>
            </c:ext>
          </c:extLst>
        </c:ser>
        <c:ser>
          <c:idx val="3"/>
          <c:order val="3"/>
          <c:tx>
            <c:strRef>
              <c:f>graphs!$A$129</c:f>
              <c:strCache>
                <c:ptCount val="1"/>
                <c:pt idx="0">
                  <c:v>Pyrolysis LTMA Cost yrs. 3+</c:v>
                </c:pt>
              </c:strCache>
            </c:strRef>
          </c:tx>
          <c:spPr>
            <a:solidFill>
              <a:schemeClr val="accent4"/>
            </a:solidFill>
            <a:ln>
              <a:noFill/>
            </a:ln>
            <a:effectLst/>
          </c:spPr>
          <c:invertIfNegative val="0"/>
          <c:val>
            <c:numRef>
              <c:f>graphs!$B$129:$X$129</c:f>
              <c:numCache>
                <c:formatCode>"$"#,##0_);\("$"#,##0\)</c:formatCode>
                <c:ptCount val="23"/>
                <c:pt idx="0">
                  <c:v>1203966.2997511816</c:v>
                </c:pt>
                <c:pt idx="1">
                  <c:v>0</c:v>
                </c:pt>
                <c:pt idx="2">
                  <c:v>0</c:v>
                </c:pt>
                <c:pt idx="3">
                  <c:v>174768.72874346914</c:v>
                </c:pt>
                <c:pt idx="4">
                  <c:v>266557.69053293555</c:v>
                </c:pt>
                <c:pt idx="5">
                  <c:v>271937.9857682921</c:v>
                </c:pt>
                <c:pt idx="6">
                  <c:v>277426.87879635056</c:v>
                </c:pt>
                <c:pt idx="7">
                  <c:v>283026.56159358507</c:v>
                </c:pt>
                <c:pt idx="8">
                  <c:v>288739.27038010256</c:v>
                </c:pt>
                <c:pt idx="9">
                  <c:v>294567.28651267209</c:v>
                </c:pt>
                <c:pt idx="10">
                  <c:v>300512.93739577878</c:v>
                </c:pt>
                <c:pt idx="11">
                  <c:v>306578.5974110681</c:v>
                </c:pt>
                <c:pt idx="12">
                  <c:v>312766.68886554916</c:v>
                </c:pt>
                <c:pt idx="13">
                  <c:v>319079.68295893713</c:v>
                </c:pt>
                <c:pt idx="14">
                  <c:v>325520.10077052127</c:v>
                </c:pt>
                <c:pt idx="15">
                  <c:v>332090.51426595199</c:v>
                </c:pt>
                <c:pt idx="16">
                  <c:v>338793.54732434888</c:v>
                </c:pt>
                <c:pt idx="17">
                  <c:v>345631.87678614137</c:v>
                </c:pt>
                <c:pt idx="18">
                  <c:v>352608.233522058</c:v>
                </c:pt>
                <c:pt idx="19">
                  <c:v>359725.40352369333</c:v>
                </c:pt>
                <c:pt idx="20">
                  <c:v>366986.22901608743</c:v>
                </c:pt>
                <c:pt idx="21">
                  <c:v>374393.60959276138</c:v>
                </c:pt>
                <c:pt idx="22">
                  <c:v>381950.50337366312</c:v>
                </c:pt>
              </c:numCache>
            </c:numRef>
          </c:val>
          <c:extLst>
            <c:ext xmlns:c16="http://schemas.microsoft.com/office/drawing/2014/chart" uri="{C3380CC4-5D6E-409C-BE32-E72D297353CC}">
              <c16:uniqueId val="{00000003-7CAF-44D7-9A0B-7DBAE1BC1CF5}"/>
            </c:ext>
          </c:extLst>
        </c:ser>
        <c:ser>
          <c:idx val="4"/>
          <c:order val="4"/>
          <c:tx>
            <c:strRef>
              <c:f>graphs!$A$130</c:f>
              <c:strCache>
                <c:ptCount val="1"/>
                <c:pt idx="0">
                  <c:v>Total O&amp;M</c:v>
                </c:pt>
              </c:strCache>
            </c:strRef>
          </c:tx>
          <c:spPr>
            <a:solidFill>
              <a:schemeClr val="accent5"/>
            </a:solidFill>
            <a:ln>
              <a:noFill/>
            </a:ln>
            <a:effectLst/>
          </c:spPr>
          <c:invertIfNegative val="0"/>
          <c:val>
            <c:numRef>
              <c:f>graphs!$B$130:$X$130</c:f>
              <c:numCache>
                <c:formatCode>"$"#,##0_);\("$"#,##0\)</c:formatCode>
                <c:ptCount val="23"/>
                <c:pt idx="0">
                  <c:v>601983.14987559081</c:v>
                </c:pt>
                <c:pt idx="1">
                  <c:v>1160464.9609510531</c:v>
                </c:pt>
                <c:pt idx="2">
                  <c:v>1574590.9716511331</c:v>
                </c:pt>
                <c:pt idx="3">
                  <c:v>1606373.0758758215</c:v>
                </c:pt>
                <c:pt idx="4">
                  <c:v>1638796.6813964879</c:v>
                </c:pt>
                <c:pt idx="5">
                  <c:v>1671874.73650346</c:v>
                </c:pt>
                <c:pt idx="6">
                  <c:v>1705620.4508399637</c:v>
                </c:pt>
                <c:pt idx="7">
                  <c:v>1740047.3006773612</c:v>
                </c:pt>
                <c:pt idx="8">
                  <c:v>1775169.0342968707</c:v>
                </c:pt>
                <c:pt idx="9">
                  <c:v>1810999.6774799076</c:v>
                </c:pt>
                <c:pt idx="10">
                  <c:v>1847553.5391092477</c:v>
                </c:pt>
                <c:pt idx="11">
                  <c:v>1884845.216883247</c:v>
                </c:pt>
                <c:pt idx="12">
                  <c:v>1922889.6031453966</c:v>
                </c:pt>
                <c:pt idx="13">
                  <c:v>1961701.8908315459</c:v>
                </c:pt>
                <c:pt idx="14">
                  <c:v>2001297.5795371649</c:v>
                </c:pt>
                <c:pt idx="15">
                  <c:v>2041692.4817070724</c:v>
                </c:pt>
                <c:pt idx="16">
                  <c:v>2082902.728950097</c:v>
                </c:pt>
                <c:pt idx="17">
                  <c:v>2124944.7784811966</c:v>
                </c:pt>
                <c:pt idx="18">
                  <c:v>2167835.419693612</c:v>
                </c:pt>
                <c:pt idx="19">
                  <c:v>2211591.7808636669</c:v>
                </c:pt>
                <c:pt idx="20">
                  <c:v>2256231.3359909053</c:v>
                </c:pt>
                <c:pt idx="21">
                  <c:v>2301771.9117762973</c:v>
                </c:pt>
                <c:pt idx="22">
                  <c:v>2348231.6947412807</c:v>
                </c:pt>
              </c:numCache>
            </c:numRef>
          </c:val>
          <c:extLst>
            <c:ext xmlns:c16="http://schemas.microsoft.com/office/drawing/2014/chart" uri="{C3380CC4-5D6E-409C-BE32-E72D297353CC}">
              <c16:uniqueId val="{00000004-7CAF-44D7-9A0B-7DBAE1BC1CF5}"/>
            </c:ext>
          </c:extLst>
        </c:ser>
        <c:ser>
          <c:idx val="5"/>
          <c:order val="5"/>
          <c:tx>
            <c:strRef>
              <c:f>graphs!$A$131</c:f>
              <c:strCache>
                <c:ptCount val="1"/>
                <c:pt idx="0">
                  <c:v>All insurance for the plant and risks</c:v>
                </c:pt>
              </c:strCache>
            </c:strRef>
          </c:tx>
          <c:spPr>
            <a:solidFill>
              <a:schemeClr val="accent6"/>
            </a:solidFill>
            <a:ln>
              <a:noFill/>
            </a:ln>
            <a:effectLst/>
          </c:spPr>
          <c:invertIfNegative val="0"/>
          <c:val>
            <c:numRef>
              <c:f>graphs!$B$131:$X$131</c:f>
              <c:numCache>
                <c:formatCode>"$"#,##0_);\("$"#,##0\)</c:formatCode>
                <c:ptCount val="23"/>
                <c:pt idx="0">
                  <c:v>601983.14987559081</c:v>
                </c:pt>
                <c:pt idx="1">
                  <c:v>7511416.2775470056</c:v>
                </c:pt>
                <c:pt idx="2">
                  <c:v>7147871.1544609787</c:v>
                </c:pt>
                <c:pt idx="3">
                  <c:v>6758045.3250321718</c:v>
                </c:pt>
                <c:pt idx="4">
                  <c:v>6340038.9548741085</c:v>
                </c:pt>
                <c:pt idx="5">
                  <c:v>5891814.8704188941</c:v>
                </c:pt>
                <c:pt idx="6">
                  <c:v>5411188.6306567034</c:v>
                </c:pt>
                <c:pt idx="7">
                  <c:v>4895817.8811604725</c:v>
                </c:pt>
                <c:pt idx="8">
                  <c:v>4343190.9385122219</c:v>
                </c:pt>
                <c:pt idx="9">
                  <c:v>3750614.5494965934</c:v>
                </c:pt>
                <c:pt idx="10">
                  <c:v>3115200.7654055306</c:v>
                </c:pt>
                <c:pt idx="11">
                  <c:v>2734927.1046112161</c:v>
                </c:pt>
                <c:pt idx="12">
                  <c:v>2483036.2381580365</c:v>
                </c:pt>
                <c:pt idx="13">
                  <c:v>2212936.1606020108</c:v>
                </c:pt>
                <c:pt idx="14">
                  <c:v>1923310.5266001842</c:v>
                </c:pt>
                <c:pt idx="15">
                  <c:v>1612747.8320983264</c:v>
                </c:pt>
                <c:pt idx="16">
                  <c:v>1504315.7322510108</c:v>
                </c:pt>
                <c:pt idx="17">
                  <c:v>1504315.7322510108</c:v>
                </c:pt>
                <c:pt idx="18">
                  <c:v>1504315.7322510108</c:v>
                </c:pt>
                <c:pt idx="19">
                  <c:v>1504315.7322510108</c:v>
                </c:pt>
                <c:pt idx="20">
                  <c:v>1504315.7322510108</c:v>
                </c:pt>
                <c:pt idx="21">
                  <c:v>1504315.7322510108</c:v>
                </c:pt>
                <c:pt idx="22">
                  <c:v>1504315.7322510108</c:v>
                </c:pt>
              </c:numCache>
            </c:numRef>
          </c:val>
          <c:extLst>
            <c:ext xmlns:c16="http://schemas.microsoft.com/office/drawing/2014/chart" uri="{C3380CC4-5D6E-409C-BE32-E72D297353CC}">
              <c16:uniqueId val="{00000005-7CAF-44D7-9A0B-7DBAE1BC1CF5}"/>
            </c:ext>
          </c:extLst>
        </c:ser>
        <c:ser>
          <c:idx val="6"/>
          <c:order val="6"/>
          <c:tx>
            <c:strRef>
              <c:f>graphs!$A$132</c:f>
              <c:strCache>
                <c:ptCount val="1"/>
                <c:pt idx="0">
                  <c:v>Land Rental </c:v>
                </c:pt>
              </c:strCache>
            </c:strRef>
          </c:tx>
          <c:spPr>
            <a:solidFill>
              <a:schemeClr val="accent1">
                <a:lumMod val="60000"/>
              </a:schemeClr>
            </a:solidFill>
            <a:ln>
              <a:noFill/>
            </a:ln>
            <a:effectLst/>
          </c:spPr>
          <c:invertIfNegative val="0"/>
          <c:val>
            <c:numRef>
              <c:f>graphs!$B$132:$X$132</c:f>
              <c:numCache>
                <c:formatCode>"$"#,##0_);\("$"#,##0\)</c:formatCode>
                <c:ptCount val="23"/>
                <c:pt idx="0">
                  <c:v>0</c:v>
                </c:pt>
                <c:pt idx="1">
                  <c:v>75501.949313666424</c:v>
                </c:pt>
                <c:pt idx="2">
                  <c:v>102445.73660710039</c:v>
                </c:pt>
                <c:pt idx="3">
                  <c:v>104513.53779283159</c:v>
                </c:pt>
                <c:pt idx="4">
                  <c:v>106623.07621317422</c:v>
                </c:pt>
                <c:pt idx="5">
                  <c:v>108775.19430731685</c:v>
                </c:pt>
                <c:pt idx="6">
                  <c:v>110970.75151854024</c:v>
                </c:pt>
                <c:pt idx="7">
                  <c:v>113210.62463743403</c:v>
                </c:pt>
                <c:pt idx="8">
                  <c:v>115495.70815204106</c:v>
                </c:pt>
                <c:pt idx="9">
                  <c:v>117826.91460506881</c:v>
                </c:pt>
                <c:pt idx="10">
                  <c:v>120205.1749583115</c:v>
                </c:pt>
                <c:pt idx="11">
                  <c:v>122631.43896442727</c:v>
                </c:pt>
                <c:pt idx="12">
                  <c:v>125106.67554621969</c:v>
                </c:pt>
                <c:pt idx="13">
                  <c:v>127631.87318357488</c:v>
                </c:pt>
                <c:pt idx="14">
                  <c:v>130208.04030820854</c:v>
                </c:pt>
                <c:pt idx="15">
                  <c:v>132836.2057063808</c:v>
                </c:pt>
                <c:pt idx="16">
                  <c:v>135517.41892973954</c:v>
                </c:pt>
                <c:pt idx="17">
                  <c:v>138252.75071445655</c:v>
                </c:pt>
                <c:pt idx="18">
                  <c:v>141043.29340882317</c:v>
                </c:pt>
                <c:pt idx="19">
                  <c:v>143890.16140947735</c:v>
                </c:pt>
                <c:pt idx="20">
                  <c:v>146794.49160643498</c:v>
                </c:pt>
                <c:pt idx="21">
                  <c:v>149757.44383710457</c:v>
                </c:pt>
                <c:pt idx="22">
                  <c:v>152780.20134946526</c:v>
                </c:pt>
              </c:numCache>
            </c:numRef>
          </c:val>
          <c:extLst>
            <c:ext xmlns:c16="http://schemas.microsoft.com/office/drawing/2014/chart" uri="{C3380CC4-5D6E-409C-BE32-E72D297353CC}">
              <c16:uniqueId val="{00000006-7CAF-44D7-9A0B-7DBAE1BC1CF5}"/>
            </c:ext>
          </c:extLst>
        </c:ser>
        <c:ser>
          <c:idx val="7"/>
          <c:order val="7"/>
          <c:tx>
            <c:strRef>
              <c:f>graphs!$A$133</c:f>
              <c:strCache>
                <c:ptCount val="1"/>
                <c:pt idx="0">
                  <c:v>IT  outsourced</c:v>
                </c:pt>
              </c:strCache>
            </c:strRef>
          </c:tx>
          <c:spPr>
            <a:solidFill>
              <a:schemeClr val="accent2">
                <a:lumMod val="60000"/>
              </a:schemeClr>
            </a:solidFill>
            <a:ln>
              <a:noFill/>
            </a:ln>
            <a:effectLst/>
          </c:spPr>
          <c:invertIfNegative val="0"/>
          <c:val>
            <c:numRef>
              <c:f>graphs!$B$133:$X$133</c:f>
              <c:numCache>
                <c:formatCode>"$"#,##0_);\("$"#,##0\)</c:formatCode>
                <c:ptCount val="23"/>
                <c:pt idx="0">
                  <c:v>0</c:v>
                </c:pt>
                <c:pt idx="1">
                  <c:v>53701.503864513397</c:v>
                </c:pt>
                <c:pt idx="2">
                  <c:v>81956.589285680326</c:v>
                </c:pt>
                <c:pt idx="3">
                  <c:v>83610.830234265275</c:v>
                </c:pt>
                <c:pt idx="4">
                  <c:v>85298.460970539381</c:v>
                </c:pt>
                <c:pt idx="5">
                  <c:v>87020.155445853496</c:v>
                </c:pt>
                <c:pt idx="6">
                  <c:v>88776.601214832204</c:v>
                </c:pt>
                <c:pt idx="7">
                  <c:v>90568.499709947238</c:v>
                </c:pt>
                <c:pt idx="8">
                  <c:v>92396.566521632834</c:v>
                </c:pt>
                <c:pt idx="9">
                  <c:v>94261.531684055051</c:v>
                </c:pt>
                <c:pt idx="10">
                  <c:v>96164.139966649207</c:v>
                </c:pt>
                <c:pt idx="11">
                  <c:v>98105.151171541816</c:v>
                </c:pt>
                <c:pt idx="12">
                  <c:v>100085.34043697573</c:v>
                </c:pt>
                <c:pt idx="13">
                  <c:v>102105.49854685989</c:v>
                </c:pt>
                <c:pt idx="14">
                  <c:v>104166.43224656682</c:v>
                </c:pt>
                <c:pt idx="15">
                  <c:v>106268.96456510464</c:v>
                </c:pt>
                <c:pt idx="16">
                  <c:v>108413.93514379165</c:v>
                </c:pt>
                <c:pt idx="17">
                  <c:v>110602.20057156525</c:v>
                </c:pt>
                <c:pt idx="18">
                  <c:v>112834.63472705855</c:v>
                </c:pt>
                <c:pt idx="19">
                  <c:v>115112.12912758188</c:v>
                </c:pt>
                <c:pt idx="20">
                  <c:v>117435.59328514802</c:v>
                </c:pt>
                <c:pt idx="21">
                  <c:v>119805.95506968367</c:v>
                </c:pt>
                <c:pt idx="22">
                  <c:v>122224.16107957224</c:v>
                </c:pt>
              </c:numCache>
            </c:numRef>
          </c:val>
          <c:extLst>
            <c:ext xmlns:c16="http://schemas.microsoft.com/office/drawing/2014/chart" uri="{C3380CC4-5D6E-409C-BE32-E72D297353CC}">
              <c16:uniqueId val="{00000007-7CAF-44D7-9A0B-7DBAE1BC1CF5}"/>
            </c:ext>
          </c:extLst>
        </c:ser>
        <c:ser>
          <c:idx val="8"/>
          <c:order val="8"/>
          <c:tx>
            <c:strRef>
              <c:f>graphs!$A$134</c:f>
              <c:strCache>
                <c:ptCount val="1"/>
                <c:pt idx="0">
                  <c:v>Utilities</c:v>
                </c:pt>
              </c:strCache>
            </c:strRef>
          </c:tx>
          <c:spPr>
            <a:solidFill>
              <a:schemeClr val="accent3">
                <a:lumMod val="60000"/>
              </a:schemeClr>
            </a:solidFill>
            <a:ln>
              <a:noFill/>
            </a:ln>
            <a:effectLst/>
          </c:spPr>
          <c:invertIfNegative val="0"/>
          <c:val>
            <c:numRef>
              <c:f>graphs!$B$134:$X$134</c:f>
              <c:numCache>
                <c:formatCode>"$"#,##0_);\("$"#,##0\)</c:formatCode>
                <c:ptCount val="23"/>
                <c:pt idx="0">
                  <c:v>0</c:v>
                </c:pt>
                <c:pt idx="1">
                  <c:v>151003.89862733285</c:v>
                </c:pt>
                <c:pt idx="2">
                  <c:v>204891.47321420079</c:v>
                </c:pt>
                <c:pt idx="3">
                  <c:v>209027.07558566317</c:v>
                </c:pt>
                <c:pt idx="4">
                  <c:v>213246.15242634845</c:v>
                </c:pt>
                <c:pt idx="5">
                  <c:v>217550.3886146337</c:v>
                </c:pt>
                <c:pt idx="6">
                  <c:v>221941.50303708049</c:v>
                </c:pt>
                <c:pt idx="7">
                  <c:v>226421.24927486805</c:v>
                </c:pt>
                <c:pt idx="8">
                  <c:v>230991.41630408211</c:v>
                </c:pt>
                <c:pt idx="9">
                  <c:v>235653.82921013763</c:v>
                </c:pt>
                <c:pt idx="10">
                  <c:v>240410.349916623</c:v>
                </c:pt>
                <c:pt idx="11">
                  <c:v>245262.87792885455</c:v>
                </c:pt>
                <c:pt idx="12">
                  <c:v>250213.35109243938</c:v>
                </c:pt>
                <c:pt idx="13">
                  <c:v>255263.74636714975</c:v>
                </c:pt>
                <c:pt idx="14">
                  <c:v>260416.08061641708</c:v>
                </c:pt>
                <c:pt idx="15">
                  <c:v>265672.4114127616</c:v>
                </c:pt>
                <c:pt idx="16">
                  <c:v>271034.83785947907</c:v>
                </c:pt>
                <c:pt idx="17">
                  <c:v>276505.50142891309</c:v>
                </c:pt>
                <c:pt idx="18">
                  <c:v>282086.58681764634</c:v>
                </c:pt>
                <c:pt idx="19">
                  <c:v>287780.32281895471</c:v>
                </c:pt>
                <c:pt idx="20">
                  <c:v>293588.98321286996</c:v>
                </c:pt>
                <c:pt idx="21">
                  <c:v>299514.88767420914</c:v>
                </c:pt>
                <c:pt idx="22">
                  <c:v>305560.40269893053</c:v>
                </c:pt>
              </c:numCache>
            </c:numRef>
          </c:val>
          <c:extLst>
            <c:ext xmlns:c16="http://schemas.microsoft.com/office/drawing/2014/chart" uri="{C3380CC4-5D6E-409C-BE32-E72D297353CC}">
              <c16:uniqueId val="{00000008-7CAF-44D7-9A0B-7DBAE1BC1CF5}"/>
            </c:ext>
          </c:extLst>
        </c:ser>
        <c:ser>
          <c:idx val="9"/>
          <c:order val="9"/>
          <c:tx>
            <c:strRef>
              <c:f>graphs!$A$135</c:f>
              <c:strCache>
                <c:ptCount val="1"/>
                <c:pt idx="0">
                  <c:v>OVD Fee for exporting</c:v>
                </c:pt>
              </c:strCache>
            </c:strRef>
          </c:tx>
          <c:spPr>
            <a:solidFill>
              <a:schemeClr val="accent4">
                <a:lumMod val="60000"/>
              </a:schemeClr>
            </a:solidFill>
            <a:ln>
              <a:noFill/>
            </a:ln>
            <a:effectLst/>
          </c:spPr>
          <c:invertIfNegative val="0"/>
          <c:val>
            <c:numRef>
              <c:f>graphs!$B$135:$X$135</c:f>
              <c:numCache>
                <c:formatCode>"$"#,##0_);\("$"#,##0\)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9-7CAF-44D7-9A0B-7DBAE1BC1CF5}"/>
            </c:ext>
          </c:extLst>
        </c:ser>
        <c:ser>
          <c:idx val="10"/>
          <c:order val="10"/>
          <c:tx>
            <c:strRef>
              <c:f>graphs!$A$136</c:f>
              <c:strCache>
                <c:ptCount val="1"/>
                <c:pt idx="0">
                  <c:v>Electricity</c:v>
                </c:pt>
              </c:strCache>
            </c:strRef>
          </c:tx>
          <c:spPr>
            <a:solidFill>
              <a:schemeClr val="accent5">
                <a:lumMod val="60000"/>
              </a:schemeClr>
            </a:solidFill>
            <a:ln>
              <a:noFill/>
            </a:ln>
            <a:effectLst/>
          </c:spPr>
          <c:invertIfNegative val="0"/>
          <c:val>
            <c:numRef>
              <c:f>graphs!$B$136:$X$136</c:f>
              <c:numCache>
                <c:formatCode>"$"#,##0_);\("$"#,##0\)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A-7CAF-44D7-9A0B-7DBAE1BC1CF5}"/>
            </c:ext>
          </c:extLst>
        </c:ser>
        <c:ser>
          <c:idx val="11"/>
          <c:order val="11"/>
          <c:tx>
            <c:strRef>
              <c:f>graphs!$A$137</c:f>
              <c:strCache>
                <c:ptCount val="1"/>
                <c:pt idx="0">
                  <c:v>Accounting &amp; Auditing</c:v>
                </c:pt>
              </c:strCache>
            </c:strRef>
          </c:tx>
          <c:spPr>
            <a:solidFill>
              <a:schemeClr val="accent6">
                <a:lumMod val="60000"/>
              </a:schemeClr>
            </a:solidFill>
            <a:ln>
              <a:noFill/>
            </a:ln>
            <a:effectLst/>
          </c:spPr>
          <c:invertIfNegative val="0"/>
          <c:val>
            <c:numRef>
              <c:f>graphs!$B$137:$X$137</c:f>
              <c:numCache>
                <c:formatCode>"$"#,##0_);\("$"#,##0\)</c:formatCode>
                <c:ptCount val="23"/>
                <c:pt idx="0">
                  <c:v>0</c:v>
                </c:pt>
                <c:pt idx="1">
                  <c:v>64176.656916616463</c:v>
                </c:pt>
                <c:pt idx="2">
                  <c:v>87078.876116035332</c:v>
                </c:pt>
                <c:pt idx="3">
                  <c:v>88836.507123906835</c:v>
                </c:pt>
                <c:pt idx="4">
                  <c:v>90629.614781198077</c:v>
                </c:pt>
                <c:pt idx="5">
                  <c:v>92458.915161219309</c:v>
                </c:pt>
                <c:pt idx="6">
                  <c:v>94325.1387907592</c:v>
                </c:pt>
                <c:pt idx="7">
                  <c:v>96229.030941818943</c:v>
                </c:pt>
                <c:pt idx="8">
                  <c:v>98171.351929234894</c:v>
                </c:pt>
                <c:pt idx="9">
                  <c:v>100152.87741430847</c:v>
                </c:pt>
                <c:pt idx="10">
                  <c:v>102174.39871456477</c:v>
                </c:pt>
                <c:pt idx="11">
                  <c:v>104236.72311976316</c:v>
                </c:pt>
                <c:pt idx="12">
                  <c:v>106340.67421428673</c:v>
                </c:pt>
                <c:pt idx="13">
                  <c:v>108487.09220603864</c:v>
                </c:pt>
                <c:pt idx="14">
                  <c:v>110676.83426197723</c:v>
                </c:pt>
                <c:pt idx="15">
                  <c:v>112910.77485042365</c:v>
                </c:pt>
                <c:pt idx="16">
                  <c:v>115189.80609027861</c:v>
                </c:pt>
                <c:pt idx="17">
                  <c:v>117514.83810728804</c:v>
                </c:pt>
                <c:pt idx="18">
                  <c:v>119886.79939749969</c:v>
                </c:pt>
                <c:pt idx="19">
                  <c:v>122306.63719805575</c:v>
                </c:pt>
                <c:pt idx="20">
                  <c:v>124775.31786546974</c:v>
                </c:pt>
                <c:pt idx="21">
                  <c:v>127293.82726153887</c:v>
                </c:pt>
                <c:pt idx="22">
                  <c:v>129863.17114704546</c:v>
                </c:pt>
              </c:numCache>
            </c:numRef>
          </c:val>
          <c:extLst>
            <c:ext xmlns:c16="http://schemas.microsoft.com/office/drawing/2014/chart" uri="{C3380CC4-5D6E-409C-BE32-E72D297353CC}">
              <c16:uniqueId val="{0000000B-7CAF-44D7-9A0B-7DBAE1BC1CF5}"/>
            </c:ext>
          </c:extLst>
        </c:ser>
        <c:ser>
          <c:idx val="12"/>
          <c:order val="12"/>
          <c:tx>
            <c:strRef>
              <c:f>graphs!$A$138</c:f>
              <c:strCache>
                <c:ptCount val="1"/>
                <c:pt idx="0">
                  <c:v>Office Supplies</c:v>
                </c:pt>
              </c:strCache>
            </c:strRef>
          </c:tx>
          <c:spPr>
            <a:solidFill>
              <a:schemeClr val="accent1">
                <a:lumMod val="80000"/>
                <a:lumOff val="20000"/>
              </a:schemeClr>
            </a:solidFill>
            <a:ln>
              <a:noFill/>
            </a:ln>
            <a:effectLst/>
          </c:spPr>
          <c:invertIfNegative val="0"/>
          <c:val>
            <c:numRef>
              <c:f>graphs!$B$138:$X$138</c:f>
              <c:numCache>
                <c:formatCode>"$"#,##0_);\("$"#,##0\)</c:formatCode>
                <c:ptCount val="23"/>
                <c:pt idx="0">
                  <c:v>0</c:v>
                </c:pt>
                <c:pt idx="1">
                  <c:v>56626.461985249829</c:v>
                </c:pt>
                <c:pt idx="2">
                  <c:v>76834.302455325291</c:v>
                </c:pt>
                <c:pt idx="3">
                  <c:v>78385.153344623686</c:v>
                </c:pt>
                <c:pt idx="4">
                  <c:v>79967.307159880686</c:v>
                </c:pt>
                <c:pt idx="5">
                  <c:v>81581.395730487653</c:v>
                </c:pt>
                <c:pt idx="6">
                  <c:v>83228.06363890518</c:v>
                </c:pt>
                <c:pt idx="7">
                  <c:v>84907.968478075534</c:v>
                </c:pt>
                <c:pt idx="8">
                  <c:v>86621.781114030789</c:v>
                </c:pt>
                <c:pt idx="9">
                  <c:v>88370.1859538016</c:v>
                </c:pt>
                <c:pt idx="10">
                  <c:v>90153.88121873363</c:v>
                </c:pt>
                <c:pt idx="11">
                  <c:v>91973.579223320456</c:v>
                </c:pt>
                <c:pt idx="12">
                  <c:v>93830.006659664767</c:v>
                </c:pt>
                <c:pt idx="13">
                  <c:v>95723.904887681143</c:v>
                </c:pt>
                <c:pt idx="14">
                  <c:v>97656.030231156386</c:v>
                </c:pt>
                <c:pt idx="15">
                  <c:v>99627.15427978558</c:v>
                </c:pt>
                <c:pt idx="16">
                  <c:v>101638.06419730466</c:v>
                </c:pt>
                <c:pt idx="17">
                  <c:v>103689.56303584242</c:v>
                </c:pt>
                <c:pt idx="18">
                  <c:v>105782.4700566174</c:v>
                </c:pt>
                <c:pt idx="19">
                  <c:v>107917.62105710803</c:v>
                </c:pt>
                <c:pt idx="20">
                  <c:v>110095.86870482625</c:v>
                </c:pt>
                <c:pt idx="21">
                  <c:v>112318.08287782843</c:v>
                </c:pt>
                <c:pt idx="22">
                  <c:v>114585.15101209894</c:v>
                </c:pt>
              </c:numCache>
            </c:numRef>
          </c:val>
          <c:extLst>
            <c:ext xmlns:c16="http://schemas.microsoft.com/office/drawing/2014/chart" uri="{C3380CC4-5D6E-409C-BE32-E72D297353CC}">
              <c16:uniqueId val="{0000000C-7CAF-44D7-9A0B-7DBAE1BC1CF5}"/>
            </c:ext>
          </c:extLst>
        </c:ser>
        <c:ser>
          <c:idx val="13"/>
          <c:order val="13"/>
          <c:tx>
            <c:strRef>
              <c:f>graphs!$A$139</c:f>
              <c:strCache>
                <c:ptCount val="1"/>
                <c:pt idx="0">
                  <c:v>Gas Transmission Costs</c:v>
                </c:pt>
              </c:strCache>
            </c:strRef>
          </c:tx>
          <c:spPr>
            <a:solidFill>
              <a:schemeClr val="accent2">
                <a:lumMod val="80000"/>
                <a:lumOff val="20000"/>
              </a:schemeClr>
            </a:solidFill>
            <a:ln>
              <a:noFill/>
            </a:ln>
            <a:effectLst/>
          </c:spPr>
          <c:invertIfNegative val="0"/>
          <c:val>
            <c:numRef>
              <c:f>graphs!$B$139:$X$139</c:f>
              <c:numCache>
                <c:formatCode>"$"#,##0_);\("$"#,##0\)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D-7CAF-44D7-9A0B-7DBAE1BC1CF5}"/>
            </c:ext>
          </c:extLst>
        </c:ser>
        <c:ser>
          <c:idx val="14"/>
          <c:order val="14"/>
          <c:tx>
            <c:strRef>
              <c:f>graphs!$A$140</c:f>
              <c:strCache>
                <c:ptCount val="1"/>
                <c:pt idx="0">
                  <c:v>Permit  Renewals</c:v>
                </c:pt>
              </c:strCache>
            </c:strRef>
          </c:tx>
          <c:spPr>
            <a:solidFill>
              <a:schemeClr val="accent3">
                <a:lumMod val="80000"/>
                <a:lumOff val="20000"/>
              </a:schemeClr>
            </a:solidFill>
            <a:ln>
              <a:noFill/>
            </a:ln>
            <a:effectLst/>
          </c:spPr>
          <c:invertIfNegative val="0"/>
          <c:val>
            <c:numRef>
              <c:f>graphs!$B$140:$X$140</c:f>
              <c:numCache>
                <c:formatCode>"$"#,##0_);\("$"#,##0\)</c:formatCode>
                <c:ptCount val="23"/>
                <c:pt idx="0">
                  <c:v>0</c:v>
                </c:pt>
                <c:pt idx="1">
                  <c:v>56626.461985249829</c:v>
                </c:pt>
                <c:pt idx="2">
                  <c:v>76834.302455325291</c:v>
                </c:pt>
                <c:pt idx="3">
                  <c:v>78385.153344623686</c:v>
                </c:pt>
                <c:pt idx="4">
                  <c:v>79967.307159880686</c:v>
                </c:pt>
                <c:pt idx="5">
                  <c:v>81581.395730487653</c:v>
                </c:pt>
                <c:pt idx="6">
                  <c:v>83228.06363890518</c:v>
                </c:pt>
                <c:pt idx="7">
                  <c:v>84907.968478075534</c:v>
                </c:pt>
                <c:pt idx="8">
                  <c:v>86621.781114030789</c:v>
                </c:pt>
                <c:pt idx="9">
                  <c:v>88370.1859538016</c:v>
                </c:pt>
                <c:pt idx="10">
                  <c:v>90153.88121873363</c:v>
                </c:pt>
                <c:pt idx="11">
                  <c:v>91973.579223320456</c:v>
                </c:pt>
                <c:pt idx="12">
                  <c:v>93830.006659664767</c:v>
                </c:pt>
                <c:pt idx="13">
                  <c:v>95723.904887681143</c:v>
                </c:pt>
                <c:pt idx="14">
                  <c:v>97656.030231156386</c:v>
                </c:pt>
                <c:pt idx="15">
                  <c:v>99627.15427978558</c:v>
                </c:pt>
                <c:pt idx="16">
                  <c:v>101638.06419730466</c:v>
                </c:pt>
                <c:pt idx="17">
                  <c:v>103689.56303584242</c:v>
                </c:pt>
                <c:pt idx="18">
                  <c:v>105782.4700566174</c:v>
                </c:pt>
                <c:pt idx="19">
                  <c:v>107917.62105710803</c:v>
                </c:pt>
                <c:pt idx="20">
                  <c:v>110095.86870482625</c:v>
                </c:pt>
                <c:pt idx="21">
                  <c:v>112318.08287782843</c:v>
                </c:pt>
                <c:pt idx="22">
                  <c:v>114585.15101209894</c:v>
                </c:pt>
              </c:numCache>
            </c:numRef>
          </c:val>
          <c:extLst>
            <c:ext xmlns:c16="http://schemas.microsoft.com/office/drawing/2014/chart" uri="{C3380CC4-5D6E-409C-BE32-E72D297353CC}">
              <c16:uniqueId val="{0000000E-7CAF-44D7-9A0B-7DBAE1BC1CF5}"/>
            </c:ext>
          </c:extLst>
        </c:ser>
        <c:ser>
          <c:idx val="15"/>
          <c:order val="15"/>
          <c:tx>
            <c:strRef>
              <c:f>graphs!$A$141</c:f>
              <c:strCache>
                <c:ptCount val="1"/>
                <c:pt idx="0">
                  <c:v>Property Taxes</c:v>
                </c:pt>
              </c:strCache>
            </c:strRef>
          </c:tx>
          <c:spPr>
            <a:solidFill>
              <a:schemeClr val="accent4">
                <a:lumMod val="80000"/>
                <a:lumOff val="20000"/>
              </a:schemeClr>
            </a:solidFill>
            <a:ln>
              <a:noFill/>
            </a:ln>
            <a:effectLst/>
          </c:spPr>
          <c:invertIfNegative val="0"/>
          <c:val>
            <c:numRef>
              <c:f>graphs!$B$141:$X$141</c:f>
              <c:numCache>
                <c:formatCode>"$"#,##0_);\("$"#,##0\)</c:formatCode>
                <c:ptCount val="23"/>
                <c:pt idx="0">
                  <c:v>0</c:v>
                </c:pt>
                <c:pt idx="1">
                  <c:v>64176.656916616463</c:v>
                </c:pt>
                <c:pt idx="2">
                  <c:v>87078.876116035332</c:v>
                </c:pt>
                <c:pt idx="3">
                  <c:v>88836.507123906835</c:v>
                </c:pt>
                <c:pt idx="4">
                  <c:v>90629.614781198077</c:v>
                </c:pt>
                <c:pt idx="5">
                  <c:v>92458.915161219309</c:v>
                </c:pt>
                <c:pt idx="6">
                  <c:v>94325.1387907592</c:v>
                </c:pt>
                <c:pt idx="7">
                  <c:v>96229.030941818943</c:v>
                </c:pt>
                <c:pt idx="8">
                  <c:v>98171.351929234894</c:v>
                </c:pt>
                <c:pt idx="9">
                  <c:v>100152.87741430847</c:v>
                </c:pt>
                <c:pt idx="10">
                  <c:v>102174.39871456477</c:v>
                </c:pt>
                <c:pt idx="11">
                  <c:v>104236.72311976316</c:v>
                </c:pt>
                <c:pt idx="12">
                  <c:v>106340.67421428673</c:v>
                </c:pt>
                <c:pt idx="13">
                  <c:v>108487.09220603864</c:v>
                </c:pt>
                <c:pt idx="14">
                  <c:v>110676.83426197723</c:v>
                </c:pt>
                <c:pt idx="15">
                  <c:v>112910.77485042365</c:v>
                </c:pt>
                <c:pt idx="16">
                  <c:v>115189.80609027861</c:v>
                </c:pt>
                <c:pt idx="17">
                  <c:v>117514.83810728804</c:v>
                </c:pt>
                <c:pt idx="18">
                  <c:v>119886.79939749969</c:v>
                </c:pt>
                <c:pt idx="19">
                  <c:v>122306.63719805575</c:v>
                </c:pt>
                <c:pt idx="20">
                  <c:v>124775.31786546974</c:v>
                </c:pt>
                <c:pt idx="21">
                  <c:v>127293.82726153887</c:v>
                </c:pt>
                <c:pt idx="22">
                  <c:v>129863.17114704546</c:v>
                </c:pt>
              </c:numCache>
            </c:numRef>
          </c:val>
          <c:extLst>
            <c:ext xmlns:c16="http://schemas.microsoft.com/office/drawing/2014/chart" uri="{C3380CC4-5D6E-409C-BE32-E72D297353CC}">
              <c16:uniqueId val="{0000000F-7CAF-44D7-9A0B-7DBAE1BC1CF5}"/>
            </c:ext>
          </c:extLst>
        </c:ser>
        <c:ser>
          <c:idx val="16"/>
          <c:order val="16"/>
          <c:tx>
            <c:strRef>
              <c:f>graphs!$A$142</c:f>
              <c:strCache>
                <c:ptCount val="1"/>
                <c:pt idx="0">
                  <c:v>Miscellaneous</c:v>
                </c:pt>
              </c:strCache>
            </c:strRef>
          </c:tx>
          <c:spPr>
            <a:solidFill>
              <a:schemeClr val="accent5">
                <a:lumMod val="80000"/>
                <a:lumOff val="20000"/>
              </a:schemeClr>
            </a:solidFill>
            <a:ln>
              <a:noFill/>
            </a:ln>
            <a:effectLst/>
          </c:spPr>
          <c:invertIfNegative val="0"/>
          <c:val>
            <c:numRef>
              <c:f>graphs!$B$142:$X$142</c:f>
              <c:numCache>
                <c:formatCode>"$"#,##0_);\("$"#,##0\)</c:formatCode>
                <c:ptCount val="23"/>
                <c:pt idx="0">
                  <c:v>0</c:v>
                </c:pt>
                <c:pt idx="1">
                  <c:v>75501.949313666424</c:v>
                </c:pt>
                <c:pt idx="2">
                  <c:v>102445.73660710039</c:v>
                </c:pt>
                <c:pt idx="3">
                  <c:v>104513.53779283159</c:v>
                </c:pt>
                <c:pt idx="4">
                  <c:v>106623.07621317422</c:v>
                </c:pt>
                <c:pt idx="5">
                  <c:v>108775.19430731685</c:v>
                </c:pt>
                <c:pt idx="6">
                  <c:v>110970.75151854024</c:v>
                </c:pt>
                <c:pt idx="7">
                  <c:v>113210.62463743403</c:v>
                </c:pt>
                <c:pt idx="8">
                  <c:v>115495.70815204106</c:v>
                </c:pt>
                <c:pt idx="9">
                  <c:v>117826.91460506881</c:v>
                </c:pt>
                <c:pt idx="10">
                  <c:v>120205.1749583115</c:v>
                </c:pt>
                <c:pt idx="11">
                  <c:v>122631.43896442727</c:v>
                </c:pt>
                <c:pt idx="12">
                  <c:v>125106.67554621969</c:v>
                </c:pt>
                <c:pt idx="13">
                  <c:v>127631.87318357488</c:v>
                </c:pt>
                <c:pt idx="14">
                  <c:v>130208.04030820854</c:v>
                </c:pt>
                <c:pt idx="15">
                  <c:v>132836.2057063808</c:v>
                </c:pt>
                <c:pt idx="16">
                  <c:v>135517.41892973954</c:v>
                </c:pt>
                <c:pt idx="17">
                  <c:v>138252.75071445655</c:v>
                </c:pt>
                <c:pt idx="18">
                  <c:v>141043.29340882317</c:v>
                </c:pt>
                <c:pt idx="19">
                  <c:v>143890.16140947735</c:v>
                </c:pt>
                <c:pt idx="20">
                  <c:v>146794.49160643498</c:v>
                </c:pt>
                <c:pt idx="21">
                  <c:v>149757.44383710457</c:v>
                </c:pt>
                <c:pt idx="22">
                  <c:v>152780.20134946526</c:v>
                </c:pt>
              </c:numCache>
            </c:numRef>
          </c:val>
          <c:extLst>
            <c:ext xmlns:c16="http://schemas.microsoft.com/office/drawing/2014/chart" uri="{C3380CC4-5D6E-409C-BE32-E72D297353CC}">
              <c16:uniqueId val="{00000001-8C9D-458D-8842-AF1E9BF1DFDC}"/>
            </c:ext>
          </c:extLst>
        </c:ser>
        <c:dLbls>
          <c:showLegendKey val="0"/>
          <c:showVal val="0"/>
          <c:showCatName val="0"/>
          <c:showSerName val="0"/>
          <c:showPercent val="0"/>
          <c:showBubbleSize val="0"/>
        </c:dLbls>
        <c:gapWidth val="150"/>
        <c:overlap val="100"/>
        <c:axId val="1712700864"/>
        <c:axId val="1712698944"/>
      </c:barChart>
      <c:catAx>
        <c:axId val="1712700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698944"/>
        <c:crosses val="autoZero"/>
        <c:auto val="1"/>
        <c:lblAlgn val="ctr"/>
        <c:lblOffset val="100"/>
        <c:noMultiLvlLbl val="0"/>
      </c:catAx>
      <c:valAx>
        <c:axId val="171269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700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931-49B3-851C-1887874666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5931-49B3-851C-1887874666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1E-45AC-9416-C6E8212DB4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5931-49B3-851C-1887874666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5931-49B3-851C-18878746661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5931-49B3-851C-18878746661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5931-49B3-851C-18878746661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B-5931-49B3-851C-18878746661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D-5931-49B3-851C-18878746661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C-5931-49B3-851C-18878746661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5931-49B3-851C-18878746661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9-5931-49B3-851C-18878746661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51E-45AC-9416-C6E8212DB4F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8-5931-49B3-851C-18878746661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4-5931-49B3-851C-18878746661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174-4BB9-B6EE-38FC306CA5FB}"/>
              </c:ext>
            </c:extLst>
          </c:dPt>
          <c:dLbls>
            <c:dLbl>
              <c:idx val="0"/>
              <c:layout>
                <c:manualLayout>
                  <c:x val="5.9381475889206399E-2"/>
                  <c:y val="8.281199584438703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31-49B3-851C-188787466616}"/>
                </c:ext>
              </c:extLst>
            </c:dLbl>
            <c:dLbl>
              <c:idx val="1"/>
              <c:layout>
                <c:manualLayout>
                  <c:x val="0.2763426585328711"/>
                  <c:y val="-7.335140018066847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31-49B3-851C-188787466616}"/>
                </c:ext>
              </c:extLst>
            </c:dLbl>
            <c:dLbl>
              <c:idx val="3"/>
              <c:layout>
                <c:manualLayout>
                  <c:x val="-3.7564182028267015E-2"/>
                  <c:y val="0.1587175000560826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31-49B3-851C-188787466616}"/>
                </c:ext>
              </c:extLst>
            </c:dLbl>
            <c:dLbl>
              <c:idx val="4"/>
              <c:layout>
                <c:manualLayout>
                  <c:x val="-7.0659412422892462E-2"/>
                  <c:y val="0.2368768387316237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931-49B3-851C-188787466616}"/>
                </c:ext>
              </c:extLst>
            </c:dLbl>
            <c:dLbl>
              <c:idx val="5"/>
              <c:layout>
                <c:manualLayout>
                  <c:x val="-0.19832079230983607"/>
                  <c:y val="0.2395547997539108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931-49B3-851C-188787466616}"/>
                </c:ext>
              </c:extLst>
            </c:dLbl>
            <c:dLbl>
              <c:idx val="6"/>
              <c:layout>
                <c:manualLayout>
                  <c:x val="-0.21416374458739409"/>
                  <c:y val="0.1693475253782384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31-49B3-851C-188787466616}"/>
                </c:ext>
              </c:extLst>
            </c:dLbl>
            <c:dLbl>
              <c:idx val="7"/>
              <c:layout>
                <c:manualLayout>
                  <c:x val="-0.18866599282062801"/>
                  <c:y val="9.040581151220496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931-49B3-851C-188787466616}"/>
                </c:ext>
              </c:extLst>
            </c:dLbl>
            <c:dLbl>
              <c:idx val="8"/>
              <c:layout>
                <c:manualLayout>
                  <c:x val="-6.4947850906391796E-2"/>
                  <c:y val="3.2810642259460897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931-49B3-851C-188787466616}"/>
                </c:ext>
              </c:extLst>
            </c:dLbl>
            <c:dLbl>
              <c:idx val="9"/>
              <c:layout>
                <c:manualLayout>
                  <c:x val="-0.22975820573933806"/>
                  <c:y val="1.62223350895689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5931-49B3-851C-188787466616}"/>
                </c:ext>
              </c:extLst>
            </c:dLbl>
            <c:dLbl>
              <c:idx val="10"/>
              <c:layout>
                <c:manualLayout>
                  <c:x val="-5.1279018014982677E-2"/>
                  <c:y val="-4.1630786437845098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5931-49B3-851C-188787466616}"/>
                </c:ext>
              </c:extLst>
            </c:dLbl>
            <c:dLbl>
              <c:idx val="11"/>
              <c:layout>
                <c:manualLayout>
                  <c:x val="-0.32554234207253419"/>
                  <c:y val="0.4197584322523343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931-49B3-851C-188787466616}"/>
                </c:ext>
              </c:extLst>
            </c:dLbl>
            <c:dLbl>
              <c:idx val="13"/>
              <c:layout>
                <c:manualLayout>
                  <c:x val="0.41635648951171117"/>
                  <c:y val="0.117889036363012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5931-49B3-851C-188787466616}"/>
                </c:ext>
              </c:extLst>
            </c:dLbl>
            <c:dLbl>
              <c:idx val="14"/>
              <c:layout>
                <c:manualLayout>
                  <c:x val="0.3968137897184405"/>
                  <c:y val="2.343940878357947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931-49B3-851C-1887874666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graphs!$M$145:$M$160</c:f>
              <c:strCache>
                <c:ptCount val="16"/>
                <c:pt idx="0">
                  <c:v>Employee Cost</c:v>
                </c:pt>
                <c:pt idx="1">
                  <c:v>Turbine LTMA Cost 5 year term</c:v>
                </c:pt>
                <c:pt idx="2">
                  <c:v>Pyrolysis LTMA Cost yrs. 3+</c:v>
                </c:pt>
                <c:pt idx="3">
                  <c:v>Total O&amp;M</c:v>
                </c:pt>
                <c:pt idx="4">
                  <c:v>All insurance for the plant and risks</c:v>
                </c:pt>
                <c:pt idx="5">
                  <c:v>Land Rental </c:v>
                </c:pt>
                <c:pt idx="6">
                  <c:v>IT  outsourced</c:v>
                </c:pt>
                <c:pt idx="7">
                  <c:v>Utilities</c:v>
                </c:pt>
                <c:pt idx="8">
                  <c:v>OVD Fee for exporting</c:v>
                </c:pt>
                <c:pt idx="9">
                  <c:v>Electricity</c:v>
                </c:pt>
                <c:pt idx="10">
                  <c:v>Accounting &amp; Auditing</c:v>
                </c:pt>
                <c:pt idx="11">
                  <c:v>Office Supplies</c:v>
                </c:pt>
                <c:pt idx="12">
                  <c:v>Gas Transmission Costs</c:v>
                </c:pt>
                <c:pt idx="13">
                  <c:v>Permit  Renewals</c:v>
                </c:pt>
                <c:pt idx="14">
                  <c:v>Property Taxes</c:v>
                </c:pt>
                <c:pt idx="15">
                  <c:v>Miscellaneous</c:v>
                </c:pt>
              </c:strCache>
            </c:strRef>
          </c:cat>
          <c:val>
            <c:numRef>
              <c:f>graphs!$N$145:$N$160</c:f>
              <c:numCache>
                <c:formatCode>"$"#,##0_);\("$"#,##0\)</c:formatCode>
                <c:ptCount val="16"/>
                <c:pt idx="0">
                  <c:v>4895637.3135650316</c:v>
                </c:pt>
                <c:pt idx="1">
                  <c:v>560150.89845767792</c:v>
                </c:pt>
                <c:pt idx="2">
                  <c:v>174768.72874346914</c:v>
                </c:pt>
                <c:pt idx="3">
                  <c:v>1606373.0758758215</c:v>
                </c:pt>
                <c:pt idx="4">
                  <c:v>6758045.3250321718</c:v>
                </c:pt>
                <c:pt idx="5">
                  <c:v>104513.53779283159</c:v>
                </c:pt>
                <c:pt idx="6">
                  <c:v>83610.830234265275</c:v>
                </c:pt>
                <c:pt idx="7">
                  <c:v>209027.07558566317</c:v>
                </c:pt>
                <c:pt idx="8">
                  <c:v>0</c:v>
                </c:pt>
                <c:pt idx="9">
                  <c:v>0</c:v>
                </c:pt>
                <c:pt idx="10">
                  <c:v>88836.507123906835</c:v>
                </c:pt>
                <c:pt idx="11">
                  <c:v>78385.153344623686</c:v>
                </c:pt>
                <c:pt idx="12">
                  <c:v>0</c:v>
                </c:pt>
                <c:pt idx="13">
                  <c:v>78385.153344623686</c:v>
                </c:pt>
                <c:pt idx="14">
                  <c:v>88836.507123906835</c:v>
                </c:pt>
                <c:pt idx="15">
                  <c:v>104513.53779283159</c:v>
                </c:pt>
              </c:numCache>
            </c:numRef>
          </c:val>
          <c:extLst>
            <c:ext xmlns:c16="http://schemas.microsoft.com/office/drawing/2014/chart" uri="{C3380CC4-5D6E-409C-BE32-E72D297353CC}">
              <c16:uniqueId val="{00000000-5931-49B3-851C-18878746661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CAPEX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8F9-4EF2-836F-5E29CA18A8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F9-4EF2-836F-5E29CA18A8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8F9-4EF2-836F-5E29CA18A8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08F9-4EF2-836F-5E29CA18A8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08F9-4EF2-836F-5E29CA18A85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1-08F9-4EF2-836F-5E29CA18A85D}"/>
              </c:ext>
            </c:extLst>
          </c:dPt>
          <c:dLbls>
            <c:dLbl>
              <c:idx val="0"/>
              <c:layout>
                <c:manualLayout>
                  <c:x val="8.6842082239720036E-2"/>
                  <c:y val="-9.160870516185476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8F9-4EF2-836F-5E29CA18A85D}"/>
                </c:ext>
              </c:extLst>
            </c:dLbl>
            <c:dLbl>
              <c:idx val="1"/>
              <c:layout>
                <c:manualLayout>
                  <c:x val="0.24996105631200433"/>
                  <c:y val="-5.434734364469305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8F9-4EF2-836F-5E29CA18A85D}"/>
                </c:ext>
              </c:extLst>
            </c:dLbl>
            <c:dLbl>
              <c:idx val="2"/>
              <c:layout>
                <c:manualLayout>
                  <c:x val="-0.24954963662033219"/>
                  <c:y val="-2.724639442692197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8F9-4EF2-836F-5E29CA18A85D}"/>
                </c:ext>
              </c:extLst>
            </c:dLbl>
            <c:dLbl>
              <c:idx val="3"/>
              <c:layout>
                <c:manualLayout>
                  <c:x val="-0.1449750656167979"/>
                  <c:y val="1.415609507144940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8F9-4EF2-836F-5E29CA18A85D}"/>
                </c:ext>
              </c:extLst>
            </c:dLbl>
            <c:dLbl>
              <c:idx val="4"/>
              <c:layout>
                <c:manualLayout>
                  <c:x val="-0.1157842273325943"/>
                  <c:y val="4.2295193684536853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8F9-4EF2-836F-5E29CA18A85D}"/>
                </c:ext>
              </c:extLst>
            </c:dLbl>
            <c:dLbl>
              <c:idx val="5"/>
              <c:layout>
                <c:manualLayout>
                  <c:x val="0.12431280025014915"/>
                  <c:y val="-1.645579387477647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8F9-4EF2-836F-5E29CA18A8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graphs!$K$172:$K$177</c:f>
              <c:strCache>
                <c:ptCount val="6"/>
                <c:pt idx="0">
                  <c:v>USA</c:v>
                </c:pt>
                <c:pt idx="1">
                  <c:v>Djibouti</c:v>
                </c:pt>
                <c:pt idx="2">
                  <c:v>India</c:v>
                </c:pt>
                <c:pt idx="3">
                  <c:v>UK</c:v>
                </c:pt>
                <c:pt idx="4">
                  <c:v>Finland</c:v>
                </c:pt>
                <c:pt idx="5">
                  <c:v>Germany</c:v>
                </c:pt>
              </c:strCache>
            </c:strRef>
          </c:cat>
          <c:val>
            <c:numRef>
              <c:f>graphs!$L$172:$L$177</c:f>
              <c:numCache>
                <c:formatCode>"$"#,##0_);\("$"#,##0\)</c:formatCode>
                <c:ptCount val="6"/>
                <c:pt idx="0">
                  <c:v>117546147.8</c:v>
                </c:pt>
                <c:pt idx="1">
                  <c:v>7146511.7665999997</c:v>
                </c:pt>
                <c:pt idx="2">
                  <c:v>2240000</c:v>
                </c:pt>
                <c:pt idx="3">
                  <c:v>107330695.6382</c:v>
                </c:pt>
                <c:pt idx="4">
                  <c:v>2583373.2599999998</c:v>
                </c:pt>
                <c:pt idx="5">
                  <c:v>9149476.2799999993</c:v>
                </c:pt>
              </c:numCache>
            </c:numRef>
          </c:val>
          <c:extLst>
            <c:ext xmlns:c16="http://schemas.microsoft.com/office/drawing/2014/chart" uri="{C3380CC4-5D6E-409C-BE32-E72D297353CC}">
              <c16:uniqueId val="{00000000-08F9-4EF2-836F-5E29CA18A85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0290514227237835"/>
          <c:y val="0.92682876865266528"/>
          <c:w val="0.66398495314439487"/>
          <c:h val="7.31712313473347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5-year Revenue vs EBITDA (US$), 2027-2031</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graphs!$A$267</c:f>
              <c:strCache>
                <c:ptCount val="1"/>
                <c:pt idx="0">
                  <c:v>Revenue</c:v>
                </c:pt>
              </c:strCache>
            </c:strRef>
          </c:tx>
          <c:spPr>
            <a:solidFill>
              <a:schemeClr val="accent6">
                <a:lumMod val="50000"/>
              </a:schemeClr>
            </a:solidFill>
            <a:ln>
              <a:noFill/>
            </a:ln>
            <a:effectLst/>
          </c:spPr>
          <c:invertIfNegative val="0"/>
          <c:val>
            <c:numRef>
              <c:f>graphs!$B$267:$F$267</c:f>
              <c:numCache>
                <c:formatCode>"$"#,##0_);\("$"#,##0\)</c:formatCode>
                <c:ptCount val="5"/>
                <c:pt idx="0">
                  <c:v>43137907.63449195</c:v>
                </c:pt>
                <c:pt idx="1">
                  <c:v>74666932.810393706</c:v>
                </c:pt>
                <c:pt idx="2">
                  <c:v>81209971.610527456</c:v>
                </c:pt>
                <c:pt idx="3">
                  <c:v>82634341.641189128</c:v>
                </c:pt>
                <c:pt idx="4">
                  <c:v>83633869.621948481</c:v>
                </c:pt>
              </c:numCache>
            </c:numRef>
          </c:val>
          <c:extLst>
            <c:ext xmlns:c16="http://schemas.microsoft.com/office/drawing/2014/chart" uri="{C3380CC4-5D6E-409C-BE32-E72D297353CC}">
              <c16:uniqueId val="{00000000-C33F-4D6E-90C0-DD2EAA2330C0}"/>
            </c:ext>
          </c:extLst>
        </c:ser>
        <c:ser>
          <c:idx val="1"/>
          <c:order val="1"/>
          <c:tx>
            <c:strRef>
              <c:f>graphs!$A$268</c:f>
              <c:strCache>
                <c:ptCount val="1"/>
                <c:pt idx="0">
                  <c:v>EBITDA</c:v>
                </c:pt>
              </c:strCache>
            </c:strRef>
          </c:tx>
          <c:spPr>
            <a:solidFill>
              <a:schemeClr val="accent6">
                <a:lumMod val="60000"/>
                <a:lumOff val="40000"/>
              </a:schemeClr>
            </a:solidFill>
            <a:ln>
              <a:noFill/>
            </a:ln>
            <a:effectLst/>
          </c:spPr>
          <c:invertIfNegative val="0"/>
          <c:val>
            <c:numRef>
              <c:f>graphs!$B$268:$F$268</c:f>
              <c:numCache>
                <c:formatCode>"$"#,##0_);\("$"#,##0\)</c:formatCode>
                <c:ptCount val="5"/>
                <c:pt idx="0">
                  <c:v>27575572.687029082</c:v>
                </c:pt>
                <c:pt idx="1">
                  <c:v>56659881.787970379</c:v>
                </c:pt>
                <c:pt idx="2">
                  <c:v>64973637.966510631</c:v>
                </c:pt>
                <c:pt idx="3">
                  <c:v>67182045.010145277</c:v>
                </c:pt>
                <c:pt idx="4">
                  <c:v>68528296.325064868</c:v>
                </c:pt>
              </c:numCache>
            </c:numRef>
          </c:val>
          <c:extLst>
            <c:ext xmlns:c16="http://schemas.microsoft.com/office/drawing/2014/chart" uri="{C3380CC4-5D6E-409C-BE32-E72D297353CC}">
              <c16:uniqueId val="{00000001-C33F-4D6E-90C0-DD2EAA2330C0}"/>
            </c:ext>
          </c:extLst>
        </c:ser>
        <c:dLbls>
          <c:showLegendKey val="0"/>
          <c:showVal val="0"/>
          <c:showCatName val="0"/>
          <c:showSerName val="0"/>
          <c:showPercent val="0"/>
          <c:showBubbleSize val="0"/>
        </c:dLbls>
        <c:gapWidth val="219"/>
        <c:overlap val="-27"/>
        <c:axId val="1482561680"/>
        <c:axId val="1482563120"/>
      </c:barChart>
      <c:catAx>
        <c:axId val="1482561680"/>
        <c:scaling>
          <c:orientation val="minMax"/>
        </c:scaling>
        <c:delete val="1"/>
        <c:axPos val="b"/>
        <c:numFmt formatCode="General" sourceLinked="0"/>
        <c:majorTickMark val="none"/>
        <c:minorTickMark val="none"/>
        <c:tickLblPos val="nextTo"/>
        <c:crossAx val="1482563120"/>
        <c:crosses val="autoZero"/>
        <c:auto val="1"/>
        <c:lblAlgn val="ctr"/>
        <c:lblOffset val="100"/>
        <c:noMultiLvlLbl val="0"/>
      </c:catAx>
      <c:valAx>
        <c:axId val="1482563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561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5-year Revenue Breakdown (US$), 2027 - 2031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graphs!$A$272</c:f>
              <c:strCache>
                <c:ptCount val="1"/>
                <c:pt idx="0">
                  <c:v>Power Revenue</c:v>
                </c:pt>
              </c:strCache>
            </c:strRef>
          </c:tx>
          <c:spPr>
            <a:solidFill>
              <a:schemeClr val="accent6">
                <a:lumMod val="50000"/>
              </a:schemeClr>
            </a:solidFill>
            <a:ln>
              <a:noFill/>
            </a:ln>
            <a:effectLst/>
          </c:spPr>
          <c:invertIfNegative val="0"/>
          <c:val>
            <c:numRef>
              <c:f>graphs!$B$272:$F$272</c:f>
              <c:numCache>
                <c:formatCode>"$"#,##0_);\("$"#,##0\)</c:formatCode>
                <c:ptCount val="5"/>
                <c:pt idx="0">
                  <c:v>0</c:v>
                </c:pt>
                <c:pt idx="1">
                  <c:v>16398976.114098672</c:v>
                </c:pt>
                <c:pt idx="2">
                  <c:v>21765913.751440059</c:v>
                </c:pt>
                <c:pt idx="3">
                  <c:v>21825546.391854964</c:v>
                </c:pt>
                <c:pt idx="4">
                  <c:v>21765913.751440059</c:v>
                </c:pt>
              </c:numCache>
            </c:numRef>
          </c:val>
          <c:extLst>
            <c:ext xmlns:c16="http://schemas.microsoft.com/office/drawing/2014/chart" uri="{C3380CC4-5D6E-409C-BE32-E72D297353CC}">
              <c16:uniqueId val="{00000000-AE52-4E81-AB13-B939B73FF2FD}"/>
            </c:ext>
          </c:extLst>
        </c:ser>
        <c:ser>
          <c:idx val="1"/>
          <c:order val="1"/>
          <c:tx>
            <c:strRef>
              <c:f>graphs!$A$273</c:f>
              <c:strCache>
                <c:ptCount val="1"/>
                <c:pt idx="0">
                  <c:v>ByProduct Revenue</c:v>
                </c:pt>
              </c:strCache>
            </c:strRef>
          </c:tx>
          <c:spPr>
            <a:solidFill>
              <a:schemeClr val="accent6">
                <a:lumMod val="60000"/>
                <a:lumOff val="40000"/>
              </a:schemeClr>
            </a:solidFill>
            <a:ln>
              <a:noFill/>
            </a:ln>
            <a:effectLst/>
          </c:spPr>
          <c:invertIfNegative val="0"/>
          <c:val>
            <c:numRef>
              <c:f>graphs!$B$273:$F$273</c:f>
              <c:numCache>
                <c:formatCode>"$"#,##0_);\("$"#,##0\)</c:formatCode>
                <c:ptCount val="5"/>
                <c:pt idx="0">
                  <c:v>43137907.63449195</c:v>
                </c:pt>
                <c:pt idx="1">
                  <c:v>58267956.696295023</c:v>
                </c:pt>
                <c:pt idx="2">
                  <c:v>59444057.859087408</c:v>
                </c:pt>
                <c:pt idx="3">
                  <c:v>60808795.249334149</c:v>
                </c:pt>
                <c:pt idx="4">
                  <c:v>61867955.870508425</c:v>
                </c:pt>
              </c:numCache>
            </c:numRef>
          </c:val>
          <c:extLst>
            <c:ext xmlns:c16="http://schemas.microsoft.com/office/drawing/2014/chart" uri="{C3380CC4-5D6E-409C-BE32-E72D297353CC}">
              <c16:uniqueId val="{00000001-AE52-4E81-AB13-B939B73FF2FD}"/>
            </c:ext>
          </c:extLst>
        </c:ser>
        <c:dLbls>
          <c:showLegendKey val="0"/>
          <c:showVal val="0"/>
          <c:showCatName val="0"/>
          <c:showSerName val="0"/>
          <c:showPercent val="0"/>
          <c:showBubbleSize val="0"/>
        </c:dLbls>
        <c:gapWidth val="150"/>
        <c:overlap val="100"/>
        <c:axId val="1482522320"/>
        <c:axId val="1482518000"/>
      </c:barChart>
      <c:catAx>
        <c:axId val="1482522320"/>
        <c:scaling>
          <c:orientation val="minMax"/>
        </c:scaling>
        <c:delete val="1"/>
        <c:axPos val="b"/>
        <c:majorTickMark val="none"/>
        <c:minorTickMark val="none"/>
        <c:tickLblPos val="nextTo"/>
        <c:crossAx val="1482518000"/>
        <c:crosses val="autoZero"/>
        <c:auto val="1"/>
        <c:lblAlgn val="ctr"/>
        <c:lblOffset val="100"/>
        <c:noMultiLvlLbl val="0"/>
      </c:catAx>
      <c:valAx>
        <c:axId val="1482518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522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graphs!$J$209</c:f>
              <c:strCache>
                <c:ptCount val="1"/>
                <c:pt idx="0">
                  <c:v>DJB 550MT burned</c:v>
                </c:pt>
              </c:strCache>
            </c:strRef>
          </c:tx>
          <c:spPr>
            <a:solidFill>
              <a:schemeClr val="accent1"/>
            </a:solidFill>
            <a:ln>
              <a:noFill/>
            </a:ln>
            <a:effectLst/>
          </c:spPr>
          <c:invertIfNegative val="0"/>
          <c:cat>
            <c:strRef>
              <c:f>graphs!$I$210:$I$218</c:f>
              <c:strCache>
                <c:ptCount val="9"/>
                <c:pt idx="0">
                  <c:v>Carbon Dioxide (CO2)</c:v>
                </c:pt>
                <c:pt idx="1">
                  <c:v>Carbon Monoxide (CO)</c:v>
                </c:pt>
                <c:pt idx="2">
                  <c:v>Particulate Mater (PM10)</c:v>
                </c:pt>
                <c:pt idx="3">
                  <c:v>Dioxins/Furans (TEQ)</c:v>
                </c:pt>
                <c:pt idx="4">
                  <c:v>Volitale Organic Compounds (VOC)</c:v>
                </c:pt>
                <c:pt idx="5">
                  <c:v>Methane (CH4)</c:v>
                </c:pt>
                <c:pt idx="6">
                  <c:v>Nitrogen Oxides (Nox)</c:v>
                </c:pt>
                <c:pt idx="7">
                  <c:v>Sulfur Dioxide (SO2)</c:v>
                </c:pt>
                <c:pt idx="8">
                  <c:v>Heavy Metals</c:v>
                </c:pt>
              </c:strCache>
            </c:strRef>
          </c:cat>
          <c:val>
            <c:numRef>
              <c:f>graphs!$J$210:$J$218</c:f>
              <c:numCache>
                <c:formatCode>_(* #,##0_);_(* \(#,##0\);_(* "-"??_);_(@_)</c:formatCode>
                <c:ptCount val="9"/>
                <c:pt idx="0">
                  <c:v>770000</c:v>
                </c:pt>
                <c:pt idx="1">
                  <c:v>55000</c:v>
                </c:pt>
                <c:pt idx="2">
                  <c:v>11000</c:v>
                </c:pt>
                <c:pt idx="3">
                  <c:v>27500</c:v>
                </c:pt>
                <c:pt idx="4">
                  <c:v>5500</c:v>
                </c:pt>
                <c:pt idx="5">
                  <c:v>2750</c:v>
                </c:pt>
                <c:pt idx="6">
                  <c:v>2200</c:v>
                </c:pt>
                <c:pt idx="7">
                  <c:v>1650</c:v>
                </c:pt>
                <c:pt idx="8">
                  <c:v>275</c:v>
                </c:pt>
              </c:numCache>
            </c:numRef>
          </c:val>
          <c:extLst>
            <c:ext xmlns:c16="http://schemas.microsoft.com/office/drawing/2014/chart" uri="{C3380CC4-5D6E-409C-BE32-E72D297353CC}">
              <c16:uniqueId val="{00000000-4814-4BFD-A9B6-158072ED914E}"/>
            </c:ext>
          </c:extLst>
        </c:ser>
        <c:ser>
          <c:idx val="1"/>
          <c:order val="1"/>
          <c:tx>
            <c:strRef>
              <c:f>graphs!$K$209</c:f>
              <c:strCache>
                <c:ptCount val="1"/>
                <c:pt idx="0">
                  <c:v>Savings by eliminating burn pit</c:v>
                </c:pt>
              </c:strCache>
            </c:strRef>
          </c:tx>
          <c:spPr>
            <a:solidFill>
              <a:schemeClr val="accent2"/>
            </a:solidFill>
            <a:ln>
              <a:noFill/>
            </a:ln>
            <a:effectLst/>
          </c:spPr>
          <c:invertIfNegative val="0"/>
          <c:cat>
            <c:strRef>
              <c:f>graphs!$I$210:$I$218</c:f>
              <c:strCache>
                <c:ptCount val="9"/>
                <c:pt idx="0">
                  <c:v>Carbon Dioxide (CO2)</c:v>
                </c:pt>
                <c:pt idx="1">
                  <c:v>Carbon Monoxide (CO)</c:v>
                </c:pt>
                <c:pt idx="2">
                  <c:v>Particulate Mater (PM10)</c:v>
                </c:pt>
                <c:pt idx="3">
                  <c:v>Dioxins/Furans (TEQ)</c:v>
                </c:pt>
                <c:pt idx="4">
                  <c:v>Volitale Organic Compounds (VOC)</c:v>
                </c:pt>
                <c:pt idx="5">
                  <c:v>Methane (CH4)</c:v>
                </c:pt>
                <c:pt idx="6">
                  <c:v>Nitrogen Oxides (Nox)</c:v>
                </c:pt>
                <c:pt idx="7">
                  <c:v>Sulfur Dioxide (SO2)</c:v>
                </c:pt>
                <c:pt idx="8">
                  <c:v>Heavy Metals</c:v>
                </c:pt>
              </c:strCache>
            </c:strRef>
          </c:cat>
          <c:val>
            <c:numRef>
              <c:f>graphs!$K$210:$K$218</c:f>
              <c:numCache>
                <c:formatCode>General</c:formatCode>
                <c:ptCount val="9"/>
                <c:pt idx="0">
                  <c:v>769999</c:v>
                </c:pt>
                <c:pt idx="1">
                  <c:v>54999</c:v>
                </c:pt>
                <c:pt idx="2">
                  <c:v>10995</c:v>
                </c:pt>
                <c:pt idx="3">
                  <c:v>27485</c:v>
                </c:pt>
                <c:pt idx="4">
                  <c:v>5500</c:v>
                </c:pt>
                <c:pt idx="5">
                  <c:v>2749</c:v>
                </c:pt>
                <c:pt idx="6">
                  <c:v>2200</c:v>
                </c:pt>
                <c:pt idx="7">
                  <c:v>1650</c:v>
                </c:pt>
                <c:pt idx="8">
                  <c:v>275</c:v>
                </c:pt>
              </c:numCache>
            </c:numRef>
          </c:val>
          <c:extLst>
            <c:ext xmlns:c16="http://schemas.microsoft.com/office/drawing/2014/chart" uri="{C3380CC4-5D6E-409C-BE32-E72D297353CC}">
              <c16:uniqueId val="{00000001-4814-4BFD-A9B6-158072ED914E}"/>
            </c:ext>
          </c:extLst>
        </c:ser>
        <c:dLbls>
          <c:showLegendKey val="0"/>
          <c:showVal val="0"/>
          <c:showCatName val="0"/>
          <c:showSerName val="0"/>
          <c:showPercent val="0"/>
          <c:showBubbleSize val="0"/>
        </c:dLbls>
        <c:gapWidth val="219"/>
        <c:overlap val="-27"/>
        <c:axId val="1740407791"/>
        <c:axId val="1740409711"/>
      </c:barChart>
      <c:catAx>
        <c:axId val="174040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09711"/>
        <c:crosses val="autoZero"/>
        <c:auto val="1"/>
        <c:lblAlgn val="ctr"/>
        <c:lblOffset val="100"/>
        <c:noMultiLvlLbl val="0"/>
      </c:catAx>
      <c:valAx>
        <c:axId val="17404097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07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Disbursement</a:t>
            </a:r>
            <a:r>
              <a:rPr lang="en-US" baseline="0"/>
              <a:t> for first 5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graphs!$A$280</c:f>
              <c:strCache>
                <c:ptCount val="1"/>
                <c:pt idx="0">
                  <c:v>Revenue</c:v>
                </c:pt>
              </c:strCache>
            </c:strRef>
          </c:tx>
          <c:spPr>
            <a:solidFill>
              <a:schemeClr val="accent1"/>
            </a:solidFill>
            <a:ln>
              <a:noFill/>
            </a:ln>
            <a:effectLst/>
          </c:spPr>
          <c:invertIfNegative val="0"/>
          <c:cat>
            <c:numRef>
              <c:f>graphs!$B$279:$F$279</c:f>
              <c:numCache>
                <c:formatCode>General</c:formatCode>
                <c:ptCount val="5"/>
                <c:pt idx="0">
                  <c:v>2027</c:v>
                </c:pt>
                <c:pt idx="1">
                  <c:v>2028</c:v>
                </c:pt>
                <c:pt idx="2">
                  <c:v>2029</c:v>
                </c:pt>
                <c:pt idx="3">
                  <c:v>2030</c:v>
                </c:pt>
                <c:pt idx="4">
                  <c:v>2031</c:v>
                </c:pt>
              </c:numCache>
            </c:numRef>
          </c:cat>
          <c:val>
            <c:numRef>
              <c:f>graphs!$B$280:$F$280</c:f>
              <c:numCache>
                <c:formatCode>"$"#,##0_);\("$"#,##0\)</c:formatCode>
                <c:ptCount val="5"/>
                <c:pt idx="0">
                  <c:v>43137907.63449195</c:v>
                </c:pt>
                <c:pt idx="1">
                  <c:v>74666932.810393706</c:v>
                </c:pt>
                <c:pt idx="2">
                  <c:v>81209971.610527456</c:v>
                </c:pt>
                <c:pt idx="3">
                  <c:v>82634341.641189128</c:v>
                </c:pt>
                <c:pt idx="4">
                  <c:v>83633869.621948481</c:v>
                </c:pt>
              </c:numCache>
            </c:numRef>
          </c:val>
          <c:extLst>
            <c:ext xmlns:c16="http://schemas.microsoft.com/office/drawing/2014/chart" uri="{C3380CC4-5D6E-409C-BE32-E72D297353CC}">
              <c16:uniqueId val="{00000000-D3E7-49A0-BA8B-0FDEADECE85E}"/>
            </c:ext>
          </c:extLst>
        </c:ser>
        <c:ser>
          <c:idx val="1"/>
          <c:order val="1"/>
          <c:tx>
            <c:strRef>
              <c:f>graphs!$A$281</c:f>
              <c:strCache>
                <c:ptCount val="1"/>
                <c:pt idx="0">
                  <c:v>EBITDA</c:v>
                </c:pt>
              </c:strCache>
            </c:strRef>
          </c:tx>
          <c:spPr>
            <a:solidFill>
              <a:schemeClr val="accent2"/>
            </a:solidFill>
            <a:ln>
              <a:noFill/>
            </a:ln>
            <a:effectLst/>
          </c:spPr>
          <c:invertIfNegative val="0"/>
          <c:cat>
            <c:numRef>
              <c:f>graphs!$B$279:$F$279</c:f>
              <c:numCache>
                <c:formatCode>General</c:formatCode>
                <c:ptCount val="5"/>
                <c:pt idx="0">
                  <c:v>2027</c:v>
                </c:pt>
                <c:pt idx="1">
                  <c:v>2028</c:v>
                </c:pt>
                <c:pt idx="2">
                  <c:v>2029</c:v>
                </c:pt>
                <c:pt idx="3">
                  <c:v>2030</c:v>
                </c:pt>
                <c:pt idx="4">
                  <c:v>2031</c:v>
                </c:pt>
              </c:numCache>
            </c:numRef>
          </c:cat>
          <c:val>
            <c:numRef>
              <c:f>graphs!$B$281:$F$281</c:f>
              <c:numCache>
                <c:formatCode>"$"#,##0_);\("$"#,##0\)</c:formatCode>
                <c:ptCount val="5"/>
                <c:pt idx="0">
                  <c:v>27575572.687029082</c:v>
                </c:pt>
                <c:pt idx="1">
                  <c:v>56659881.787970379</c:v>
                </c:pt>
                <c:pt idx="2">
                  <c:v>64973637.966510631</c:v>
                </c:pt>
                <c:pt idx="3">
                  <c:v>67182045.010145277</c:v>
                </c:pt>
                <c:pt idx="4">
                  <c:v>68528296.325064868</c:v>
                </c:pt>
              </c:numCache>
            </c:numRef>
          </c:val>
          <c:extLst>
            <c:ext xmlns:c16="http://schemas.microsoft.com/office/drawing/2014/chart" uri="{C3380CC4-5D6E-409C-BE32-E72D297353CC}">
              <c16:uniqueId val="{00000001-D3E7-49A0-BA8B-0FDEADECE85E}"/>
            </c:ext>
          </c:extLst>
        </c:ser>
        <c:ser>
          <c:idx val="2"/>
          <c:order val="2"/>
          <c:tx>
            <c:strRef>
              <c:f>graphs!$A$282</c:f>
              <c:strCache>
                <c:ptCount val="1"/>
                <c:pt idx="0">
                  <c:v>Total Project Cash Flow</c:v>
                </c:pt>
              </c:strCache>
            </c:strRef>
          </c:tx>
          <c:spPr>
            <a:solidFill>
              <a:schemeClr val="accent3"/>
            </a:solidFill>
            <a:ln>
              <a:noFill/>
            </a:ln>
            <a:effectLst/>
          </c:spPr>
          <c:invertIfNegative val="0"/>
          <c:cat>
            <c:numRef>
              <c:f>graphs!$B$279:$F$279</c:f>
              <c:numCache>
                <c:formatCode>General</c:formatCode>
                <c:ptCount val="5"/>
                <c:pt idx="0">
                  <c:v>2027</c:v>
                </c:pt>
                <c:pt idx="1">
                  <c:v>2028</c:v>
                </c:pt>
                <c:pt idx="2">
                  <c:v>2029</c:v>
                </c:pt>
                <c:pt idx="3">
                  <c:v>2030</c:v>
                </c:pt>
                <c:pt idx="4">
                  <c:v>2031</c:v>
                </c:pt>
              </c:numCache>
            </c:numRef>
          </c:cat>
          <c:val>
            <c:numRef>
              <c:f>graphs!$B$282:$F$282</c:f>
              <c:numCache>
                <c:formatCode>"$"#,##0_);\("$"#,##0\)</c:formatCode>
                <c:ptCount val="5"/>
                <c:pt idx="0">
                  <c:v>10779994.59750643</c:v>
                </c:pt>
                <c:pt idx="1">
                  <c:v>30892539.937120374</c:v>
                </c:pt>
                <c:pt idx="2">
                  <c:v>38790608.306733631</c:v>
                </c:pt>
                <c:pt idx="3">
                  <c:v>40888594.998186514</c:v>
                </c:pt>
                <c:pt idx="4">
                  <c:v>42167533.747360125</c:v>
                </c:pt>
              </c:numCache>
            </c:numRef>
          </c:val>
          <c:extLst>
            <c:ext xmlns:c16="http://schemas.microsoft.com/office/drawing/2014/chart" uri="{C3380CC4-5D6E-409C-BE32-E72D297353CC}">
              <c16:uniqueId val="{00000002-D3E7-49A0-BA8B-0FDEADECE85E}"/>
            </c:ext>
          </c:extLst>
        </c:ser>
        <c:ser>
          <c:idx val="3"/>
          <c:order val="3"/>
          <c:tx>
            <c:strRef>
              <c:f>graphs!$A$283</c:f>
              <c:strCache>
                <c:ptCount val="1"/>
                <c:pt idx="0">
                  <c:v>Retain for operations</c:v>
                </c:pt>
              </c:strCache>
            </c:strRef>
          </c:tx>
          <c:spPr>
            <a:solidFill>
              <a:schemeClr val="accent4"/>
            </a:solidFill>
            <a:ln>
              <a:noFill/>
            </a:ln>
            <a:effectLst/>
          </c:spPr>
          <c:invertIfNegative val="0"/>
          <c:cat>
            <c:numRef>
              <c:f>graphs!$B$279:$F$279</c:f>
              <c:numCache>
                <c:formatCode>General</c:formatCode>
                <c:ptCount val="5"/>
                <c:pt idx="0">
                  <c:v>2027</c:v>
                </c:pt>
                <c:pt idx="1">
                  <c:v>2028</c:v>
                </c:pt>
                <c:pt idx="2">
                  <c:v>2029</c:v>
                </c:pt>
                <c:pt idx="3">
                  <c:v>2030</c:v>
                </c:pt>
                <c:pt idx="4">
                  <c:v>2031</c:v>
                </c:pt>
              </c:numCache>
            </c:numRef>
          </c:cat>
          <c:val>
            <c:numRef>
              <c:f>graphs!$B$283:$F$283</c:f>
              <c:numCache>
                <c:formatCode>_("$"* #,##0_);_("$"* \(#,##0\);_("$"* "-"??_);_(@_)</c:formatCode>
                <c:ptCount val="5"/>
                <c:pt idx="0">
                  <c:v>2000000</c:v>
                </c:pt>
                <c:pt idx="1">
                  <c:v>2000000</c:v>
                </c:pt>
                <c:pt idx="2">
                  <c:v>2000000</c:v>
                </c:pt>
                <c:pt idx="3">
                  <c:v>2000000</c:v>
                </c:pt>
                <c:pt idx="4">
                  <c:v>2000000</c:v>
                </c:pt>
              </c:numCache>
            </c:numRef>
          </c:val>
          <c:extLst>
            <c:ext xmlns:c16="http://schemas.microsoft.com/office/drawing/2014/chart" uri="{C3380CC4-5D6E-409C-BE32-E72D297353CC}">
              <c16:uniqueId val="{00000003-D3E7-49A0-BA8B-0FDEADECE85E}"/>
            </c:ext>
          </c:extLst>
        </c:ser>
        <c:ser>
          <c:idx val="4"/>
          <c:order val="4"/>
          <c:tx>
            <c:strRef>
              <c:f>graphs!$A$284</c:f>
              <c:strCache>
                <c:ptCount val="1"/>
                <c:pt idx="0">
                  <c:v>CREC projected distribution</c:v>
                </c:pt>
              </c:strCache>
            </c:strRef>
          </c:tx>
          <c:spPr>
            <a:solidFill>
              <a:schemeClr val="accent5"/>
            </a:solidFill>
            <a:ln>
              <a:noFill/>
            </a:ln>
            <a:effectLst/>
          </c:spPr>
          <c:invertIfNegative val="0"/>
          <c:cat>
            <c:numRef>
              <c:f>graphs!$B$279:$F$279</c:f>
              <c:numCache>
                <c:formatCode>General</c:formatCode>
                <c:ptCount val="5"/>
                <c:pt idx="0">
                  <c:v>2027</c:v>
                </c:pt>
                <c:pt idx="1">
                  <c:v>2028</c:v>
                </c:pt>
                <c:pt idx="2">
                  <c:v>2029</c:v>
                </c:pt>
                <c:pt idx="3">
                  <c:v>2030</c:v>
                </c:pt>
                <c:pt idx="4">
                  <c:v>2031</c:v>
                </c:pt>
              </c:numCache>
            </c:numRef>
          </c:cat>
          <c:val>
            <c:numRef>
              <c:f>graphs!$B$284:$F$284</c:f>
              <c:numCache>
                <c:formatCode>"$"#,##0.00_);\("$"#,##0.00\)</c:formatCode>
                <c:ptCount val="5"/>
                <c:pt idx="0">
                  <c:v>3950997.5688778935</c:v>
                </c:pt>
                <c:pt idx="1">
                  <c:v>13001642.971704168</c:v>
                </c:pt>
                <c:pt idx="2">
                  <c:v>16555773.738030134</c:v>
                </c:pt>
                <c:pt idx="3">
                  <c:v>17499867.74918393</c:v>
                </c:pt>
                <c:pt idx="4">
                  <c:v>18075390.186312057</c:v>
                </c:pt>
              </c:numCache>
            </c:numRef>
          </c:val>
          <c:extLst>
            <c:ext xmlns:c16="http://schemas.microsoft.com/office/drawing/2014/chart" uri="{C3380CC4-5D6E-409C-BE32-E72D297353CC}">
              <c16:uniqueId val="{00000004-D3E7-49A0-BA8B-0FDEADECE85E}"/>
            </c:ext>
          </c:extLst>
        </c:ser>
        <c:ser>
          <c:idx val="5"/>
          <c:order val="5"/>
          <c:tx>
            <c:strRef>
              <c:f>graphs!$A$285</c:f>
              <c:strCache>
                <c:ptCount val="1"/>
                <c:pt idx="0">
                  <c:v>Equity Funder Projected Distribution</c:v>
                </c:pt>
              </c:strCache>
            </c:strRef>
          </c:tx>
          <c:spPr>
            <a:solidFill>
              <a:schemeClr val="accent6"/>
            </a:solidFill>
            <a:ln>
              <a:noFill/>
            </a:ln>
            <a:effectLst/>
          </c:spPr>
          <c:invertIfNegative val="0"/>
          <c:cat>
            <c:numRef>
              <c:f>graphs!$B$279:$F$279</c:f>
              <c:numCache>
                <c:formatCode>General</c:formatCode>
                <c:ptCount val="5"/>
                <c:pt idx="0">
                  <c:v>2027</c:v>
                </c:pt>
                <c:pt idx="1">
                  <c:v>2028</c:v>
                </c:pt>
                <c:pt idx="2">
                  <c:v>2029</c:v>
                </c:pt>
                <c:pt idx="3">
                  <c:v>2030</c:v>
                </c:pt>
                <c:pt idx="4">
                  <c:v>2031</c:v>
                </c:pt>
              </c:numCache>
            </c:numRef>
          </c:cat>
          <c:val>
            <c:numRef>
              <c:f>graphs!$B$285:$F$285</c:f>
              <c:numCache>
                <c:formatCode>"$"#,##0.00_);\("$"#,##0.00\)</c:formatCode>
                <c:ptCount val="5"/>
                <c:pt idx="0">
                  <c:v>4828997.0286285365</c:v>
                </c:pt>
                <c:pt idx="1">
                  <c:v>15890896.965416208</c:v>
                </c:pt>
                <c:pt idx="2">
                  <c:v>20234834.568703499</c:v>
                </c:pt>
                <c:pt idx="3">
                  <c:v>21388727.249002583</c:v>
                </c:pt>
                <c:pt idx="4">
                  <c:v>22092143.561048072</c:v>
                </c:pt>
              </c:numCache>
            </c:numRef>
          </c:val>
          <c:extLst>
            <c:ext xmlns:c16="http://schemas.microsoft.com/office/drawing/2014/chart" uri="{C3380CC4-5D6E-409C-BE32-E72D297353CC}">
              <c16:uniqueId val="{00000005-D3E7-49A0-BA8B-0FDEADECE85E}"/>
            </c:ext>
          </c:extLst>
        </c:ser>
        <c:dLbls>
          <c:showLegendKey val="0"/>
          <c:showVal val="0"/>
          <c:showCatName val="0"/>
          <c:showSerName val="0"/>
          <c:showPercent val="0"/>
          <c:showBubbleSize val="0"/>
        </c:dLbls>
        <c:gapWidth val="219"/>
        <c:overlap val="-27"/>
        <c:axId val="823123600"/>
        <c:axId val="823120240"/>
      </c:barChart>
      <c:catAx>
        <c:axId val="82312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120240"/>
        <c:crosses val="autoZero"/>
        <c:auto val="1"/>
        <c:lblAlgn val="ctr"/>
        <c:lblOffset val="100"/>
        <c:noMultiLvlLbl val="0"/>
      </c:catAx>
      <c:valAx>
        <c:axId val="823120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123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Summary!$L$3</c:f>
              <c:strCache>
                <c:ptCount val="1"/>
                <c:pt idx="0">
                  <c:v>Revenue</c:v>
                </c:pt>
              </c:strCache>
            </c:strRef>
          </c:tx>
          <c:spPr>
            <a:solidFill>
              <a:srgbClr val="2C3449"/>
            </a:solidFill>
            <a:ln>
              <a:noFill/>
            </a:ln>
            <a:effectLst/>
          </c:spPr>
          <c:invertIfNegative val="0"/>
          <c:cat>
            <c:numRef>
              <c:extLst>
                <c:ext xmlns:c15="http://schemas.microsoft.com/office/drawing/2012/chart" uri="{02D57815-91ED-43cb-92C2-25804820EDAC}">
                  <c15:fullRef>
                    <c15:sqref>Summary!$M$2:$AI$2</c15:sqref>
                  </c15:fullRef>
                </c:ext>
              </c:extLst>
              <c:f>Summary!$O$2:$AI$2</c:f>
              <c:numCache>
                <c:formatCode>General</c:formatCode>
                <c:ptCount val="2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numCache>
            </c:numRef>
          </c:cat>
          <c:val>
            <c:numRef>
              <c:extLst>
                <c:ext xmlns:c15="http://schemas.microsoft.com/office/drawing/2012/chart" uri="{02D57815-91ED-43cb-92C2-25804820EDAC}">
                  <c15:fullRef>
                    <c15:sqref>Summary!$M$3:$AI$3</c15:sqref>
                  </c15:fullRef>
                </c:ext>
              </c:extLst>
              <c:f>Summary!$O$3:$AI$3</c:f>
              <c:numCache>
                <c:formatCode>"$"#,##0_);[Red]\("$"#,##0\)</c:formatCode>
                <c:ptCount val="21"/>
                <c:pt idx="0">
                  <c:v>73261682.810393676</c:v>
                </c:pt>
                <c:pt idx="1">
                  <c:v>79804721.610527486</c:v>
                </c:pt>
                <c:pt idx="2">
                  <c:v>81225241.641189128</c:v>
                </c:pt>
                <c:pt idx="3">
                  <c:v>82228619.621948481</c:v>
                </c:pt>
                <c:pt idx="4">
                  <c:v>83477384.448526293</c:v>
                </c:pt>
                <c:pt idx="5">
                  <c:v>84751354.788526282</c:v>
                </c:pt>
                <c:pt idx="6">
                  <c:v>86051039.398996562</c:v>
                </c:pt>
                <c:pt idx="7">
                  <c:v>87376957.305918351</c:v>
                </c:pt>
                <c:pt idx="8">
                  <c:v>88729638.011477888</c:v>
                </c:pt>
                <c:pt idx="9">
                  <c:v>90109621.705521971</c:v>
                </c:pt>
                <c:pt idx="10">
                  <c:v>91517459.481281281</c:v>
                </c:pt>
                <c:pt idx="11">
                  <c:v>92953713.555448383</c:v>
                </c:pt>
                <c:pt idx="12">
                  <c:v>94418957.492697492</c:v>
                </c:pt>
                <c:pt idx="13">
                  <c:v>95913776.434736207</c:v>
                </c:pt>
                <c:pt idx="14">
                  <c:v>97438767.333980471</c:v>
                </c:pt>
                <c:pt idx="15">
                  <c:v>98994539.191946149</c:v>
                </c:pt>
                <c:pt idx="16">
                  <c:v>100581713.30245224</c:v>
                </c:pt>
                <c:pt idx="17">
                  <c:v>102200923.49973328</c:v>
                </c:pt>
                <c:pt idx="18">
                  <c:v>103852816.41155934</c:v>
                </c:pt>
                <c:pt idx="19">
                  <c:v>105538051.71746548</c:v>
                </c:pt>
                <c:pt idx="20">
                  <c:v>107257302.41219306</c:v>
                </c:pt>
              </c:numCache>
            </c:numRef>
          </c:val>
          <c:extLst>
            <c:ext xmlns:c16="http://schemas.microsoft.com/office/drawing/2014/chart" uri="{C3380CC4-5D6E-409C-BE32-E72D297353CC}">
              <c16:uniqueId val="{00000000-5816-452B-862A-4BCF4FBB5CFC}"/>
            </c:ext>
          </c:extLst>
        </c:ser>
        <c:ser>
          <c:idx val="2"/>
          <c:order val="2"/>
          <c:tx>
            <c:strRef>
              <c:f>Summary!$L$5</c:f>
              <c:strCache>
                <c:ptCount val="1"/>
                <c:pt idx="0">
                  <c:v>EBITDA</c:v>
                </c:pt>
              </c:strCache>
            </c:strRef>
          </c:tx>
          <c:spPr>
            <a:solidFill>
              <a:srgbClr val="E6D261"/>
            </a:solidFill>
            <a:ln>
              <a:noFill/>
            </a:ln>
            <a:effectLst/>
          </c:spPr>
          <c:invertIfNegative val="0"/>
          <c:cat>
            <c:numRef>
              <c:extLst>
                <c:ext xmlns:c15="http://schemas.microsoft.com/office/drawing/2012/chart" uri="{02D57815-91ED-43cb-92C2-25804820EDAC}">
                  <c15:fullRef>
                    <c15:sqref>Summary!$M$2:$AI$2</c15:sqref>
                  </c15:fullRef>
                </c:ext>
              </c:extLst>
              <c:f>Summary!$O$2:$AI$2</c:f>
              <c:numCache>
                <c:formatCode>General</c:formatCode>
                <c:ptCount val="2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numCache>
            </c:numRef>
          </c:cat>
          <c:val>
            <c:numRef>
              <c:extLst>
                <c:ext xmlns:c15="http://schemas.microsoft.com/office/drawing/2012/chart" uri="{02D57815-91ED-43cb-92C2-25804820EDAC}">
                  <c15:fullRef>
                    <c15:sqref>Summary!$M$5:$AI$5</c15:sqref>
                  </c15:fullRef>
                </c:ext>
              </c:extLst>
              <c:f>Summary!$O$5:$AI$5</c:f>
              <c:numCache>
                <c:formatCode>"$"#,##0_);[Red]\("$"#,##0\)</c:formatCode>
                <c:ptCount val="21"/>
                <c:pt idx="0">
                  <c:v>56659881.787970379</c:v>
                </c:pt>
                <c:pt idx="1">
                  <c:v>64973637.966510639</c:v>
                </c:pt>
                <c:pt idx="2">
                  <c:v>67182045.010145262</c:v>
                </c:pt>
                <c:pt idx="3">
                  <c:v>68528296.325064868</c:v>
                </c:pt>
                <c:pt idx="4">
                  <c:v>70150713.833471045</c:v>
                </c:pt>
                <c:pt idx="5">
                  <c:v>71831430.86150901</c:v>
                </c:pt>
                <c:pt idx="6">
                  <c:v>73573439.645562604</c:v>
                </c:pt>
                <c:pt idx="7">
                  <c:v>75379923.742802516</c:v>
                </c:pt>
                <c:pt idx="8">
                  <c:v>77254271.354214847</c:v>
                </c:pt>
                <c:pt idx="9">
                  <c:v>78899015.363349661</c:v>
                </c:pt>
                <c:pt idx="10">
                  <c:v>80441433.856119007</c:v>
                </c:pt>
                <c:pt idx="11">
                  <c:v>82028650.159498796</c:v>
                </c:pt>
                <c:pt idx="12">
                  <c:v>83662522.718715191</c:v>
                </c:pt>
                <c:pt idx="13">
                  <c:v>85345016.134153247</c:v>
                </c:pt>
                <c:pt idx="14">
                  <c:v>86853627.065940663</c:v>
                </c:pt>
                <c:pt idx="15">
                  <c:v>88282629.770118698</c:v>
                </c:pt>
                <c:pt idx="16">
                  <c:v>89741043.785308361</c:v>
                </c:pt>
                <c:pt idx="17">
                  <c:v>91229468.464091003</c:v>
                </c:pt>
                <c:pt idx="18">
                  <c:v>92748515.313897863</c:v>
                </c:pt>
                <c:pt idx="19">
                  <c:v>94298808.242923841</c:v>
                </c:pt>
                <c:pt idx="20">
                  <c:v>95880983.811010122</c:v>
                </c:pt>
              </c:numCache>
            </c:numRef>
          </c:val>
          <c:extLst>
            <c:ext xmlns:c16="http://schemas.microsoft.com/office/drawing/2014/chart" uri="{C3380CC4-5D6E-409C-BE32-E72D297353CC}">
              <c16:uniqueId val="{00000002-5816-452B-862A-4BCF4FBB5CFC}"/>
            </c:ext>
          </c:extLst>
        </c:ser>
        <c:ser>
          <c:idx val="7"/>
          <c:order val="7"/>
          <c:tx>
            <c:strRef>
              <c:f>Summary!$L$10</c:f>
              <c:strCache>
                <c:ptCount val="1"/>
                <c:pt idx="0">
                  <c:v>Net Income</c:v>
                </c:pt>
              </c:strCache>
            </c:strRef>
          </c:tx>
          <c:spPr>
            <a:solidFill>
              <a:schemeClr val="bg1">
                <a:lumMod val="75000"/>
              </a:schemeClr>
            </a:solidFill>
            <a:ln>
              <a:noFill/>
            </a:ln>
            <a:effectLst/>
          </c:spPr>
          <c:invertIfNegative val="0"/>
          <c:cat>
            <c:numRef>
              <c:extLst>
                <c:ext xmlns:c15="http://schemas.microsoft.com/office/drawing/2012/chart" uri="{02D57815-91ED-43cb-92C2-25804820EDAC}">
                  <c15:fullRef>
                    <c15:sqref>Summary!$M$2:$AI$2</c15:sqref>
                  </c15:fullRef>
                </c:ext>
              </c:extLst>
              <c:f>Summary!$O$2:$AI$2</c:f>
              <c:numCache>
                <c:formatCode>General</c:formatCode>
                <c:ptCount val="2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numCache>
            </c:numRef>
          </c:cat>
          <c:val>
            <c:numRef>
              <c:extLst>
                <c:ext xmlns:c15="http://schemas.microsoft.com/office/drawing/2012/chart" uri="{02D57815-91ED-43cb-92C2-25804820EDAC}">
                  <c15:fullRef>
                    <c15:sqref>Summary!$M$10:$AI$10</c15:sqref>
                  </c15:fullRef>
                </c:ext>
              </c:extLst>
              <c:f>Summary!$O$10:$AI$10</c:f>
              <c:numCache>
                <c:formatCode>"$"#,##0_);[Red]\("$"#,##0\)</c:formatCode>
                <c:ptCount val="21"/>
                <c:pt idx="0">
                  <c:v>7352010.5731501281</c:v>
                </c:pt>
                <c:pt idx="1">
                  <c:v>16491829.578662634</c:v>
                </c:pt>
                <c:pt idx="2">
                  <c:v>19586015.597823665</c:v>
                </c:pt>
                <c:pt idx="3">
                  <c:v>21882078.922031231</c:v>
                </c:pt>
                <c:pt idx="4">
                  <c:v>24522970.426675022</c:v>
                </c:pt>
                <c:pt idx="5">
                  <c:v>27152929.875631444</c:v>
                </c:pt>
                <c:pt idx="6">
                  <c:v>57215423.841561183</c:v>
                </c:pt>
                <c:pt idx="7">
                  <c:v>68030818.450318515</c:v>
                </c:pt>
                <c:pt idx="8">
                  <c:v>57848122.4074305</c:v>
                </c:pt>
                <c:pt idx="9">
                  <c:v>60008444.188629255</c:v>
                </c:pt>
                <c:pt idx="10">
                  <c:v>61587062.571810648</c:v>
                </c:pt>
                <c:pt idx="11">
                  <c:v>63200435.687752463</c:v>
                </c:pt>
                <c:pt idx="12">
                  <c:v>64998520.123252273</c:v>
                </c:pt>
                <c:pt idx="13">
                  <c:v>66870994.689426407</c:v>
                </c:pt>
                <c:pt idx="14">
                  <c:v>68496041.189537436</c:v>
                </c:pt>
                <c:pt idx="15">
                  <c:v>69663077.841851696</c:v>
                </c:pt>
                <c:pt idx="16">
                  <c:v>70829809.054003417</c:v>
                </c:pt>
                <c:pt idx="17">
                  <c:v>72020548.79702954</c:v>
                </c:pt>
                <c:pt idx="18">
                  <c:v>73235786.276875034</c:v>
                </c:pt>
                <c:pt idx="19">
                  <c:v>74476020.620095819</c:v>
                </c:pt>
                <c:pt idx="20">
                  <c:v>75741761.074564829</c:v>
                </c:pt>
              </c:numCache>
            </c:numRef>
          </c:val>
          <c:extLst>
            <c:ext xmlns:c16="http://schemas.microsoft.com/office/drawing/2014/chart" uri="{C3380CC4-5D6E-409C-BE32-E72D297353CC}">
              <c16:uniqueId val="{00000007-5816-452B-862A-4BCF4FBB5CFC}"/>
            </c:ext>
          </c:extLst>
        </c:ser>
        <c:dLbls>
          <c:showLegendKey val="0"/>
          <c:showVal val="0"/>
          <c:showCatName val="0"/>
          <c:showSerName val="0"/>
          <c:showPercent val="0"/>
          <c:showBubbleSize val="0"/>
        </c:dLbls>
        <c:gapWidth val="219"/>
        <c:axId val="429306127"/>
        <c:axId val="684905407"/>
        <c:extLst>
          <c:ext xmlns:c15="http://schemas.microsoft.com/office/drawing/2012/chart" uri="{02D57815-91ED-43cb-92C2-25804820EDAC}">
            <c15:filteredBarSeries>
              <c15:ser>
                <c:idx val="1"/>
                <c:order val="1"/>
                <c:tx>
                  <c:strRef>
                    <c:extLst>
                      <c:ext uri="{02D57815-91ED-43cb-92C2-25804820EDAC}">
                        <c15:formulaRef>
                          <c15:sqref>Summary!$L$4</c15:sqref>
                        </c15:formulaRef>
                      </c:ext>
                    </c:extLst>
                    <c:strCache>
                      <c:ptCount val="1"/>
                      <c:pt idx="0">
                        <c:v>Expenses</c:v>
                      </c:pt>
                    </c:strCache>
                  </c:strRef>
                </c:tx>
                <c:spPr>
                  <a:solidFill>
                    <a:schemeClr val="accent2"/>
                  </a:solidFill>
                  <a:ln>
                    <a:noFill/>
                  </a:ln>
                  <a:effectLst/>
                </c:spPr>
                <c:invertIfNegative val="0"/>
                <c:cat>
                  <c:numRef>
                    <c:extLst>
                      <c:ext uri="{02D57815-91ED-43cb-92C2-25804820EDAC}">
                        <c15:fullRef>
                          <c15:sqref>Summary!$M$2:$AI$2</c15:sqref>
                        </c15:fullRef>
                        <c15:formulaRef>
                          <c15:sqref>Summary!$O$2:$AI$2</c15:sqref>
                        </c15:formulaRef>
                      </c:ext>
                    </c:extLst>
                    <c:numCache>
                      <c:formatCode>General</c:formatCode>
                      <c:ptCount val="2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numCache>
                  </c:numRef>
                </c:cat>
                <c:val>
                  <c:numRef>
                    <c:extLst>
                      <c:ext uri="{02D57815-91ED-43cb-92C2-25804820EDAC}">
                        <c15:fullRef>
                          <c15:sqref>Summary!$M$4:$AI$4</c15:sqref>
                        </c15:fullRef>
                        <c15:formulaRef>
                          <c15:sqref>Summary!$O$4:$AI$4</c15:sqref>
                        </c15:formulaRef>
                      </c:ext>
                    </c:extLst>
                    <c:numCache>
                      <c:formatCode>"$"#,##0_);[Red]\("$"#,##0\)</c:formatCode>
                      <c:ptCount val="21"/>
                      <c:pt idx="0">
                        <c:v>16601801.022423323</c:v>
                      </c:pt>
                      <c:pt idx="1">
                        <c:v>14831083.644016827</c:v>
                      </c:pt>
                      <c:pt idx="2">
                        <c:v>14043196.631043853</c:v>
                      </c:pt>
                      <c:pt idx="3">
                        <c:v>13700323.296883607</c:v>
                      </c:pt>
                      <c:pt idx="4">
                        <c:v>13326670.615055252</c:v>
                      </c:pt>
                      <c:pt idx="5">
                        <c:v>12919923.927017288</c:v>
                      </c:pt>
                      <c:pt idx="6">
                        <c:v>12477599.753433967</c:v>
                      </c:pt>
                      <c:pt idx="7">
                        <c:v>11997033.563115839</c:v>
                      </c:pt>
                      <c:pt idx="8">
                        <c:v>11475366.657263037</c:v>
                      </c:pt>
                      <c:pt idx="9">
                        <c:v>11210606.342172302</c:v>
                      </c:pt>
                      <c:pt idx="10">
                        <c:v>11076025.625162283</c:v>
                      </c:pt>
                      <c:pt idx="11">
                        <c:v>10925063.395949615</c:v>
                      </c:pt>
                      <c:pt idx="12">
                        <c:v>10756434.773982326</c:v>
                      </c:pt>
                      <c:pt idx="13">
                        <c:v>10568760.300582958</c:v>
                      </c:pt>
                      <c:pt idx="14">
                        <c:v>10585140.268039811</c:v>
                      </c:pt>
                      <c:pt idx="15">
                        <c:v>10711909.421827445</c:v>
                      </c:pt>
                      <c:pt idx="16">
                        <c:v>10840669.517143866</c:v>
                      </c:pt>
                      <c:pt idx="17">
                        <c:v>10971455.035642283</c:v>
                      </c:pt>
                      <c:pt idx="18">
                        <c:v>11104301.09766149</c:v>
                      </c:pt>
                      <c:pt idx="19">
                        <c:v>11239243.474541651</c:v>
                      </c:pt>
                      <c:pt idx="20">
                        <c:v>11376318.601182895</c:v>
                      </c:pt>
                    </c:numCache>
                  </c:numRef>
                </c:val>
                <c:extLst>
                  <c:ext xmlns:c16="http://schemas.microsoft.com/office/drawing/2014/chart" uri="{C3380CC4-5D6E-409C-BE32-E72D297353CC}">
                    <c16:uniqueId val="{00000001-5816-452B-862A-4BCF4FBB5CFC}"/>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Summary!$L$6</c15:sqref>
                        </c15:formulaRef>
                      </c:ext>
                    </c:extLst>
                    <c:strCache>
                      <c:ptCount val="1"/>
                    </c:strCache>
                  </c:strRef>
                </c:tx>
                <c:spPr>
                  <a:solidFill>
                    <a:schemeClr val="accent4"/>
                  </a:solidFill>
                  <a:ln>
                    <a:noFill/>
                  </a:ln>
                  <a:effectLst/>
                </c:spPr>
                <c:invertIfNegative val="0"/>
                <c:cat>
                  <c:numRef>
                    <c:extLst>
                      <c:ext xmlns:c15="http://schemas.microsoft.com/office/drawing/2012/chart" uri="{02D57815-91ED-43cb-92C2-25804820EDAC}">
                        <c15:fullRef>
                          <c15:sqref>Summary!$M$2:$AI$2</c15:sqref>
                        </c15:fullRef>
                        <c15:formulaRef>
                          <c15:sqref>Summary!$O$2:$AI$2</c15:sqref>
                        </c15:formulaRef>
                      </c:ext>
                    </c:extLst>
                    <c:numCache>
                      <c:formatCode>General</c:formatCode>
                      <c:ptCount val="2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numCache>
                  </c:numRef>
                </c:cat>
                <c:val>
                  <c:numRef>
                    <c:extLst>
                      <c:ext xmlns:c15="http://schemas.microsoft.com/office/drawing/2012/chart" uri="{02D57815-91ED-43cb-92C2-25804820EDAC}">
                        <c15:fullRef>
                          <c15:sqref>Summary!$M$6:$AI$6</c15:sqref>
                        </c15:fullRef>
                        <c15:formulaRef>
                          <c15:sqref>Summary!$O$6:$AI$6</c15:sqref>
                        </c15:formulaRef>
                      </c:ext>
                    </c:extLst>
                    <c:numCache>
                      <c:formatCode>General</c:formatCode>
                      <c:ptCount val="21"/>
                    </c:numCache>
                  </c:numRef>
                </c:val>
                <c:extLst xmlns:c15="http://schemas.microsoft.com/office/drawing/2012/chart">
                  <c:ext xmlns:c16="http://schemas.microsoft.com/office/drawing/2014/chart" uri="{C3380CC4-5D6E-409C-BE32-E72D297353CC}">
                    <c16:uniqueId val="{00000003-5816-452B-862A-4BCF4FBB5CFC}"/>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Summary!$L$7</c15:sqref>
                        </c15:formulaRef>
                      </c:ext>
                    </c:extLst>
                    <c:strCache>
                      <c:ptCount val="1"/>
                      <c:pt idx="0">
                        <c:v>Interest Expense</c:v>
                      </c:pt>
                    </c:strCache>
                  </c:strRef>
                </c:tx>
                <c:spPr>
                  <a:solidFill>
                    <a:schemeClr val="accent5"/>
                  </a:solidFill>
                  <a:ln>
                    <a:noFill/>
                  </a:ln>
                  <a:effectLst/>
                </c:spPr>
                <c:invertIfNegative val="0"/>
                <c:cat>
                  <c:numRef>
                    <c:extLst>
                      <c:ext xmlns:c15="http://schemas.microsoft.com/office/drawing/2012/chart" uri="{02D57815-91ED-43cb-92C2-25804820EDAC}">
                        <c15:fullRef>
                          <c15:sqref>Summary!$M$2:$AI$2</c15:sqref>
                        </c15:fullRef>
                        <c15:formulaRef>
                          <c15:sqref>Summary!$O$2:$AI$2</c15:sqref>
                        </c15:formulaRef>
                      </c:ext>
                    </c:extLst>
                    <c:numCache>
                      <c:formatCode>General</c:formatCode>
                      <c:ptCount val="2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numCache>
                  </c:numRef>
                </c:cat>
                <c:val>
                  <c:numRef>
                    <c:extLst>
                      <c:ext xmlns:c15="http://schemas.microsoft.com/office/drawing/2012/chart" uri="{02D57815-91ED-43cb-92C2-25804820EDAC}">
                        <c15:fullRef>
                          <c15:sqref>Summary!$M$7:$AI$7</c15:sqref>
                        </c15:fullRef>
                        <c15:formulaRef>
                          <c15:sqref>Summary!$O$7:$AI$7</c15:sqref>
                        </c15:formulaRef>
                      </c:ext>
                    </c:extLst>
                    <c:numCache>
                      <c:formatCode>"$"#,##0_);\("$"#,##0\)</c:formatCode>
                      <c:ptCount val="21"/>
                      <c:pt idx="0">
                        <c:v>-12714362.35343045</c:v>
                      </c:pt>
                      <c:pt idx="1">
                        <c:v>-11888299.526458202</c:v>
                      </c:pt>
                      <c:pt idx="2">
                        <c:v>-11002520.550931798</c:v>
                      </c:pt>
                      <c:pt idx="3">
                        <c:v>-10052708.541643836</c:v>
                      </c:pt>
                      <c:pt idx="4">
                        <c:v>-9034234.5454062242</c:v>
                      </c:pt>
                      <c:pt idx="5">
                        <c:v>-7942134.9816306233</c:v>
                      </c:pt>
                      <c:pt idx="6">
                        <c:v>-6771087.4520866219</c:v>
                      </c:pt>
                      <c:pt idx="7">
                        <c:v>-5515384.8019453902</c:v>
                      </c:pt>
                      <c:pt idx="8">
                        <c:v>-4168907.305694059</c:v>
                      </c:pt>
                      <c:pt idx="9">
                        <c:v>-2970391.9454732942</c:v>
                      </c:pt>
                      <c:pt idx="10">
                        <c:v>-2396680.3164087497</c:v>
                      </c:pt>
                      <c:pt idx="11">
                        <c:v>-1824323.0820041397</c:v>
                      </c:pt>
                      <c:pt idx="12">
                        <c:v>-1210590.0968457698</c:v>
                      </c:pt>
                      <c:pt idx="13">
                        <c:v>-552490.30456616264</c:v>
                      </c:pt>
                      <c:pt idx="14">
                        <c:v>-29793.11121479913</c:v>
                      </c:pt>
                      <c:pt idx="15">
                        <c:v>0</c:v>
                      </c:pt>
                      <c:pt idx="16">
                        <c:v>0</c:v>
                      </c:pt>
                      <c:pt idx="17">
                        <c:v>0</c:v>
                      </c:pt>
                      <c:pt idx="18">
                        <c:v>0</c:v>
                      </c:pt>
                      <c:pt idx="19">
                        <c:v>0</c:v>
                      </c:pt>
                      <c:pt idx="20">
                        <c:v>0</c:v>
                      </c:pt>
                    </c:numCache>
                  </c:numRef>
                </c:val>
                <c:extLst xmlns:c15="http://schemas.microsoft.com/office/drawing/2012/chart">
                  <c:ext xmlns:c16="http://schemas.microsoft.com/office/drawing/2014/chart" uri="{C3380CC4-5D6E-409C-BE32-E72D297353CC}">
                    <c16:uniqueId val="{00000004-5816-452B-862A-4BCF4FBB5CFC}"/>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Summary!$L$8</c15:sqref>
                        </c15:formulaRef>
                      </c:ext>
                    </c:extLst>
                    <c:strCache>
                      <c:ptCount val="1"/>
                      <c:pt idx="0">
                        <c:v>Depreciation &amp; Amortization</c:v>
                      </c:pt>
                    </c:strCache>
                  </c:strRef>
                </c:tx>
                <c:spPr>
                  <a:solidFill>
                    <a:schemeClr val="accent6"/>
                  </a:solidFill>
                  <a:ln>
                    <a:noFill/>
                  </a:ln>
                  <a:effectLst/>
                </c:spPr>
                <c:invertIfNegative val="0"/>
                <c:cat>
                  <c:numRef>
                    <c:extLst>
                      <c:ext xmlns:c15="http://schemas.microsoft.com/office/drawing/2012/chart" uri="{02D57815-91ED-43cb-92C2-25804820EDAC}">
                        <c15:fullRef>
                          <c15:sqref>Summary!$M$2:$AI$2</c15:sqref>
                        </c15:fullRef>
                        <c15:formulaRef>
                          <c15:sqref>Summary!$O$2:$AI$2</c15:sqref>
                        </c15:formulaRef>
                      </c:ext>
                    </c:extLst>
                    <c:numCache>
                      <c:formatCode>General</c:formatCode>
                      <c:ptCount val="2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numCache>
                  </c:numRef>
                </c:cat>
                <c:val>
                  <c:numRef>
                    <c:extLst>
                      <c:ext xmlns:c15="http://schemas.microsoft.com/office/drawing/2012/chart" uri="{02D57815-91ED-43cb-92C2-25804820EDAC}">
                        <c15:fullRef>
                          <c15:sqref>Summary!$M$8:$AI$8</c15:sqref>
                        </c15:fullRef>
                        <c15:formulaRef>
                          <c15:sqref>Summary!$O$8:$AI$8</c15:sqref>
                        </c15:formulaRef>
                      </c:ext>
                    </c:extLst>
                    <c:numCache>
                      <c:formatCode>"$"#,##0_);\("$"#,##0\)</c:formatCode>
                      <c:ptCount val="21"/>
                      <c:pt idx="0">
                        <c:v>-36593508.861389801</c:v>
                      </c:pt>
                      <c:pt idx="1">
                        <c:v>-36593508.861389801</c:v>
                      </c:pt>
                      <c:pt idx="2">
                        <c:v>-36593508.861389801</c:v>
                      </c:pt>
                      <c:pt idx="3">
                        <c:v>-36593508.861389801</c:v>
                      </c:pt>
                      <c:pt idx="4">
                        <c:v>-36593508.861389801</c:v>
                      </c:pt>
                      <c:pt idx="5">
                        <c:v>-36736366.004246943</c:v>
                      </c:pt>
                      <c:pt idx="6">
                        <c:v>-9586928.3519147988</c:v>
                      </c:pt>
                      <c:pt idx="7">
                        <c:v>-632353.89637550863</c:v>
                      </c:pt>
                      <c:pt idx="8">
                        <c:v>-775211.03923265135</c:v>
                      </c:pt>
                      <c:pt idx="9">
                        <c:v>-918068.18208979408</c:v>
                      </c:pt>
                      <c:pt idx="10">
                        <c:v>-1060925.3249469369</c:v>
                      </c:pt>
                      <c:pt idx="11">
                        <c:v>-1203782.4678040799</c:v>
                      </c:pt>
                      <c:pt idx="12">
                        <c:v>-1203782.4678040799</c:v>
                      </c:pt>
                      <c:pt idx="13">
                        <c:v>-1203782.4678040799</c:v>
                      </c:pt>
                      <c:pt idx="14">
                        <c:v>-1203782.4678040799</c:v>
                      </c:pt>
                      <c:pt idx="15">
                        <c:v>-1203782.4678040799</c:v>
                      </c:pt>
                      <c:pt idx="16">
                        <c:v>-1203782.4678040799</c:v>
                      </c:pt>
                      <c:pt idx="17">
                        <c:v>-1203782.4678040799</c:v>
                      </c:pt>
                      <c:pt idx="18">
                        <c:v>-1203782.4678040799</c:v>
                      </c:pt>
                      <c:pt idx="19">
                        <c:v>-1203782.4678040799</c:v>
                      </c:pt>
                      <c:pt idx="20">
                        <c:v>-1203782.4678040799</c:v>
                      </c:pt>
                    </c:numCache>
                  </c:numRef>
                </c:val>
                <c:extLst xmlns:c15="http://schemas.microsoft.com/office/drawing/2012/chart">
                  <c:ext xmlns:c16="http://schemas.microsoft.com/office/drawing/2014/chart" uri="{C3380CC4-5D6E-409C-BE32-E72D297353CC}">
                    <c16:uniqueId val="{00000005-5816-452B-862A-4BCF4FBB5CFC}"/>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Summary!$L$9</c15:sqref>
                        </c15:formulaRef>
                      </c:ext>
                    </c:extLst>
                    <c:strCache>
                      <c:ptCount val="1"/>
                      <c:pt idx="0">
                        <c:v>Taxes</c:v>
                      </c:pt>
                    </c:strCache>
                  </c:strRef>
                </c:tx>
                <c:spPr>
                  <a:solidFill>
                    <a:schemeClr val="accent1">
                      <a:lumMod val="60000"/>
                    </a:schemeClr>
                  </a:solidFill>
                  <a:ln>
                    <a:noFill/>
                  </a:ln>
                  <a:effectLst/>
                </c:spPr>
                <c:invertIfNegative val="0"/>
                <c:cat>
                  <c:numRef>
                    <c:extLst>
                      <c:ext xmlns:c15="http://schemas.microsoft.com/office/drawing/2012/chart" uri="{02D57815-91ED-43cb-92C2-25804820EDAC}">
                        <c15:fullRef>
                          <c15:sqref>Summary!$M$2:$AI$2</c15:sqref>
                        </c15:fullRef>
                        <c15:formulaRef>
                          <c15:sqref>Summary!$O$2:$AI$2</c15:sqref>
                        </c15:formulaRef>
                      </c:ext>
                    </c:extLst>
                    <c:numCache>
                      <c:formatCode>General</c:formatCode>
                      <c:ptCount val="2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numCache>
                  </c:numRef>
                </c:cat>
                <c:val>
                  <c:numRef>
                    <c:extLst>
                      <c:ext xmlns:c15="http://schemas.microsoft.com/office/drawing/2012/chart" uri="{02D57815-91ED-43cb-92C2-25804820EDAC}">
                        <c15:fullRef>
                          <c15:sqref>Summary!$M$9:$AI$9</c15:sqref>
                        </c15:fullRef>
                        <c15:formulaRef>
                          <c15:sqref>Summary!$O$9:$AI$9</c15:sqref>
                        </c15:formulaRef>
                      </c:ext>
                    </c:extLst>
                    <c:numCache>
                      <c:formatCode>"$"#,##0_);\("$"#,##0\)</c:formatCode>
                      <c:ptCount val="21"/>
                      <c:pt idx="0">
                        <c:v>0</c:v>
                      </c:pt>
                      <c:pt idx="1">
                        <c:v>0</c:v>
                      </c:pt>
                      <c:pt idx="2">
                        <c:v>0</c:v>
                      </c:pt>
                      <c:pt idx="3">
                        <c:v>0</c:v>
                      </c:pt>
                      <c:pt idx="4">
                        <c:v>0</c:v>
                      </c:pt>
                      <c:pt idx="5">
                        <c:v>0</c:v>
                      </c:pt>
                      <c:pt idx="6">
                        <c:v>0</c:v>
                      </c:pt>
                      <c:pt idx="7">
                        <c:v>-1201366.5941631054</c:v>
                      </c:pt>
                      <c:pt idx="8">
                        <c:v>-14462030.601857629</c:v>
                      </c:pt>
                      <c:pt idx="9">
                        <c:v>-15002111.047157314</c:v>
                      </c:pt>
                      <c:pt idx="10">
                        <c:v>-15396765.642952664</c:v>
                      </c:pt>
                      <c:pt idx="11">
                        <c:v>-15800108.921938114</c:v>
                      </c:pt>
                      <c:pt idx="12">
                        <c:v>-16249630.030813068</c:v>
                      </c:pt>
                      <c:pt idx="13">
                        <c:v>-16717748.672356604</c:v>
                      </c:pt>
                      <c:pt idx="14">
                        <c:v>-17124010.297384359</c:v>
                      </c:pt>
                      <c:pt idx="15">
                        <c:v>-17415769.460462924</c:v>
                      </c:pt>
                      <c:pt idx="16">
                        <c:v>-17707452.263500862</c:v>
                      </c:pt>
                      <c:pt idx="17">
                        <c:v>-18005137.199257385</c:v>
                      </c:pt>
                      <c:pt idx="18">
                        <c:v>-18308946.569218758</c:v>
                      </c:pt>
                      <c:pt idx="19">
                        <c:v>-18619005.155023955</c:v>
                      </c:pt>
                      <c:pt idx="20">
                        <c:v>-18935440.268641215</c:v>
                      </c:pt>
                    </c:numCache>
                  </c:numRef>
                </c:val>
                <c:extLst xmlns:c15="http://schemas.microsoft.com/office/drawing/2012/chart">
                  <c:ext xmlns:c16="http://schemas.microsoft.com/office/drawing/2014/chart" uri="{C3380CC4-5D6E-409C-BE32-E72D297353CC}">
                    <c16:uniqueId val="{00000006-5816-452B-862A-4BCF4FBB5CFC}"/>
                  </c:ext>
                </c:extLst>
              </c15:ser>
            </c15:filteredBarSeries>
          </c:ext>
        </c:extLst>
      </c:barChart>
      <c:lineChart>
        <c:grouping val="standard"/>
        <c:varyColors val="0"/>
        <c:ser>
          <c:idx val="8"/>
          <c:order val="8"/>
          <c:tx>
            <c:strRef>
              <c:f>Summary!$L$16</c:f>
              <c:strCache>
                <c:ptCount val="1"/>
                <c:pt idx="0">
                  <c:v>Project Cash Flow</c:v>
                </c:pt>
              </c:strCache>
            </c:strRef>
          </c:tx>
          <c:spPr>
            <a:ln w="28575" cap="rnd">
              <a:solidFill>
                <a:srgbClr val="3083FB"/>
              </a:solidFill>
              <a:round/>
            </a:ln>
            <a:effectLst/>
          </c:spPr>
          <c:marker>
            <c:symbol val="none"/>
          </c:marker>
          <c:dLbls>
            <c:numFmt formatCode="&quot;$&quot;#,##0.0,,_);[Red]\(&quot;$&quot;#,##0\)" sourceLinked="0"/>
            <c:spPr>
              <a:solidFill>
                <a:schemeClr val="lt1"/>
              </a:solidFill>
              <a:ln>
                <a:solidFill>
                  <a:srgbClr val="3083FB"/>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2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Summary!$M$16:$AI$16</c15:sqref>
                  </c15:fullRef>
                </c:ext>
              </c:extLst>
              <c:f>Summary!$O$16:$AI$16</c:f>
              <c:numCache>
                <c:formatCode>"$"#,##0_);[Red]\("$"#,##0\)</c:formatCode>
                <c:ptCount val="21"/>
                <c:pt idx="0">
                  <c:v>30892539.937120374</c:v>
                </c:pt>
                <c:pt idx="1">
                  <c:v>38790608.306733631</c:v>
                </c:pt>
                <c:pt idx="2">
                  <c:v>40888594.998186514</c:v>
                </c:pt>
                <c:pt idx="3">
                  <c:v>42167533.747360125</c:v>
                </c:pt>
                <c:pt idx="4">
                  <c:v>43708830.380346</c:v>
                </c:pt>
                <c:pt idx="5">
                  <c:v>44355511.556982078</c:v>
                </c:pt>
                <c:pt idx="6">
                  <c:v>46010419.90183299</c:v>
                </c:pt>
                <c:pt idx="7">
                  <c:v>46585281.529755935</c:v>
                </c:pt>
                <c:pt idx="8">
                  <c:v>35768280.95328787</c:v>
                </c:pt>
                <c:pt idx="9">
                  <c:v>46669613.567029066</c:v>
                </c:pt>
                <c:pt idx="10">
                  <c:v>51043956.678520314</c:v>
                </c:pt>
                <c:pt idx="11">
                  <c:v>52168636.051694915</c:v>
                </c:pt>
                <c:pt idx="12">
                  <c:v>53293769.929519288</c:v>
                </c:pt>
                <c:pt idx="13">
                  <c:v>54447425.964719102</c:v>
                </c:pt>
                <c:pt idx="14">
                  <c:v>62843516.399131566</c:v>
                </c:pt>
                <c:pt idx="15">
                  <c:v>66373517.294172972</c:v>
                </c:pt>
                <c:pt idx="16">
                  <c:v>67481911.945717141</c:v>
                </c:pt>
                <c:pt idx="17">
                  <c:v>71045881.256349355</c:v>
                </c:pt>
                <c:pt idx="18">
                  <c:v>73439568.744679108</c:v>
                </c:pt>
                <c:pt idx="19">
                  <c:v>74679803.087899879</c:v>
                </c:pt>
                <c:pt idx="20">
                  <c:v>75945543.542368934</c:v>
                </c:pt>
              </c:numCache>
            </c:numRef>
          </c:val>
          <c:smooth val="0"/>
          <c:extLst>
            <c:ext xmlns:c16="http://schemas.microsoft.com/office/drawing/2014/chart" uri="{C3380CC4-5D6E-409C-BE32-E72D297353CC}">
              <c16:uniqueId val="{00000008-5816-452B-862A-4BCF4FBB5CFC}"/>
            </c:ext>
          </c:extLst>
        </c:ser>
        <c:dLbls>
          <c:showLegendKey val="0"/>
          <c:showVal val="0"/>
          <c:showCatName val="0"/>
          <c:showSerName val="0"/>
          <c:showPercent val="0"/>
          <c:showBubbleSize val="0"/>
        </c:dLbls>
        <c:marker val="1"/>
        <c:smooth val="0"/>
        <c:axId val="429306127"/>
        <c:axId val="684905407"/>
      </c:lineChart>
      <c:catAx>
        <c:axId val="429306127"/>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84905407"/>
        <c:crosses val="autoZero"/>
        <c:auto val="1"/>
        <c:lblAlgn val="ctr"/>
        <c:lblOffset val="100"/>
        <c:noMultiLvlLbl val="0"/>
      </c:catAx>
      <c:valAx>
        <c:axId val="684905407"/>
        <c:scaling>
          <c:orientation val="minMax"/>
        </c:scaling>
        <c:delete val="0"/>
        <c:axPos val="l"/>
        <c:numFmt formatCode="&quot;$&quot;#,##0.0,,_);[Red]\(&quot;$&quot;#,##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9306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t>Monthly Revenue</a:t>
            </a:r>
          </a:p>
        </c:rich>
      </c:tx>
      <c:layout>
        <c:manualLayout>
          <c:xMode val="edge"/>
          <c:yMode val="edge"/>
          <c:x val="1.7165514852389617E-2"/>
          <c:y val="1.59249859463992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178328600702846E-2"/>
          <c:y val="0.10480834328573928"/>
          <c:w val="0.9056031388938689"/>
          <c:h val="0.64838347887934644"/>
        </c:manualLayout>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36-41E7-B610-714782D815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27A-4FC3-B0AA-9555218F0C3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27A-4FC3-B0AA-9555218F0C3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27A-4FC3-B0AA-9555218F0C3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27A-4FC3-B0AA-9555218F0C3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27A-4FC3-B0AA-9555218F0C3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36-41E7-B610-714782D8159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E536-41E7-B610-714782D8159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E536-41E7-B610-714782D8159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36-41E7-B610-714782D8159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8-E536-41E7-B610-714782D8159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E536-41E7-B610-714782D8159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6-E536-41E7-B610-714782D8159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82E0-4793-9470-AC670CA04CA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CA68-4974-92ED-BCD9D95B8964}"/>
              </c:ext>
            </c:extLst>
          </c:dPt>
          <c:dLbls>
            <c:dLbl>
              <c:idx val="0"/>
              <c:delete val="1"/>
              <c:extLst>
                <c:ext xmlns:c15="http://schemas.microsoft.com/office/drawing/2012/chart" uri="{CE6537A1-D6FC-4f65-9D91-7224C49458BB}">
                  <c15:layout>
                    <c:manualLayout>
                      <c:w val="0.1530669372774493"/>
                      <c:h val="0.15085953605306598"/>
                    </c:manualLayout>
                  </c15:layout>
                </c:ext>
                <c:ext xmlns:c16="http://schemas.microsoft.com/office/drawing/2014/chart" uri="{C3380CC4-5D6E-409C-BE32-E72D297353CC}">
                  <c16:uniqueId val="{00000002-E536-41E7-B610-714782D81593}"/>
                </c:ext>
              </c:extLst>
            </c:dLbl>
            <c:dLbl>
              <c:idx val="1"/>
              <c:layout>
                <c:manualLayout>
                  <c:x val="-4.4324260446556608E-2"/>
                  <c:y val="-0.4063109717110873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27A-4FC3-B0AA-9555218F0C3D}"/>
                </c:ext>
              </c:extLst>
            </c:dLbl>
            <c:dLbl>
              <c:idx val="2"/>
              <c:layout>
                <c:manualLayout>
                  <c:x val="0.18834070307551445"/>
                  <c:y val="0.100991461805166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27A-4FC3-B0AA-9555218F0C3D}"/>
                </c:ext>
              </c:extLst>
            </c:dLbl>
            <c:dLbl>
              <c:idx val="3"/>
              <c:layout>
                <c:manualLayout>
                  <c:x val="0.21322798281530178"/>
                  <c:y val="0.1795399433107732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27A-4FC3-B0AA-9555218F0C3D}"/>
                </c:ext>
              </c:extLst>
            </c:dLbl>
            <c:dLbl>
              <c:idx val="4"/>
              <c:layout>
                <c:manualLayout>
                  <c:x val="9.1863708157606666E-2"/>
                  <c:y val="6.501262496979833E-2"/>
                </c:manualLayout>
              </c:layout>
              <c:showLegendKey val="0"/>
              <c:showVal val="1"/>
              <c:showCatName val="1"/>
              <c:showSerName val="0"/>
              <c:showPercent val="1"/>
              <c:showBubbleSize val="0"/>
              <c:extLst>
                <c:ext xmlns:c15="http://schemas.microsoft.com/office/drawing/2012/chart" uri="{CE6537A1-D6FC-4f65-9D91-7224C49458BB}">
                  <c15:layout>
                    <c:manualLayout>
                      <c:w val="0.16114576653609455"/>
                      <c:h val="6.4170825412795438E-2"/>
                    </c:manualLayout>
                  </c15:layout>
                </c:ext>
                <c:ext xmlns:c16="http://schemas.microsoft.com/office/drawing/2014/chart" uri="{C3380CC4-5D6E-409C-BE32-E72D297353CC}">
                  <c16:uniqueId val="{00000009-427A-4FC3-B0AA-9555218F0C3D}"/>
                </c:ext>
              </c:extLst>
            </c:dLbl>
            <c:dLbl>
              <c:idx val="5"/>
              <c:layout>
                <c:manualLayout>
                  <c:x val="2.4204685796771767E-2"/>
                  <c:y val="0.3277954904371252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427A-4FC3-B0AA-9555218F0C3D}"/>
                </c:ext>
              </c:extLst>
            </c:dLbl>
            <c:dLbl>
              <c:idx val="7"/>
              <c:delete val="1"/>
              <c:extLst>
                <c:ext xmlns:c15="http://schemas.microsoft.com/office/drawing/2012/chart" uri="{CE6537A1-D6FC-4f65-9D91-7224C49458BB}">
                  <c15:layout>
                    <c:manualLayout>
                      <c:w val="0.1359617189452571"/>
                      <c:h val="9.6562901741227294E-2"/>
                    </c:manualLayout>
                  </c15:layout>
                </c:ext>
                <c:ext xmlns:c16="http://schemas.microsoft.com/office/drawing/2014/chart" uri="{C3380CC4-5D6E-409C-BE32-E72D297353CC}">
                  <c16:uniqueId val="{00000001-E536-41E7-B610-714782D81593}"/>
                </c:ext>
              </c:extLst>
            </c:dLbl>
            <c:dLbl>
              <c:idx val="8"/>
              <c:layout>
                <c:manualLayout>
                  <c:x val="1.3400920405686552E-2"/>
                  <c:y val="-0.26180090674520212"/>
                </c:manualLayout>
              </c:layout>
              <c:showLegendKey val="0"/>
              <c:showVal val="1"/>
              <c:showCatName val="1"/>
              <c:showSerName val="0"/>
              <c:showPercent val="1"/>
              <c:showBubbleSize val="0"/>
              <c:extLst>
                <c:ext xmlns:c15="http://schemas.microsoft.com/office/drawing/2012/chart" uri="{CE6537A1-D6FC-4f65-9D91-7224C49458BB}">
                  <c15:layout>
                    <c:manualLayout>
                      <c:w val="0.14813739526871295"/>
                      <c:h val="7.5384482994697966E-2"/>
                    </c:manualLayout>
                  </c15:layout>
                </c:ext>
                <c:ext xmlns:c16="http://schemas.microsoft.com/office/drawing/2014/chart" uri="{C3380CC4-5D6E-409C-BE32-E72D297353CC}">
                  <c16:uniqueId val="{00000004-E536-41E7-B610-714782D81593}"/>
                </c:ext>
              </c:extLst>
            </c:dLbl>
            <c:dLbl>
              <c:idx val="9"/>
              <c:layout>
                <c:manualLayout>
                  <c:x val="6.7165876631510787E-2"/>
                  <c:y val="-2.442751804586131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536-41E7-B610-714782D81593}"/>
                </c:ext>
              </c:extLst>
            </c:dLbl>
            <c:dLbl>
              <c:idx val="10"/>
              <c:delete val="1"/>
              <c:extLst>
                <c:ext xmlns:c15="http://schemas.microsoft.com/office/drawing/2012/chart" uri="{CE6537A1-D6FC-4f65-9D91-7224C49458BB}">
                  <c15:layout>
                    <c:manualLayout>
                      <c:w val="0.10127252791050549"/>
                      <c:h val="0.13001493026413025"/>
                    </c:manualLayout>
                  </c15:layout>
                </c:ext>
                <c:ext xmlns:c16="http://schemas.microsoft.com/office/drawing/2014/chart" uri="{C3380CC4-5D6E-409C-BE32-E72D297353CC}">
                  <c16:uniqueId val="{00000008-E536-41E7-B610-714782D81593}"/>
                </c:ext>
              </c:extLst>
            </c:dLbl>
            <c:dLbl>
              <c:idx val="11"/>
              <c:delete val="1"/>
              <c:extLst>
                <c:ext xmlns:c15="http://schemas.microsoft.com/office/drawing/2012/chart" uri="{CE6537A1-D6FC-4f65-9D91-7224C49458BB}">
                  <c15:layout>
                    <c:manualLayout>
                      <c:w val="0.10289978024933213"/>
                      <c:h val="0.14328581173488666"/>
                    </c:manualLayout>
                  </c15:layout>
                </c:ext>
                <c:ext xmlns:c16="http://schemas.microsoft.com/office/drawing/2014/chart" uri="{C3380CC4-5D6E-409C-BE32-E72D297353CC}">
                  <c16:uniqueId val="{00000007-E536-41E7-B610-714782D81593}"/>
                </c:ext>
              </c:extLst>
            </c:dLbl>
            <c:dLbl>
              <c:idx val="12"/>
              <c:delete val="1"/>
              <c:extLst>
                <c:ext xmlns:c15="http://schemas.microsoft.com/office/drawing/2012/chart" uri="{CE6537A1-D6FC-4f65-9D91-7224C49458BB}">
                  <c15:layout>
                    <c:manualLayout>
                      <c:w val="0.10388577909585971"/>
                      <c:h val="0.11939822508752512"/>
                    </c:manualLayout>
                  </c15:layout>
                </c:ext>
                <c:ext xmlns:c16="http://schemas.microsoft.com/office/drawing/2014/chart" uri="{C3380CC4-5D6E-409C-BE32-E72D297353CC}">
                  <c16:uniqueId val="{00000006-E536-41E7-B610-714782D81593}"/>
                </c:ext>
              </c:extLst>
            </c:dLbl>
            <c:dLbl>
              <c:idx val="13"/>
              <c:delete val="1"/>
              <c:extLst>
                <c:ext xmlns:c15="http://schemas.microsoft.com/office/drawing/2012/chart" uri="{CE6537A1-D6FC-4f65-9D91-7224C49458BB}"/>
                <c:ext xmlns:c16="http://schemas.microsoft.com/office/drawing/2014/chart" uri="{C3380CC4-5D6E-409C-BE32-E72D297353CC}">
                  <c16:uniqueId val="{0000001B-82E0-4793-9470-AC670CA04CA3}"/>
                </c:ext>
              </c:extLst>
            </c:dLbl>
            <c:dLbl>
              <c:idx val="14"/>
              <c:delete val="1"/>
              <c:extLst>
                <c:ext xmlns:c15="http://schemas.microsoft.com/office/drawing/2012/chart" uri="{CE6537A1-D6FC-4f65-9D91-7224C49458BB}">
                  <c15:layout>
                    <c:manualLayout>
                      <c:w val="0.13831644880026508"/>
                      <c:h val="6.6274782064957516E-2"/>
                    </c:manualLayout>
                  </c15:layout>
                </c:ext>
                <c:ext xmlns:c16="http://schemas.microsoft.com/office/drawing/2014/chart" uri="{C3380CC4-5D6E-409C-BE32-E72D297353CC}">
                  <c16:uniqueId val="{0000001D-CA68-4974-92ED-BCD9D95B89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Summary!$B$41:$B$55</c:f>
              <c:strCache>
                <c:ptCount val="15"/>
                <c:pt idx="0">
                  <c:v>Income Power</c:v>
                </c:pt>
                <c:pt idx="1">
                  <c:v>RNG Sale price</c:v>
                </c:pt>
                <c:pt idx="2">
                  <c:v>Activated Carbon Ash </c:v>
                </c:pt>
                <c:pt idx="3">
                  <c:v>Aluminum</c:v>
                </c:pt>
                <c:pt idx="4">
                  <c:v>Ferrous Metals</c:v>
                </c:pt>
                <c:pt idx="5">
                  <c:v>Non-Ferrous Metals</c:v>
                </c:pt>
                <c:pt idx="6">
                  <c:v>Steel from Tires</c:v>
                </c:pt>
                <c:pt idx="7">
                  <c:v>Steel, OTR Tires</c:v>
                </c:pt>
                <c:pt idx="8">
                  <c:v>Carbon Black </c:v>
                </c:pt>
                <c:pt idx="9">
                  <c:v>Light Oil Sale</c:v>
                </c:pt>
                <c:pt idx="10">
                  <c:v>Diesel</c:v>
                </c:pt>
                <c:pt idx="11">
                  <c:v>JP </c:v>
                </c:pt>
                <c:pt idx="12">
                  <c:v>Gas</c:v>
                </c:pt>
                <c:pt idx="13">
                  <c:v>Lube oil</c:v>
                </c:pt>
                <c:pt idx="14">
                  <c:v>Petroleum Coke</c:v>
                </c:pt>
              </c:strCache>
            </c:strRef>
          </c:cat>
          <c:val>
            <c:numRef>
              <c:f>Summary!$C$41:$C$55</c:f>
              <c:numCache>
                <c:formatCode>"$"#,##0_);\("$"#,##0\)</c:formatCode>
                <c:ptCount val="15"/>
                <c:pt idx="0">
                  <c:v>1848611.8528620324</c:v>
                </c:pt>
                <c:pt idx="1">
                  <c:v>0</c:v>
                </c:pt>
                <c:pt idx="2">
                  <c:v>1352512.9048503083</c:v>
                </c:pt>
                <c:pt idx="3">
                  <c:v>301604.16174117476</c:v>
                </c:pt>
                <c:pt idx="4">
                  <c:v>39018.170115707602</c:v>
                </c:pt>
                <c:pt idx="5">
                  <c:v>807109.72860314383</c:v>
                </c:pt>
                <c:pt idx="6">
                  <c:v>113278.55840044124</c:v>
                </c:pt>
                <c:pt idx="7">
                  <c:v>0</c:v>
                </c:pt>
                <c:pt idx="8">
                  <c:v>719719.32559472276</c:v>
                </c:pt>
                <c:pt idx="9">
                  <c:v>0</c:v>
                </c:pt>
                <c:pt idx="10">
                  <c:v>0</c:v>
                </c:pt>
                <c:pt idx="11">
                  <c:v>0</c:v>
                </c:pt>
                <c:pt idx="12">
                  <c:v>0</c:v>
                </c:pt>
                <c:pt idx="13">
                  <c:v>0</c:v>
                </c:pt>
                <c:pt idx="14">
                  <c:v>0</c:v>
                </c:pt>
              </c:numCache>
            </c:numRef>
          </c:val>
          <c:extLst>
            <c:ext xmlns:c16="http://schemas.microsoft.com/office/drawing/2014/chart" uri="{C3380CC4-5D6E-409C-BE32-E72D297353CC}">
              <c16:uniqueId val="{00000000-E536-41E7-B610-714782D81593}"/>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Income /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2">
                <a:lumMod val="60000"/>
                <a:lumOff val="40000"/>
              </a:schemeClr>
            </a:solidFill>
            <a:ln>
              <a:noFill/>
            </a:ln>
            <a:effectLst/>
            <a:sp3d/>
          </c:spPr>
          <c:invertIfNegative val="0"/>
          <c:dLbls>
            <c:spPr>
              <a:pattFill prst="pct5">
                <a:fgClr>
                  <a:schemeClr val="accent2">
                    <a:lumMod val="60000"/>
                    <a:lumOff val="40000"/>
                  </a:schemeClr>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Summary!$B$75:$B$78</c:f>
              <c:strCache>
                <c:ptCount val="4"/>
                <c:pt idx="0">
                  <c:v>Total Revenue</c:v>
                </c:pt>
                <c:pt idx="1">
                  <c:v>Total Expenses</c:v>
                </c:pt>
                <c:pt idx="2">
                  <c:v>EBITDA</c:v>
                </c:pt>
                <c:pt idx="3">
                  <c:v>Debt Repayment</c:v>
                </c:pt>
              </c:strCache>
            </c:strRef>
          </c:cat>
          <c:val>
            <c:numRef>
              <c:f>Summary!$C$75:$C$78</c:f>
              <c:numCache>
                <c:formatCode>"$"#,##0_);\("$"#,##0\)</c:formatCode>
                <c:ptCount val="4"/>
                <c:pt idx="0">
                  <c:v>6690127.5369754806</c:v>
                </c:pt>
                <c:pt idx="1">
                  <c:v>1384940.5707716723</c:v>
                </c:pt>
                <c:pt idx="2">
                  <c:v>5305186.9662038088</c:v>
                </c:pt>
                <c:pt idx="3" formatCode="&quot;$&quot;#,##0_);[Red]\(&quot;$&quot;#,##0\)">
                  <c:v>2011784.8913553937</c:v>
                </c:pt>
              </c:numCache>
            </c:numRef>
          </c:val>
          <c:extLst>
            <c:ext xmlns:c16="http://schemas.microsoft.com/office/drawing/2014/chart" uri="{C3380CC4-5D6E-409C-BE32-E72D297353CC}">
              <c16:uniqueId val="{00000000-845A-4471-908C-B1EFA0DB8826}"/>
            </c:ext>
          </c:extLst>
        </c:ser>
        <c:dLbls>
          <c:showLegendKey val="0"/>
          <c:showVal val="0"/>
          <c:showCatName val="0"/>
          <c:showSerName val="0"/>
          <c:showPercent val="0"/>
          <c:showBubbleSize val="0"/>
        </c:dLbls>
        <c:gapWidth val="150"/>
        <c:shape val="box"/>
        <c:axId val="400855576"/>
        <c:axId val="400854920"/>
        <c:axId val="0"/>
      </c:bar3DChart>
      <c:catAx>
        <c:axId val="400855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54920"/>
        <c:crosses val="autoZero"/>
        <c:auto val="1"/>
        <c:lblAlgn val="ctr"/>
        <c:lblOffset val="100"/>
        <c:noMultiLvlLbl val="0"/>
      </c:catAx>
      <c:valAx>
        <c:axId val="400854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55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Drawdown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'Cash Drawdown schedule'!$C$4</c:f>
              <c:strCache>
                <c:ptCount val="1"/>
                <c:pt idx="0">
                  <c:v>Running Balance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'Cash Drawdown schedule'!$D$4:$W$4</c:f>
              <c:numCache>
                <c:formatCode>_("$"* #,##0.00_);_("$"* \(#,##0.00\);_("$"* "-"??_);_(@_)</c:formatCode>
                <c:ptCount val="20"/>
                <c:pt idx="1">
                  <c:v>931368.75275122793</c:v>
                </c:pt>
                <c:pt idx="2">
                  <c:v>1862737.5055024559</c:v>
                </c:pt>
                <c:pt idx="3">
                  <c:v>2794106.2582536838</c:v>
                </c:pt>
                <c:pt idx="4">
                  <c:v>3725475.0110049117</c:v>
                </c:pt>
                <c:pt idx="5">
                  <c:v>100439912.88875614</c:v>
                </c:pt>
                <c:pt idx="6">
                  <c:v>116951941.74150737</c:v>
                </c:pt>
                <c:pt idx="7">
                  <c:v>120772497.9942586</c:v>
                </c:pt>
                <c:pt idx="8">
                  <c:v>145144490.58700985</c:v>
                </c:pt>
                <c:pt idx="9">
                  <c:v>146808860.64892775</c:v>
                </c:pt>
                <c:pt idx="10">
                  <c:v>158880577.13584563</c:v>
                </c:pt>
                <c:pt idx="11">
                  <c:v>160544947.19776353</c:v>
                </c:pt>
                <c:pt idx="12">
                  <c:v>175913817.25968143</c:v>
                </c:pt>
                <c:pt idx="13">
                  <c:v>225229656.92159933</c:v>
                </c:pt>
                <c:pt idx="14">
                  <c:v>240264012.0155172</c:v>
                </c:pt>
                <c:pt idx="15">
                  <c:v>255537550.52158844</c:v>
                </c:pt>
                <c:pt idx="16">
                  <c:v>259073376.63296634</c:v>
                </c:pt>
                <c:pt idx="17">
                  <c:v>261843562.99234423</c:v>
                </c:pt>
                <c:pt idx="18">
                  <c:v>263754231.72372213</c:v>
                </c:pt>
                <c:pt idx="19">
                  <c:v>265539470.45510003</c:v>
                </c:pt>
              </c:numCache>
            </c:numRef>
          </c:val>
          <c:smooth val="0"/>
          <c:extLst>
            <c:ext xmlns:c16="http://schemas.microsoft.com/office/drawing/2014/chart" uri="{C3380CC4-5D6E-409C-BE32-E72D297353CC}">
              <c16:uniqueId val="{00000000-A1D0-44E2-BC26-F71E7D86A31E}"/>
            </c:ext>
          </c:extLst>
        </c:ser>
        <c:ser>
          <c:idx val="1"/>
          <c:order val="1"/>
          <c:tx>
            <c:strRef>
              <c:f>'Cash Drawdown schedule'!$C$5</c:f>
              <c:strCache>
                <c:ptCount val="1"/>
                <c:pt idx="0">
                  <c:v>Drawdown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'Cash Drawdown schedule'!$D$5:$W$5</c:f>
              <c:numCache>
                <c:formatCode>_("$"* #,##0.00_);_("$"* \(#,##0.00\);_("$"* "-"??_);_(@_)</c:formatCode>
                <c:ptCount val="20"/>
                <c:pt idx="1">
                  <c:v>931368.75275122793</c:v>
                </c:pt>
                <c:pt idx="2">
                  <c:v>931368.75275122793</c:v>
                </c:pt>
                <c:pt idx="3">
                  <c:v>931368.75275122793</c:v>
                </c:pt>
                <c:pt idx="4">
                  <c:v>931368.75275122793</c:v>
                </c:pt>
                <c:pt idx="5">
                  <c:v>96714437.877751231</c:v>
                </c:pt>
                <c:pt idx="6">
                  <c:v>16512028.852751229</c:v>
                </c:pt>
                <c:pt idx="7">
                  <c:v>3820556.2527512279</c:v>
                </c:pt>
                <c:pt idx="8">
                  <c:v>24371992.592751235</c:v>
                </c:pt>
                <c:pt idx="9">
                  <c:v>1664370.0619178896</c:v>
                </c:pt>
                <c:pt idx="10">
                  <c:v>12071716.486917891</c:v>
                </c:pt>
                <c:pt idx="11">
                  <c:v>1664370.0619178896</c:v>
                </c:pt>
                <c:pt idx="12">
                  <c:v>15368870.06191789</c:v>
                </c:pt>
                <c:pt idx="13">
                  <c:v>49315839.661917895</c:v>
                </c:pt>
                <c:pt idx="14">
                  <c:v>15034355.09391789</c:v>
                </c:pt>
                <c:pt idx="15">
                  <c:v>15273538.506071229</c:v>
                </c:pt>
                <c:pt idx="16">
                  <c:v>3535826.1113778949</c:v>
                </c:pt>
                <c:pt idx="17">
                  <c:v>2770186.3593778946</c:v>
                </c:pt>
                <c:pt idx="18">
                  <c:v>1910668.7313778945</c:v>
                </c:pt>
                <c:pt idx="19">
                  <c:v>1785238.7313778945</c:v>
                </c:pt>
              </c:numCache>
            </c:numRef>
          </c:val>
          <c:smooth val="0"/>
          <c:extLst>
            <c:ext xmlns:c16="http://schemas.microsoft.com/office/drawing/2014/chart" uri="{C3380CC4-5D6E-409C-BE32-E72D297353CC}">
              <c16:uniqueId val="{00000001-A1D0-44E2-BC26-F71E7D86A31E}"/>
            </c:ext>
          </c:extLst>
        </c:ser>
        <c:dLbls>
          <c:showLegendKey val="0"/>
          <c:showVal val="0"/>
          <c:showCatName val="0"/>
          <c:showSerName val="0"/>
          <c:showPercent val="0"/>
          <c:showBubbleSize val="0"/>
        </c:dLbls>
        <c:marker val="1"/>
        <c:smooth val="0"/>
        <c:axId val="799044152"/>
        <c:axId val="799044872"/>
      </c:lineChart>
      <c:catAx>
        <c:axId val="7990441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044872"/>
        <c:crosses val="autoZero"/>
        <c:auto val="1"/>
        <c:lblAlgn val="ctr"/>
        <c:lblOffset val="100"/>
        <c:noMultiLvlLbl val="0"/>
      </c:catAx>
      <c:valAx>
        <c:axId val="7990448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044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_xlchart.v1.7</cx:f>
      </cx:strDim>
      <cx:numDim type="val">
        <cx:f dir="row">_xlchart.v1.8</cx:f>
      </cx:numDim>
    </cx:data>
    <cx:data id="1">
      <cx:strDim type="cat">
        <cx:f dir="row">_xlchart.v1.7</cx:f>
      </cx:strDim>
      <cx:numDim type="val">
        <cx:f dir="row">_xlchart.v1.4</cx:f>
      </cx:numDim>
    </cx:data>
    <cx:data id="2">
      <cx:strDim type="cat">
        <cx:f dir="row">_xlchart.v1.7</cx:f>
      </cx:strDim>
      <cx:numDim type="val">
        <cx:f dir="row">_xlchart.v1.5</cx:f>
      </cx:numDim>
    </cx:data>
    <cx:data id="3">
      <cx:strDim type="cat">
        <cx:f dir="row">_xlchart.v1.7</cx:f>
      </cx:strDim>
      <cx:numDim type="val">
        <cx:f dir="row">_xlchart.v1.6</cx:f>
      </cx:numDim>
    </cx:data>
  </cx:chartData>
  <cx:chart>
    <cx:title pos="t" align="ctr" overlay="0">
      <cx:tx>
        <cx:rich>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1" i="0" u="none" strike="noStrike" kern="1200" cap="none" spc="0" normalizeH="0" baseline="0" noProof="0">
                <a:ln>
                  <a:noFill/>
                </a:ln>
                <a:solidFill>
                  <a:sysClr val="windowText" lastClr="000000">
                    <a:lumMod val="65000"/>
                    <a:lumOff val="35000"/>
                  </a:sysClr>
                </a:solidFill>
                <a:effectLst/>
                <a:uLnTx/>
                <a:uFillTx/>
                <a:latin typeface="Calibri" panose="020F0502020204030204"/>
              </a:rPr>
              <a:t>Cashflow Statement </a:t>
            </a:r>
            <a:endParaRPr lang="en-US" b="1"/>
          </a:p>
        </cx:rich>
      </cx:tx>
    </cx:title>
    <cx:plotArea>
      <cx:plotAreaRegion>
        <cx:series layoutId="waterfall" uniqueId="{59C8F48F-78F6-4A08-8241-D25AE7DE24E9}" formatIdx="0">
          <cx:tx>
            <cx:txData>
              <cx:f>_xlchart.v1.3</cx:f>
              <cx:v>Net Income</cx:v>
            </cx:txData>
          </cx:tx>
          <cx:dataId val="0"/>
          <cx:layoutPr>
            <cx:subtotals/>
          </cx:layoutPr>
        </cx:series>
        <cx:series layoutId="waterfall" hidden="1" uniqueId="{1AA1724F-0515-4CD8-9799-68E97ADB40A4}" formatIdx="1">
          <cx:tx>
            <cx:txData>
              <cx:f>_xlchart.v1.0</cx:f>
              <cx:v>Depreciation</cx:v>
            </cx:txData>
          </cx:tx>
          <cx:dataId val="1"/>
          <cx:layoutPr>
            <cx:subtotals/>
          </cx:layoutPr>
        </cx:series>
        <cx:series layoutId="waterfall" hidden="1" uniqueId="{2BA2E357-D236-446E-861B-3BC599C373AD}" formatIdx="2">
          <cx:tx>
            <cx:txData>
              <cx:f>_xlchart.v1.1</cx:f>
              <cx:v>Amortization</cx:v>
            </cx:txData>
          </cx:tx>
          <cx:dataId val="2"/>
          <cx:layoutPr>
            <cx:subtotals/>
          </cx:layoutPr>
        </cx:series>
        <cx:series layoutId="waterfall" hidden="1" uniqueId="{F57290F9-FF36-4514-9BDC-9C33DAC68BD1}" formatIdx="3">
          <cx:tx>
            <cx:txData>
              <cx:f>_xlchart.v1.2</cx:f>
              <cx:v>Net Cashflow from Operating Activities</cx:v>
            </cx:txData>
          </cx:tx>
          <cx:dataId val="3"/>
          <cx:layoutPr>
            <cx:subtotals/>
          </cx:layoutPr>
        </cx:series>
      </cx:plotAreaRegion>
      <cx:axis id="0">
        <cx:valScaling/>
        <cx:tickLabels/>
      </cx:axis>
      <cx:axis id="1">
        <cx:catScaling/>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18" Type="http://schemas.openxmlformats.org/officeDocument/2006/relationships/chart" Target="../charts/chart17.xml"/><Relationship Id="rId26" Type="http://schemas.openxmlformats.org/officeDocument/2006/relationships/chart" Target="../charts/chart25.xml"/><Relationship Id="rId3" Type="http://schemas.openxmlformats.org/officeDocument/2006/relationships/chart" Target="../charts/chart2.xml"/><Relationship Id="rId21" Type="http://schemas.openxmlformats.org/officeDocument/2006/relationships/chart" Target="../charts/chart20.xml"/><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6.xml"/><Relationship Id="rId25" Type="http://schemas.openxmlformats.org/officeDocument/2006/relationships/chart" Target="../charts/chart24.xml"/><Relationship Id="rId2" Type="http://schemas.microsoft.com/office/2014/relationships/chartEx" Target="../charts/chartEx1.xml"/><Relationship Id="rId16" Type="http://schemas.openxmlformats.org/officeDocument/2006/relationships/chart" Target="../charts/chart15.xml"/><Relationship Id="rId20" Type="http://schemas.openxmlformats.org/officeDocument/2006/relationships/chart" Target="../charts/chart19.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24" Type="http://schemas.openxmlformats.org/officeDocument/2006/relationships/chart" Target="../charts/chart23.xml"/><Relationship Id="rId5" Type="http://schemas.openxmlformats.org/officeDocument/2006/relationships/chart" Target="../charts/chart4.xml"/><Relationship Id="rId15" Type="http://schemas.openxmlformats.org/officeDocument/2006/relationships/chart" Target="../charts/chart14.xml"/><Relationship Id="rId23" Type="http://schemas.openxmlformats.org/officeDocument/2006/relationships/chart" Target="../charts/chart22.xml"/><Relationship Id="rId28" Type="http://schemas.openxmlformats.org/officeDocument/2006/relationships/chart" Target="../charts/chart27.xml"/><Relationship Id="rId10" Type="http://schemas.openxmlformats.org/officeDocument/2006/relationships/chart" Target="../charts/chart9.xml"/><Relationship Id="rId19" Type="http://schemas.openxmlformats.org/officeDocument/2006/relationships/chart" Target="../charts/chart18.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 Id="rId22" Type="http://schemas.openxmlformats.org/officeDocument/2006/relationships/chart" Target="../charts/chart21.xml"/><Relationship Id="rId27" Type="http://schemas.openxmlformats.org/officeDocument/2006/relationships/chart" Target="../charts/chart26.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228600</xdr:colOff>
      <xdr:row>66</xdr:row>
      <xdr:rowOff>23812</xdr:rowOff>
    </xdr:from>
    <xdr:to>
      <xdr:col>5</xdr:col>
      <xdr:colOff>990600</xdr:colOff>
      <xdr:row>84</xdr:row>
      <xdr:rowOff>133350</xdr:rowOff>
    </xdr:to>
    <xdr:graphicFrame macro="">
      <xdr:nvGraphicFramePr>
        <xdr:cNvPr id="2" name="Chart 1">
          <a:extLst>
            <a:ext uri="{FF2B5EF4-FFF2-40B4-BE49-F238E27FC236}">
              <a16:creationId xmlns:a16="http://schemas.microsoft.com/office/drawing/2014/main" id="{74E1F13E-7702-4D50-B6DA-96CB8253F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xdr:colOff>
      <xdr:row>85</xdr:row>
      <xdr:rowOff>157161</xdr:rowOff>
    </xdr:from>
    <xdr:to>
      <xdr:col>11</xdr:col>
      <xdr:colOff>238125</xdr:colOff>
      <xdr:row>104</xdr:row>
      <xdr:rowOff>142874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CFF9C19-30E3-4388-A132-3D4F01DF54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962900" y="16416336"/>
              <a:ext cx="5819775" cy="36052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238125</xdr:colOff>
      <xdr:row>66</xdr:row>
      <xdr:rowOff>4761</xdr:rowOff>
    </xdr:from>
    <xdr:to>
      <xdr:col>17</xdr:col>
      <xdr:colOff>0</xdr:colOff>
      <xdr:row>84</xdr:row>
      <xdr:rowOff>161924</xdr:rowOff>
    </xdr:to>
    <xdr:graphicFrame macro="">
      <xdr:nvGraphicFramePr>
        <xdr:cNvPr id="4" name="Chart 3">
          <a:extLst>
            <a:ext uri="{FF2B5EF4-FFF2-40B4-BE49-F238E27FC236}">
              <a16:creationId xmlns:a16="http://schemas.microsoft.com/office/drawing/2014/main" id="{81EBBB00-BDAB-4F7A-A381-CFA07A933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171449</xdr:colOff>
      <xdr:row>66</xdr:row>
      <xdr:rowOff>71436</xdr:rowOff>
    </xdr:from>
    <xdr:to>
      <xdr:col>10</xdr:col>
      <xdr:colOff>962025</xdr:colOff>
      <xdr:row>82</xdr:row>
      <xdr:rowOff>57150</xdr:rowOff>
    </xdr:to>
    <xdr:graphicFrame macro="">
      <xdr:nvGraphicFramePr>
        <xdr:cNvPr id="5" name="Chart 4">
          <a:extLst>
            <a:ext uri="{FF2B5EF4-FFF2-40B4-BE49-F238E27FC236}">
              <a16:creationId xmlns:a16="http://schemas.microsoft.com/office/drawing/2014/main" id="{3C73A3AF-5DF1-4A9D-9B21-ED34C5EED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361949</xdr:colOff>
      <xdr:row>86</xdr:row>
      <xdr:rowOff>52387</xdr:rowOff>
    </xdr:from>
    <xdr:to>
      <xdr:col>16</xdr:col>
      <xdr:colOff>1085849</xdr:colOff>
      <xdr:row>104</xdr:row>
      <xdr:rowOff>123825</xdr:rowOff>
    </xdr:to>
    <xdr:graphicFrame macro="">
      <xdr:nvGraphicFramePr>
        <xdr:cNvPr id="6" name="Chart 5">
          <a:extLst>
            <a:ext uri="{FF2B5EF4-FFF2-40B4-BE49-F238E27FC236}">
              <a16:creationId xmlns:a16="http://schemas.microsoft.com/office/drawing/2014/main" id="{E0C0E018-21DA-40C2-9E08-FE6DA444C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304800</xdr:colOff>
      <xdr:row>85</xdr:row>
      <xdr:rowOff>52387</xdr:rowOff>
    </xdr:from>
    <xdr:to>
      <xdr:col>5</xdr:col>
      <xdr:colOff>942975</xdr:colOff>
      <xdr:row>104</xdr:row>
      <xdr:rowOff>161925</xdr:rowOff>
    </xdr:to>
    <xdr:graphicFrame macro="">
      <xdr:nvGraphicFramePr>
        <xdr:cNvPr id="8" name="Chart 7">
          <a:extLst>
            <a:ext uri="{FF2B5EF4-FFF2-40B4-BE49-F238E27FC236}">
              <a16:creationId xmlns:a16="http://schemas.microsoft.com/office/drawing/2014/main" id="{AEBBBBFD-E443-4890-8B73-55E6B32DD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180975</xdr:colOff>
      <xdr:row>42</xdr:row>
      <xdr:rowOff>171451</xdr:rowOff>
    </xdr:from>
    <xdr:to>
      <xdr:col>8</xdr:col>
      <xdr:colOff>723899</xdr:colOff>
      <xdr:row>65</xdr:row>
      <xdr:rowOff>114301</xdr:rowOff>
    </xdr:to>
    <xdr:graphicFrame macro="">
      <xdr:nvGraphicFramePr>
        <xdr:cNvPr id="9" name="Chart 8">
          <a:extLst>
            <a:ext uri="{FF2B5EF4-FFF2-40B4-BE49-F238E27FC236}">
              <a16:creationId xmlns:a16="http://schemas.microsoft.com/office/drawing/2014/main" id="{5F85F411-ED83-42CF-AAD6-58F4F4AD7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142874</xdr:colOff>
      <xdr:row>42</xdr:row>
      <xdr:rowOff>185737</xdr:rowOff>
    </xdr:from>
    <xdr:to>
      <xdr:col>16</xdr:col>
      <xdr:colOff>104775</xdr:colOff>
      <xdr:row>62</xdr:row>
      <xdr:rowOff>104775</xdr:rowOff>
    </xdr:to>
    <xdr:graphicFrame macro="">
      <xdr:nvGraphicFramePr>
        <xdr:cNvPr id="10" name="Chart 9">
          <a:extLst>
            <a:ext uri="{FF2B5EF4-FFF2-40B4-BE49-F238E27FC236}">
              <a16:creationId xmlns:a16="http://schemas.microsoft.com/office/drawing/2014/main" id="{FF9C2A95-6356-4A0A-AA69-B603677AE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283844</xdr:colOff>
      <xdr:row>211</xdr:row>
      <xdr:rowOff>125730</xdr:rowOff>
    </xdr:from>
    <xdr:to>
      <xdr:col>5</xdr:col>
      <xdr:colOff>726756</xdr:colOff>
      <xdr:row>229</xdr:row>
      <xdr:rowOff>38100</xdr:rowOff>
    </xdr:to>
    <xdr:graphicFrame macro="">
      <xdr:nvGraphicFramePr>
        <xdr:cNvPr id="7" name="Chart 6">
          <a:extLst>
            <a:ext uri="{FF2B5EF4-FFF2-40B4-BE49-F238E27FC236}">
              <a16:creationId xmlns:a16="http://schemas.microsoft.com/office/drawing/2014/main" id="{9FFC4027-B9EF-833D-7D4F-30A1ED113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51434</xdr:colOff>
      <xdr:row>224</xdr:row>
      <xdr:rowOff>110489</xdr:rowOff>
    </xdr:from>
    <xdr:to>
      <xdr:col>2</xdr:col>
      <xdr:colOff>103821</xdr:colOff>
      <xdr:row>233</xdr:row>
      <xdr:rowOff>167640</xdr:rowOff>
    </xdr:to>
    <xdr:graphicFrame macro="">
      <xdr:nvGraphicFramePr>
        <xdr:cNvPr id="11" name="Chart 10">
          <a:extLst>
            <a:ext uri="{FF2B5EF4-FFF2-40B4-BE49-F238E27FC236}">
              <a16:creationId xmlns:a16="http://schemas.microsoft.com/office/drawing/2014/main" id="{200AF4B1-E257-E223-A246-AFED7D8DB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214312</xdr:colOff>
      <xdr:row>234</xdr:row>
      <xdr:rowOff>120015</xdr:rowOff>
    </xdr:from>
    <xdr:to>
      <xdr:col>5</xdr:col>
      <xdr:colOff>657225</xdr:colOff>
      <xdr:row>247</xdr:row>
      <xdr:rowOff>100965</xdr:rowOff>
    </xdr:to>
    <xdr:graphicFrame macro="">
      <xdr:nvGraphicFramePr>
        <xdr:cNvPr id="12" name="Chart 11">
          <a:extLst>
            <a:ext uri="{FF2B5EF4-FFF2-40B4-BE49-F238E27FC236}">
              <a16:creationId xmlns:a16="http://schemas.microsoft.com/office/drawing/2014/main" id="{CB2DA9CD-D6E3-7BA3-CDCC-3BFC0AB8D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173355</xdr:colOff>
      <xdr:row>249</xdr:row>
      <xdr:rowOff>80010</xdr:rowOff>
    </xdr:from>
    <xdr:to>
      <xdr:col>2</xdr:col>
      <xdr:colOff>687705</xdr:colOff>
      <xdr:row>262</xdr:row>
      <xdr:rowOff>60960</xdr:rowOff>
    </xdr:to>
    <xdr:graphicFrame macro="">
      <xdr:nvGraphicFramePr>
        <xdr:cNvPr id="13" name="Chart 12">
          <a:extLst>
            <a:ext uri="{FF2B5EF4-FFF2-40B4-BE49-F238E27FC236}">
              <a16:creationId xmlns:a16="http://schemas.microsoft.com/office/drawing/2014/main" id="{5E8BEAC7-A2C5-9701-D7E6-0FAB96729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1049653</xdr:colOff>
      <xdr:row>170</xdr:row>
      <xdr:rowOff>67626</xdr:rowOff>
    </xdr:from>
    <xdr:to>
      <xdr:col>8</xdr:col>
      <xdr:colOff>1192529</xdr:colOff>
      <xdr:row>196</xdr:row>
      <xdr:rowOff>91440</xdr:rowOff>
    </xdr:to>
    <xdr:graphicFrame macro="">
      <xdr:nvGraphicFramePr>
        <xdr:cNvPr id="14" name="Chart 13">
          <a:extLst>
            <a:ext uri="{FF2B5EF4-FFF2-40B4-BE49-F238E27FC236}">
              <a16:creationId xmlns:a16="http://schemas.microsoft.com/office/drawing/2014/main" id="{31416651-63CD-7C71-98A2-244F8ECA3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187642</xdr:colOff>
      <xdr:row>196</xdr:row>
      <xdr:rowOff>138112</xdr:rowOff>
    </xdr:from>
    <xdr:to>
      <xdr:col>6</xdr:col>
      <xdr:colOff>425767</xdr:colOff>
      <xdr:row>211</xdr:row>
      <xdr:rowOff>31432</xdr:rowOff>
    </xdr:to>
    <xdr:graphicFrame macro="">
      <xdr:nvGraphicFramePr>
        <xdr:cNvPr id="16" name="Chart 15">
          <a:extLst>
            <a:ext uri="{FF2B5EF4-FFF2-40B4-BE49-F238E27FC236}">
              <a16:creationId xmlns:a16="http://schemas.microsoft.com/office/drawing/2014/main" id="{138267E9-E6E0-28CA-42BE-C9461DAB4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295274</xdr:colOff>
      <xdr:row>105</xdr:row>
      <xdr:rowOff>119062</xdr:rowOff>
    </xdr:from>
    <xdr:to>
      <xdr:col>5</xdr:col>
      <xdr:colOff>904874</xdr:colOff>
      <xdr:row>123</xdr:row>
      <xdr:rowOff>19050</xdr:rowOff>
    </xdr:to>
    <xdr:graphicFrame macro="">
      <xdr:nvGraphicFramePr>
        <xdr:cNvPr id="15" name="Chart 14">
          <a:extLst>
            <a:ext uri="{FF2B5EF4-FFF2-40B4-BE49-F238E27FC236}">
              <a16:creationId xmlns:a16="http://schemas.microsoft.com/office/drawing/2014/main" id="{E78E70B9-E1D8-DC69-3F59-228D17925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142874</xdr:colOff>
      <xdr:row>41</xdr:row>
      <xdr:rowOff>4761</xdr:rowOff>
    </xdr:from>
    <xdr:to>
      <xdr:col>24</xdr:col>
      <xdr:colOff>85724</xdr:colOff>
      <xdr:row>59</xdr:row>
      <xdr:rowOff>171449</xdr:rowOff>
    </xdr:to>
    <xdr:graphicFrame macro="">
      <xdr:nvGraphicFramePr>
        <xdr:cNvPr id="18" name="Chart 17">
          <a:extLst>
            <a:ext uri="{FF2B5EF4-FFF2-40B4-BE49-F238E27FC236}">
              <a16:creationId xmlns:a16="http://schemas.microsoft.com/office/drawing/2014/main" id="{92C3F4A4-3805-EA06-3A14-681F64084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1019174</xdr:colOff>
      <xdr:row>72</xdr:row>
      <xdr:rowOff>100011</xdr:rowOff>
    </xdr:from>
    <xdr:to>
      <xdr:col>26</xdr:col>
      <xdr:colOff>590549</xdr:colOff>
      <xdr:row>89</xdr:row>
      <xdr:rowOff>180974</xdr:rowOff>
    </xdr:to>
    <xdr:graphicFrame macro="">
      <xdr:nvGraphicFramePr>
        <xdr:cNvPr id="17" name="Chart 16">
          <a:extLst>
            <a:ext uri="{FF2B5EF4-FFF2-40B4-BE49-F238E27FC236}">
              <a16:creationId xmlns:a16="http://schemas.microsoft.com/office/drawing/2014/main" id="{891E8C03-A9AC-86A6-7049-83E292598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952500</xdr:colOff>
      <xdr:row>100</xdr:row>
      <xdr:rowOff>14286</xdr:rowOff>
    </xdr:from>
    <xdr:to>
      <xdr:col>26</xdr:col>
      <xdr:colOff>304800</xdr:colOff>
      <xdr:row>115</xdr:row>
      <xdr:rowOff>95249</xdr:rowOff>
    </xdr:to>
    <xdr:graphicFrame macro="">
      <xdr:nvGraphicFramePr>
        <xdr:cNvPr id="19" name="Chart 18">
          <a:extLst>
            <a:ext uri="{FF2B5EF4-FFF2-40B4-BE49-F238E27FC236}">
              <a16:creationId xmlns:a16="http://schemas.microsoft.com/office/drawing/2014/main" id="{39F68946-446B-B8F0-06CB-C17BFB978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26</xdr:col>
      <xdr:colOff>390525</xdr:colOff>
      <xdr:row>121</xdr:row>
      <xdr:rowOff>90487</xdr:rowOff>
    </xdr:from>
    <xdr:to>
      <xdr:col>41</xdr:col>
      <xdr:colOff>361950</xdr:colOff>
      <xdr:row>194</xdr:row>
      <xdr:rowOff>19050</xdr:rowOff>
    </xdr:to>
    <xdr:graphicFrame macro="">
      <xdr:nvGraphicFramePr>
        <xdr:cNvPr id="20" name="Chart 19">
          <a:extLst>
            <a:ext uri="{FF2B5EF4-FFF2-40B4-BE49-F238E27FC236}">
              <a16:creationId xmlns:a16="http://schemas.microsoft.com/office/drawing/2014/main" id="{63BC9F9C-49B0-2C73-E85A-E4DC5C798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161925</xdr:colOff>
      <xdr:row>193</xdr:row>
      <xdr:rowOff>119062</xdr:rowOff>
    </xdr:from>
    <xdr:to>
      <xdr:col>21</xdr:col>
      <xdr:colOff>942975</xdr:colOff>
      <xdr:row>208</xdr:row>
      <xdr:rowOff>357187</xdr:rowOff>
    </xdr:to>
    <xdr:graphicFrame macro="">
      <xdr:nvGraphicFramePr>
        <xdr:cNvPr id="21" name="Chart 20">
          <a:extLst>
            <a:ext uri="{FF2B5EF4-FFF2-40B4-BE49-F238E27FC236}">
              <a16:creationId xmlns:a16="http://schemas.microsoft.com/office/drawing/2014/main" id="{D5BB9475-A85B-05F1-68D7-C270E729A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419100</xdr:colOff>
      <xdr:row>108</xdr:row>
      <xdr:rowOff>87630</xdr:rowOff>
    </xdr:from>
    <xdr:to>
      <xdr:col>13</xdr:col>
      <xdr:colOff>571500</xdr:colOff>
      <xdr:row>123</xdr:row>
      <xdr:rowOff>87630</xdr:rowOff>
    </xdr:to>
    <xdr:graphicFrame macro="">
      <xdr:nvGraphicFramePr>
        <xdr:cNvPr id="23" name="Chart 22">
          <a:extLst>
            <a:ext uri="{FF2B5EF4-FFF2-40B4-BE49-F238E27FC236}">
              <a16:creationId xmlns:a16="http://schemas.microsoft.com/office/drawing/2014/main" id="{61B7FCF6-35A2-E668-423D-FB14AAC7D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590549</xdr:colOff>
      <xdr:row>143</xdr:row>
      <xdr:rowOff>76200</xdr:rowOff>
    </xdr:from>
    <xdr:to>
      <xdr:col>11</xdr:col>
      <xdr:colOff>409575</xdr:colOff>
      <xdr:row>166</xdr:row>
      <xdr:rowOff>66675</xdr:rowOff>
    </xdr:to>
    <xdr:graphicFrame macro="">
      <xdr:nvGraphicFramePr>
        <xdr:cNvPr id="22" name="Chart 21">
          <a:extLst>
            <a:ext uri="{FF2B5EF4-FFF2-40B4-BE49-F238E27FC236}">
              <a16:creationId xmlns:a16="http://schemas.microsoft.com/office/drawing/2014/main" id="{1F9A3445-3A71-3C1F-0E98-6330D1A74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xdr:col>
      <xdr:colOff>476250</xdr:colOff>
      <xdr:row>143</xdr:row>
      <xdr:rowOff>123825</xdr:rowOff>
    </xdr:from>
    <xdr:to>
      <xdr:col>19</xdr:col>
      <xdr:colOff>180975</xdr:colOff>
      <xdr:row>167</xdr:row>
      <xdr:rowOff>9525</xdr:rowOff>
    </xdr:to>
    <xdr:graphicFrame macro="">
      <xdr:nvGraphicFramePr>
        <xdr:cNvPr id="24" name="Chart 23">
          <a:extLst>
            <a:ext uri="{FF2B5EF4-FFF2-40B4-BE49-F238E27FC236}">
              <a16:creationId xmlns:a16="http://schemas.microsoft.com/office/drawing/2014/main" id="{043F33EF-1A65-DFA3-D5DC-9D39BFACE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12</xdr:col>
      <xdr:colOff>180975</xdr:colOff>
      <xdr:row>170</xdr:row>
      <xdr:rowOff>61912</xdr:rowOff>
    </xdr:from>
    <xdr:to>
      <xdr:col>16</xdr:col>
      <xdr:colOff>1114425</xdr:colOff>
      <xdr:row>185</xdr:row>
      <xdr:rowOff>133350</xdr:rowOff>
    </xdr:to>
    <xdr:graphicFrame macro="">
      <xdr:nvGraphicFramePr>
        <xdr:cNvPr id="25" name="Chart 24">
          <a:extLst>
            <a:ext uri="{FF2B5EF4-FFF2-40B4-BE49-F238E27FC236}">
              <a16:creationId xmlns:a16="http://schemas.microsoft.com/office/drawing/2014/main" id="{4D8FA3F8-F17C-4C8D-1F91-58959E471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6</xdr:col>
      <xdr:colOff>238125</xdr:colOff>
      <xdr:row>262</xdr:row>
      <xdr:rowOff>23812</xdr:rowOff>
    </xdr:from>
    <xdr:to>
      <xdr:col>10</xdr:col>
      <xdr:colOff>171450</xdr:colOff>
      <xdr:row>276</xdr:row>
      <xdr:rowOff>100012</xdr:rowOff>
    </xdr:to>
    <xdr:graphicFrame macro="">
      <xdr:nvGraphicFramePr>
        <xdr:cNvPr id="27" name="Chart 26">
          <a:extLst>
            <a:ext uri="{FF2B5EF4-FFF2-40B4-BE49-F238E27FC236}">
              <a16:creationId xmlns:a16="http://schemas.microsoft.com/office/drawing/2014/main" id="{64C6E314-A428-7B4E-4340-BF4E6163A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10</xdr:col>
      <xdr:colOff>290512</xdr:colOff>
      <xdr:row>262</xdr:row>
      <xdr:rowOff>33337</xdr:rowOff>
    </xdr:from>
    <xdr:to>
      <xdr:col>14</xdr:col>
      <xdr:colOff>509587</xdr:colOff>
      <xdr:row>276</xdr:row>
      <xdr:rowOff>109537</xdr:rowOff>
    </xdr:to>
    <xdr:graphicFrame macro="">
      <xdr:nvGraphicFramePr>
        <xdr:cNvPr id="28" name="Chart 27">
          <a:extLst>
            <a:ext uri="{FF2B5EF4-FFF2-40B4-BE49-F238E27FC236}">
              <a16:creationId xmlns:a16="http://schemas.microsoft.com/office/drawing/2014/main" id="{1750AD26-F17B-B67F-7DA2-22B4A7F6C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11</xdr:col>
      <xdr:colOff>190500</xdr:colOff>
      <xdr:row>202</xdr:row>
      <xdr:rowOff>266700</xdr:rowOff>
    </xdr:from>
    <xdr:to>
      <xdr:col>16</xdr:col>
      <xdr:colOff>504825</xdr:colOff>
      <xdr:row>220</xdr:row>
      <xdr:rowOff>109537</xdr:rowOff>
    </xdr:to>
    <xdr:graphicFrame macro="">
      <xdr:nvGraphicFramePr>
        <xdr:cNvPr id="29" name="Chart 28">
          <a:extLst>
            <a:ext uri="{FF2B5EF4-FFF2-40B4-BE49-F238E27FC236}">
              <a16:creationId xmlns:a16="http://schemas.microsoft.com/office/drawing/2014/main" id="{BCFB8045-C361-F1C9-BB1A-CB1200668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6</xdr:col>
      <xdr:colOff>333375</xdr:colOff>
      <xdr:row>278</xdr:row>
      <xdr:rowOff>52387</xdr:rowOff>
    </xdr:from>
    <xdr:to>
      <xdr:col>12</xdr:col>
      <xdr:colOff>942975</xdr:colOff>
      <xdr:row>292</xdr:row>
      <xdr:rowOff>128587</xdr:rowOff>
    </xdr:to>
    <xdr:graphicFrame macro="">
      <xdr:nvGraphicFramePr>
        <xdr:cNvPr id="30" name="Chart 29">
          <a:extLst>
            <a:ext uri="{FF2B5EF4-FFF2-40B4-BE49-F238E27FC236}">
              <a16:creationId xmlns:a16="http://schemas.microsoft.com/office/drawing/2014/main" id="{5D8CE7BF-83BF-7742-010F-32E4528F2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597032</xdr:colOff>
      <xdr:row>47</xdr:row>
      <xdr:rowOff>138473</xdr:rowOff>
    </xdr:from>
    <xdr:to>
      <xdr:col>29</xdr:col>
      <xdr:colOff>165687</xdr:colOff>
      <xdr:row>84</xdr:row>
      <xdr:rowOff>138473</xdr:rowOff>
    </xdr:to>
    <xdr:graphicFrame macro="">
      <xdr:nvGraphicFramePr>
        <xdr:cNvPr id="2" name="Chart 1">
          <a:extLst>
            <a:ext uri="{FF2B5EF4-FFF2-40B4-BE49-F238E27FC236}">
              <a16:creationId xmlns:a16="http://schemas.microsoft.com/office/drawing/2014/main" id="{53D99AF1-7631-4EC0-A6B5-8D597BD0A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134471</xdr:colOff>
      <xdr:row>33</xdr:row>
      <xdr:rowOff>123264</xdr:rowOff>
    </xdr:from>
    <xdr:to>
      <xdr:col>10</xdr:col>
      <xdr:colOff>459441</xdr:colOff>
      <xdr:row>66</xdr:row>
      <xdr:rowOff>44823</xdr:rowOff>
    </xdr:to>
    <xdr:graphicFrame macro="">
      <xdr:nvGraphicFramePr>
        <xdr:cNvPr id="3" name="Chart 2">
          <a:extLst>
            <a:ext uri="{FF2B5EF4-FFF2-40B4-BE49-F238E27FC236}">
              <a16:creationId xmlns:a16="http://schemas.microsoft.com/office/drawing/2014/main" id="{97B3941A-978C-42FE-AF89-59E90A2BA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364191</xdr:colOff>
      <xdr:row>68</xdr:row>
      <xdr:rowOff>118782</xdr:rowOff>
    </xdr:from>
    <xdr:to>
      <xdr:col>8</xdr:col>
      <xdr:colOff>672353</xdr:colOff>
      <xdr:row>89</xdr:row>
      <xdr:rowOff>145676</xdr:rowOff>
    </xdr:to>
    <xdr:graphicFrame macro="">
      <xdr:nvGraphicFramePr>
        <xdr:cNvPr id="4" name="Chart 3">
          <a:extLst>
            <a:ext uri="{FF2B5EF4-FFF2-40B4-BE49-F238E27FC236}">
              <a16:creationId xmlns:a16="http://schemas.microsoft.com/office/drawing/2014/main" id="{864A7197-FBD3-445F-81E0-E94AF1A97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1262061</xdr:colOff>
      <xdr:row>26</xdr:row>
      <xdr:rowOff>76206</xdr:rowOff>
    </xdr:from>
    <xdr:to>
      <xdr:col>18</xdr:col>
      <xdr:colOff>219075</xdr:colOff>
      <xdr:row>51</xdr:row>
      <xdr:rowOff>152400</xdr:rowOff>
    </xdr:to>
    <xdr:graphicFrame macro="">
      <xdr:nvGraphicFramePr>
        <xdr:cNvPr id="2" name="Chart 1">
          <a:extLst>
            <a:ext uri="{FF2B5EF4-FFF2-40B4-BE49-F238E27FC236}">
              <a16:creationId xmlns:a16="http://schemas.microsoft.com/office/drawing/2014/main" id="{53E7DC9A-4B66-2612-EBF8-E0E47796B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13</xdr:col>
      <xdr:colOff>544286</xdr:colOff>
      <xdr:row>35</xdr:row>
      <xdr:rowOff>81643</xdr:rowOff>
    </xdr:from>
    <xdr:ext cx="12576176" cy="4497972"/>
    <xdr:sp macro="" textlink="">
      <xdr:nvSpPr>
        <xdr:cNvPr id="2" name="Object 7" hidden="1">
          <a:extLst>
            <a:ext uri="{63B3BB69-23CF-44E3-9099-C40C66FF867C}">
              <a14:compatExt xmlns:a14="http://schemas.microsoft.com/office/drawing/2010/main" spid="_x0000_s4103"/>
            </a:ext>
            <a:ext uri="{FF2B5EF4-FFF2-40B4-BE49-F238E27FC236}">
              <a16:creationId xmlns:a16="http://schemas.microsoft.com/office/drawing/2014/main" id="{F1C79EC7-1D17-43A3-9EC0-BE7172AAA5DD}"/>
            </a:ext>
          </a:extLst>
        </xdr:cNvPr>
        <xdr:cNvSpPr/>
      </xdr:nvSpPr>
      <xdr:spPr bwMode="auto">
        <a:xfrm>
          <a:off x="14565086" y="5510893"/>
          <a:ext cx="12576176" cy="4497972"/>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cap="flat" cmpd="sng">
              <a:solidFill>
                <a:srgbClr xmlns:mc="http://schemas.openxmlformats.org/markup-compatibility/2006" val="000000" mc:Ignorable="a14" a14:legacySpreadsheetColorIndex="64"/>
              </a:solidFill>
              <a:prstDash val="solid"/>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oneCellAnchor>
  <xdr:oneCellAnchor>
    <xdr:from>
      <xdr:col>0</xdr:col>
      <xdr:colOff>142875</xdr:colOff>
      <xdr:row>35</xdr:row>
      <xdr:rowOff>29306</xdr:rowOff>
    </xdr:from>
    <xdr:ext cx="24407294" cy="8662484"/>
    <xdr:pic>
      <xdr:nvPicPr>
        <xdr:cNvPr id="3" name="Picture 2">
          <a:extLst>
            <a:ext uri="{FF2B5EF4-FFF2-40B4-BE49-F238E27FC236}">
              <a16:creationId xmlns:a16="http://schemas.microsoft.com/office/drawing/2014/main" id="{E2FC22C2-C2AA-4971-920E-60E971D69A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5220431"/>
          <a:ext cx="24407294" cy="8662484"/>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13</xdr:col>
      <xdr:colOff>517073</xdr:colOff>
      <xdr:row>33</xdr:row>
      <xdr:rowOff>13608</xdr:rowOff>
    </xdr:from>
    <xdr:ext cx="6734615" cy="3678464"/>
    <xdr:sp macro="" textlink="">
      <xdr:nvSpPr>
        <xdr:cNvPr id="2" name="Object 39" hidden="1">
          <a:extLst>
            <a:ext uri="{63B3BB69-23CF-44E3-9099-C40C66FF867C}">
              <a14:compatExt xmlns:a14="http://schemas.microsoft.com/office/drawing/2010/main" spid="_x0000_s5159"/>
            </a:ext>
            <a:ext uri="{FF2B5EF4-FFF2-40B4-BE49-F238E27FC236}">
              <a16:creationId xmlns:a16="http://schemas.microsoft.com/office/drawing/2014/main" id="{BADC5EBD-74CF-4BBA-8F20-90FD5EDFDB42}"/>
            </a:ext>
          </a:extLst>
        </xdr:cNvPr>
        <xdr:cNvSpPr/>
      </xdr:nvSpPr>
      <xdr:spPr bwMode="auto">
        <a:xfrm>
          <a:off x="13680623" y="5090433"/>
          <a:ext cx="6734615" cy="3678464"/>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cap="flat" cmpd="sng">
              <a:solidFill>
                <a:srgbClr xmlns:mc="http://schemas.openxmlformats.org/markup-compatibility/2006" val="000000" mc:Ignorable="a14" a14:legacySpreadsheetColorIndex="64"/>
              </a:solidFill>
              <a:prstDash val="solid"/>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oneCellAnchor>
  <xdr:oneCellAnchor>
    <xdr:from>
      <xdr:col>13</xdr:col>
      <xdr:colOff>462642</xdr:colOff>
      <xdr:row>1</xdr:row>
      <xdr:rowOff>0</xdr:rowOff>
    </xdr:from>
    <xdr:ext cx="6668406" cy="3656908"/>
    <xdr:sp macro="" textlink="">
      <xdr:nvSpPr>
        <xdr:cNvPr id="3" name="Object 38" hidden="1">
          <a:extLst>
            <a:ext uri="{63B3BB69-23CF-44E3-9099-C40C66FF867C}">
              <a14:compatExt xmlns:a14="http://schemas.microsoft.com/office/drawing/2010/main" spid="_x0000_s5158"/>
            </a:ext>
            <a:ext uri="{FF2B5EF4-FFF2-40B4-BE49-F238E27FC236}">
              <a16:creationId xmlns:a16="http://schemas.microsoft.com/office/drawing/2014/main" id="{C2C9FC0D-0F95-459F-9BAD-8617EC10E45F}"/>
            </a:ext>
          </a:extLst>
        </xdr:cNvPr>
        <xdr:cNvSpPr/>
      </xdr:nvSpPr>
      <xdr:spPr bwMode="auto">
        <a:xfrm>
          <a:off x="13626192" y="219075"/>
          <a:ext cx="6668406" cy="3656908"/>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cap="flat" cmpd="sng">
              <a:solidFill>
                <a:srgbClr xmlns:mc="http://schemas.openxmlformats.org/markup-compatibility/2006" val="000000" mc:Ignorable="a14" a14:legacySpreadsheetColorIndex="64"/>
              </a:solidFill>
              <a:prstDash val="solid"/>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bohanchem.en.made-in-china.com/product/tqOEBzJPJbYL/China-Carbon-Black-N339-for-Rubber-Industry.html" TargetMode="External"/><Relationship Id="rId3" Type="http://schemas.openxmlformats.org/officeDocument/2006/relationships/hyperlink" Target="https://www.iata.org/en/publications/economics/fuel-monitor%20%20%20%20%20%20Price%20used%20is%2045%25%20normal%20market%20price" TargetMode="External"/><Relationship Id="rId7" Type="http://schemas.openxmlformats.org/officeDocument/2006/relationships/hyperlink" Target="https://www.eia.gov/electricity/monthly/epm_table_grapher.php?t=epmt_4_12_a%20%20%20%20%20%20%20%20%20%20%20%20%20%20%20%20down%2025%25%20for%20normal%20price" TargetMode="External"/><Relationship Id="rId12" Type="http://schemas.openxmlformats.org/officeDocument/2006/relationships/printerSettings" Target="../printerSettings/printerSettings4.bin"/><Relationship Id="rId2" Type="http://schemas.openxmlformats.org/officeDocument/2006/relationships/hyperlink" Target="https://www.barchart.com/futures/european/major-commodities%20%20%20%20Took%20lowest%20price%20over%2052%20week%20range" TargetMode="External"/><Relationship Id="rId1" Type="http://schemas.openxmlformats.org/officeDocument/2006/relationships/hyperlink" Target="https://www.barchart.com/futures/european/major-commodities%20%20%20%20Took%20lowest%20price%20over%2052%20week%20range" TargetMode="External"/><Relationship Id="rId6" Type="http://schemas.openxmlformats.org/officeDocument/2006/relationships/hyperlink" Target="https://pubs.lubesngreases.com/lubereport-americas/u-s-base-oil-price-report-54/%20%20%20%20%20%20price%20per%20barrel%20%20has%20dropped%20off%20considerably" TargetMode="External"/><Relationship Id="rId11" Type="http://schemas.openxmlformats.org/officeDocument/2006/relationships/hyperlink" Target="https://www.lme.com/Metals/Ferrous/Steel-Scrap" TargetMode="External"/><Relationship Id="rId5" Type="http://schemas.openxmlformats.org/officeDocument/2006/relationships/hyperlink" Target="https://www.indexmundi.com/commodities/?commodity=diesel%20%20%20%20%20Price%20used%20is%2045%25%20normal%20market%20price" TargetMode="External"/><Relationship Id="rId10" Type="http://schemas.openxmlformats.org/officeDocument/2006/relationships/hyperlink" Target="https://www.lme.com/Metals/Non-ferrous" TargetMode="External"/><Relationship Id="rId4" Type="http://schemas.openxmlformats.org/officeDocument/2006/relationships/hyperlink" Target="https://www.indexmundi.com/commodities/?commodity=rbob-gasoline%20%20%20Price%20used%20in%2060%25%20of%20normal%20market%20price" TargetMode="External"/><Relationship Id="rId9" Type="http://schemas.openxmlformats.org/officeDocument/2006/relationships/hyperlink" Target="https://www.alibaba.com/product-detail/High-Quality-Graphene-Powder-Nanoscale-Graphene_1600768680095.html?spm=a2700.7735675.0.0.4a7d0voQ0voQof&amp;s=p"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4.bin"/><Relationship Id="rId4"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http://www.alf-cemind.com/cd/AF_and_ARM_used_tires.htm" TargetMode="External"/><Relationship Id="rId1" Type="http://schemas.openxmlformats.org/officeDocument/2006/relationships/hyperlink" Target="http://www.tirepyrolysisplant.com/calorific-value-tire-pyrolysis-oil/" TargetMode="External"/><Relationship Id="rId4" Type="http://schemas.openxmlformats.org/officeDocument/2006/relationships/comments" Target="../comments4.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F2C84-F978-4759-A8A6-D5D53DB14A6C}">
  <dimension ref="A1:E30"/>
  <sheetViews>
    <sheetView topLeftCell="A3" workbookViewId="0">
      <selection activeCell="G22" sqref="G22"/>
    </sheetView>
  </sheetViews>
  <sheetFormatPr defaultRowHeight="15" x14ac:dyDescent="0.25"/>
  <cols>
    <col min="1" max="1" width="6.42578125" customWidth="1"/>
    <col min="2" max="2" width="25.28515625" customWidth="1"/>
    <col min="3" max="3" width="18.28515625" customWidth="1"/>
    <col min="4" max="4" width="92.85546875" style="323" customWidth="1"/>
  </cols>
  <sheetData>
    <row r="1" spans="1:5" ht="35.25" customHeight="1" x14ac:dyDescent="0.25">
      <c r="A1" s="821" t="s">
        <v>956</v>
      </c>
      <c r="B1" s="822"/>
      <c r="C1" s="822"/>
      <c r="D1" s="822"/>
    </row>
    <row r="2" spans="1:5" ht="36.75" customHeight="1" x14ac:dyDescent="0.25">
      <c r="A2" s="824" t="s">
        <v>962</v>
      </c>
      <c r="B2" s="824"/>
      <c r="C2" s="824"/>
      <c r="D2" s="824"/>
    </row>
    <row r="3" spans="1:5" x14ac:dyDescent="0.25">
      <c r="A3" s="823" t="s">
        <v>912</v>
      </c>
      <c r="B3" s="823"/>
      <c r="C3" s="823"/>
      <c r="D3" s="823"/>
    </row>
    <row r="4" spans="1:5" x14ac:dyDescent="0.25">
      <c r="A4" s="669" t="s">
        <v>910</v>
      </c>
      <c r="B4" s="669" t="s">
        <v>911</v>
      </c>
      <c r="C4" s="669" t="s">
        <v>484</v>
      </c>
      <c r="D4" s="670" t="s">
        <v>431</v>
      </c>
      <c r="E4" s="170"/>
    </row>
    <row r="5" spans="1:5" x14ac:dyDescent="0.25">
      <c r="A5" s="170">
        <v>1</v>
      </c>
      <c r="B5" s="522" t="s">
        <v>913</v>
      </c>
      <c r="C5" s="522" t="s">
        <v>914</v>
      </c>
      <c r="D5" s="323" t="s">
        <v>935</v>
      </c>
    </row>
    <row r="6" spans="1:5" x14ac:dyDescent="0.25">
      <c r="A6" s="170">
        <f>SUM(A5+1)</f>
        <v>2</v>
      </c>
      <c r="B6" s="522" t="s">
        <v>914</v>
      </c>
      <c r="C6" s="522" t="s">
        <v>914</v>
      </c>
      <c r="D6" s="323" t="s">
        <v>936</v>
      </c>
    </row>
    <row r="7" spans="1:5" x14ac:dyDescent="0.25">
      <c r="A7" s="170">
        <f t="shared" ref="A7:A29" si="0">SUM(A6+1)</f>
        <v>3</v>
      </c>
      <c r="B7" s="522" t="s">
        <v>915</v>
      </c>
      <c r="C7" s="522" t="s">
        <v>945</v>
      </c>
      <c r="D7" s="323" t="s">
        <v>937</v>
      </c>
    </row>
    <row r="8" spans="1:5" x14ac:dyDescent="0.25">
      <c r="A8" s="170">
        <f t="shared" si="0"/>
        <v>4</v>
      </c>
      <c r="B8" s="522" t="s">
        <v>916</v>
      </c>
      <c r="C8" s="522" t="s">
        <v>945</v>
      </c>
      <c r="D8" s="323" t="s">
        <v>957</v>
      </c>
    </row>
    <row r="9" spans="1:5" ht="30" x14ac:dyDescent="0.25">
      <c r="A9" s="170">
        <f t="shared" si="0"/>
        <v>5</v>
      </c>
      <c r="B9" s="522" t="s">
        <v>917</v>
      </c>
      <c r="C9" s="522" t="s">
        <v>945</v>
      </c>
      <c r="D9" s="323" t="s">
        <v>939</v>
      </c>
    </row>
    <row r="10" spans="1:5" ht="30" x14ac:dyDescent="0.25">
      <c r="A10" s="170">
        <f t="shared" si="0"/>
        <v>6</v>
      </c>
      <c r="B10" s="522" t="s">
        <v>918</v>
      </c>
      <c r="C10" s="522" t="s">
        <v>945</v>
      </c>
      <c r="D10" s="323" t="s">
        <v>1028</v>
      </c>
    </row>
    <row r="11" spans="1:5" x14ac:dyDescent="0.25">
      <c r="A11" s="170">
        <f t="shared" si="0"/>
        <v>7</v>
      </c>
      <c r="B11" s="522" t="s">
        <v>919</v>
      </c>
      <c r="C11" s="522" t="s">
        <v>945</v>
      </c>
      <c r="D11" s="323" t="s">
        <v>940</v>
      </c>
    </row>
    <row r="12" spans="1:5" x14ac:dyDescent="0.25">
      <c r="A12" s="170">
        <f t="shared" si="0"/>
        <v>8</v>
      </c>
      <c r="B12" s="522" t="s">
        <v>920</v>
      </c>
      <c r="C12" s="522" t="s">
        <v>945</v>
      </c>
      <c r="D12" s="323" t="s">
        <v>941</v>
      </c>
    </row>
    <row r="13" spans="1:5" x14ac:dyDescent="0.25">
      <c r="A13" s="170">
        <f t="shared" si="0"/>
        <v>9</v>
      </c>
      <c r="B13" s="522" t="s">
        <v>921</v>
      </c>
      <c r="C13" s="522" t="s">
        <v>945</v>
      </c>
      <c r="D13" s="323" t="s">
        <v>942</v>
      </c>
    </row>
    <row r="14" spans="1:5" x14ac:dyDescent="0.25">
      <c r="A14" s="170">
        <f t="shared" si="0"/>
        <v>10</v>
      </c>
      <c r="B14" s="522" t="s">
        <v>922</v>
      </c>
      <c r="C14" s="522" t="s">
        <v>945</v>
      </c>
      <c r="D14" s="323" t="s">
        <v>943</v>
      </c>
    </row>
    <row r="15" spans="1:5" x14ac:dyDescent="0.25">
      <c r="A15" s="170">
        <f t="shared" si="0"/>
        <v>11</v>
      </c>
      <c r="B15" s="522" t="s">
        <v>1073</v>
      </c>
      <c r="C15" s="522" t="s">
        <v>945</v>
      </c>
      <c r="D15" s="323" t="s">
        <v>1085</v>
      </c>
    </row>
    <row r="16" spans="1:5" x14ac:dyDescent="0.25">
      <c r="A16" s="170">
        <f t="shared" si="0"/>
        <v>12</v>
      </c>
      <c r="B16" s="522" t="s">
        <v>1014</v>
      </c>
      <c r="C16" s="522" t="s">
        <v>945</v>
      </c>
      <c r="D16" s="323" t="s">
        <v>1015</v>
      </c>
    </row>
    <row r="17" spans="1:4" x14ac:dyDescent="0.25">
      <c r="A17" s="170">
        <f t="shared" si="0"/>
        <v>13</v>
      </c>
      <c r="B17" s="522" t="s">
        <v>931</v>
      </c>
      <c r="C17" s="522" t="s">
        <v>945</v>
      </c>
      <c r="D17" s="323" t="s">
        <v>950</v>
      </c>
    </row>
    <row r="18" spans="1:4" ht="30" x14ac:dyDescent="0.25">
      <c r="A18" s="170">
        <f t="shared" si="0"/>
        <v>14</v>
      </c>
      <c r="B18" s="522" t="s">
        <v>923</v>
      </c>
      <c r="C18" s="522" t="s">
        <v>946</v>
      </c>
      <c r="D18" s="323" t="s">
        <v>958</v>
      </c>
    </row>
    <row r="19" spans="1:4" ht="30" x14ac:dyDescent="0.25">
      <c r="A19" s="170">
        <f t="shared" si="0"/>
        <v>15</v>
      </c>
      <c r="B19" s="522" t="s">
        <v>924</v>
      </c>
      <c r="C19" s="522" t="s">
        <v>946</v>
      </c>
      <c r="D19" s="323" t="s">
        <v>944</v>
      </c>
    </row>
    <row r="20" spans="1:4" x14ac:dyDescent="0.25">
      <c r="A20" s="170">
        <f t="shared" si="0"/>
        <v>16</v>
      </c>
      <c r="B20" s="522" t="s">
        <v>925</v>
      </c>
      <c r="C20" s="522" t="s">
        <v>946</v>
      </c>
      <c r="D20" s="323" t="s">
        <v>959</v>
      </c>
    </row>
    <row r="21" spans="1:4" x14ac:dyDescent="0.25">
      <c r="A21" s="170">
        <f t="shared" si="0"/>
        <v>17</v>
      </c>
      <c r="B21" s="522" t="s">
        <v>926</v>
      </c>
      <c r="C21" s="522" t="s">
        <v>946</v>
      </c>
      <c r="D21" s="323" t="s">
        <v>947</v>
      </c>
    </row>
    <row r="22" spans="1:4" x14ac:dyDescent="0.25">
      <c r="A22" s="170">
        <f t="shared" si="0"/>
        <v>18</v>
      </c>
      <c r="B22" s="522" t="s">
        <v>927</v>
      </c>
      <c r="C22" s="522" t="s">
        <v>946</v>
      </c>
      <c r="D22" s="323" t="s">
        <v>960</v>
      </c>
    </row>
    <row r="23" spans="1:4" x14ac:dyDescent="0.25">
      <c r="A23" s="170">
        <f t="shared" si="0"/>
        <v>19</v>
      </c>
      <c r="B23" s="522" t="s">
        <v>928</v>
      </c>
      <c r="C23" s="522" t="s">
        <v>946</v>
      </c>
      <c r="D23" s="323" t="s">
        <v>961</v>
      </c>
    </row>
    <row r="24" spans="1:4" x14ac:dyDescent="0.25">
      <c r="A24" s="170">
        <f t="shared" si="0"/>
        <v>20</v>
      </c>
      <c r="B24" s="522" t="s">
        <v>929</v>
      </c>
      <c r="C24" s="522" t="s">
        <v>946</v>
      </c>
      <c r="D24" s="323" t="s">
        <v>948</v>
      </c>
    </row>
    <row r="25" spans="1:4" x14ac:dyDescent="0.25">
      <c r="A25" s="170">
        <f t="shared" si="0"/>
        <v>21</v>
      </c>
      <c r="B25" s="522" t="s">
        <v>930</v>
      </c>
      <c r="C25" s="522" t="s">
        <v>946</v>
      </c>
      <c r="D25" s="323" t="s">
        <v>949</v>
      </c>
    </row>
    <row r="26" spans="1:4" x14ac:dyDescent="0.25">
      <c r="A26" s="170">
        <f t="shared" si="0"/>
        <v>22</v>
      </c>
      <c r="B26" s="522" t="s">
        <v>954</v>
      </c>
      <c r="C26" s="522" t="s">
        <v>945</v>
      </c>
      <c r="D26" s="323" t="s">
        <v>951</v>
      </c>
    </row>
    <row r="27" spans="1:4" x14ac:dyDescent="0.25">
      <c r="A27" s="170">
        <f t="shared" si="0"/>
        <v>23</v>
      </c>
      <c r="B27" s="522" t="s">
        <v>932</v>
      </c>
      <c r="C27" s="522" t="s">
        <v>945</v>
      </c>
      <c r="D27" s="323" t="s">
        <v>955</v>
      </c>
    </row>
    <row r="28" spans="1:4" x14ac:dyDescent="0.25">
      <c r="A28" s="170">
        <f t="shared" si="0"/>
        <v>24</v>
      </c>
      <c r="B28" s="522" t="s">
        <v>933</v>
      </c>
      <c r="C28" s="522" t="s">
        <v>945</v>
      </c>
      <c r="D28" s="323" t="s">
        <v>952</v>
      </c>
    </row>
    <row r="29" spans="1:4" x14ac:dyDescent="0.25">
      <c r="A29" s="170">
        <f t="shared" si="0"/>
        <v>25</v>
      </c>
      <c r="B29" s="522" t="s">
        <v>934</v>
      </c>
      <c r="C29" s="522" t="s">
        <v>945</v>
      </c>
      <c r="D29" s="323" t="s">
        <v>953</v>
      </c>
    </row>
    <row r="30" spans="1:4" x14ac:dyDescent="0.25">
      <c r="B30" s="522"/>
      <c r="C30" s="522"/>
    </row>
  </sheetData>
  <mergeCells count="3">
    <mergeCell ref="A1:D1"/>
    <mergeCell ref="A3:D3"/>
    <mergeCell ref="A2:D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99E48-0F70-46D9-820B-D48224EC0EC2}">
  <sheetPr>
    <tabColor rgb="FF2C3449"/>
  </sheetPr>
  <dimension ref="A1:AJ285"/>
  <sheetViews>
    <sheetView tabSelected="1" topLeftCell="A265" workbookViewId="0">
      <selection activeCell="N288" sqref="N288"/>
    </sheetView>
  </sheetViews>
  <sheetFormatPr defaultRowHeight="15" x14ac:dyDescent="0.25"/>
  <cols>
    <col min="1" max="1" width="34.7109375" style="134" customWidth="1"/>
    <col min="2" max="2" width="17.28515625" customWidth="1"/>
    <col min="3" max="3" width="17.85546875" customWidth="1"/>
    <col min="4" max="4" width="15.5703125" customWidth="1"/>
    <col min="5" max="5" width="16.42578125" customWidth="1"/>
    <col min="6" max="6" width="15.140625" customWidth="1"/>
    <col min="7" max="7" width="17" customWidth="1"/>
    <col min="8" max="8" width="15" customWidth="1"/>
    <col min="9" max="9" width="21.5703125" customWidth="1"/>
    <col min="10" max="10" width="16" customWidth="1"/>
    <col min="11" max="11" width="16.5703125" customWidth="1"/>
    <col min="12" max="12" width="15.5703125" customWidth="1"/>
    <col min="13" max="13" width="16.28515625" customWidth="1"/>
    <col min="14" max="14" width="16.85546875" customWidth="1"/>
    <col min="15" max="15" width="15.42578125" customWidth="1"/>
    <col min="16" max="16" width="16.5703125" customWidth="1"/>
    <col min="17" max="17" width="17.140625" customWidth="1"/>
    <col min="18" max="18" width="15.28515625" customWidth="1"/>
    <col min="19" max="19" width="38" customWidth="1"/>
    <col min="20" max="20" width="16.28515625" customWidth="1"/>
    <col min="21" max="21" width="15.28515625" customWidth="1"/>
    <col min="22" max="22" width="15.140625" customWidth="1"/>
    <col min="23" max="23" width="14.85546875" customWidth="1"/>
    <col min="24" max="24" width="15.28515625" customWidth="1"/>
    <col min="25" max="25" width="13.85546875" customWidth="1"/>
    <col min="26" max="26" width="14.42578125" customWidth="1"/>
    <col min="27" max="27" width="13" customWidth="1"/>
    <col min="28" max="28" width="14.28515625" customWidth="1"/>
    <col min="29" max="29" width="12.28515625" customWidth="1"/>
    <col min="30" max="34" width="11.85546875" bestFit="1" customWidth="1"/>
    <col min="35" max="35" width="10.85546875" bestFit="1" customWidth="1"/>
  </cols>
  <sheetData>
    <row r="1" spans="1:24" s="136" customFormat="1" x14ac:dyDescent="0.25">
      <c r="B1" s="136">
        <f>'Financials Yearly'!C2</f>
        <v>2026</v>
      </c>
      <c r="C1" s="136">
        <f>'Financials Yearly'!D2</f>
        <v>2027</v>
      </c>
      <c r="D1" s="136">
        <f>'Financials Yearly'!E2</f>
        <v>2028</v>
      </c>
      <c r="E1" s="136">
        <f>'Financials Yearly'!F2</f>
        <v>2029</v>
      </c>
      <c r="F1" s="136">
        <f>'Financials Yearly'!G2</f>
        <v>2030</v>
      </c>
      <c r="G1" s="136">
        <f>'Financials Yearly'!H2</f>
        <v>2031</v>
      </c>
      <c r="H1" s="136">
        <f>'Financials Yearly'!I2</f>
        <v>2032</v>
      </c>
      <c r="I1" s="136">
        <f>'Financials Yearly'!J2</f>
        <v>2033</v>
      </c>
      <c r="J1" s="136">
        <f>'Financials Yearly'!K2</f>
        <v>2034</v>
      </c>
      <c r="K1" s="136">
        <f>'Financials Yearly'!L2</f>
        <v>2035</v>
      </c>
      <c r="L1" s="136">
        <f>'Financials Yearly'!M2</f>
        <v>2036</v>
      </c>
      <c r="M1" s="136">
        <f>'Financials Yearly'!N2</f>
        <v>2037</v>
      </c>
      <c r="N1" s="136">
        <f>'Financials Yearly'!O2</f>
        <v>2038</v>
      </c>
      <c r="O1" s="136">
        <f>'Financials Yearly'!P2</f>
        <v>2039</v>
      </c>
      <c r="P1" s="136">
        <f>'Financials Yearly'!Q2</f>
        <v>2040</v>
      </c>
      <c r="Q1" s="136">
        <f>'Financials Yearly'!R2</f>
        <v>2041</v>
      </c>
      <c r="R1" s="136">
        <f>'Financials Yearly'!S2</f>
        <v>2042</v>
      </c>
      <c r="S1" s="136">
        <f>'Financials Yearly'!T2</f>
        <v>2043</v>
      </c>
      <c r="T1" s="136">
        <f>'Financials Yearly'!U2</f>
        <v>2044</v>
      </c>
      <c r="U1" s="136">
        <f>'Financials Yearly'!V2</f>
        <v>2045</v>
      </c>
      <c r="V1" s="136">
        <f>'Financials Yearly'!W2</f>
        <v>2046</v>
      </c>
      <c r="W1" s="136">
        <f>'Financials Yearly'!X2</f>
        <v>2047</v>
      </c>
      <c r="X1" s="136">
        <f>'Financials Yearly'!Y2</f>
        <v>2048</v>
      </c>
    </row>
    <row r="2" spans="1:24" x14ac:dyDescent="0.25">
      <c r="A2" s="135" t="str">
        <f>'Financials Yearly'!B30</f>
        <v>Total Revenue</v>
      </c>
      <c r="B2" s="132">
        <f>'Financials Yearly'!C30</f>
        <v>0</v>
      </c>
      <c r="C2" s="132">
        <f>'Financials Yearly'!D30</f>
        <v>42079157.63449195</v>
      </c>
      <c r="D2" s="132">
        <f>'Financials Yearly'!E30</f>
        <v>73261682.810393706</v>
      </c>
      <c r="E2" s="132">
        <f>'Financials Yearly'!F30</f>
        <v>79804721.610527456</v>
      </c>
      <c r="F2" s="132">
        <f>'Financials Yearly'!G30</f>
        <v>81225241.641189128</v>
      </c>
      <c r="G2" s="132">
        <f>'Financials Yearly'!H30</f>
        <v>82228619.621948481</v>
      </c>
      <c r="H2" s="132">
        <f>'Financials Yearly'!I30</f>
        <v>83477384.448526293</v>
      </c>
      <c r="I2" s="132">
        <f>'Financials Yearly'!J30</f>
        <v>84751354.788526297</v>
      </c>
      <c r="J2" s="132">
        <f>'Financials Yearly'!K30</f>
        <v>86051039.398996562</v>
      </c>
      <c r="K2" s="132">
        <f>'Financials Yearly'!L30</f>
        <v>87376957.305918336</v>
      </c>
      <c r="L2" s="132">
        <f>'Financials Yearly'!M30</f>
        <v>88729638.011477888</v>
      </c>
      <c r="M2" s="132">
        <f>'Financials Yearly'!N30</f>
        <v>90109621.705521971</v>
      </c>
      <c r="N2" s="132">
        <f>'Financials Yearly'!O30</f>
        <v>91517459.481281281</v>
      </c>
      <c r="O2" s="132">
        <f>'Financials Yearly'!P30</f>
        <v>92953713.555448398</v>
      </c>
      <c r="P2" s="132">
        <f>'Financials Yearly'!Q30</f>
        <v>94418957.492697492</v>
      </c>
      <c r="Q2" s="132">
        <f>'Financials Yearly'!R30</f>
        <v>95913776.434736222</v>
      </c>
      <c r="R2" s="132">
        <f>'Financials Yearly'!S30</f>
        <v>97438767.333980471</v>
      </c>
      <c r="S2" s="132">
        <f>'Financials Yearly'!T30</f>
        <v>98994539.191946119</v>
      </c>
      <c r="T2" s="132">
        <f>'Financials Yearly'!U30</f>
        <v>100581713.30245224</v>
      </c>
      <c r="U2" s="132">
        <f>'Financials Yearly'!V30</f>
        <v>102200923.4997333</v>
      </c>
      <c r="V2" s="132">
        <f>'Financials Yearly'!W30</f>
        <v>103852816.41155936</v>
      </c>
      <c r="W2" s="132">
        <f>'Financials Yearly'!X30</f>
        <v>105538051.71746549</v>
      </c>
      <c r="X2" s="132">
        <f>'Financials Yearly'!Y30</f>
        <v>107257302.41219306</v>
      </c>
    </row>
    <row r="3" spans="1:24" x14ac:dyDescent="0.25">
      <c r="A3" s="134" t="str">
        <f>'Financials Yearly'!B49</f>
        <v>Total Expenses</v>
      </c>
      <c r="B3" s="132">
        <f>'Financials Yearly'!C49</f>
        <v>4213882.049129135</v>
      </c>
      <c r="C3" s="132">
        <f>'Financials Yearly'!D49</f>
        <v>14503584.947462868</v>
      </c>
      <c r="D3" s="132">
        <f>'Financials Yearly'!E49</f>
        <v>16601801.022423325</v>
      </c>
      <c r="E3" s="132">
        <f>'Financials Yearly'!F49</f>
        <v>14831083.644016823</v>
      </c>
      <c r="F3" s="132">
        <f>'Financials Yearly'!G49</f>
        <v>14043196.631043853</v>
      </c>
      <c r="G3" s="132">
        <f>'Financials Yearly'!H49</f>
        <v>13700323.296883605</v>
      </c>
      <c r="H3" s="132">
        <f>'Financials Yearly'!I49</f>
        <v>13326670.615055246</v>
      </c>
      <c r="I3" s="132">
        <f>'Financials Yearly'!J49</f>
        <v>12919923.927017292</v>
      </c>
      <c r="J3" s="132">
        <f>'Financials Yearly'!K49</f>
        <v>12477599.753433965</v>
      </c>
      <c r="K3" s="132">
        <f>'Financials Yearly'!L49</f>
        <v>11997033.563115837</v>
      </c>
      <c r="L3" s="132">
        <f>'Financials Yearly'!M49</f>
        <v>11475366.657263037</v>
      </c>
      <c r="M3" s="132">
        <f>'Financials Yearly'!N49</f>
        <v>11210606.342172302</v>
      </c>
      <c r="N3" s="132">
        <f>'Financials Yearly'!O49</f>
        <v>11076025.625162281</v>
      </c>
      <c r="O3" s="132">
        <f>'Financials Yearly'!P49</f>
        <v>10925063.395949617</v>
      </c>
      <c r="P3" s="132">
        <f>'Financials Yearly'!Q49</f>
        <v>10756434.773982327</v>
      </c>
      <c r="Q3" s="132">
        <f>'Financials Yearly'!R49</f>
        <v>10568760.300582958</v>
      </c>
      <c r="R3" s="132">
        <f>'Financials Yearly'!S49</f>
        <v>10585140.268039811</v>
      </c>
      <c r="S3" s="132">
        <f>'Financials Yearly'!T49</f>
        <v>10711909.421827443</v>
      </c>
      <c r="T3" s="132">
        <f>'Financials Yearly'!U49</f>
        <v>10840669.517143866</v>
      </c>
      <c r="U3" s="132">
        <f>'Financials Yearly'!V49</f>
        <v>10971455.035642283</v>
      </c>
      <c r="V3" s="132">
        <f>'Financials Yearly'!W49</f>
        <v>11104301.097661486</v>
      </c>
      <c r="W3" s="132">
        <f>'Financials Yearly'!X49</f>
        <v>11239243.474541649</v>
      </c>
      <c r="X3" s="132">
        <f>'Financials Yearly'!Y49</f>
        <v>11376318.601182893</v>
      </c>
    </row>
    <row r="4" spans="1:24" x14ac:dyDescent="0.25">
      <c r="A4" s="134" t="str">
        <f>'Financials Yearly'!B63</f>
        <v>Interest Expense</v>
      </c>
      <c r="B4" s="133">
        <f>'Financials Yearly'!C63</f>
        <v>9254241.349580016</v>
      </c>
      <c r="C4" s="133">
        <f>'Financials Yearly'!D63</f>
        <v>14539844.006718803</v>
      </c>
      <c r="D4" s="133">
        <f>'Financials Yearly'!E63</f>
        <v>12846520.505936589</v>
      </c>
      <c r="E4" s="133">
        <f>'Financials Yearly'!F63</f>
        <v>11888299.526458202</v>
      </c>
      <c r="F4" s="133">
        <f>'Financials Yearly'!G63</f>
        <v>11002520.550931798</v>
      </c>
      <c r="G4" s="133">
        <f>'Financials Yearly'!H63</f>
        <v>10052708.541643836</v>
      </c>
      <c r="H4" s="133">
        <f>'Financials Yearly'!I63</f>
        <v>9034234.5454062242</v>
      </c>
      <c r="I4" s="133">
        <f>'Financials Yearly'!J63</f>
        <v>7942134.9816306233</v>
      </c>
      <c r="J4" s="133">
        <f>'Financials Yearly'!K63</f>
        <v>6771087.4520866219</v>
      </c>
      <c r="K4" s="133">
        <f>'Financials Yearly'!L63</f>
        <v>5515384.8019453902</v>
      </c>
      <c r="L4" s="133">
        <f>'Financials Yearly'!M63</f>
        <v>4168907.305694059</v>
      </c>
      <c r="M4" s="133">
        <f>'Financials Yearly'!N63</f>
        <v>2970391.9454732942</v>
      </c>
      <c r="N4" s="133">
        <f>'Financials Yearly'!O63</f>
        <v>2396680.3164087497</v>
      </c>
      <c r="O4" s="133">
        <f>'Financials Yearly'!P63</f>
        <v>1824323.0820041397</v>
      </c>
      <c r="P4" s="133">
        <f>'Financials Yearly'!Q63</f>
        <v>1210590.0968457698</v>
      </c>
      <c r="Q4" s="133">
        <f>'Financials Yearly'!R63</f>
        <v>552490.30456616264</v>
      </c>
      <c r="R4" s="133">
        <f>'Financials Yearly'!S63</f>
        <v>29793.11121479913</v>
      </c>
      <c r="S4" s="133">
        <f>'Financials Yearly'!T63</f>
        <v>0</v>
      </c>
      <c r="T4" s="133">
        <f>'Financials Yearly'!U63</f>
        <v>0</v>
      </c>
      <c r="U4" s="133">
        <f>'Financials Yearly'!V63</f>
        <v>0</v>
      </c>
      <c r="V4" s="133">
        <f>'Financials Yearly'!W63</f>
        <v>0</v>
      </c>
      <c r="W4" s="133">
        <f>'Financials Yearly'!X63</f>
        <v>0</v>
      </c>
      <c r="X4" s="133">
        <f>'Financials Yearly'!Y63</f>
        <v>0</v>
      </c>
    </row>
    <row r="5" spans="1:24" x14ac:dyDescent="0.25">
      <c r="A5" s="134" t="str">
        <f>'Financials Yearly'!B94</f>
        <v>Debt Amortization Payments</v>
      </c>
      <c r="B5" s="133">
        <f>'Financials Yearly'!C94</f>
        <v>0</v>
      </c>
      <c r="C5" s="133">
        <f>'Financials Yearly'!D94</f>
        <v>8061833.3182707066</v>
      </c>
      <c r="D5" s="133">
        <f>'Financials Yearly'!E94</f>
        <v>11427056.342834271</v>
      </c>
      <c r="E5" s="133">
        <f>'Financials Yearly'!F94</f>
        <v>12253119.169806525</v>
      </c>
      <c r="F5" s="133">
        <f>'Financials Yearly'!G94</f>
        <v>13138898.145332925</v>
      </c>
      <c r="G5" s="133">
        <f>'Financials Yearly'!H94</f>
        <v>14088710.15462089</v>
      </c>
      <c r="H5" s="133">
        <f>'Financials Yearly'!I94</f>
        <v>15107184.150858499</v>
      </c>
      <c r="I5" s="133">
        <f>'Financials Yearly'!J94</f>
        <v>16199283.7146341</v>
      </c>
      <c r="J5" s="133">
        <f>'Financials Yearly'!K94</f>
        <v>17370331.244178101</v>
      </c>
      <c r="K5" s="133">
        <f>'Financials Yearly'!L94</f>
        <v>18626033.894319337</v>
      </c>
      <c r="L5" s="133">
        <f>'Financials Yearly'!M94</f>
        <v>19972511.390570667</v>
      </c>
      <c r="M5" s="133">
        <f>'Financials Yearly'!N94</f>
        <v>10800603.35279372</v>
      </c>
      <c r="N5" s="133">
        <f>'Financials Yearly'!O94</f>
        <v>7917507.1825256934</v>
      </c>
      <c r="O5" s="133">
        <f>'Financials Yearly'!P94</f>
        <v>8489864.4169303011</v>
      </c>
      <c r="P5" s="133">
        <f>'Financials Yearly'!Q94</f>
        <v>9103597.4020886701</v>
      </c>
      <c r="Q5" s="133">
        <f>'Financials Yearly'!R94</f>
        <v>9761697.1943682786</v>
      </c>
      <c r="R5" s="133">
        <f>'Financials Yearly'!S94</f>
        <v>2548753.7635188112</v>
      </c>
      <c r="S5" s="133">
        <f>'Financials Yearly'!T94</f>
        <v>0</v>
      </c>
      <c r="T5" s="133">
        <f>'Financials Yearly'!U94</f>
        <v>0</v>
      </c>
      <c r="U5" s="133">
        <f>'Financials Yearly'!V94</f>
        <v>0</v>
      </c>
      <c r="V5" s="133">
        <f>'Financials Yearly'!W94</f>
        <v>0</v>
      </c>
      <c r="W5" s="133">
        <f>'Financials Yearly'!X94</f>
        <v>0</v>
      </c>
      <c r="X5" s="133">
        <f>'Financials Yearly'!Y94</f>
        <v>0</v>
      </c>
    </row>
    <row r="7" spans="1:24" x14ac:dyDescent="0.25">
      <c r="A7" s="134" t="str">
        <f>'Financials Yearly'!B87</f>
        <v>Cashflow Statement</v>
      </c>
    </row>
    <row r="8" spans="1:24" x14ac:dyDescent="0.25">
      <c r="B8" s="134">
        <f>B1</f>
        <v>2026</v>
      </c>
      <c r="C8" s="134">
        <f t="shared" ref="C8:X8" si="0">C1</f>
        <v>2027</v>
      </c>
      <c r="D8" s="134">
        <f t="shared" si="0"/>
        <v>2028</v>
      </c>
      <c r="E8" s="134">
        <f t="shared" si="0"/>
        <v>2029</v>
      </c>
      <c r="F8" s="134">
        <f t="shared" si="0"/>
        <v>2030</v>
      </c>
      <c r="G8" s="134">
        <f t="shared" si="0"/>
        <v>2031</v>
      </c>
      <c r="H8" s="134">
        <f t="shared" si="0"/>
        <v>2032</v>
      </c>
      <c r="I8" s="134">
        <f t="shared" si="0"/>
        <v>2033</v>
      </c>
      <c r="J8" s="134">
        <f t="shared" si="0"/>
        <v>2034</v>
      </c>
      <c r="K8" s="134">
        <f t="shared" si="0"/>
        <v>2035</v>
      </c>
      <c r="L8" s="134">
        <f t="shared" si="0"/>
        <v>2036</v>
      </c>
      <c r="M8" s="134">
        <f t="shared" si="0"/>
        <v>2037</v>
      </c>
      <c r="N8" s="134">
        <f t="shared" si="0"/>
        <v>2038</v>
      </c>
      <c r="O8" s="134">
        <f t="shared" si="0"/>
        <v>2039</v>
      </c>
      <c r="P8" s="134">
        <f t="shared" si="0"/>
        <v>2040</v>
      </c>
      <c r="Q8" s="134">
        <f t="shared" si="0"/>
        <v>2041</v>
      </c>
      <c r="R8" s="134">
        <f t="shared" si="0"/>
        <v>2042</v>
      </c>
      <c r="S8" s="134">
        <f t="shared" si="0"/>
        <v>2043</v>
      </c>
      <c r="T8" s="134">
        <f t="shared" si="0"/>
        <v>2044</v>
      </c>
      <c r="U8" s="134">
        <f t="shared" si="0"/>
        <v>2045</v>
      </c>
      <c r="V8" s="134">
        <f t="shared" si="0"/>
        <v>2046</v>
      </c>
      <c r="W8" s="134">
        <f t="shared" si="0"/>
        <v>2047</v>
      </c>
      <c r="X8" s="134">
        <f t="shared" si="0"/>
        <v>2048</v>
      </c>
    </row>
    <row r="9" spans="1:24" x14ac:dyDescent="0.25">
      <c r="A9" s="134" t="str">
        <f>'Financials Yearly'!B88</f>
        <v>Net Income</v>
      </c>
      <c r="B9" s="137">
        <f>'Financials Yearly'!C88</f>
        <v>-13468123.398709152</v>
      </c>
      <c r="C9" s="137">
        <f>'Financials Yearly'!D88</f>
        <v>-16090608.325115725</v>
      </c>
      <c r="D9" s="137">
        <f>'Financials Yearly'!E88</f>
        <v>7219852.4206439964</v>
      </c>
      <c r="E9" s="137">
        <f>'Financials Yearly'!F88</f>
        <v>16491829.578662636</v>
      </c>
      <c r="F9" s="137">
        <f>'Financials Yearly'!G88</f>
        <v>19586015.597823687</v>
      </c>
      <c r="G9" s="137">
        <f>'Financials Yearly'!H88</f>
        <v>21882078.922031239</v>
      </c>
      <c r="H9" s="137">
        <f>'Financials Yearly'!I88</f>
        <v>24522970.426675029</v>
      </c>
      <c r="I9" s="137">
        <f>'Financials Yearly'!J88</f>
        <v>27152929.875631452</v>
      </c>
      <c r="J9" s="137">
        <f>'Financials Yearly'!K88</f>
        <v>57215423.841561176</v>
      </c>
      <c r="K9" s="137">
        <f>'Financials Yearly'!L88</f>
        <v>68030818.4503185</v>
      </c>
      <c r="L9" s="137">
        <f>'Financials Yearly'!M88</f>
        <v>57848122.4074305</v>
      </c>
      <c r="M9" s="137">
        <f>'Financials Yearly'!N88</f>
        <v>60008444.18862927</v>
      </c>
      <c r="N9" s="137">
        <f>'Financials Yearly'!O88</f>
        <v>61587062.571810648</v>
      </c>
      <c r="O9" s="137">
        <f>'Financials Yearly'!P88</f>
        <v>63200435.687752448</v>
      </c>
      <c r="P9" s="137">
        <f>'Financials Yearly'!Q88</f>
        <v>64998520.123252243</v>
      </c>
      <c r="Q9" s="137">
        <f>'Financials Yearly'!R88</f>
        <v>66870994.689426422</v>
      </c>
      <c r="R9" s="137">
        <f>'Financials Yearly'!S88</f>
        <v>68496041.189537436</v>
      </c>
      <c r="S9" s="137">
        <f>'Financials Yearly'!T88</f>
        <v>69663077.841851681</v>
      </c>
      <c r="T9" s="137">
        <f>'Financials Yearly'!U88</f>
        <v>70829809.054003447</v>
      </c>
      <c r="U9" s="137">
        <f>'Financials Yearly'!V88</f>
        <v>72020548.797029555</v>
      </c>
      <c r="V9" s="137">
        <f>'Financials Yearly'!W88</f>
        <v>73235786.276875049</v>
      </c>
      <c r="W9" s="137">
        <f>'Financials Yearly'!X88</f>
        <v>74476020.620095819</v>
      </c>
      <c r="X9" s="137">
        <f>'Financials Yearly'!Y88</f>
        <v>75741761.074564874</v>
      </c>
    </row>
    <row r="10" spans="1:24" x14ac:dyDescent="0.25">
      <c r="A10" s="134" t="str">
        <f>'Financials Yearly'!B89</f>
        <v>Depreciation</v>
      </c>
      <c r="B10" s="137">
        <f>'Financials Yearly'!C89</f>
        <v>0</v>
      </c>
      <c r="C10" s="137">
        <f>'Financials Yearly'!D89</f>
        <v>27292294.795189284</v>
      </c>
      <c r="D10" s="137">
        <f>'Financials Yearly'!E89</f>
        <v>36389726.393585712</v>
      </c>
      <c r="E10" s="137">
        <f>'Financials Yearly'!F89</f>
        <v>36389726.393585712</v>
      </c>
      <c r="F10" s="137">
        <f>'Financials Yearly'!G89</f>
        <v>36389726.393585712</v>
      </c>
      <c r="G10" s="137">
        <f>'Financials Yearly'!H89</f>
        <v>36389726.393585712</v>
      </c>
      <c r="H10" s="137">
        <f>'Financials Yearly'!I89</f>
        <v>36389726.393585712</v>
      </c>
      <c r="I10" s="137">
        <f>'Financials Yearly'!J89</f>
        <v>36532583.536442854</v>
      </c>
      <c r="J10" s="137">
        <f>'Financials Yearly'!K89</f>
        <v>9383145.8841107134</v>
      </c>
      <c r="K10" s="137">
        <f>'Financials Yearly'!L89</f>
        <v>428571.4285714287</v>
      </c>
      <c r="L10" s="137">
        <f>'Financials Yearly'!M89</f>
        <v>571428.57142857148</v>
      </c>
      <c r="M10" s="137">
        <f>'Financials Yearly'!N89</f>
        <v>714285.71428571409</v>
      </c>
      <c r="N10" s="137">
        <f>'Financials Yearly'!O89</f>
        <v>857142.85714285739</v>
      </c>
      <c r="O10" s="137">
        <f>'Financials Yearly'!P89</f>
        <v>1000000.0000000001</v>
      </c>
      <c r="P10" s="137">
        <f>'Financials Yearly'!Q89</f>
        <v>1000000.0000000001</v>
      </c>
      <c r="Q10" s="137">
        <f>'Financials Yearly'!R89</f>
        <v>1000000.0000000001</v>
      </c>
      <c r="R10" s="137">
        <f>'Financials Yearly'!S89</f>
        <v>1000000.0000000001</v>
      </c>
      <c r="S10" s="137">
        <f>'Financials Yearly'!T89</f>
        <v>1000000.0000000001</v>
      </c>
      <c r="T10" s="137">
        <f>'Financials Yearly'!U89</f>
        <v>1000000.0000000001</v>
      </c>
      <c r="U10" s="137">
        <f>'Financials Yearly'!V89</f>
        <v>1000000.0000000001</v>
      </c>
      <c r="V10" s="137">
        <f>'Financials Yearly'!W89</f>
        <v>1000000.0000000001</v>
      </c>
      <c r="W10" s="137">
        <f>'Financials Yearly'!X89</f>
        <v>1000000.0000000001</v>
      </c>
      <c r="X10" s="137">
        <f>'Financials Yearly'!Y89</f>
        <v>1000000.0000000001</v>
      </c>
    </row>
    <row r="11" spans="1:24" x14ac:dyDescent="0.25">
      <c r="A11" s="134" t="str">
        <f>'Financials Yearly'!B90</f>
        <v>Amortization</v>
      </c>
      <c r="B11" s="137">
        <f>'Financials Yearly'!C90</f>
        <v>0</v>
      </c>
      <c r="C11" s="137">
        <f>'Financials Yearly'!D90</f>
        <v>1834042.2102367198</v>
      </c>
      <c r="D11" s="137">
        <f>'Financials Yearly'!E90</f>
        <v>203782.46780407999</v>
      </c>
      <c r="E11" s="137">
        <f>'Financials Yearly'!F90</f>
        <v>203782.46780407999</v>
      </c>
      <c r="F11" s="137">
        <f>'Financials Yearly'!G90</f>
        <v>203782.46780407999</v>
      </c>
      <c r="G11" s="137">
        <f>'Financials Yearly'!H90</f>
        <v>203782.46780407999</v>
      </c>
      <c r="H11" s="137">
        <f>'Financials Yearly'!I90</f>
        <v>203782.46780407999</v>
      </c>
      <c r="I11" s="137">
        <f>'Financials Yearly'!J90</f>
        <v>203782.46780407999</v>
      </c>
      <c r="J11" s="137">
        <f>'Financials Yearly'!K90</f>
        <v>203782.46780407999</v>
      </c>
      <c r="K11" s="137">
        <f>'Financials Yearly'!L90</f>
        <v>203782.46780407999</v>
      </c>
      <c r="L11" s="137">
        <f>'Financials Yearly'!M90</f>
        <v>203782.46780407999</v>
      </c>
      <c r="M11" s="137">
        <f>'Financials Yearly'!N90</f>
        <v>203782.46780407999</v>
      </c>
      <c r="N11" s="137">
        <f>'Financials Yearly'!O90</f>
        <v>203782.46780407999</v>
      </c>
      <c r="O11" s="137">
        <f>'Financials Yearly'!P90</f>
        <v>203782.46780407999</v>
      </c>
      <c r="P11" s="137">
        <f>'Financials Yearly'!Q90</f>
        <v>203782.46780407999</v>
      </c>
      <c r="Q11" s="137">
        <f>'Financials Yearly'!R90</f>
        <v>203782.46780407999</v>
      </c>
      <c r="R11" s="137">
        <f>'Financials Yearly'!S90</f>
        <v>203782.46780407999</v>
      </c>
      <c r="S11" s="137">
        <f>'Financials Yearly'!T90</f>
        <v>203782.46780407999</v>
      </c>
      <c r="T11" s="137">
        <f>'Financials Yearly'!U90</f>
        <v>203782.46780407999</v>
      </c>
      <c r="U11" s="137">
        <f>'Financials Yearly'!V90</f>
        <v>203782.46780407999</v>
      </c>
      <c r="V11" s="137">
        <f>'Financials Yearly'!W90</f>
        <v>203782.46780407999</v>
      </c>
      <c r="W11" s="137">
        <f>'Financials Yearly'!X90</f>
        <v>203782.46780407999</v>
      </c>
      <c r="X11" s="137">
        <f>'Financials Yearly'!Y90</f>
        <v>203782.46780407999</v>
      </c>
    </row>
    <row r="12" spans="1:24" x14ac:dyDescent="0.25">
      <c r="A12" s="134" t="str">
        <f>'Financials Yearly'!B91</f>
        <v>Net Cashflow from Operating Activities</v>
      </c>
      <c r="B12" s="137">
        <f>'Financials Yearly'!C91</f>
        <v>-13468123.398709152</v>
      </c>
      <c r="C12" s="137">
        <f>'Financials Yearly'!D91</f>
        <v>13035728.680310279</v>
      </c>
      <c r="D12" s="137">
        <f>'Financials Yearly'!E91</f>
        <v>43813361.282033794</v>
      </c>
      <c r="E12" s="137">
        <f>'Financials Yearly'!F91</f>
        <v>53085338.440052427</v>
      </c>
      <c r="F12" s="137">
        <f>'Financials Yearly'!G91</f>
        <v>56179524.45921348</v>
      </c>
      <c r="G12" s="137">
        <f>'Financials Yearly'!H91</f>
        <v>58475587.783421032</v>
      </c>
      <c r="H12" s="137">
        <f>'Financials Yearly'!I91</f>
        <v>61116479.288064823</v>
      </c>
      <c r="I12" s="137">
        <f>'Financials Yearly'!J91</f>
        <v>63889295.879878387</v>
      </c>
      <c r="J12" s="137">
        <f>'Financials Yearly'!K91</f>
        <v>66802352.193475969</v>
      </c>
      <c r="K12" s="137">
        <f>'Financials Yearly'!L91</f>
        <v>68663172.346694008</v>
      </c>
      <c r="L12" s="137">
        <f>'Financials Yearly'!M91</f>
        <v>58623333.446663156</v>
      </c>
      <c r="M12" s="137">
        <f>'Financials Yearly'!N91</f>
        <v>60926512.370719068</v>
      </c>
      <c r="N12" s="137">
        <f>'Financials Yearly'!O91</f>
        <v>62647987.896757588</v>
      </c>
      <c r="O12" s="137">
        <f>'Financials Yearly'!P91</f>
        <v>64404218.15555653</v>
      </c>
      <c r="P12" s="137">
        <f>'Financials Yearly'!Q91</f>
        <v>66202302.591056325</v>
      </c>
      <c r="Q12" s="137">
        <f>'Financials Yearly'!R91</f>
        <v>68074777.157230496</v>
      </c>
      <c r="R12" s="137">
        <f>'Financials Yearly'!S91</f>
        <v>69699823.65734151</v>
      </c>
      <c r="S12" s="137">
        <f>'Financials Yearly'!T91</f>
        <v>70866860.309655756</v>
      </c>
      <c r="T12" s="137">
        <f>'Financials Yearly'!U91</f>
        <v>72033591.521807522</v>
      </c>
      <c r="U12" s="137">
        <f>'Financials Yearly'!V91</f>
        <v>73224331.264833629</v>
      </c>
      <c r="V12" s="137">
        <f>'Financials Yearly'!W91</f>
        <v>74439568.744679123</v>
      </c>
      <c r="W12" s="137">
        <f>'Financials Yearly'!X91</f>
        <v>75679803.087899894</v>
      </c>
      <c r="X12" s="137">
        <f>'Financials Yearly'!Y91</f>
        <v>76945543.542368948</v>
      </c>
    </row>
    <row r="14" spans="1:24" x14ac:dyDescent="0.25">
      <c r="A14" s="134" t="s">
        <v>276</v>
      </c>
    </row>
    <row r="15" spans="1:24" x14ac:dyDescent="0.25">
      <c r="B15" s="134">
        <f>B8</f>
        <v>2026</v>
      </c>
      <c r="C15" s="134">
        <f t="shared" ref="C15:X15" si="1">C8</f>
        <v>2027</v>
      </c>
      <c r="D15" s="134">
        <f t="shared" si="1"/>
        <v>2028</v>
      </c>
      <c r="E15" s="134">
        <f t="shared" si="1"/>
        <v>2029</v>
      </c>
      <c r="F15" s="134">
        <f t="shared" si="1"/>
        <v>2030</v>
      </c>
      <c r="G15" s="134">
        <f t="shared" si="1"/>
        <v>2031</v>
      </c>
      <c r="H15" s="134">
        <f t="shared" si="1"/>
        <v>2032</v>
      </c>
      <c r="I15" s="134">
        <f t="shared" si="1"/>
        <v>2033</v>
      </c>
      <c r="J15" s="134">
        <f t="shared" si="1"/>
        <v>2034</v>
      </c>
      <c r="K15" s="134">
        <f t="shared" si="1"/>
        <v>2035</v>
      </c>
      <c r="L15" s="134">
        <f t="shared" si="1"/>
        <v>2036</v>
      </c>
      <c r="M15" s="134">
        <f t="shared" si="1"/>
        <v>2037</v>
      </c>
      <c r="N15" s="134">
        <f t="shared" si="1"/>
        <v>2038</v>
      </c>
      <c r="O15" s="134">
        <f t="shared" si="1"/>
        <v>2039</v>
      </c>
      <c r="P15" s="134">
        <f t="shared" si="1"/>
        <v>2040</v>
      </c>
      <c r="Q15" s="134">
        <f t="shared" si="1"/>
        <v>2041</v>
      </c>
      <c r="R15" s="134">
        <f t="shared" si="1"/>
        <v>2042</v>
      </c>
      <c r="S15" s="134">
        <f t="shared" si="1"/>
        <v>2043</v>
      </c>
      <c r="T15" s="134">
        <f t="shared" si="1"/>
        <v>2044</v>
      </c>
      <c r="U15" s="134">
        <f t="shared" si="1"/>
        <v>2045</v>
      </c>
      <c r="V15" s="134">
        <f t="shared" si="1"/>
        <v>2046</v>
      </c>
      <c r="W15" s="134">
        <f t="shared" si="1"/>
        <v>2047</v>
      </c>
      <c r="X15" s="134">
        <f t="shared" si="1"/>
        <v>2048</v>
      </c>
    </row>
    <row r="16" spans="1:24" x14ac:dyDescent="0.25">
      <c r="A16" s="135" t="str">
        <f>A2</f>
        <v>Total Revenue</v>
      </c>
      <c r="B16" s="132">
        <f>B2</f>
        <v>0</v>
      </c>
      <c r="C16" s="132">
        <f t="shared" ref="C16:X16" si="2">C2</f>
        <v>42079157.63449195</v>
      </c>
      <c r="D16" s="132">
        <f t="shared" si="2"/>
        <v>73261682.810393706</v>
      </c>
      <c r="E16" s="132">
        <f t="shared" si="2"/>
        <v>79804721.610527456</v>
      </c>
      <c r="F16" s="132">
        <f t="shared" si="2"/>
        <v>81225241.641189128</v>
      </c>
      <c r="G16" s="132">
        <f t="shared" si="2"/>
        <v>82228619.621948481</v>
      </c>
      <c r="H16" s="132">
        <f t="shared" si="2"/>
        <v>83477384.448526293</v>
      </c>
      <c r="I16" s="132">
        <f t="shared" si="2"/>
        <v>84751354.788526297</v>
      </c>
      <c r="J16" s="132">
        <f t="shared" si="2"/>
        <v>86051039.398996562</v>
      </c>
      <c r="K16" s="132">
        <f t="shared" si="2"/>
        <v>87376957.305918336</v>
      </c>
      <c r="L16" s="132">
        <f t="shared" si="2"/>
        <v>88729638.011477888</v>
      </c>
      <c r="M16" s="132">
        <f t="shared" si="2"/>
        <v>90109621.705521971</v>
      </c>
      <c r="N16" s="132">
        <f t="shared" si="2"/>
        <v>91517459.481281281</v>
      </c>
      <c r="O16" s="132">
        <f t="shared" si="2"/>
        <v>92953713.555448398</v>
      </c>
      <c r="P16" s="132">
        <f t="shared" si="2"/>
        <v>94418957.492697492</v>
      </c>
      <c r="Q16" s="132">
        <f t="shared" si="2"/>
        <v>95913776.434736222</v>
      </c>
      <c r="R16" s="132">
        <f t="shared" si="2"/>
        <v>97438767.333980471</v>
      </c>
      <c r="S16" s="132">
        <f t="shared" si="2"/>
        <v>98994539.191946119</v>
      </c>
      <c r="T16" s="132">
        <f t="shared" si="2"/>
        <v>100581713.30245224</v>
      </c>
      <c r="U16" s="132">
        <f t="shared" si="2"/>
        <v>102200923.4997333</v>
      </c>
      <c r="V16" s="132">
        <f t="shared" si="2"/>
        <v>103852816.41155936</v>
      </c>
      <c r="W16" s="132">
        <f t="shared" si="2"/>
        <v>105538051.71746549</v>
      </c>
      <c r="X16" s="132">
        <f t="shared" si="2"/>
        <v>107257302.41219306</v>
      </c>
    </row>
    <row r="17" spans="1:24" x14ac:dyDescent="0.25">
      <c r="A17" s="134" t="s">
        <v>269</v>
      </c>
      <c r="B17" s="132">
        <f>SUM(B3+B4+B5)</f>
        <v>13468123.398709152</v>
      </c>
      <c r="C17" s="132">
        <f t="shared" ref="C17:X17" si="3">SUM(C3+C4+C5)</f>
        <v>37105262.272452377</v>
      </c>
      <c r="D17" s="132">
        <f t="shared" si="3"/>
        <v>40875377.871194184</v>
      </c>
      <c r="E17" s="132">
        <f t="shared" si="3"/>
        <v>38972502.340281546</v>
      </c>
      <c r="F17" s="132">
        <f t="shared" si="3"/>
        <v>38184615.32730858</v>
      </c>
      <c r="G17" s="132">
        <f t="shared" si="3"/>
        <v>37841741.993148327</v>
      </c>
      <c r="H17" s="132">
        <f t="shared" si="3"/>
        <v>37468089.31131997</v>
      </c>
      <c r="I17" s="132">
        <f t="shared" si="3"/>
        <v>37061342.623282015</v>
      </c>
      <c r="J17" s="132">
        <f t="shared" si="3"/>
        <v>36619018.449698687</v>
      </c>
      <c r="K17" s="132">
        <f t="shared" si="3"/>
        <v>36138452.259380564</v>
      </c>
      <c r="L17" s="132">
        <f t="shared" si="3"/>
        <v>35616785.353527762</v>
      </c>
      <c r="M17" s="132">
        <f t="shared" si="3"/>
        <v>24981601.640439317</v>
      </c>
      <c r="N17" s="132">
        <f t="shared" si="3"/>
        <v>21390213.124096725</v>
      </c>
      <c r="O17" s="132">
        <f t="shared" si="3"/>
        <v>21239250.894884057</v>
      </c>
      <c r="P17" s="132">
        <f t="shared" si="3"/>
        <v>21070622.272916768</v>
      </c>
      <c r="Q17" s="132">
        <f t="shared" si="3"/>
        <v>20882947.799517401</v>
      </c>
      <c r="R17" s="132">
        <f t="shared" si="3"/>
        <v>13163687.142773423</v>
      </c>
      <c r="S17" s="132">
        <f t="shared" si="3"/>
        <v>10711909.421827443</v>
      </c>
      <c r="T17" s="132">
        <f t="shared" si="3"/>
        <v>10840669.517143866</v>
      </c>
      <c r="U17" s="132">
        <f t="shared" si="3"/>
        <v>10971455.035642283</v>
      </c>
      <c r="V17" s="132">
        <f t="shared" si="3"/>
        <v>11104301.097661486</v>
      </c>
      <c r="W17" s="132">
        <f t="shared" si="3"/>
        <v>11239243.474541649</v>
      </c>
      <c r="X17" s="132">
        <f t="shared" si="3"/>
        <v>11376318.601182893</v>
      </c>
    </row>
    <row r="18" spans="1:24" x14ac:dyDescent="0.25">
      <c r="A18" s="134" t="s">
        <v>277</v>
      </c>
      <c r="B18" s="132">
        <f>SUM(B17*1.3)</f>
        <v>17508560.418321896</v>
      </c>
      <c r="C18" s="132">
        <f t="shared" ref="C18:X18" si="4">SUM(C17*1.3)</f>
        <v>48236840.954188094</v>
      </c>
      <c r="D18" s="132">
        <f t="shared" si="4"/>
        <v>53137991.232552439</v>
      </c>
      <c r="E18" s="132">
        <f t="shared" si="4"/>
        <v>50664253.042366013</v>
      </c>
      <c r="F18" s="132">
        <f t="shared" si="4"/>
        <v>49639999.925501153</v>
      </c>
      <c r="G18" s="132">
        <f t="shared" si="4"/>
        <v>49194264.591092825</v>
      </c>
      <c r="H18" s="132">
        <f t="shared" si="4"/>
        <v>48708516.104715966</v>
      </c>
      <c r="I18" s="132">
        <f t="shared" si="4"/>
        <v>48179745.410266623</v>
      </c>
      <c r="J18" s="132">
        <f t="shared" si="4"/>
        <v>47604723.984608293</v>
      </c>
      <c r="K18" s="132">
        <f t="shared" si="4"/>
        <v>46979987.937194735</v>
      </c>
      <c r="L18" s="132">
        <f t="shared" si="4"/>
        <v>46301820.959586091</v>
      </c>
      <c r="M18" s="132">
        <f t="shared" si="4"/>
        <v>32476082.132571112</v>
      </c>
      <c r="N18" s="132">
        <f t="shared" si="4"/>
        <v>27807277.061325744</v>
      </c>
      <c r="O18" s="132">
        <f t="shared" si="4"/>
        <v>27611026.163349275</v>
      </c>
      <c r="P18" s="132">
        <f t="shared" si="4"/>
        <v>27391808.954791799</v>
      </c>
      <c r="Q18" s="132">
        <f t="shared" si="4"/>
        <v>27147832.139372621</v>
      </c>
      <c r="R18" s="132">
        <f t="shared" si="4"/>
        <v>17112793.285605449</v>
      </c>
      <c r="S18" s="132">
        <f t="shared" si="4"/>
        <v>13925482.248375677</v>
      </c>
      <c r="T18" s="132">
        <f t="shared" si="4"/>
        <v>14092870.372287026</v>
      </c>
      <c r="U18" s="132">
        <f t="shared" si="4"/>
        <v>14262891.546334969</v>
      </c>
      <c r="V18" s="132">
        <f t="shared" si="4"/>
        <v>14435591.426959932</v>
      </c>
      <c r="W18" s="132">
        <f t="shared" si="4"/>
        <v>14611016.516904144</v>
      </c>
      <c r="X18" s="132">
        <f t="shared" si="4"/>
        <v>14789214.18153776</v>
      </c>
    </row>
    <row r="20" spans="1:24" x14ac:dyDescent="0.25">
      <c r="A20" s="134" t="s">
        <v>271</v>
      </c>
      <c r="B20" s="134">
        <f>B1</f>
        <v>2026</v>
      </c>
      <c r="C20" s="134">
        <f t="shared" ref="C20:X20" si="5">C1</f>
        <v>2027</v>
      </c>
      <c r="D20" s="134">
        <f t="shared" si="5"/>
        <v>2028</v>
      </c>
      <c r="E20" s="134">
        <f t="shared" si="5"/>
        <v>2029</v>
      </c>
      <c r="F20" s="134">
        <f t="shared" si="5"/>
        <v>2030</v>
      </c>
      <c r="G20" s="134">
        <f t="shared" si="5"/>
        <v>2031</v>
      </c>
      <c r="H20" s="134">
        <f t="shared" si="5"/>
        <v>2032</v>
      </c>
      <c r="I20" s="134">
        <f t="shared" si="5"/>
        <v>2033</v>
      </c>
      <c r="J20" s="134">
        <f t="shared" si="5"/>
        <v>2034</v>
      </c>
      <c r="K20" s="134">
        <f t="shared" si="5"/>
        <v>2035</v>
      </c>
      <c r="L20" s="134">
        <f t="shared" si="5"/>
        <v>2036</v>
      </c>
      <c r="M20" s="134">
        <f t="shared" si="5"/>
        <v>2037</v>
      </c>
      <c r="N20" s="134">
        <f t="shared" si="5"/>
        <v>2038</v>
      </c>
      <c r="O20" s="134">
        <f t="shared" si="5"/>
        <v>2039</v>
      </c>
      <c r="P20" s="134">
        <f t="shared" si="5"/>
        <v>2040</v>
      </c>
      <c r="Q20" s="134">
        <f t="shared" si="5"/>
        <v>2041</v>
      </c>
      <c r="R20" s="134">
        <f t="shared" si="5"/>
        <v>2042</v>
      </c>
      <c r="S20" s="134">
        <f t="shared" si="5"/>
        <v>2043</v>
      </c>
      <c r="T20" s="134">
        <f t="shared" si="5"/>
        <v>2044</v>
      </c>
      <c r="U20" s="134">
        <f t="shared" si="5"/>
        <v>2045</v>
      </c>
      <c r="V20" s="134">
        <f t="shared" si="5"/>
        <v>2046</v>
      </c>
      <c r="W20" s="134">
        <f t="shared" si="5"/>
        <v>2047</v>
      </c>
      <c r="X20" s="134">
        <f t="shared" si="5"/>
        <v>2048</v>
      </c>
    </row>
    <row r="21" spans="1:24" x14ac:dyDescent="0.25">
      <c r="A21" s="135" t="str">
        <f>A2</f>
        <v>Total Revenue</v>
      </c>
      <c r="B21" s="132">
        <f>B2</f>
        <v>0</v>
      </c>
      <c r="C21" s="132">
        <f t="shared" ref="C21:X21" si="6">C2</f>
        <v>42079157.63449195</v>
      </c>
      <c r="D21" s="132">
        <f t="shared" si="6"/>
        <v>73261682.810393706</v>
      </c>
      <c r="E21" s="132">
        <f t="shared" si="6"/>
        <v>79804721.610527456</v>
      </c>
      <c r="F21" s="132">
        <f t="shared" si="6"/>
        <v>81225241.641189128</v>
      </c>
      <c r="G21" s="132">
        <f t="shared" si="6"/>
        <v>82228619.621948481</v>
      </c>
      <c r="H21" s="132">
        <f t="shared" si="6"/>
        <v>83477384.448526293</v>
      </c>
      <c r="I21" s="132">
        <f t="shared" si="6"/>
        <v>84751354.788526297</v>
      </c>
      <c r="J21" s="132">
        <f t="shared" si="6"/>
        <v>86051039.398996562</v>
      </c>
      <c r="K21" s="132">
        <f t="shared" si="6"/>
        <v>87376957.305918336</v>
      </c>
      <c r="L21" s="132">
        <f t="shared" si="6"/>
        <v>88729638.011477888</v>
      </c>
      <c r="M21" s="132">
        <f t="shared" si="6"/>
        <v>90109621.705521971</v>
      </c>
      <c r="N21" s="132">
        <f t="shared" si="6"/>
        <v>91517459.481281281</v>
      </c>
      <c r="O21" s="132">
        <f t="shared" si="6"/>
        <v>92953713.555448398</v>
      </c>
      <c r="P21" s="132">
        <f t="shared" si="6"/>
        <v>94418957.492697492</v>
      </c>
      <c r="Q21" s="132">
        <f t="shared" si="6"/>
        <v>95913776.434736222</v>
      </c>
      <c r="R21" s="132">
        <f t="shared" si="6"/>
        <v>97438767.333980471</v>
      </c>
      <c r="S21" s="132">
        <f t="shared" si="6"/>
        <v>98994539.191946119</v>
      </c>
      <c r="T21" s="132">
        <f t="shared" si="6"/>
        <v>100581713.30245224</v>
      </c>
      <c r="U21" s="132">
        <f t="shared" si="6"/>
        <v>102200923.4997333</v>
      </c>
      <c r="V21" s="132">
        <f t="shared" si="6"/>
        <v>103852816.41155936</v>
      </c>
      <c r="W21" s="132">
        <f t="shared" si="6"/>
        <v>105538051.71746549</v>
      </c>
      <c r="X21" s="132">
        <f t="shared" si="6"/>
        <v>107257302.41219306</v>
      </c>
    </row>
    <row r="22" spans="1:24" x14ac:dyDescent="0.25">
      <c r="A22" s="134" t="s">
        <v>270</v>
      </c>
      <c r="B22" s="132">
        <f>SUM(B3:B5)</f>
        <v>13468123.398709152</v>
      </c>
      <c r="C22" s="132">
        <f t="shared" ref="C22:X22" si="7">SUM(C3:C5)</f>
        <v>37105262.272452377</v>
      </c>
      <c r="D22" s="132">
        <f t="shared" si="7"/>
        <v>40875377.871194184</v>
      </c>
      <c r="E22" s="132">
        <f t="shared" si="7"/>
        <v>38972502.340281546</v>
      </c>
      <c r="F22" s="132">
        <f t="shared" si="7"/>
        <v>38184615.32730858</v>
      </c>
      <c r="G22" s="132">
        <f t="shared" si="7"/>
        <v>37841741.993148327</v>
      </c>
      <c r="H22" s="132">
        <f t="shared" si="7"/>
        <v>37468089.31131997</v>
      </c>
      <c r="I22" s="132">
        <f t="shared" si="7"/>
        <v>37061342.623282015</v>
      </c>
      <c r="J22" s="132">
        <f t="shared" si="7"/>
        <v>36619018.449698687</v>
      </c>
      <c r="K22" s="132">
        <f t="shared" si="7"/>
        <v>36138452.259380564</v>
      </c>
      <c r="L22" s="132">
        <f t="shared" si="7"/>
        <v>35616785.353527762</v>
      </c>
      <c r="M22" s="132">
        <f t="shared" si="7"/>
        <v>24981601.640439317</v>
      </c>
      <c r="N22" s="132">
        <f t="shared" si="7"/>
        <v>21390213.124096725</v>
      </c>
      <c r="O22" s="132">
        <f t="shared" si="7"/>
        <v>21239250.894884057</v>
      </c>
      <c r="P22" s="132">
        <f t="shared" si="7"/>
        <v>21070622.272916768</v>
      </c>
      <c r="Q22" s="132">
        <f t="shared" si="7"/>
        <v>20882947.799517401</v>
      </c>
      <c r="R22" s="132">
        <f t="shared" si="7"/>
        <v>13163687.142773423</v>
      </c>
      <c r="S22" s="132">
        <f t="shared" si="7"/>
        <v>10711909.421827443</v>
      </c>
      <c r="T22" s="132">
        <f t="shared" si="7"/>
        <v>10840669.517143866</v>
      </c>
      <c r="U22" s="132">
        <f t="shared" si="7"/>
        <v>10971455.035642283</v>
      </c>
      <c r="V22" s="132">
        <f t="shared" si="7"/>
        <v>11104301.097661486</v>
      </c>
      <c r="W22" s="132">
        <f t="shared" si="7"/>
        <v>11239243.474541649</v>
      </c>
      <c r="X22" s="132">
        <f t="shared" si="7"/>
        <v>11376318.601182893</v>
      </c>
    </row>
    <row r="23" spans="1:24" x14ac:dyDescent="0.25">
      <c r="A23" s="134" t="s">
        <v>272</v>
      </c>
      <c r="B23" s="132">
        <f>SUM(B22 * 1.3)</f>
        <v>17508560.418321896</v>
      </c>
      <c r="C23" s="132">
        <f t="shared" ref="C23:X23" si="8">SUM(C22 * 1.3)</f>
        <v>48236840.954188094</v>
      </c>
      <c r="D23" s="132">
        <f t="shared" si="8"/>
        <v>53137991.232552439</v>
      </c>
      <c r="E23" s="132">
        <f t="shared" si="8"/>
        <v>50664253.042366013</v>
      </c>
      <c r="F23" s="132">
        <f t="shared" si="8"/>
        <v>49639999.925501153</v>
      </c>
      <c r="G23" s="132">
        <f t="shared" si="8"/>
        <v>49194264.591092825</v>
      </c>
      <c r="H23" s="132">
        <f t="shared" si="8"/>
        <v>48708516.104715966</v>
      </c>
      <c r="I23" s="132">
        <f t="shared" si="8"/>
        <v>48179745.410266623</v>
      </c>
      <c r="J23" s="132">
        <f t="shared" si="8"/>
        <v>47604723.984608293</v>
      </c>
      <c r="K23" s="132">
        <f t="shared" si="8"/>
        <v>46979987.937194735</v>
      </c>
      <c r="L23" s="132">
        <f t="shared" si="8"/>
        <v>46301820.959586091</v>
      </c>
      <c r="M23" s="132">
        <f t="shared" si="8"/>
        <v>32476082.132571112</v>
      </c>
      <c r="N23" s="132">
        <f t="shared" si="8"/>
        <v>27807277.061325744</v>
      </c>
      <c r="O23" s="132">
        <f t="shared" si="8"/>
        <v>27611026.163349275</v>
      </c>
      <c r="P23" s="132">
        <f t="shared" si="8"/>
        <v>27391808.954791799</v>
      </c>
      <c r="Q23" s="132">
        <f t="shared" si="8"/>
        <v>27147832.139372621</v>
      </c>
      <c r="R23" s="132">
        <f t="shared" si="8"/>
        <v>17112793.285605449</v>
      </c>
      <c r="S23" s="132">
        <f t="shared" si="8"/>
        <v>13925482.248375677</v>
      </c>
      <c r="T23" s="132">
        <f t="shared" si="8"/>
        <v>14092870.372287026</v>
      </c>
      <c r="U23" s="132">
        <f t="shared" si="8"/>
        <v>14262891.546334969</v>
      </c>
      <c r="V23" s="132">
        <f t="shared" si="8"/>
        <v>14435591.426959932</v>
      </c>
      <c r="W23" s="132">
        <f t="shared" si="8"/>
        <v>14611016.516904144</v>
      </c>
      <c r="X23" s="132">
        <f t="shared" si="8"/>
        <v>14789214.18153776</v>
      </c>
    </row>
    <row r="26" spans="1:24" s="134" customFormat="1" x14ac:dyDescent="0.25">
      <c r="A26" s="134" t="s">
        <v>273</v>
      </c>
      <c r="B26" s="134">
        <f>B20</f>
        <v>2026</v>
      </c>
      <c r="C26" s="134">
        <f t="shared" ref="C26:X26" si="9">C20</f>
        <v>2027</v>
      </c>
      <c r="D26" s="134">
        <f t="shared" si="9"/>
        <v>2028</v>
      </c>
      <c r="E26" s="134">
        <f t="shared" si="9"/>
        <v>2029</v>
      </c>
      <c r="F26" s="134">
        <f t="shared" si="9"/>
        <v>2030</v>
      </c>
      <c r="G26" s="134">
        <f t="shared" si="9"/>
        <v>2031</v>
      </c>
      <c r="H26" s="134">
        <f t="shared" si="9"/>
        <v>2032</v>
      </c>
      <c r="I26" s="134">
        <f t="shared" si="9"/>
        <v>2033</v>
      </c>
      <c r="J26" s="134">
        <f t="shared" si="9"/>
        <v>2034</v>
      </c>
      <c r="K26" s="134">
        <f t="shared" si="9"/>
        <v>2035</v>
      </c>
      <c r="L26" s="134">
        <f t="shared" si="9"/>
        <v>2036</v>
      </c>
      <c r="M26" s="134">
        <f t="shared" si="9"/>
        <v>2037</v>
      </c>
      <c r="N26" s="134">
        <f t="shared" si="9"/>
        <v>2038</v>
      </c>
      <c r="O26" s="134">
        <f t="shared" si="9"/>
        <v>2039</v>
      </c>
      <c r="P26" s="134">
        <f t="shared" si="9"/>
        <v>2040</v>
      </c>
      <c r="Q26" s="134">
        <f t="shared" si="9"/>
        <v>2041</v>
      </c>
      <c r="R26" s="134">
        <f t="shared" si="9"/>
        <v>2042</v>
      </c>
      <c r="S26" s="134">
        <f t="shared" si="9"/>
        <v>2043</v>
      </c>
      <c r="T26" s="134">
        <f t="shared" si="9"/>
        <v>2044</v>
      </c>
      <c r="U26" s="134">
        <f t="shared" si="9"/>
        <v>2045</v>
      </c>
      <c r="V26" s="134">
        <f t="shared" si="9"/>
        <v>2046</v>
      </c>
      <c r="W26" s="134">
        <f t="shared" si="9"/>
        <v>2047</v>
      </c>
      <c r="X26" s="134">
        <f t="shared" si="9"/>
        <v>2048</v>
      </c>
    </row>
    <row r="27" spans="1:24" x14ac:dyDescent="0.25">
      <c r="A27" s="134" t="s">
        <v>278</v>
      </c>
      <c r="B27" s="132">
        <f>SUM('Financials Yearly'!C5+'Financials Yearly'!C16+'Financials Yearly'!C17+'Financials Yearly'!C18+'Financials Yearly'!C19+'Financials Yearly'!C20)</f>
        <v>0</v>
      </c>
      <c r="C27" s="132">
        <f>SUM('Financials Yearly'!D5+'Financials Yearly'!D16+'Financials Yearly'!D17+'Financials Yearly'!D18+'Financials Yearly'!D19+'Financials Yearly'!D20)</f>
        <v>0</v>
      </c>
      <c r="D27" s="132">
        <f>SUM('Financials Yearly'!E5+'Financials Yearly'!E16+'Financials Yearly'!E17+'Financials Yearly'!E18+'Financials Yearly'!E19+'Financials Yearly'!E20)</f>
        <v>16398976.114098672</v>
      </c>
      <c r="E27" s="132">
        <f>SUM('Financials Yearly'!F5+'Financials Yearly'!F16+'Financials Yearly'!F17+'Financials Yearly'!F18+'Financials Yearly'!F19+'Financials Yearly'!F20)</f>
        <v>21765913.751440059</v>
      </c>
      <c r="F27" s="132">
        <f>SUM('Financials Yearly'!G5+'Financials Yearly'!G16+'Financials Yearly'!G17+'Financials Yearly'!G18+'Financials Yearly'!G19+'Financials Yearly'!G20)</f>
        <v>21825546.391854964</v>
      </c>
      <c r="G27" s="132">
        <f>SUM('Financials Yearly'!H5+'Financials Yearly'!H16+'Financials Yearly'!H17+'Financials Yearly'!H18+'Financials Yearly'!H19+'Financials Yearly'!H20)</f>
        <v>21765913.751440059</v>
      </c>
      <c r="H27" s="132">
        <f>SUM('Financials Yearly'!I5+'Financials Yearly'!I16+'Financials Yearly'!I17+'Financials Yearly'!I18+'Financials Yearly'!I19+'Financials Yearly'!I20)</f>
        <v>21765913.751440059</v>
      </c>
      <c r="I27" s="132">
        <f>SUM('Financials Yearly'!J5+'Financials Yearly'!J16+'Financials Yearly'!J17+'Financials Yearly'!J18+'Financials Yearly'!J19+'Financials Yearly'!J20)</f>
        <v>21765913.751440059</v>
      </c>
      <c r="J27" s="132">
        <f>SUM('Financials Yearly'!K5+'Financials Yearly'!K16+'Financials Yearly'!K17+'Financials Yearly'!K18+'Financials Yearly'!K19+'Financials Yearly'!K20)</f>
        <v>21765913.751440059</v>
      </c>
      <c r="K27" s="132">
        <f>SUM('Financials Yearly'!L5+'Financials Yearly'!L16+'Financials Yearly'!L17+'Financials Yearly'!L18+'Financials Yearly'!L19+'Financials Yearly'!L20)</f>
        <v>21765913.751440059</v>
      </c>
      <c r="L27" s="132">
        <f>SUM('Financials Yearly'!M5+'Financials Yearly'!M16+'Financials Yearly'!M17+'Financials Yearly'!M18+'Financials Yearly'!M19+'Financials Yearly'!M20)</f>
        <v>21765913.751440059</v>
      </c>
      <c r="M27" s="132">
        <f>SUM('Financials Yearly'!N5+'Financials Yearly'!N16+'Financials Yearly'!N17+'Financials Yearly'!N18+'Financials Yearly'!N19+'Financials Yearly'!N20)</f>
        <v>21765913.751440059</v>
      </c>
      <c r="N27" s="132">
        <f>SUM('Financials Yearly'!O5+'Financials Yearly'!O16+'Financials Yearly'!O17+'Financials Yearly'!O18+'Financials Yearly'!O19+'Financials Yearly'!O20)</f>
        <v>21765913.751440059</v>
      </c>
      <c r="O27" s="132">
        <f>SUM('Financials Yearly'!P5+'Financials Yearly'!P16+'Financials Yearly'!P17+'Financials Yearly'!P18+'Financials Yearly'!P19+'Financials Yearly'!P20)</f>
        <v>21765913.751440059</v>
      </c>
      <c r="P27" s="132">
        <f>SUM('Financials Yearly'!Q5+'Financials Yearly'!Q16+'Financials Yearly'!Q17+'Financials Yearly'!Q18+'Financials Yearly'!Q19+'Financials Yearly'!Q20)</f>
        <v>21765913.751440059</v>
      </c>
      <c r="Q27" s="132">
        <f>SUM('Financials Yearly'!R5+'Financials Yearly'!R16+'Financials Yearly'!R17+'Financials Yearly'!R18+'Financials Yearly'!R19+'Financials Yearly'!R20)</f>
        <v>21765913.751440059</v>
      </c>
      <c r="R27" s="132">
        <f>SUM('Financials Yearly'!S5+'Financials Yearly'!S16+'Financials Yearly'!S17+'Financials Yearly'!S18+'Financials Yearly'!S19+'Financials Yearly'!S20)</f>
        <v>21765913.751440059</v>
      </c>
      <c r="S27" s="132">
        <f>SUM('Financials Yearly'!T5+'Financials Yearly'!T16+'Financials Yearly'!T17+'Financials Yearly'!T18+'Financials Yearly'!T19+'Financials Yearly'!T20)</f>
        <v>21765913.751440059</v>
      </c>
      <c r="T27" s="132">
        <f>SUM('Financials Yearly'!U5+'Financials Yearly'!U16+'Financials Yearly'!U17+'Financials Yearly'!U18+'Financials Yearly'!U19+'Financials Yearly'!U20)</f>
        <v>21765913.751440059</v>
      </c>
      <c r="U27" s="132">
        <f>SUM('Financials Yearly'!V5+'Financials Yearly'!V16+'Financials Yearly'!V17+'Financials Yearly'!V18+'Financials Yearly'!V19+'Financials Yearly'!V20)</f>
        <v>21765913.751440059</v>
      </c>
      <c r="V27" s="132">
        <f>SUM('Financials Yearly'!W5+'Financials Yearly'!W16+'Financials Yearly'!W17+'Financials Yearly'!W18+'Financials Yearly'!W19+'Financials Yearly'!W20)</f>
        <v>21765913.751440059</v>
      </c>
      <c r="W27" s="132">
        <f>SUM('Financials Yearly'!X5+'Financials Yearly'!X16+'Financials Yearly'!X17+'Financials Yearly'!X18+'Financials Yearly'!X19+'Financials Yearly'!X20)</f>
        <v>21765913.751440059</v>
      </c>
      <c r="X27" s="132">
        <f>SUM('Financials Yearly'!Y5+'Financials Yearly'!Y16+'Financials Yearly'!Y17+'Financials Yearly'!Y18+'Financials Yearly'!Y19+'Financials Yearly'!Y20)</f>
        <v>21765913.751440059</v>
      </c>
    </row>
    <row r="28" spans="1:24" x14ac:dyDescent="0.25">
      <c r="A28" s="134" t="s">
        <v>274</v>
      </c>
      <c r="B28" s="132">
        <f>SUM('Financials Yearly'!C7+'Financials Yearly'!C8+'Financials Yearly'!C9+'Financials Yearly'!C10+'Financials Yearly'!C11+'Financials Yearly'!C12+'Financials Yearly'!C13) * 0.75</f>
        <v>0</v>
      </c>
      <c r="C28" s="132">
        <f>SUM('Financials Yearly'!D7+'Financials Yearly'!D8+'Financials Yearly'!D9+'Financials Yearly'!D10+'Financials Yearly'!D11+'Financials Yearly'!D12+'Financials Yearly'!D13) * 0.75</f>
        <v>21774743.542467795</v>
      </c>
      <c r="D28" s="132">
        <f>SUM('Financials Yearly'!E7+'Financials Yearly'!E8+'Financials Yearly'!E9+'Financials Yearly'!E10+'Financials Yearly'!E11+'Financials Yearly'!E12+'Financials Yearly'!E13) * 0.75</f>
        <v>29411946.090564854</v>
      </c>
      <c r="E28" s="132">
        <f>SUM('Financials Yearly'!F7+'Financials Yearly'!F8+'Financials Yearly'!F9+'Financials Yearly'!F10+'Financials Yearly'!F11+'Financials Yearly'!F12+'Financials Yearly'!F13) * 0.75</f>
        <v>30005607.271741983</v>
      </c>
      <c r="F28" s="132">
        <f>SUM('Financials Yearly'!G7+'Financials Yearly'!G8+'Financials Yearly'!G9+'Financials Yearly'!G10+'Financials Yearly'!G11+'Financials Yearly'!G12+'Financials Yearly'!G13) * 0.75</f>
        <v>30694486.457242362</v>
      </c>
      <c r="G28" s="132">
        <f>SUM('Financials Yearly'!H7+'Financials Yearly'!H8+'Financials Yearly'!H9+'Financials Yearly'!H10+'Financials Yearly'!H11+'Financials Yearly'!H12+'Financials Yearly'!H13) * 0.75</f>
        <v>31229119.501843493</v>
      </c>
      <c r="H28" s="132">
        <f>SUM('Financials Yearly'!I7+'Financials Yearly'!I8+'Financials Yearly'!I9+'Financials Yearly'!I10+'Financials Yearly'!I11+'Financials Yearly'!I12+'Financials Yearly'!I13) * 0.75</f>
        <v>31859459.157488834</v>
      </c>
      <c r="I28" s="132">
        <f>SUM('Financials Yearly'!J7+'Financials Yearly'!J8+'Financials Yearly'!J9+'Financials Yearly'!J10+'Financials Yearly'!J11+'Financials Yearly'!J12+'Financials Yearly'!J13) * 0.75</f>
        <v>32502521.812943872</v>
      </c>
      <c r="J28" s="132">
        <f>SUM('Financials Yearly'!K7+'Financials Yearly'!K8+'Financials Yearly'!K9+'Financials Yearly'!K10+'Financials Yearly'!K11+'Financials Yearly'!K12+'Financials Yearly'!K13) * 0.75</f>
        <v>33158564.273762114</v>
      </c>
      <c r="K28" s="132">
        <f>SUM('Financials Yearly'!L7+'Financials Yearly'!L8+'Financials Yearly'!L9+'Financials Yearly'!L10+'Financials Yearly'!L11+'Financials Yearly'!L12+'Financials Yearly'!L13) * 0.75</f>
        <v>33827848.52895169</v>
      </c>
      <c r="L28" s="132">
        <f>SUM('Financials Yearly'!M7+'Financials Yearly'!M8+'Financials Yearly'!M9+'Financials Yearly'!M10+'Financials Yearly'!M11+'Financials Yearly'!M12+'Financials Yearly'!M13) * 0.75</f>
        <v>34510641.855600022</v>
      </c>
      <c r="M28" s="132">
        <f>SUM('Financials Yearly'!N7+'Financials Yearly'!N8+'Financials Yearly'!N9+'Financials Yearly'!N10+'Financials Yearly'!N11+'Financials Yearly'!N12+'Financials Yearly'!N13) * 0.75</f>
        <v>35207216.925610393</v>
      </c>
      <c r="N28" s="132">
        <f>SUM('Financials Yearly'!O7+'Financials Yearly'!O8+'Financials Yearly'!O9+'Financials Yearly'!O10+'Financials Yearly'!O11+'Financials Yearly'!O12+'Financials Yearly'!O13) * 0.75</f>
        <v>35917851.914592713</v>
      </c>
      <c r="O28" s="132">
        <f>SUM('Financials Yearly'!P7+'Financials Yearly'!P8+'Financials Yearly'!P9+'Financials Yearly'!P10+'Financials Yearly'!P11+'Financials Yearly'!P12+'Financials Yearly'!P13) * 0.75</f>
        <v>36642830.612952381</v>
      </c>
      <c r="P28" s="132">
        <f>SUM('Financials Yearly'!Q7+'Financials Yearly'!Q8+'Financials Yearly'!Q9+'Financials Yearly'!Q10+'Financials Yearly'!Q11+'Financials Yearly'!Q12+'Financials Yearly'!Q13) * 0.75</f>
        <v>37382442.539221235</v>
      </c>
      <c r="Q28" s="132">
        <f>SUM('Financials Yearly'!R7+'Financials Yearly'!R8+'Financials Yearly'!R9+'Financials Yearly'!R10+'Financials Yearly'!R11+'Financials Yearly'!R12+'Financials Yearly'!R13) * 0.75</f>
        <v>38136983.055676207</v>
      </c>
      <c r="R28" s="132">
        <f>SUM('Financials Yearly'!S7+'Financials Yearly'!S8+'Financials Yearly'!S9+'Financials Yearly'!S10+'Financials Yearly'!S11+'Financials Yearly'!S12+'Financials Yearly'!S13) * 0.75</f>
        <v>38906753.486291394</v>
      </c>
      <c r="S28" s="132">
        <f>SUM('Financials Yearly'!T7+'Financials Yearly'!T8+'Financials Yearly'!T9+'Financials Yearly'!T10+'Financials Yearly'!T11+'Financials Yearly'!T12+'Financials Yearly'!T13) * 0.75</f>
        <v>39692061.237071216</v>
      </c>
      <c r="T28" s="132">
        <f>SUM('Financials Yearly'!U7+'Financials Yearly'!U8+'Financials Yearly'!U9+'Financials Yearly'!U10+'Financials Yearly'!U11+'Financials Yearly'!U12+'Financials Yearly'!U13) * 0.75</f>
        <v>40493219.91881223</v>
      </c>
      <c r="U28" s="132">
        <f>SUM('Financials Yearly'!V7+'Financials Yearly'!V8+'Financials Yearly'!V9+'Financials Yearly'!V10+'Financials Yearly'!V11+'Financials Yearly'!V12+'Financials Yearly'!V13) * 0.75</f>
        <v>41310549.472342819</v>
      </c>
      <c r="V28" s="132">
        <f>SUM('Financials Yearly'!W7+'Financials Yearly'!W8+'Financials Yearly'!W9+'Financials Yearly'!W10+'Financials Yearly'!W11+'Financials Yearly'!W12+'Financials Yearly'!W13) * 0.75</f>
        <v>42144376.296290889</v>
      </c>
      <c r="W28" s="132">
        <f>SUM('Financials Yearly'!X7+'Financials Yearly'!X8+'Financials Yearly'!X9+'Financials Yearly'!X10+'Financials Yearly'!X11+'Financials Yearly'!X12+'Financials Yearly'!X13) * 0.75</f>
        <v>42995033.377430297</v>
      </c>
      <c r="X28" s="132">
        <f>SUM('Financials Yearly'!Y7+'Financials Yearly'!Y8+'Financials Yearly'!Y9+'Financials Yearly'!Y10+'Financials Yearly'!Y11+'Financials Yearly'!Y12+'Financials Yearly'!Y13) * 0.75</f>
        <v>43862860.423658401</v>
      </c>
    </row>
    <row r="30" spans="1:24" x14ac:dyDescent="0.25">
      <c r="A30" s="134" t="str">
        <f>A27</f>
        <v>Core Revenue (Electrical and Fuel)</v>
      </c>
      <c r="B30" s="132">
        <f>SUM(B27:X27)</f>
        <v>451776883.78331465</v>
      </c>
    </row>
    <row r="31" spans="1:24" x14ac:dyDescent="0.25">
      <c r="A31" s="134" t="str">
        <f>A28</f>
        <v>Commodities (adjusted at 75% of value)</v>
      </c>
      <c r="B31" s="132">
        <f>SUM(B28:X28)</f>
        <v>781667117.75255728</v>
      </c>
    </row>
    <row r="33" spans="1:24" x14ac:dyDescent="0.25">
      <c r="A33" s="134" t="s">
        <v>275</v>
      </c>
      <c r="B33" s="134">
        <f>B26</f>
        <v>2026</v>
      </c>
      <c r="C33" s="134">
        <f t="shared" ref="C33:X33" si="10">C26</f>
        <v>2027</v>
      </c>
      <c r="D33" s="134">
        <f t="shared" si="10"/>
        <v>2028</v>
      </c>
      <c r="E33" s="134">
        <f t="shared" si="10"/>
        <v>2029</v>
      </c>
      <c r="F33" s="134">
        <f t="shared" si="10"/>
        <v>2030</v>
      </c>
      <c r="G33" s="134">
        <f t="shared" si="10"/>
        <v>2031</v>
      </c>
      <c r="H33" s="134">
        <f t="shared" si="10"/>
        <v>2032</v>
      </c>
      <c r="I33" s="134">
        <f t="shared" si="10"/>
        <v>2033</v>
      </c>
      <c r="J33" s="134">
        <f t="shared" si="10"/>
        <v>2034</v>
      </c>
      <c r="K33" s="134">
        <f t="shared" si="10"/>
        <v>2035</v>
      </c>
      <c r="L33" s="134">
        <f t="shared" si="10"/>
        <v>2036</v>
      </c>
      <c r="M33" s="134">
        <f t="shared" si="10"/>
        <v>2037</v>
      </c>
      <c r="N33" s="134">
        <f t="shared" si="10"/>
        <v>2038</v>
      </c>
      <c r="O33" s="134">
        <f t="shared" si="10"/>
        <v>2039</v>
      </c>
      <c r="P33" s="134">
        <f t="shared" si="10"/>
        <v>2040</v>
      </c>
      <c r="Q33" s="134">
        <f t="shared" si="10"/>
        <v>2041</v>
      </c>
      <c r="R33" s="134">
        <f t="shared" si="10"/>
        <v>2042</v>
      </c>
      <c r="S33" s="134">
        <f t="shared" si="10"/>
        <v>2043</v>
      </c>
      <c r="T33" s="134">
        <f t="shared" si="10"/>
        <v>2044</v>
      </c>
      <c r="U33" s="134">
        <f t="shared" si="10"/>
        <v>2045</v>
      </c>
      <c r="V33" s="134">
        <f t="shared" si="10"/>
        <v>2046</v>
      </c>
      <c r="W33" s="134">
        <f t="shared" si="10"/>
        <v>2047</v>
      </c>
      <c r="X33" s="134">
        <f t="shared" si="10"/>
        <v>2048</v>
      </c>
    </row>
    <row r="34" spans="1:24" x14ac:dyDescent="0.25">
      <c r="A34" s="134" t="str">
        <f>A27</f>
        <v>Core Revenue (Electrical and Fuel)</v>
      </c>
      <c r="B34" s="132">
        <f>B27</f>
        <v>0</v>
      </c>
      <c r="C34" s="132">
        <f t="shared" ref="C34:X34" si="11">C27</f>
        <v>0</v>
      </c>
      <c r="D34" s="132">
        <f t="shared" si="11"/>
        <v>16398976.114098672</v>
      </c>
      <c r="E34" s="132">
        <f t="shared" si="11"/>
        <v>21765913.751440059</v>
      </c>
      <c r="F34" s="132">
        <f t="shared" si="11"/>
        <v>21825546.391854964</v>
      </c>
      <c r="G34" s="132">
        <f t="shared" si="11"/>
        <v>21765913.751440059</v>
      </c>
      <c r="H34" s="132">
        <f t="shared" si="11"/>
        <v>21765913.751440059</v>
      </c>
      <c r="I34" s="132">
        <f t="shared" si="11"/>
        <v>21765913.751440059</v>
      </c>
      <c r="J34" s="132">
        <f t="shared" si="11"/>
        <v>21765913.751440059</v>
      </c>
      <c r="K34" s="132">
        <f t="shared" si="11"/>
        <v>21765913.751440059</v>
      </c>
      <c r="L34" s="132">
        <f t="shared" si="11"/>
        <v>21765913.751440059</v>
      </c>
      <c r="M34" s="132">
        <f t="shared" si="11"/>
        <v>21765913.751440059</v>
      </c>
      <c r="N34" s="132">
        <f t="shared" si="11"/>
        <v>21765913.751440059</v>
      </c>
      <c r="O34" s="132">
        <f t="shared" si="11"/>
        <v>21765913.751440059</v>
      </c>
      <c r="P34" s="132">
        <f t="shared" si="11"/>
        <v>21765913.751440059</v>
      </c>
      <c r="Q34" s="132">
        <f t="shared" si="11"/>
        <v>21765913.751440059</v>
      </c>
      <c r="R34" s="132">
        <f t="shared" si="11"/>
        <v>21765913.751440059</v>
      </c>
      <c r="S34" s="132">
        <f t="shared" si="11"/>
        <v>21765913.751440059</v>
      </c>
      <c r="T34" s="132">
        <f t="shared" si="11"/>
        <v>21765913.751440059</v>
      </c>
      <c r="U34" s="132">
        <f t="shared" si="11"/>
        <v>21765913.751440059</v>
      </c>
      <c r="V34" s="132">
        <f t="shared" si="11"/>
        <v>21765913.751440059</v>
      </c>
      <c r="W34" s="132">
        <f t="shared" si="11"/>
        <v>21765913.751440059</v>
      </c>
      <c r="X34" s="132">
        <f t="shared" si="11"/>
        <v>21765913.751440059</v>
      </c>
    </row>
    <row r="35" spans="1:24" x14ac:dyDescent="0.25">
      <c r="A35" s="134" t="str">
        <f>A22</f>
        <v>Total Expense</v>
      </c>
      <c r="B35" s="132">
        <f>B17</f>
        <v>13468123.398709152</v>
      </c>
      <c r="C35" s="132">
        <f t="shared" ref="C35:X35" si="12">C17</f>
        <v>37105262.272452377</v>
      </c>
      <c r="D35" s="132">
        <f t="shared" si="12"/>
        <v>40875377.871194184</v>
      </c>
      <c r="E35" s="132">
        <f t="shared" si="12"/>
        <v>38972502.340281546</v>
      </c>
      <c r="F35" s="132">
        <f t="shared" si="12"/>
        <v>38184615.32730858</v>
      </c>
      <c r="G35" s="132">
        <f t="shared" si="12"/>
        <v>37841741.993148327</v>
      </c>
      <c r="H35" s="132">
        <f t="shared" si="12"/>
        <v>37468089.31131997</v>
      </c>
      <c r="I35" s="132">
        <f t="shared" si="12"/>
        <v>37061342.623282015</v>
      </c>
      <c r="J35" s="132">
        <f t="shared" si="12"/>
        <v>36619018.449698687</v>
      </c>
      <c r="K35" s="132">
        <f t="shared" si="12"/>
        <v>36138452.259380564</v>
      </c>
      <c r="L35" s="132">
        <f t="shared" si="12"/>
        <v>35616785.353527762</v>
      </c>
      <c r="M35" s="132">
        <f t="shared" si="12"/>
        <v>24981601.640439317</v>
      </c>
      <c r="N35" s="132">
        <f t="shared" si="12"/>
        <v>21390213.124096725</v>
      </c>
      <c r="O35" s="132">
        <f t="shared" si="12"/>
        <v>21239250.894884057</v>
      </c>
      <c r="P35" s="132">
        <f t="shared" si="12"/>
        <v>21070622.272916768</v>
      </c>
      <c r="Q35" s="132">
        <f t="shared" si="12"/>
        <v>20882947.799517401</v>
      </c>
      <c r="R35" s="132">
        <f t="shared" si="12"/>
        <v>13163687.142773423</v>
      </c>
      <c r="S35" s="132">
        <f t="shared" si="12"/>
        <v>10711909.421827443</v>
      </c>
      <c r="T35" s="132">
        <f t="shared" si="12"/>
        <v>10840669.517143866</v>
      </c>
      <c r="U35" s="132">
        <f t="shared" si="12"/>
        <v>10971455.035642283</v>
      </c>
      <c r="V35" s="132">
        <f t="shared" si="12"/>
        <v>11104301.097661486</v>
      </c>
      <c r="W35" s="132">
        <f t="shared" si="12"/>
        <v>11239243.474541649</v>
      </c>
      <c r="X35" s="132">
        <f t="shared" si="12"/>
        <v>11376318.601182893</v>
      </c>
    </row>
    <row r="36" spans="1:24" x14ac:dyDescent="0.25">
      <c r="A36" s="134" t="str">
        <f>A23</f>
        <v>Loan Ratio</v>
      </c>
      <c r="B36" s="132">
        <f>SUM(B35 * 1.3)</f>
        <v>17508560.418321896</v>
      </c>
      <c r="C36" s="132">
        <f t="shared" ref="C36:X36" si="13">SUM(C35 * 1.3)</f>
        <v>48236840.954188094</v>
      </c>
      <c r="D36" s="132">
        <f t="shared" si="13"/>
        <v>53137991.232552439</v>
      </c>
      <c r="E36" s="132">
        <f t="shared" si="13"/>
        <v>50664253.042366013</v>
      </c>
      <c r="F36" s="132">
        <f t="shared" si="13"/>
        <v>49639999.925501153</v>
      </c>
      <c r="G36" s="132">
        <f t="shared" si="13"/>
        <v>49194264.591092825</v>
      </c>
      <c r="H36" s="132">
        <f t="shared" si="13"/>
        <v>48708516.104715966</v>
      </c>
      <c r="I36" s="132">
        <f t="shared" si="13"/>
        <v>48179745.410266623</v>
      </c>
      <c r="J36" s="132">
        <f t="shared" si="13"/>
        <v>47604723.984608293</v>
      </c>
      <c r="K36" s="132">
        <f t="shared" si="13"/>
        <v>46979987.937194735</v>
      </c>
      <c r="L36" s="132">
        <f t="shared" si="13"/>
        <v>46301820.959586091</v>
      </c>
      <c r="M36" s="132">
        <f t="shared" si="13"/>
        <v>32476082.132571112</v>
      </c>
      <c r="N36" s="132">
        <f t="shared" si="13"/>
        <v>27807277.061325744</v>
      </c>
      <c r="O36" s="132">
        <f t="shared" si="13"/>
        <v>27611026.163349275</v>
      </c>
      <c r="P36" s="132">
        <f t="shared" si="13"/>
        <v>27391808.954791799</v>
      </c>
      <c r="Q36" s="132">
        <f t="shared" si="13"/>
        <v>27147832.139372621</v>
      </c>
      <c r="R36" s="132">
        <f t="shared" si="13"/>
        <v>17112793.285605449</v>
      </c>
      <c r="S36" s="132">
        <f t="shared" si="13"/>
        <v>13925482.248375677</v>
      </c>
      <c r="T36" s="132">
        <f t="shared" si="13"/>
        <v>14092870.372287026</v>
      </c>
      <c r="U36" s="132">
        <f t="shared" si="13"/>
        <v>14262891.546334969</v>
      </c>
      <c r="V36" s="132">
        <f t="shared" si="13"/>
        <v>14435591.426959932</v>
      </c>
      <c r="W36" s="132">
        <f t="shared" si="13"/>
        <v>14611016.516904144</v>
      </c>
      <c r="X36" s="132">
        <f t="shared" si="13"/>
        <v>14789214.18153776</v>
      </c>
    </row>
    <row r="37" spans="1:24" x14ac:dyDescent="0.25">
      <c r="B37" s="132"/>
      <c r="C37" s="132"/>
      <c r="D37" s="132"/>
      <c r="E37" s="132"/>
      <c r="F37" s="132"/>
      <c r="G37" s="132"/>
      <c r="H37" s="132"/>
      <c r="I37" s="132"/>
      <c r="J37" s="132"/>
      <c r="K37" s="132"/>
      <c r="L37" s="132"/>
      <c r="M37" s="132"/>
      <c r="N37" s="132"/>
      <c r="O37" s="132"/>
      <c r="P37" s="132"/>
      <c r="Q37" s="132"/>
      <c r="R37" s="132"/>
      <c r="S37" s="132"/>
      <c r="T37" s="132"/>
      <c r="U37" s="132"/>
      <c r="V37" s="132"/>
      <c r="W37" s="132"/>
      <c r="X37" s="132"/>
    </row>
    <row r="38" spans="1:24" x14ac:dyDescent="0.25">
      <c r="B38" s="782">
        <f>B33</f>
        <v>2026</v>
      </c>
      <c r="C38" s="782">
        <f t="shared" ref="C38:X38" si="14">C33</f>
        <v>2027</v>
      </c>
      <c r="D38" s="782">
        <f t="shared" si="14"/>
        <v>2028</v>
      </c>
      <c r="E38" s="782">
        <f t="shared" si="14"/>
        <v>2029</v>
      </c>
      <c r="F38" s="782">
        <f t="shared" si="14"/>
        <v>2030</v>
      </c>
      <c r="G38" s="782">
        <f t="shared" si="14"/>
        <v>2031</v>
      </c>
      <c r="H38" s="782">
        <f t="shared" si="14"/>
        <v>2032</v>
      </c>
      <c r="I38" s="782">
        <f t="shared" si="14"/>
        <v>2033</v>
      </c>
      <c r="J38" s="782">
        <f t="shared" si="14"/>
        <v>2034</v>
      </c>
      <c r="K38" s="782">
        <f t="shared" si="14"/>
        <v>2035</v>
      </c>
      <c r="L38" s="782">
        <f t="shared" si="14"/>
        <v>2036</v>
      </c>
      <c r="M38" s="782">
        <f t="shared" si="14"/>
        <v>2037</v>
      </c>
      <c r="N38" s="782">
        <f t="shared" si="14"/>
        <v>2038</v>
      </c>
      <c r="O38" s="782">
        <f t="shared" si="14"/>
        <v>2039</v>
      </c>
      <c r="P38" s="782">
        <f t="shared" si="14"/>
        <v>2040</v>
      </c>
      <c r="Q38" s="782">
        <f t="shared" si="14"/>
        <v>2041</v>
      </c>
      <c r="R38" s="782">
        <f t="shared" si="14"/>
        <v>2042</v>
      </c>
      <c r="S38" s="782">
        <f t="shared" si="14"/>
        <v>2043</v>
      </c>
      <c r="T38" s="782">
        <f t="shared" si="14"/>
        <v>2044</v>
      </c>
      <c r="U38" s="782">
        <f t="shared" si="14"/>
        <v>2045</v>
      </c>
      <c r="V38" s="782">
        <f t="shared" si="14"/>
        <v>2046</v>
      </c>
      <c r="W38" s="782">
        <f t="shared" si="14"/>
        <v>2047</v>
      </c>
      <c r="X38" s="782">
        <f t="shared" si="14"/>
        <v>2048</v>
      </c>
    </row>
    <row r="39" spans="1:24" x14ac:dyDescent="0.25">
      <c r="A39" s="134" t="s">
        <v>149</v>
      </c>
      <c r="B39" s="666">
        <f>B2</f>
        <v>0</v>
      </c>
      <c r="C39" s="666">
        <f t="shared" ref="C39:X39" si="15">C2</f>
        <v>42079157.63449195</v>
      </c>
      <c r="D39" s="666">
        <f t="shared" si="15"/>
        <v>73261682.810393706</v>
      </c>
      <c r="E39" s="666">
        <f t="shared" si="15"/>
        <v>79804721.610527456</v>
      </c>
      <c r="F39" s="666">
        <f t="shared" si="15"/>
        <v>81225241.641189128</v>
      </c>
      <c r="G39" s="666">
        <f t="shared" si="15"/>
        <v>82228619.621948481</v>
      </c>
      <c r="H39" s="666">
        <f t="shared" si="15"/>
        <v>83477384.448526293</v>
      </c>
      <c r="I39" s="666">
        <f t="shared" si="15"/>
        <v>84751354.788526297</v>
      </c>
      <c r="J39" s="666">
        <f t="shared" si="15"/>
        <v>86051039.398996562</v>
      </c>
      <c r="K39" s="666">
        <f t="shared" si="15"/>
        <v>87376957.305918336</v>
      </c>
      <c r="L39" s="666">
        <f t="shared" si="15"/>
        <v>88729638.011477888</v>
      </c>
      <c r="M39" s="666">
        <f t="shared" si="15"/>
        <v>90109621.705521971</v>
      </c>
      <c r="N39" s="666">
        <f t="shared" si="15"/>
        <v>91517459.481281281</v>
      </c>
      <c r="O39" s="666">
        <f t="shared" si="15"/>
        <v>92953713.555448398</v>
      </c>
      <c r="P39" s="666">
        <f t="shared" si="15"/>
        <v>94418957.492697492</v>
      </c>
      <c r="Q39" s="666">
        <f t="shared" si="15"/>
        <v>95913776.434736222</v>
      </c>
      <c r="R39" s="666">
        <f t="shared" si="15"/>
        <v>97438767.333980471</v>
      </c>
      <c r="S39" s="666">
        <f t="shared" si="15"/>
        <v>98994539.191946119</v>
      </c>
      <c r="T39" s="666">
        <f t="shared" si="15"/>
        <v>100581713.30245224</v>
      </c>
      <c r="U39" s="666">
        <f t="shared" si="15"/>
        <v>102200923.4997333</v>
      </c>
      <c r="V39" s="666">
        <f t="shared" si="15"/>
        <v>103852816.41155936</v>
      </c>
      <c r="W39" s="666">
        <f t="shared" si="15"/>
        <v>105538051.71746549</v>
      </c>
      <c r="X39" s="666">
        <f t="shared" si="15"/>
        <v>107257302.41219306</v>
      </c>
    </row>
    <row r="40" spans="1:24" x14ac:dyDescent="0.25">
      <c r="A40" s="134" t="str">
        <f>'Financials Yearly'!B51</f>
        <v>EBITDA</v>
      </c>
      <c r="B40" s="137">
        <f>'Financials Yearly'!C51</f>
        <v>-4213882.049129135</v>
      </c>
      <c r="C40" s="137">
        <f>'Financials Yearly'!D51</f>
        <v>27575572.687029082</v>
      </c>
      <c r="D40" s="137">
        <f>'Financials Yearly'!E51</f>
        <v>56659881.787970379</v>
      </c>
      <c r="E40" s="137">
        <f>'Financials Yearly'!F51</f>
        <v>64973637.966510631</v>
      </c>
      <c r="F40" s="137">
        <f>'Financials Yearly'!G51</f>
        <v>67182045.010145277</v>
      </c>
      <c r="G40" s="137">
        <f>'Financials Yearly'!H51</f>
        <v>68528296.325064868</v>
      </c>
      <c r="H40" s="137">
        <f>'Financials Yearly'!I51</f>
        <v>70150713.833471045</v>
      </c>
      <c r="I40" s="137">
        <f>'Financials Yearly'!J51</f>
        <v>71831430.86150901</v>
      </c>
      <c r="J40" s="137">
        <f>'Financials Yearly'!K51</f>
        <v>73573439.645562589</v>
      </c>
      <c r="K40" s="137">
        <f>'Financials Yearly'!L51</f>
        <v>75379923.742802501</v>
      </c>
      <c r="L40" s="137">
        <f>'Financials Yearly'!M51</f>
        <v>77254271.354214847</v>
      </c>
      <c r="M40" s="137">
        <f>'Financials Yearly'!N51</f>
        <v>78899015.363349676</v>
      </c>
      <c r="N40" s="137">
        <f>'Financials Yearly'!O51</f>
        <v>80441433.856119007</v>
      </c>
      <c r="O40" s="137">
        <f>'Financials Yearly'!P51</f>
        <v>82028650.159498781</v>
      </c>
      <c r="P40" s="137">
        <f>'Financials Yearly'!Q51</f>
        <v>83662522.718715161</v>
      </c>
      <c r="Q40" s="137">
        <f>'Financials Yearly'!R51</f>
        <v>85345016.134153262</v>
      </c>
      <c r="R40" s="137">
        <f>'Financials Yearly'!S51</f>
        <v>86853627.065940663</v>
      </c>
      <c r="S40" s="137">
        <f>'Financials Yearly'!T51</f>
        <v>88282629.770118684</v>
      </c>
      <c r="T40" s="137">
        <f>'Financials Yearly'!U51</f>
        <v>89741043.785308376</v>
      </c>
      <c r="U40" s="137">
        <f>'Financials Yearly'!V51</f>
        <v>91229468.464091018</v>
      </c>
      <c r="V40" s="137">
        <f>'Financials Yearly'!W51</f>
        <v>92748515.313897878</v>
      </c>
      <c r="W40" s="137">
        <f>'Financials Yearly'!X51</f>
        <v>94298808.242923841</v>
      </c>
      <c r="X40" s="137">
        <f>'Financials Yearly'!Y51</f>
        <v>95880983.811010167</v>
      </c>
    </row>
    <row r="42" spans="1:24" ht="18.75" x14ac:dyDescent="0.3">
      <c r="A42" s="825" t="s">
        <v>974</v>
      </c>
      <c r="B42" s="825"/>
      <c r="C42" s="825"/>
      <c r="D42" s="825"/>
      <c r="E42" s="825"/>
      <c r="F42" s="825"/>
      <c r="G42" s="825"/>
      <c r="H42" s="825"/>
      <c r="I42" s="825"/>
      <c r="J42" s="825"/>
      <c r="K42" s="825"/>
      <c r="L42" s="825"/>
      <c r="M42" s="825"/>
      <c r="N42" s="825"/>
      <c r="O42" s="825"/>
      <c r="P42" s="825"/>
    </row>
    <row r="44" spans="1:24" x14ac:dyDescent="0.25">
      <c r="A44" s="309" t="s">
        <v>279</v>
      </c>
      <c r="B44" s="310"/>
      <c r="J44" s="209" t="str">
        <f>A45</f>
        <v>Income Power</v>
      </c>
      <c r="K44" s="666">
        <f>B45</f>
        <v>21765913.751440059</v>
      </c>
    </row>
    <row r="45" spans="1:24" x14ac:dyDescent="0.25">
      <c r="A45" s="135" t="str">
        <f>'Financials Yearly'!B5</f>
        <v>Income Power</v>
      </c>
      <c r="B45" s="132">
        <f>'Financials Yearly'!O5</f>
        <v>21765913.751440059</v>
      </c>
      <c r="J45" s="209" t="str">
        <f>'Financials Yearly'!B7</f>
        <v xml:space="preserve">Activated Carbon Ash </v>
      </c>
      <c r="K45" s="666">
        <f>'Financials Yearly'!F7</f>
        <v>16233629.086404346</v>
      </c>
    </row>
    <row r="46" spans="1:24" x14ac:dyDescent="0.25">
      <c r="A46" s="135" t="str">
        <f>'Financials Yearly'!B7</f>
        <v xml:space="preserve">Activated Carbon Ash </v>
      </c>
      <c r="B46" s="132">
        <f>'Financials Yearly'!O7</f>
        <v>19432270.784634773</v>
      </c>
      <c r="J46" s="209" t="str">
        <f>A52</f>
        <v xml:space="preserve">Carbon Black </v>
      </c>
      <c r="K46" s="666">
        <f>B52</f>
        <v>10340589.56017079</v>
      </c>
    </row>
    <row r="47" spans="1:24" x14ac:dyDescent="0.25">
      <c r="A47" s="135" t="str">
        <f>'Financials Yearly'!B8</f>
        <v>Aluminum</v>
      </c>
      <c r="B47" s="132">
        <f>'Financials Yearly'!O8</f>
        <v>4333307.0758211743</v>
      </c>
      <c r="J47" s="209" t="str">
        <f>A53</f>
        <v>Graphene</v>
      </c>
      <c r="K47" s="666">
        <f>B53</f>
        <v>23266326.510384284</v>
      </c>
    </row>
    <row r="48" spans="1:24" x14ac:dyDescent="0.25">
      <c r="A48" s="135" t="str">
        <f>'Financials Yearly'!B9</f>
        <v>Ferrous Metals</v>
      </c>
      <c r="B48" s="132">
        <f>'Financials Yearly'!O9</f>
        <v>560594.7599393077</v>
      </c>
      <c r="J48" t="s">
        <v>1096</v>
      </c>
      <c r="K48" s="666">
        <f>SUM('Financials Yearly'!F8:F10)</f>
        <v>13775732.928880844</v>
      </c>
    </row>
    <row r="49" spans="1:19" x14ac:dyDescent="0.25">
      <c r="A49" s="135" t="str">
        <f>'Financials Yearly'!B10</f>
        <v>Non-Ferrous Metals</v>
      </c>
      <c r="B49" s="132">
        <f>'Financials Yearly'!O10</f>
        <v>11596173.864873566</v>
      </c>
      <c r="J49" t="s">
        <v>1110</v>
      </c>
      <c r="K49" s="666">
        <f>SUM('Financials Yearly'!F11:F12)</f>
        <v>1359633.6818086645</v>
      </c>
    </row>
    <row r="50" spans="1:19" x14ac:dyDescent="0.25">
      <c r="A50" s="135" t="str">
        <f>'Financials Yearly'!B11</f>
        <v>Steel from Tires</v>
      </c>
      <c r="B50" s="132">
        <f>'Financials Yearly'!O11</f>
        <v>1627533.1740173423</v>
      </c>
    </row>
    <row r="51" spans="1:19" x14ac:dyDescent="0.25">
      <c r="A51" s="135" t="str">
        <f>'Financials Yearly'!B12</f>
        <v>Steel, OTR Tires</v>
      </c>
      <c r="B51" s="132">
        <f>'Financials Yearly'!O12</f>
        <v>0</v>
      </c>
    </row>
    <row r="52" spans="1:19" x14ac:dyDescent="0.25">
      <c r="A52" s="135" t="str">
        <f>'Financials Yearly'!B13</f>
        <v xml:space="preserve">Carbon Black </v>
      </c>
      <c r="B52" s="132">
        <f>'Financials Yearly'!O13</f>
        <v>10340589.56017079</v>
      </c>
    </row>
    <row r="53" spans="1:19" x14ac:dyDescent="0.25">
      <c r="A53" s="135" t="str">
        <f>'Financials Yearly'!B14</f>
        <v>Graphene</v>
      </c>
      <c r="B53" s="132">
        <f>'Financials Yearly'!O14</f>
        <v>23266326.510384284</v>
      </c>
    </row>
    <row r="54" spans="1:19" x14ac:dyDescent="0.25">
      <c r="A54" s="135" t="str">
        <f>'Financials Yearly'!B15</f>
        <v>Light Oil Sale</v>
      </c>
      <c r="B54" s="132">
        <f>'Financials Yearly'!O15</f>
        <v>0</v>
      </c>
    </row>
    <row r="55" spans="1:19" x14ac:dyDescent="0.25">
      <c r="A55" s="135" t="str">
        <f>'Financials Yearly'!B16</f>
        <v>Diesel</v>
      </c>
      <c r="B55" s="132">
        <f>'Financials Yearly'!O16</f>
        <v>0</v>
      </c>
    </row>
    <row r="56" spans="1:19" x14ac:dyDescent="0.25">
      <c r="A56" s="135" t="str">
        <f>'Financials Yearly'!B17</f>
        <v xml:space="preserve">JP </v>
      </c>
      <c r="B56" s="132">
        <f>'Financials Yearly'!O17</f>
        <v>0</v>
      </c>
    </row>
    <row r="57" spans="1:19" x14ac:dyDescent="0.25">
      <c r="A57" s="135" t="str">
        <f>'Financials Yearly'!B18</f>
        <v>Gas</v>
      </c>
      <c r="B57" s="132">
        <f>'Financials Yearly'!O18</f>
        <v>0</v>
      </c>
    </row>
    <row r="58" spans="1:19" x14ac:dyDescent="0.25">
      <c r="A58" s="135" t="str">
        <f>'Financials Yearly'!B19</f>
        <v>Lube oil</v>
      </c>
      <c r="B58" s="132">
        <f>'Financials Yearly'!O19</f>
        <v>0</v>
      </c>
    </row>
    <row r="59" spans="1:19" x14ac:dyDescent="0.25">
      <c r="A59" s="135" t="str">
        <f>'Financials Yearly'!B20</f>
        <v>Petroleum Coke</v>
      </c>
      <c r="B59" s="132">
        <f>'Financials Yearly'!O20</f>
        <v>0</v>
      </c>
    </row>
    <row r="60" spans="1:19" ht="15.75" thickBot="1" x14ac:dyDescent="0.3">
      <c r="A60" s="135" t="str">
        <f>'Financials Yearly'!B6</f>
        <v>RNG Sale price</v>
      </c>
      <c r="B60" s="132">
        <f>'Financials Yearly'!O6</f>
        <v>0</v>
      </c>
    </row>
    <row r="61" spans="1:19" ht="15.75" thickTop="1" x14ac:dyDescent="0.25">
      <c r="A61" s="311" t="str">
        <f>'Financials Yearly'!B21</f>
        <v>Total Commodity Revenue</v>
      </c>
      <c r="B61" s="312">
        <f>'Financials Yearly'!O21</f>
        <v>92922709.481281281</v>
      </c>
    </row>
    <row r="62" spans="1:19" x14ac:dyDescent="0.25">
      <c r="B62" s="132" t="s">
        <v>266</v>
      </c>
    </row>
    <row r="64" spans="1:19" x14ac:dyDescent="0.25">
      <c r="S64" t="s">
        <v>1098</v>
      </c>
    </row>
    <row r="65" spans="19:29" x14ac:dyDescent="0.25">
      <c r="T65" s="136">
        <v>2024</v>
      </c>
      <c r="U65" s="136">
        <f>SUM(T65+1)</f>
        <v>2025</v>
      </c>
      <c r="V65" s="136">
        <f t="shared" ref="V65:AB65" si="16">SUM(U65+1)</f>
        <v>2026</v>
      </c>
      <c r="W65" s="136">
        <f t="shared" si="16"/>
        <v>2027</v>
      </c>
      <c r="X65" s="136">
        <f t="shared" si="16"/>
        <v>2028</v>
      </c>
      <c r="Y65" s="136">
        <f t="shared" si="16"/>
        <v>2029</v>
      </c>
      <c r="Z65" s="136">
        <f t="shared" si="16"/>
        <v>2030</v>
      </c>
      <c r="AA65" s="136">
        <f t="shared" si="16"/>
        <v>2031</v>
      </c>
      <c r="AB65" s="136">
        <f t="shared" si="16"/>
        <v>2032</v>
      </c>
      <c r="AC65" s="136">
        <f t="shared" ref="AC65" si="17">SUM(AB65+1)</f>
        <v>2033</v>
      </c>
    </row>
    <row r="66" spans="19:29" x14ac:dyDescent="0.25">
      <c r="S66" t="s">
        <v>1099</v>
      </c>
      <c r="T66" s="132">
        <f>'Financials Yearly'!C5</f>
        <v>0</v>
      </c>
      <c r="U66" s="132">
        <f>'Financials Yearly'!D5</f>
        <v>0</v>
      </c>
      <c r="V66" s="132">
        <f>'Financials Yearly'!E5</f>
        <v>16398976.114098672</v>
      </c>
      <c r="W66" s="132">
        <f>'Financials Yearly'!F5</f>
        <v>21765913.751440059</v>
      </c>
      <c r="X66" s="132">
        <f>'Financials Yearly'!G5</f>
        <v>21825546.391854964</v>
      </c>
      <c r="Y66" s="132">
        <f>'Financials Yearly'!H5</f>
        <v>21765913.751440059</v>
      </c>
      <c r="Z66" s="132">
        <f>'Financials Yearly'!I5</f>
        <v>21765913.751440059</v>
      </c>
      <c r="AA66" s="132">
        <f>'Financials Yearly'!J5</f>
        <v>21765913.751440059</v>
      </c>
      <c r="AB66" s="132">
        <f>'Financials Yearly'!K5</f>
        <v>21765913.751440059</v>
      </c>
      <c r="AC66" s="132">
        <f>'Financials Yearly'!L5</f>
        <v>21765913.751440059</v>
      </c>
    </row>
    <row r="67" spans="19:29" x14ac:dyDescent="0.25">
      <c r="S67" t="s">
        <v>1101</v>
      </c>
      <c r="T67" s="132">
        <f>'Financials Yearly'!C7</f>
        <v>0</v>
      </c>
      <c r="U67" s="132">
        <f>'Financials Yearly'!D7</f>
        <v>11780568.4423823</v>
      </c>
      <c r="V67" s="132">
        <f>'Financials Yearly'!E7</f>
        <v>15912446.604378657</v>
      </c>
      <c r="W67" s="132">
        <f>'Financials Yearly'!F7</f>
        <v>16233629.086404346</v>
      </c>
      <c r="X67" s="132">
        <f>'Financials Yearly'!G7</f>
        <v>16606326.398659352</v>
      </c>
      <c r="Y67" s="132">
        <f>'Financials Yearly'!H7</f>
        <v>16895573.487204812</v>
      </c>
      <c r="Z67" s="132">
        <f>'Financials Yearly'!I7</f>
        <v>17236599.75191351</v>
      </c>
      <c r="AA67" s="132">
        <f>'Financials Yearly'!J7</f>
        <v>17584509.412045822</v>
      </c>
      <c r="AB67" s="132">
        <f>'Financials Yearly'!K7</f>
        <v>17939441.404503275</v>
      </c>
      <c r="AC67" s="132">
        <f>'Financials Yearly'!L7</f>
        <v>18301537.470539238</v>
      </c>
    </row>
    <row r="68" spans="19:29" x14ac:dyDescent="0.25">
      <c r="S68" t="s">
        <v>1100</v>
      </c>
      <c r="T68" s="132">
        <f>'Financials Yearly'!C13</f>
        <v>0</v>
      </c>
      <c r="U68" s="132">
        <f>'Financials Yearly'!D13</f>
        <v>6268851.6642377293</v>
      </c>
      <c r="V68" s="132">
        <f>'Financials Yearly'!E13</f>
        <v>8467568.2557963952</v>
      </c>
      <c r="W68" s="132">
        <f>'Financials Yearly'!F13</f>
        <v>8638480.6652287878</v>
      </c>
      <c r="X68" s="132">
        <f>'Financials Yearly'!G13</f>
        <v>8836805.9139308166</v>
      </c>
      <c r="Y68" s="132">
        <f>'Financials Yearly'!H13</f>
        <v>8990724.3858001921</v>
      </c>
      <c r="Z68" s="132">
        <f>'Financials Yearly'!I13</f>
        <v>9172196.3646375388</v>
      </c>
      <c r="AA68" s="132">
        <f>'Financials Yearly'!J13</f>
        <v>9357331.2384419646</v>
      </c>
      <c r="AB68" s="132">
        <f>'Financials Yearly'!K13</f>
        <v>9546202.940388307</v>
      </c>
      <c r="AC68" s="132">
        <f>'Financials Yearly'!L13</f>
        <v>9738886.8959449064</v>
      </c>
    </row>
    <row r="69" spans="19:29" x14ac:dyDescent="0.25">
      <c r="S69" t="s">
        <v>963</v>
      </c>
      <c r="T69" s="132">
        <f>'Financials Yearly'!C14</f>
        <v>0</v>
      </c>
      <c r="U69" s="132">
        <f>'Financials Yearly'!D14</f>
        <v>14104916.244534891</v>
      </c>
      <c r="V69" s="132">
        <f>'Financials Yearly'!E14</f>
        <v>19052028.575541887</v>
      </c>
      <c r="W69" s="132">
        <f>'Financials Yearly'!F14</f>
        <v>19436581.496764768</v>
      </c>
      <c r="X69" s="132">
        <f>'Financials Yearly'!G14</f>
        <v>19882813.30634433</v>
      </c>
      <c r="Y69" s="132">
        <f>'Financials Yearly'!H14</f>
        <v>20229129.868050434</v>
      </c>
      <c r="Z69" s="132">
        <f>'Financials Yearly'!I14</f>
        <v>20637441.820434462</v>
      </c>
      <c r="AA69" s="132">
        <f>'Financials Yearly'!J14</f>
        <v>21053995.286494412</v>
      </c>
      <c r="AB69" s="132">
        <f>'Financials Yearly'!K14</f>
        <v>21478956.615873687</v>
      </c>
      <c r="AC69" s="132">
        <f>'Financials Yearly'!L14</f>
        <v>21912495.51587604</v>
      </c>
    </row>
    <row r="70" spans="19:29" x14ac:dyDescent="0.25">
      <c r="S70" t="s">
        <v>1102</v>
      </c>
      <c r="T70" s="132">
        <f>'Financials Yearly'!C9</f>
        <v>0</v>
      </c>
      <c r="U70" s="132">
        <f>'Financials Yearly'!D9</f>
        <v>339853.48450001108</v>
      </c>
      <c r="V70" s="132">
        <f>'Financials Yearly'!E9</f>
        <v>459052.5874764031</v>
      </c>
      <c r="W70" s="132">
        <f>'Financials Yearly'!F9</f>
        <v>468318.26817854075</v>
      </c>
      <c r="X70" s="132">
        <f>'Financials Yearly'!G9</f>
        <v>479070.0821383805</v>
      </c>
      <c r="Y70" s="132">
        <f>'Financials Yearly'!H9</f>
        <v>487414.46988201432</v>
      </c>
      <c r="Z70" s="132">
        <f>'Financials Yearly'!I9</f>
        <v>497252.61690642382</v>
      </c>
      <c r="AA70" s="132">
        <f>'Financials Yearly'!J9</f>
        <v>507289.3405896207</v>
      </c>
      <c r="AB70" s="132">
        <f>'Financials Yearly'!K9</f>
        <v>517528.64907351631</v>
      </c>
      <c r="AC70" s="132">
        <f>'Financials Yearly'!L9</f>
        <v>527974.63140178355</v>
      </c>
    </row>
    <row r="71" spans="19:29" x14ac:dyDescent="0.25">
      <c r="S71" t="s">
        <v>1103</v>
      </c>
      <c r="T71" s="132">
        <f>SUM('Financials Yearly'!C10+'Financials Yearly'!C8)</f>
        <v>0</v>
      </c>
      <c r="U71" s="132">
        <f>SUM('Financials Yearly'!D10+'Financials Yearly'!D8)</f>
        <v>9657046.3922240883</v>
      </c>
      <c r="V71" s="132">
        <f>SUM('Financials Yearly'!E10+'Financials Yearly'!E8)</f>
        <v>13044127.354621805</v>
      </c>
      <c r="W71" s="132">
        <f>SUM('Financials Yearly'!F10+'Financials Yearly'!F8)</f>
        <v>13307414.660702305</v>
      </c>
      <c r="X71" s="132">
        <f>SUM('Financials Yearly'!G10+'Financials Yearly'!G8)</f>
        <v>13612930.922698233</v>
      </c>
      <c r="Y71" s="132">
        <f>SUM('Financials Yearly'!H10+'Financials Yearly'!H8)</f>
        <v>13850039.392171575</v>
      </c>
      <c r="Z71" s="132">
        <f>SUM('Financials Yearly'!I10+'Financials Yearly'!I8)</f>
        <v>14129593.513465978</v>
      </c>
      <c r="AA71" s="132">
        <f>SUM('Financials Yearly'!J10+'Financials Yearly'!J8)</f>
        <v>14414790.254576821</v>
      </c>
      <c r="AB71" s="132">
        <f>SUM('Financials Yearly'!K10+'Financials Yearly'!K8)</f>
        <v>14705743.508149453</v>
      </c>
      <c r="AC71" s="132">
        <f>SUM('Financials Yearly'!L10+'Financials Yearly'!L8)</f>
        <v>15002569.465678882</v>
      </c>
    </row>
    <row r="72" spans="19:29" x14ac:dyDescent="0.25">
      <c r="S72" t="s">
        <v>1097</v>
      </c>
      <c r="T72" s="132">
        <f>SUM('Financials Yearly'!C11)</f>
        <v>0</v>
      </c>
      <c r="U72" s="132">
        <f>SUM('Financials Yearly'!D11)</f>
        <v>986671.40661293361</v>
      </c>
      <c r="V72" s="132">
        <f>SUM('Financials Yearly'!E11)</f>
        <v>1332733.3184798779</v>
      </c>
      <c r="W72" s="132">
        <f>SUM('Financials Yearly'!F11)</f>
        <v>1359633.6818086645</v>
      </c>
      <c r="X72" s="132">
        <f>SUM('Financials Yearly'!G11)</f>
        <v>1390848.6255630376</v>
      </c>
      <c r="Y72" s="132">
        <f>SUM('Financials Yearly'!H11)</f>
        <v>1415074.2673993944</v>
      </c>
      <c r="Z72" s="132">
        <f>SUM('Financials Yearly'!I11)</f>
        <v>1443636.6297283247</v>
      </c>
      <c r="AA72" s="132">
        <f>SUM('Financials Yearly'!J11)</f>
        <v>1472775.5049376062</v>
      </c>
      <c r="AB72" s="132">
        <f>SUM('Financials Yearly'!K11)</f>
        <v>1502502.5295682708</v>
      </c>
      <c r="AC72" s="132">
        <f>SUM('Financials Yearly'!L11)</f>
        <v>1532829.5750374338</v>
      </c>
    </row>
    <row r="94" spans="19:29" x14ac:dyDescent="0.25">
      <c r="S94" t="s">
        <v>1104</v>
      </c>
    </row>
    <row r="95" spans="19:29" x14ac:dyDescent="0.25">
      <c r="T95" s="136">
        <f>T65</f>
        <v>2024</v>
      </c>
      <c r="U95" s="136">
        <f t="shared" ref="U95:AC95" si="18">U65</f>
        <v>2025</v>
      </c>
      <c r="V95" s="136">
        <f t="shared" si="18"/>
        <v>2026</v>
      </c>
      <c r="W95" s="136">
        <f t="shared" si="18"/>
        <v>2027</v>
      </c>
      <c r="X95" s="136">
        <f t="shared" si="18"/>
        <v>2028</v>
      </c>
      <c r="Y95" s="136">
        <f t="shared" si="18"/>
        <v>2029</v>
      </c>
      <c r="Z95" s="136">
        <f t="shared" si="18"/>
        <v>2030</v>
      </c>
      <c r="AA95" s="136">
        <f t="shared" si="18"/>
        <v>2031</v>
      </c>
      <c r="AB95" s="136">
        <f t="shared" si="18"/>
        <v>2032</v>
      </c>
      <c r="AC95" s="136">
        <f t="shared" si="18"/>
        <v>2033</v>
      </c>
    </row>
    <row r="96" spans="19:29" x14ac:dyDescent="0.25">
      <c r="S96" t="s">
        <v>1105</v>
      </c>
      <c r="T96" s="132">
        <f>'Financials Yearly'!C33</f>
        <v>601983.14987559081</v>
      </c>
      <c r="U96" s="132">
        <f>'Financials Yearly'!D33</f>
        <v>3603546.064866703</v>
      </c>
      <c r="V96" s="132">
        <f>'Financials Yearly'!E33</f>
        <v>4846945.0927410424</v>
      </c>
      <c r="W96" s="132">
        <f>'Financials Yearly'!F33</f>
        <v>4895637.3135650316</v>
      </c>
      <c r="X96" s="132">
        <f>'Financials Yearly'!G33</f>
        <v>4944818.6945349295</v>
      </c>
      <c r="Y96" s="132">
        <f>'Financials Yearly'!H33</f>
        <v>4994494.1497344263</v>
      </c>
      <c r="Z96" s="132">
        <f>'Financials Yearly'!I33</f>
        <v>5044668.6426139101</v>
      </c>
      <c r="AA96" s="132">
        <f>'Financials Yearly'!J33</f>
        <v>5095347.1864863969</v>
      </c>
      <c r="AB96" s="132">
        <f>'Financials Yearly'!K33</f>
        <v>5146534.8450284442</v>
      </c>
      <c r="AC96" s="132">
        <f>'Financials Yearly'!L33</f>
        <v>5198236.7327861134</v>
      </c>
    </row>
    <row r="97" spans="7:29" x14ac:dyDescent="0.25">
      <c r="S97" t="s">
        <v>1073</v>
      </c>
      <c r="T97" s="132">
        <f>'Financials Yearly'!C37</f>
        <v>601983.14987559081</v>
      </c>
      <c r="U97" s="132">
        <f>'Financials Yearly'!D37</f>
        <v>7511416.2775470056</v>
      </c>
      <c r="V97" s="132">
        <f>'Financials Yearly'!E37</f>
        <v>7147871.1544609787</v>
      </c>
      <c r="W97" s="132">
        <f>'Financials Yearly'!F37</f>
        <v>6758045.3250321718</v>
      </c>
      <c r="X97" s="132">
        <f>'Financials Yearly'!G37</f>
        <v>6340038.9548741085</v>
      </c>
      <c r="Y97" s="132">
        <f>'Financials Yearly'!H37</f>
        <v>5891814.8704188941</v>
      </c>
      <c r="Z97" s="132">
        <f>'Financials Yearly'!I37</f>
        <v>5411188.6306567034</v>
      </c>
      <c r="AA97" s="132">
        <f>'Financials Yearly'!J37</f>
        <v>4895817.8811604725</v>
      </c>
      <c r="AB97" s="132">
        <f>'Financials Yearly'!K37</f>
        <v>4343190.9385122219</v>
      </c>
      <c r="AC97" s="132">
        <f>'Financials Yearly'!L37</f>
        <v>3750614.5494965934</v>
      </c>
    </row>
    <row r="98" spans="7:29" x14ac:dyDescent="0.25">
      <c r="S98" t="s">
        <v>1106</v>
      </c>
      <c r="T98" s="132">
        <f>'Financials Yearly'!C34+'Financials Yearly'!C35+'Financials Yearly'!C36</f>
        <v>3009915.7493779538</v>
      </c>
      <c r="U98" s="132">
        <f>'Financials Yearly'!D34+'Financials Yearly'!D35+'Financials Yearly'!D36</f>
        <v>2791307.0661262479</v>
      </c>
      <c r="V98" s="132">
        <f>'Financials Yearly'!E34+'Financials Yearly'!E35+'Financials Yearly'!E36</f>
        <v>3787418.8823645012</v>
      </c>
      <c r="W98" s="132">
        <f>'Financials Yearly'!F34+'Financials Yearly'!F35+'Financials Yearly'!F36</f>
        <v>2341292.7030769684</v>
      </c>
      <c r="X98" s="132">
        <f>'Financials Yearly'!G34+'Financials Yearly'!G35+'Financials Yearly'!G36</f>
        <v>1905354.3719294234</v>
      </c>
      <c r="Y98" s="132">
        <f>'Financials Yearly'!H34+'Financials Yearly'!H35+'Financials Yearly'!H36</f>
        <v>1943812.7222717521</v>
      </c>
      <c r="Z98" s="132">
        <f>'Financials Yearly'!I34+'Financials Yearly'!I35+'Financials Yearly'!I36</f>
        <v>1983047.3296363144</v>
      </c>
      <c r="AA98" s="132">
        <f>'Financials Yearly'!J34+'Financials Yearly'!J35+'Financials Yearly'!J36</f>
        <v>2023073.8622709461</v>
      </c>
      <c r="AB98" s="132">
        <f>'Financials Yearly'!K34+'Financials Yearly'!K35+'Financials Yearly'!K36</f>
        <v>2063908.3046769733</v>
      </c>
      <c r="AC98" s="132">
        <f>'Financials Yearly'!L34+'Financials Yearly'!L35+'Financials Yearly'!L36</f>
        <v>2105566.9639925798</v>
      </c>
    </row>
    <row r="99" spans="7:29" x14ac:dyDescent="0.25">
      <c r="S99" t="s">
        <v>412</v>
      </c>
      <c r="T99" s="132">
        <f>SUM('Financials Yearly'!C48+'Financials Yearly'!C47+'Financials Yearly'!C46+'Financials Yearly'!C45+'Financials Yearly'!C44+'Financials Yearly'!C43+'Financials Yearly'!C42+'Financials Yearly'!C40+'Financials Yearly'!C39+'Financials Yearly'!C38)</f>
        <v>0</v>
      </c>
      <c r="U99" s="132">
        <f>SUM('Financials Yearly'!D48+'Financials Yearly'!D47+'Financials Yearly'!D46+'Financials Yearly'!D45+'Financials Yearly'!D44+'Financials Yearly'!D43+'Financials Yearly'!D42+'Financials Yearly'!D40+'Financials Yearly'!D39+'Financials Yearly'!D38)</f>
        <v>597315.53892291163</v>
      </c>
      <c r="V99" s="132">
        <f>SUM('Financials Yearly'!E48+'Financials Yearly'!E47+'Financials Yearly'!E46+'Financials Yearly'!E45+'Financials Yearly'!E44+'Financials Yearly'!E43+'Financials Yearly'!E42+'Financials Yearly'!E40+'Financials Yearly'!E39+'Financials Yearly'!E38)</f>
        <v>819565.89285680302</v>
      </c>
      <c r="W99" s="132">
        <f>SUM('Financials Yearly'!F48+'Financials Yearly'!F47+'Financials Yearly'!F46+'Financials Yearly'!F45+'Financials Yearly'!F44+'Financials Yearly'!F43+'Financials Yearly'!F42+'Financials Yearly'!F40+'Financials Yearly'!F39+'Financials Yearly'!F38)</f>
        <v>836108.30234265269</v>
      </c>
      <c r="X99" s="132">
        <f>SUM('Financials Yearly'!G48+'Financials Yearly'!G47+'Financials Yearly'!G46+'Financials Yearly'!G45+'Financials Yearly'!G44+'Financials Yearly'!G43+'Financials Yearly'!G42+'Financials Yearly'!G40+'Financials Yearly'!G39+'Financials Yearly'!G38)</f>
        <v>852984.6097053939</v>
      </c>
      <c r="Y99" s="132">
        <f>SUM('Financials Yearly'!H48+'Financials Yearly'!H47+'Financials Yearly'!H46+'Financials Yearly'!H45+'Financials Yearly'!H44+'Financials Yearly'!H43+'Financials Yearly'!H42+'Financials Yearly'!H40+'Financials Yearly'!H39+'Financials Yearly'!H38)</f>
        <v>870201.55445853481</v>
      </c>
      <c r="Z99" s="132">
        <f>SUM('Financials Yearly'!I48+'Financials Yearly'!I47+'Financials Yearly'!I46+'Financials Yearly'!I45+'Financials Yearly'!I44+'Financials Yearly'!I43+'Financials Yearly'!I42+'Financials Yearly'!I40+'Financials Yearly'!I39+'Financials Yearly'!I38)</f>
        <v>887766.01214832184</v>
      </c>
      <c r="AA99" s="132">
        <f>SUM('Financials Yearly'!J48+'Financials Yearly'!J47+'Financials Yearly'!J46+'Financials Yearly'!J45+'Financials Yearly'!J44+'Financials Yearly'!J43+'Financials Yearly'!J42+'Financials Yearly'!J40+'Financials Yearly'!J39+'Financials Yearly'!J38)</f>
        <v>905684.99709947233</v>
      </c>
      <c r="AB99" s="132">
        <f>SUM('Financials Yearly'!K48+'Financials Yearly'!K47+'Financials Yearly'!K46+'Financials Yearly'!K45+'Financials Yearly'!K44+'Financials Yearly'!K43+'Financials Yearly'!K42+'Financials Yearly'!K40+'Financials Yearly'!K39+'Financials Yearly'!K38)</f>
        <v>923965.66521632846</v>
      </c>
      <c r="AC99" s="132">
        <f>SUM('Financials Yearly'!L48+'Financials Yearly'!L47+'Financials Yearly'!L46+'Financials Yearly'!L45+'Financials Yearly'!L44+'Financials Yearly'!L43+'Financials Yearly'!L42+'Financials Yearly'!L40+'Financials Yearly'!L39+'Financials Yearly'!L38)</f>
        <v>942615.31684055051</v>
      </c>
    </row>
    <row r="107" spans="7:29" x14ac:dyDescent="0.25">
      <c r="G107" t="s">
        <v>1095</v>
      </c>
    </row>
    <row r="109" spans="7:29" x14ac:dyDescent="0.25">
      <c r="G109" t="s">
        <v>266</v>
      </c>
      <c r="H109" s="134" t="s">
        <v>1109</v>
      </c>
    </row>
    <row r="110" spans="7:29" x14ac:dyDescent="0.25">
      <c r="H110" t="str">
        <f>Inputs!B27</f>
        <v xml:space="preserve">Activated Carbon Ash </v>
      </c>
      <c r="I110" s="183">
        <f>SUM(Inputs!D27*365)</f>
        <v>24653.791254248023</v>
      </c>
    </row>
    <row r="111" spans="7:29" x14ac:dyDescent="0.25">
      <c r="H111" t="str">
        <f>Inputs!B28</f>
        <v>Aluminum</v>
      </c>
      <c r="I111" s="183">
        <f>SUM(Inputs!D28*365)</f>
        <v>1806.75</v>
      </c>
    </row>
    <row r="112" spans="7:29" x14ac:dyDescent="0.25">
      <c r="H112" t="str">
        <f>Inputs!B29</f>
        <v>Ferrous Metals</v>
      </c>
      <c r="I112" s="183">
        <f>SUM(Inputs!D29*365)</f>
        <v>2489.3000000000038</v>
      </c>
    </row>
    <row r="113" spans="1:29" x14ac:dyDescent="0.25">
      <c r="H113" t="str">
        <f>Inputs!B30</f>
        <v>Non-Ferrous Metals</v>
      </c>
      <c r="I113" s="183">
        <f>SUM(Inputs!D30*365)</f>
        <v>1204.5</v>
      </c>
    </row>
    <row r="114" spans="1:29" x14ac:dyDescent="0.25">
      <c r="H114" t="s">
        <v>1110</v>
      </c>
      <c r="I114" s="183">
        <f>SUM(Inputs!D31*365)</f>
        <v>5475</v>
      </c>
    </row>
    <row r="115" spans="1:29" x14ac:dyDescent="0.25">
      <c r="H115" t="str">
        <f>Inputs!B33</f>
        <v xml:space="preserve">Carbon Black </v>
      </c>
      <c r="I115" s="183">
        <f>SUM(Inputs!D33*365)</f>
        <v>9183.4</v>
      </c>
    </row>
    <row r="116" spans="1:29" ht="15.75" thickBot="1" x14ac:dyDescent="0.3">
      <c r="H116" t="str">
        <f>Inputs!B34</f>
        <v>Graphene</v>
      </c>
      <c r="I116" s="183">
        <f>SUM(Inputs!D34*365)</f>
        <v>2066.2649999999999</v>
      </c>
    </row>
    <row r="117" spans="1:29" ht="15.75" thickTop="1" x14ac:dyDescent="0.25">
      <c r="H117" s="770" t="s">
        <v>16</v>
      </c>
      <c r="I117" s="783">
        <f>SUM(I110:I116)</f>
        <v>46879.006254248023</v>
      </c>
    </row>
    <row r="118" spans="1:29" x14ac:dyDescent="0.25">
      <c r="H118" s="134" t="s">
        <v>266</v>
      </c>
    </row>
    <row r="119" spans="1:29" x14ac:dyDescent="0.25">
      <c r="H119" s="134" t="s">
        <v>266</v>
      </c>
      <c r="S119" t="s">
        <v>266</v>
      </c>
    </row>
    <row r="120" spans="1:29" x14ac:dyDescent="0.25">
      <c r="T120" s="136">
        <f>T95</f>
        <v>2024</v>
      </c>
      <c r="U120" s="136">
        <f t="shared" ref="U120:AC120" si="19">U95</f>
        <v>2025</v>
      </c>
      <c r="V120" s="136">
        <f t="shared" si="19"/>
        <v>2026</v>
      </c>
      <c r="W120" s="136">
        <f t="shared" si="19"/>
        <v>2027</v>
      </c>
      <c r="X120" s="136">
        <f t="shared" si="19"/>
        <v>2028</v>
      </c>
      <c r="Y120" s="136">
        <f t="shared" si="19"/>
        <v>2029</v>
      </c>
      <c r="Z120" s="136">
        <f t="shared" si="19"/>
        <v>2030</v>
      </c>
      <c r="AA120" s="136">
        <f t="shared" si="19"/>
        <v>2031</v>
      </c>
      <c r="AB120" s="136">
        <f t="shared" si="19"/>
        <v>2032</v>
      </c>
      <c r="AC120" s="136">
        <f t="shared" si="19"/>
        <v>2033</v>
      </c>
    </row>
    <row r="121" spans="1:29" x14ac:dyDescent="0.25">
      <c r="S121" s="134" t="str">
        <f>'Financials Yearly'!B91</f>
        <v>Net Cashflow from Operating Activities</v>
      </c>
      <c r="T121" s="132">
        <f>'Financials Yearly'!C91</f>
        <v>-13468123.398709152</v>
      </c>
      <c r="U121" s="132">
        <f>'Financials Yearly'!D91</f>
        <v>13035728.680310279</v>
      </c>
      <c r="V121" s="132">
        <f>'Financials Yearly'!E91</f>
        <v>43813361.282033794</v>
      </c>
      <c r="W121" s="132">
        <f>'Financials Yearly'!F91</f>
        <v>53085338.440052427</v>
      </c>
      <c r="X121" s="132">
        <f>'Financials Yearly'!G91</f>
        <v>56179524.45921348</v>
      </c>
      <c r="Y121" s="132">
        <f>'Financials Yearly'!H91</f>
        <v>58475587.783421032</v>
      </c>
      <c r="Z121" s="132">
        <f>'Financials Yearly'!I91</f>
        <v>61116479.288064823</v>
      </c>
      <c r="AA121" s="132">
        <f>'Financials Yearly'!J91</f>
        <v>63889295.879878387</v>
      </c>
      <c r="AB121" s="132">
        <f>'Financials Yearly'!K91</f>
        <v>66802352.193475969</v>
      </c>
      <c r="AC121" s="132">
        <f>'Financials Yearly'!L91</f>
        <v>68663172.346694008</v>
      </c>
    </row>
    <row r="126" spans="1:29" x14ac:dyDescent="0.25">
      <c r="A126" s="134" t="s">
        <v>49</v>
      </c>
      <c r="B126" s="136">
        <f>'Financials Yearly'!C2</f>
        <v>2026</v>
      </c>
      <c r="C126" s="136">
        <f>'Financials Yearly'!D2</f>
        <v>2027</v>
      </c>
      <c r="D126" s="136">
        <f>'Financials Yearly'!E2</f>
        <v>2028</v>
      </c>
      <c r="E126" s="136">
        <f>'Financials Yearly'!F2</f>
        <v>2029</v>
      </c>
      <c r="F126" s="136">
        <f>'Financials Yearly'!G2</f>
        <v>2030</v>
      </c>
      <c r="G126" s="136">
        <f>'Financials Yearly'!H2</f>
        <v>2031</v>
      </c>
      <c r="H126" s="136">
        <f>'Financials Yearly'!I2</f>
        <v>2032</v>
      </c>
      <c r="I126" s="136">
        <f>'Financials Yearly'!J2</f>
        <v>2033</v>
      </c>
      <c r="J126" s="136">
        <f>'Financials Yearly'!K2</f>
        <v>2034</v>
      </c>
      <c r="K126" s="136">
        <f>'Financials Yearly'!L2</f>
        <v>2035</v>
      </c>
      <c r="L126" s="136">
        <f>'Financials Yearly'!M2</f>
        <v>2036</v>
      </c>
      <c r="M126" s="136">
        <f>'Financials Yearly'!N2</f>
        <v>2037</v>
      </c>
      <c r="N126" s="136">
        <f>'Financials Yearly'!O2</f>
        <v>2038</v>
      </c>
      <c r="O126" s="136">
        <f>'Financials Yearly'!P2</f>
        <v>2039</v>
      </c>
      <c r="P126" s="136">
        <f>'Financials Yearly'!Q2</f>
        <v>2040</v>
      </c>
      <c r="Q126" s="136">
        <f>'Financials Yearly'!R2</f>
        <v>2041</v>
      </c>
      <c r="R126" s="136">
        <f>'Financials Yearly'!S2</f>
        <v>2042</v>
      </c>
      <c r="S126" s="136">
        <f>'Financials Yearly'!T2</f>
        <v>2043</v>
      </c>
      <c r="T126" s="136">
        <f>'Financials Yearly'!U2</f>
        <v>2044</v>
      </c>
      <c r="U126" s="136">
        <f>'Financials Yearly'!V2</f>
        <v>2045</v>
      </c>
      <c r="V126" s="136">
        <f>'Financials Yearly'!W2</f>
        <v>2046</v>
      </c>
      <c r="W126" s="136">
        <f>'Financials Yearly'!X2</f>
        <v>2047</v>
      </c>
      <c r="X126" s="136">
        <f>'Financials Yearly'!Y2</f>
        <v>2048</v>
      </c>
    </row>
    <row r="127" spans="1:29" x14ac:dyDescent="0.25">
      <c r="A127" s="134" t="str">
        <f>'Financials Yearly'!B33</f>
        <v>Employee Cost</v>
      </c>
      <c r="B127" s="132">
        <f>'Financials Yearly'!C33</f>
        <v>601983.14987559081</v>
      </c>
      <c r="C127" s="132">
        <f>'Financials Yearly'!D33</f>
        <v>3603546.064866703</v>
      </c>
      <c r="D127" s="132">
        <f>'Financials Yearly'!E33</f>
        <v>4846945.0927410424</v>
      </c>
      <c r="E127" s="132">
        <f>'Financials Yearly'!F33</f>
        <v>4895637.3135650316</v>
      </c>
      <c r="F127" s="132">
        <f>'Financials Yearly'!G33</f>
        <v>4944818.6945349295</v>
      </c>
      <c r="G127" s="132">
        <f>'Financials Yearly'!H33</f>
        <v>4994494.1497344263</v>
      </c>
      <c r="H127" s="132">
        <f>'Financials Yearly'!I33</f>
        <v>5044668.6426139101</v>
      </c>
      <c r="I127" s="132">
        <f>'Financials Yearly'!J33</f>
        <v>5095347.1864863969</v>
      </c>
      <c r="J127" s="132">
        <f>'Financials Yearly'!K33</f>
        <v>5146534.8450284442</v>
      </c>
      <c r="K127" s="132">
        <f>'Financials Yearly'!L33</f>
        <v>5198236.7327861134</v>
      </c>
      <c r="L127" s="132">
        <f>'Financials Yearly'!M33</f>
        <v>5250458.0156859886</v>
      </c>
      <c r="M127" s="132">
        <f>'Financials Yearly'!N33</f>
        <v>5303203.9115513535</v>
      </c>
      <c r="N127" s="132">
        <f>'Financials Yearly'!O33</f>
        <v>5356479.6906235432</v>
      </c>
      <c r="O127" s="132">
        <f>'Financials Yearly'!P33</f>
        <v>5410290.676088525</v>
      </c>
      <c r="P127" s="132">
        <f>'Financials Yearly'!Q33</f>
        <v>5464642.2446087878</v>
      </c>
      <c r="Q127" s="132">
        <f>'Financials Yearly'!R33</f>
        <v>5519539.8268605629</v>
      </c>
      <c r="R127" s="132">
        <f>'Financials Yearly'!S33</f>
        <v>5574988.90807644</v>
      </c>
      <c r="S127" s="132">
        <f>'Financials Yearly'!T33</f>
        <v>5630995.0285934424</v>
      </c>
      <c r="T127" s="132">
        <f>'Financials Yearly'!U33</f>
        <v>5687563.7844066005</v>
      </c>
      <c r="U127" s="132">
        <f>'Financials Yearly'!V33</f>
        <v>5744700.8277280945</v>
      </c>
      <c r="V127" s="132">
        <f>'Financials Yearly'!W33</f>
        <v>5802411.8675520048</v>
      </c>
      <c r="W127" s="132">
        <f>'Financials Yearly'!X33</f>
        <v>5860702.6702247448</v>
      </c>
      <c r="X127" s="132">
        <f>'Financials Yearly'!Y33</f>
        <v>5919579.0600212188</v>
      </c>
    </row>
    <row r="128" spans="1:29" x14ac:dyDescent="0.25">
      <c r="A128" s="134" t="str">
        <f>'Financials Yearly'!B34</f>
        <v>Turbine LTMA Cost 5 year term</v>
      </c>
      <c r="B128" s="132">
        <f>'Financials Yearly'!C34</f>
        <v>1203966.2997511816</v>
      </c>
      <c r="C128" s="132">
        <f>'Financials Yearly'!D34</f>
        <v>1630842.105175195</v>
      </c>
      <c r="D128" s="132">
        <f>'Financials Yearly'!E34</f>
        <v>2212827.9107133681</v>
      </c>
      <c r="E128" s="132">
        <f>'Financials Yearly'!F34</f>
        <v>560150.89845767792</v>
      </c>
      <c r="F128" s="132">
        <f>'Financials Yearly'!G34</f>
        <v>0</v>
      </c>
      <c r="G128" s="132">
        <f>'Financials Yearly'!H34</f>
        <v>0</v>
      </c>
      <c r="H128" s="132">
        <f>'Financials Yearly'!I34</f>
        <v>0</v>
      </c>
      <c r="I128" s="132">
        <f>'Financials Yearly'!J34</f>
        <v>0</v>
      </c>
      <c r="J128" s="132">
        <f>'Financials Yearly'!K34</f>
        <v>0</v>
      </c>
      <c r="K128" s="132">
        <f>'Financials Yearly'!L34</f>
        <v>0</v>
      </c>
      <c r="L128" s="132">
        <f>'Financials Yearly'!M34</f>
        <v>0</v>
      </c>
      <c r="M128" s="132">
        <f>'Financials Yearly'!N34</f>
        <v>0</v>
      </c>
      <c r="N128" s="132">
        <f>'Financials Yearly'!O34</f>
        <v>0</v>
      </c>
      <c r="O128" s="132">
        <f>'Financials Yearly'!P34</f>
        <v>0</v>
      </c>
      <c r="P128" s="132">
        <f>'Financials Yearly'!Q34</f>
        <v>0</v>
      </c>
      <c r="Q128" s="132">
        <f>'Financials Yearly'!R34</f>
        <v>0</v>
      </c>
      <c r="R128" s="132">
        <f>'Financials Yearly'!S34</f>
        <v>0</v>
      </c>
      <c r="S128" s="132">
        <f>'Financials Yearly'!T34</f>
        <v>0</v>
      </c>
      <c r="T128" s="132">
        <f>'Financials Yearly'!U34</f>
        <v>0</v>
      </c>
      <c r="U128" s="132">
        <f>'Financials Yearly'!V34</f>
        <v>0</v>
      </c>
      <c r="V128" s="132">
        <f>'Financials Yearly'!W34</f>
        <v>0</v>
      </c>
      <c r="W128" s="132">
        <f>'Financials Yearly'!X34</f>
        <v>0</v>
      </c>
      <c r="X128" s="132">
        <f>'Financials Yearly'!Y34</f>
        <v>0</v>
      </c>
    </row>
    <row r="129" spans="1:24" x14ac:dyDescent="0.25">
      <c r="A129" s="134" t="str">
        <f>'Financials Yearly'!B35</f>
        <v>Pyrolysis LTMA Cost yrs. 3+</v>
      </c>
      <c r="B129" s="132">
        <f>'Financials Yearly'!C35</f>
        <v>1203966.2997511816</v>
      </c>
      <c r="C129" s="132">
        <f>'Financials Yearly'!D35</f>
        <v>0</v>
      </c>
      <c r="D129" s="132">
        <f>'Financials Yearly'!E35</f>
        <v>0</v>
      </c>
      <c r="E129" s="132">
        <f>'Financials Yearly'!F35</f>
        <v>174768.72874346914</v>
      </c>
      <c r="F129" s="132">
        <f>'Financials Yearly'!G35</f>
        <v>266557.69053293555</v>
      </c>
      <c r="G129" s="132">
        <f>'Financials Yearly'!H35</f>
        <v>271937.9857682921</v>
      </c>
      <c r="H129" s="132">
        <f>'Financials Yearly'!I35</f>
        <v>277426.87879635056</v>
      </c>
      <c r="I129" s="132">
        <f>'Financials Yearly'!J35</f>
        <v>283026.56159358507</v>
      </c>
      <c r="J129" s="132">
        <f>'Financials Yearly'!K35</f>
        <v>288739.27038010256</v>
      </c>
      <c r="K129" s="132">
        <f>'Financials Yearly'!L35</f>
        <v>294567.28651267209</v>
      </c>
      <c r="L129" s="132">
        <f>'Financials Yearly'!M35</f>
        <v>300512.93739577878</v>
      </c>
      <c r="M129" s="132">
        <f>'Financials Yearly'!N35</f>
        <v>306578.5974110681</v>
      </c>
      <c r="N129" s="132">
        <f>'Financials Yearly'!O35</f>
        <v>312766.68886554916</v>
      </c>
      <c r="O129" s="132">
        <f>'Financials Yearly'!P35</f>
        <v>319079.68295893713</v>
      </c>
      <c r="P129" s="132">
        <f>'Financials Yearly'!Q35</f>
        <v>325520.10077052127</v>
      </c>
      <c r="Q129" s="132">
        <f>'Financials Yearly'!R35</f>
        <v>332090.51426595199</v>
      </c>
      <c r="R129" s="132">
        <f>'Financials Yearly'!S35</f>
        <v>338793.54732434888</v>
      </c>
      <c r="S129" s="132">
        <f>'Financials Yearly'!T35</f>
        <v>345631.87678614137</v>
      </c>
      <c r="T129" s="132">
        <f>'Financials Yearly'!U35</f>
        <v>352608.233522058</v>
      </c>
      <c r="U129" s="132">
        <f>'Financials Yearly'!V35</f>
        <v>359725.40352369333</v>
      </c>
      <c r="V129" s="132">
        <f>'Financials Yearly'!W35</f>
        <v>366986.22901608743</v>
      </c>
      <c r="W129" s="132">
        <f>'Financials Yearly'!X35</f>
        <v>374393.60959276138</v>
      </c>
      <c r="X129" s="132">
        <f>'Financials Yearly'!Y35</f>
        <v>381950.50337366312</v>
      </c>
    </row>
    <row r="130" spans="1:24" x14ac:dyDescent="0.25">
      <c r="A130" s="134" t="str">
        <f>'Financials Yearly'!B36</f>
        <v>Total O&amp;M</v>
      </c>
      <c r="B130" s="132">
        <f>'Financials Yearly'!C36</f>
        <v>601983.14987559081</v>
      </c>
      <c r="C130" s="132">
        <f>'Financials Yearly'!D36</f>
        <v>1160464.9609510531</v>
      </c>
      <c r="D130" s="132">
        <f>'Financials Yearly'!E36</f>
        <v>1574590.9716511331</v>
      </c>
      <c r="E130" s="132">
        <f>'Financials Yearly'!F36</f>
        <v>1606373.0758758215</v>
      </c>
      <c r="F130" s="132">
        <f>'Financials Yearly'!G36</f>
        <v>1638796.6813964879</v>
      </c>
      <c r="G130" s="132">
        <f>'Financials Yearly'!H36</f>
        <v>1671874.73650346</v>
      </c>
      <c r="H130" s="132">
        <f>'Financials Yearly'!I36</f>
        <v>1705620.4508399637</v>
      </c>
      <c r="I130" s="132">
        <f>'Financials Yearly'!J36</f>
        <v>1740047.3006773612</v>
      </c>
      <c r="J130" s="132">
        <f>'Financials Yearly'!K36</f>
        <v>1775169.0342968707</v>
      </c>
      <c r="K130" s="132">
        <f>'Financials Yearly'!L36</f>
        <v>1810999.6774799076</v>
      </c>
      <c r="L130" s="132">
        <f>'Financials Yearly'!M36</f>
        <v>1847553.5391092477</v>
      </c>
      <c r="M130" s="132">
        <f>'Financials Yearly'!N36</f>
        <v>1884845.216883247</v>
      </c>
      <c r="N130" s="132">
        <f>'Financials Yearly'!O36</f>
        <v>1922889.6031453966</v>
      </c>
      <c r="O130" s="132">
        <f>'Financials Yearly'!P36</f>
        <v>1961701.8908315459</v>
      </c>
      <c r="P130" s="132">
        <f>'Financials Yearly'!Q36</f>
        <v>2001297.5795371649</v>
      </c>
      <c r="Q130" s="132">
        <f>'Financials Yearly'!R36</f>
        <v>2041692.4817070724</v>
      </c>
      <c r="R130" s="132">
        <f>'Financials Yearly'!S36</f>
        <v>2082902.728950097</v>
      </c>
      <c r="S130" s="132">
        <f>'Financials Yearly'!T36</f>
        <v>2124944.7784811966</v>
      </c>
      <c r="T130" s="132">
        <f>'Financials Yearly'!U36</f>
        <v>2167835.419693612</v>
      </c>
      <c r="U130" s="132">
        <f>'Financials Yearly'!V36</f>
        <v>2211591.7808636669</v>
      </c>
      <c r="V130" s="132">
        <f>'Financials Yearly'!W36</f>
        <v>2256231.3359909053</v>
      </c>
      <c r="W130" s="132">
        <f>'Financials Yearly'!X36</f>
        <v>2301771.9117762973</v>
      </c>
      <c r="X130" s="132">
        <f>'Financials Yearly'!Y36</f>
        <v>2348231.6947412807</v>
      </c>
    </row>
    <row r="131" spans="1:24" x14ac:dyDescent="0.25">
      <c r="A131" s="134" t="str">
        <f>'Financials Yearly'!B37</f>
        <v>All insurance for the plant and risks</v>
      </c>
      <c r="B131" s="132">
        <f>'Financials Yearly'!C37</f>
        <v>601983.14987559081</v>
      </c>
      <c r="C131" s="132">
        <f>'Financials Yearly'!D37</f>
        <v>7511416.2775470056</v>
      </c>
      <c r="D131" s="132">
        <f>'Financials Yearly'!E37</f>
        <v>7147871.1544609787</v>
      </c>
      <c r="E131" s="132">
        <f>'Financials Yearly'!F37</f>
        <v>6758045.3250321718</v>
      </c>
      <c r="F131" s="132">
        <f>'Financials Yearly'!G37</f>
        <v>6340038.9548741085</v>
      </c>
      <c r="G131" s="132">
        <f>'Financials Yearly'!H37</f>
        <v>5891814.8704188941</v>
      </c>
      <c r="H131" s="132">
        <f>'Financials Yearly'!I37</f>
        <v>5411188.6306567034</v>
      </c>
      <c r="I131" s="132">
        <f>'Financials Yearly'!J37</f>
        <v>4895817.8811604725</v>
      </c>
      <c r="J131" s="132">
        <f>'Financials Yearly'!K37</f>
        <v>4343190.9385122219</v>
      </c>
      <c r="K131" s="132">
        <f>'Financials Yearly'!L37</f>
        <v>3750614.5494965934</v>
      </c>
      <c r="L131" s="132">
        <f>'Financials Yearly'!M37</f>
        <v>3115200.7654055306</v>
      </c>
      <c r="M131" s="132">
        <f>'Financials Yearly'!N37</f>
        <v>2734927.1046112161</v>
      </c>
      <c r="N131" s="132">
        <f>'Financials Yearly'!O37</f>
        <v>2483036.2381580365</v>
      </c>
      <c r="O131" s="132">
        <f>'Financials Yearly'!P37</f>
        <v>2212936.1606020108</v>
      </c>
      <c r="P131" s="132">
        <f>'Financials Yearly'!Q37</f>
        <v>1923310.5266001842</v>
      </c>
      <c r="Q131" s="132">
        <f>'Financials Yearly'!R37</f>
        <v>1612747.8320983264</v>
      </c>
      <c r="R131" s="132">
        <f>'Financials Yearly'!S37</f>
        <v>1504315.7322510108</v>
      </c>
      <c r="S131" s="132">
        <f>'Financials Yearly'!T37</f>
        <v>1504315.7322510108</v>
      </c>
      <c r="T131" s="132">
        <f>'Financials Yearly'!U37</f>
        <v>1504315.7322510108</v>
      </c>
      <c r="U131" s="132">
        <f>'Financials Yearly'!V37</f>
        <v>1504315.7322510108</v>
      </c>
      <c r="V131" s="132">
        <f>'Financials Yearly'!W37</f>
        <v>1504315.7322510108</v>
      </c>
      <c r="W131" s="132">
        <f>'Financials Yearly'!X37</f>
        <v>1504315.7322510108</v>
      </c>
      <c r="X131" s="132">
        <f>'Financials Yearly'!Y37</f>
        <v>1504315.7322510108</v>
      </c>
    </row>
    <row r="132" spans="1:24" x14ac:dyDescent="0.25">
      <c r="A132" s="134" t="str">
        <f>'Financials Yearly'!B38</f>
        <v xml:space="preserve">Land Rental </v>
      </c>
      <c r="B132" s="132">
        <f>'Financials Yearly'!C38</f>
        <v>0</v>
      </c>
      <c r="C132" s="132">
        <f>'Financials Yearly'!D38</f>
        <v>75501.949313666424</v>
      </c>
      <c r="D132" s="132">
        <f>'Financials Yearly'!E38</f>
        <v>102445.73660710039</v>
      </c>
      <c r="E132" s="132">
        <f>'Financials Yearly'!F38</f>
        <v>104513.53779283159</v>
      </c>
      <c r="F132" s="132">
        <f>'Financials Yearly'!G38</f>
        <v>106623.07621317422</v>
      </c>
      <c r="G132" s="132">
        <f>'Financials Yearly'!H38</f>
        <v>108775.19430731685</v>
      </c>
      <c r="H132" s="132">
        <f>'Financials Yearly'!I38</f>
        <v>110970.75151854024</v>
      </c>
      <c r="I132" s="132">
        <f>'Financials Yearly'!J38</f>
        <v>113210.62463743403</v>
      </c>
      <c r="J132" s="132">
        <f>'Financials Yearly'!K38</f>
        <v>115495.70815204106</v>
      </c>
      <c r="K132" s="132">
        <f>'Financials Yearly'!L38</f>
        <v>117826.91460506881</v>
      </c>
      <c r="L132" s="132">
        <f>'Financials Yearly'!M38</f>
        <v>120205.1749583115</v>
      </c>
      <c r="M132" s="132">
        <f>'Financials Yearly'!N38</f>
        <v>122631.43896442727</v>
      </c>
      <c r="N132" s="132">
        <f>'Financials Yearly'!O38</f>
        <v>125106.67554621969</v>
      </c>
      <c r="O132" s="132">
        <f>'Financials Yearly'!P38</f>
        <v>127631.87318357488</v>
      </c>
      <c r="P132" s="132">
        <f>'Financials Yearly'!Q38</f>
        <v>130208.04030820854</v>
      </c>
      <c r="Q132" s="132">
        <f>'Financials Yearly'!R38</f>
        <v>132836.2057063808</v>
      </c>
      <c r="R132" s="132">
        <f>'Financials Yearly'!S38</f>
        <v>135517.41892973954</v>
      </c>
      <c r="S132" s="132">
        <f>'Financials Yearly'!T38</f>
        <v>138252.75071445655</v>
      </c>
      <c r="T132" s="132">
        <f>'Financials Yearly'!U38</f>
        <v>141043.29340882317</v>
      </c>
      <c r="U132" s="132">
        <f>'Financials Yearly'!V38</f>
        <v>143890.16140947735</v>
      </c>
      <c r="V132" s="132">
        <f>'Financials Yearly'!W38</f>
        <v>146794.49160643498</v>
      </c>
      <c r="W132" s="132">
        <f>'Financials Yearly'!X38</f>
        <v>149757.44383710457</v>
      </c>
      <c r="X132" s="132">
        <f>'Financials Yearly'!Y38</f>
        <v>152780.20134946526</v>
      </c>
    </row>
    <row r="133" spans="1:24" x14ac:dyDescent="0.25">
      <c r="A133" s="134" t="str">
        <f>'Financials Yearly'!B39</f>
        <v>IT  outsourced</v>
      </c>
      <c r="B133" s="132">
        <f>'Financials Yearly'!C39</f>
        <v>0</v>
      </c>
      <c r="C133" s="132">
        <f>'Financials Yearly'!D39</f>
        <v>53701.503864513397</v>
      </c>
      <c r="D133" s="132">
        <f>'Financials Yearly'!E39</f>
        <v>81956.589285680326</v>
      </c>
      <c r="E133" s="132">
        <f>'Financials Yearly'!F39</f>
        <v>83610.830234265275</v>
      </c>
      <c r="F133" s="132">
        <f>'Financials Yearly'!G39</f>
        <v>85298.460970539381</v>
      </c>
      <c r="G133" s="132">
        <f>'Financials Yearly'!H39</f>
        <v>87020.155445853496</v>
      </c>
      <c r="H133" s="132">
        <f>'Financials Yearly'!I39</f>
        <v>88776.601214832204</v>
      </c>
      <c r="I133" s="132">
        <f>'Financials Yearly'!J39</f>
        <v>90568.499709947238</v>
      </c>
      <c r="J133" s="132">
        <f>'Financials Yearly'!K39</f>
        <v>92396.566521632834</v>
      </c>
      <c r="K133" s="132">
        <f>'Financials Yearly'!L39</f>
        <v>94261.531684055051</v>
      </c>
      <c r="L133" s="132">
        <f>'Financials Yearly'!M39</f>
        <v>96164.139966649207</v>
      </c>
      <c r="M133" s="132">
        <f>'Financials Yearly'!N39</f>
        <v>98105.151171541816</v>
      </c>
      <c r="N133" s="132">
        <f>'Financials Yearly'!O39</f>
        <v>100085.34043697573</v>
      </c>
      <c r="O133" s="132">
        <f>'Financials Yearly'!P39</f>
        <v>102105.49854685989</v>
      </c>
      <c r="P133" s="132">
        <f>'Financials Yearly'!Q39</f>
        <v>104166.43224656682</v>
      </c>
      <c r="Q133" s="132">
        <f>'Financials Yearly'!R39</f>
        <v>106268.96456510464</v>
      </c>
      <c r="R133" s="132">
        <f>'Financials Yearly'!S39</f>
        <v>108413.93514379165</v>
      </c>
      <c r="S133" s="132">
        <f>'Financials Yearly'!T39</f>
        <v>110602.20057156525</v>
      </c>
      <c r="T133" s="132">
        <f>'Financials Yearly'!U39</f>
        <v>112834.63472705855</v>
      </c>
      <c r="U133" s="132">
        <f>'Financials Yearly'!V39</f>
        <v>115112.12912758188</v>
      </c>
      <c r="V133" s="132">
        <f>'Financials Yearly'!W39</f>
        <v>117435.59328514802</v>
      </c>
      <c r="W133" s="132">
        <f>'Financials Yearly'!X39</f>
        <v>119805.95506968367</v>
      </c>
      <c r="X133" s="132">
        <f>'Financials Yearly'!Y39</f>
        <v>122224.16107957224</v>
      </c>
    </row>
    <row r="134" spans="1:24" x14ac:dyDescent="0.25">
      <c r="A134" s="134" t="str">
        <f>'Financials Yearly'!B40</f>
        <v>Utilities</v>
      </c>
      <c r="B134" s="132">
        <f>'Financials Yearly'!C40</f>
        <v>0</v>
      </c>
      <c r="C134" s="132">
        <f>'Financials Yearly'!D40</f>
        <v>151003.89862733285</v>
      </c>
      <c r="D134" s="132">
        <f>'Financials Yearly'!E40</f>
        <v>204891.47321420079</v>
      </c>
      <c r="E134" s="132">
        <f>'Financials Yearly'!F40</f>
        <v>209027.07558566317</v>
      </c>
      <c r="F134" s="132">
        <f>'Financials Yearly'!G40</f>
        <v>213246.15242634845</v>
      </c>
      <c r="G134" s="132">
        <f>'Financials Yearly'!H40</f>
        <v>217550.3886146337</v>
      </c>
      <c r="H134" s="132">
        <f>'Financials Yearly'!I40</f>
        <v>221941.50303708049</v>
      </c>
      <c r="I134" s="132">
        <f>'Financials Yearly'!J40</f>
        <v>226421.24927486805</v>
      </c>
      <c r="J134" s="132">
        <f>'Financials Yearly'!K40</f>
        <v>230991.41630408211</v>
      </c>
      <c r="K134" s="132">
        <f>'Financials Yearly'!L40</f>
        <v>235653.82921013763</v>
      </c>
      <c r="L134" s="132">
        <f>'Financials Yearly'!M40</f>
        <v>240410.349916623</v>
      </c>
      <c r="M134" s="132">
        <f>'Financials Yearly'!N40</f>
        <v>245262.87792885455</v>
      </c>
      <c r="N134" s="132">
        <f>'Financials Yearly'!O40</f>
        <v>250213.35109243938</v>
      </c>
      <c r="O134" s="132">
        <f>'Financials Yearly'!P40</f>
        <v>255263.74636714975</v>
      </c>
      <c r="P134" s="132">
        <f>'Financials Yearly'!Q40</f>
        <v>260416.08061641708</v>
      </c>
      <c r="Q134" s="132">
        <f>'Financials Yearly'!R40</f>
        <v>265672.4114127616</v>
      </c>
      <c r="R134" s="132">
        <f>'Financials Yearly'!S40</f>
        <v>271034.83785947907</v>
      </c>
      <c r="S134" s="132">
        <f>'Financials Yearly'!T40</f>
        <v>276505.50142891309</v>
      </c>
      <c r="T134" s="132">
        <f>'Financials Yearly'!U40</f>
        <v>282086.58681764634</v>
      </c>
      <c r="U134" s="132">
        <f>'Financials Yearly'!V40</f>
        <v>287780.32281895471</v>
      </c>
      <c r="V134" s="132">
        <f>'Financials Yearly'!W40</f>
        <v>293588.98321286996</v>
      </c>
      <c r="W134" s="132">
        <f>'Financials Yearly'!X40</f>
        <v>299514.88767420914</v>
      </c>
      <c r="X134" s="132">
        <f>'Financials Yearly'!Y40</f>
        <v>305560.40269893053</v>
      </c>
    </row>
    <row r="135" spans="1:24" x14ac:dyDescent="0.25">
      <c r="A135" s="134" t="str">
        <f>'Financials Yearly'!B41</f>
        <v>OVD Fee for exporting</v>
      </c>
      <c r="B135" s="132">
        <f>'Financials Yearly'!C41</f>
        <v>0</v>
      </c>
      <c r="C135" s="132">
        <f>'Financials Yearly'!D41</f>
        <v>0</v>
      </c>
      <c r="D135" s="132">
        <f>'Financials Yearly'!E41</f>
        <v>0</v>
      </c>
      <c r="E135" s="132">
        <f>'Financials Yearly'!F41</f>
        <v>0</v>
      </c>
      <c r="F135" s="132">
        <f>'Financials Yearly'!G41</f>
        <v>0</v>
      </c>
      <c r="G135" s="132">
        <f>'Financials Yearly'!H41</f>
        <v>0</v>
      </c>
      <c r="H135" s="132">
        <f>'Financials Yearly'!I41</f>
        <v>0</v>
      </c>
      <c r="I135" s="132">
        <f>'Financials Yearly'!J41</f>
        <v>0</v>
      </c>
      <c r="J135" s="132">
        <f>'Financials Yearly'!K41</f>
        <v>0</v>
      </c>
      <c r="K135" s="132">
        <f>'Financials Yearly'!L41</f>
        <v>0</v>
      </c>
      <c r="L135" s="132">
        <f>'Financials Yearly'!M41</f>
        <v>0</v>
      </c>
      <c r="M135" s="132">
        <f>'Financials Yearly'!N41</f>
        <v>0</v>
      </c>
      <c r="N135" s="132">
        <f>'Financials Yearly'!O41</f>
        <v>0</v>
      </c>
      <c r="O135" s="132">
        <f>'Financials Yearly'!P41</f>
        <v>0</v>
      </c>
      <c r="P135" s="132">
        <f>'Financials Yearly'!Q41</f>
        <v>0</v>
      </c>
      <c r="Q135" s="132">
        <f>'Financials Yearly'!R41</f>
        <v>0</v>
      </c>
      <c r="R135" s="132">
        <f>'Financials Yearly'!S41</f>
        <v>0</v>
      </c>
      <c r="S135" s="132">
        <f>'Financials Yearly'!T41</f>
        <v>0</v>
      </c>
      <c r="T135" s="132">
        <f>'Financials Yearly'!U41</f>
        <v>0</v>
      </c>
      <c r="U135" s="132">
        <f>'Financials Yearly'!V41</f>
        <v>0</v>
      </c>
      <c r="V135" s="132">
        <f>'Financials Yearly'!W41</f>
        <v>0</v>
      </c>
      <c r="W135" s="132">
        <f>'Financials Yearly'!X41</f>
        <v>0</v>
      </c>
      <c r="X135" s="132">
        <f>'Financials Yearly'!Y41</f>
        <v>0</v>
      </c>
    </row>
    <row r="136" spans="1:24" x14ac:dyDescent="0.25">
      <c r="A136" s="134" t="str">
        <f>'Financials Yearly'!B42</f>
        <v>Electricity</v>
      </c>
      <c r="B136" s="132">
        <f>'Financials Yearly'!C42</f>
        <v>0</v>
      </c>
      <c r="C136" s="132">
        <f>'Financials Yearly'!D42</f>
        <v>0</v>
      </c>
      <c r="D136" s="132">
        <f>'Financials Yearly'!E42</f>
        <v>0</v>
      </c>
      <c r="E136" s="132">
        <f>'Financials Yearly'!F42</f>
        <v>0</v>
      </c>
      <c r="F136" s="132">
        <f>'Financials Yearly'!G42</f>
        <v>0</v>
      </c>
      <c r="G136" s="132">
        <f>'Financials Yearly'!H42</f>
        <v>0</v>
      </c>
      <c r="H136" s="132">
        <f>'Financials Yearly'!I42</f>
        <v>0</v>
      </c>
      <c r="I136" s="132">
        <f>'Financials Yearly'!J42</f>
        <v>0</v>
      </c>
      <c r="J136" s="132">
        <f>'Financials Yearly'!K42</f>
        <v>0</v>
      </c>
      <c r="K136" s="132">
        <f>'Financials Yearly'!L42</f>
        <v>0</v>
      </c>
      <c r="L136" s="132">
        <f>'Financials Yearly'!M42</f>
        <v>0</v>
      </c>
      <c r="M136" s="132">
        <f>'Financials Yearly'!N42</f>
        <v>0</v>
      </c>
      <c r="N136" s="132">
        <f>'Financials Yearly'!O42</f>
        <v>0</v>
      </c>
      <c r="O136" s="132">
        <f>'Financials Yearly'!P42</f>
        <v>0</v>
      </c>
      <c r="P136" s="132">
        <f>'Financials Yearly'!Q42</f>
        <v>0</v>
      </c>
      <c r="Q136" s="132">
        <f>'Financials Yearly'!R42</f>
        <v>0</v>
      </c>
      <c r="R136" s="132">
        <f>'Financials Yearly'!S42</f>
        <v>0</v>
      </c>
      <c r="S136" s="132">
        <f>'Financials Yearly'!T42</f>
        <v>0</v>
      </c>
      <c r="T136" s="132">
        <f>'Financials Yearly'!U42</f>
        <v>0</v>
      </c>
      <c r="U136" s="132">
        <f>'Financials Yearly'!V42</f>
        <v>0</v>
      </c>
      <c r="V136" s="132">
        <f>'Financials Yearly'!W42</f>
        <v>0</v>
      </c>
      <c r="W136" s="132">
        <f>'Financials Yearly'!X42</f>
        <v>0</v>
      </c>
      <c r="X136" s="132">
        <f>'Financials Yearly'!Y42</f>
        <v>0</v>
      </c>
    </row>
    <row r="137" spans="1:24" x14ac:dyDescent="0.25">
      <c r="A137" s="134" t="str">
        <f>'Financials Yearly'!B43</f>
        <v>Accounting &amp; Auditing</v>
      </c>
      <c r="B137" s="132">
        <f>'Financials Yearly'!C43</f>
        <v>0</v>
      </c>
      <c r="C137" s="132">
        <f>'Financials Yearly'!D43</f>
        <v>64176.656916616463</v>
      </c>
      <c r="D137" s="132">
        <f>'Financials Yearly'!E43</f>
        <v>87078.876116035332</v>
      </c>
      <c r="E137" s="132">
        <f>'Financials Yearly'!F43</f>
        <v>88836.507123906835</v>
      </c>
      <c r="F137" s="132">
        <f>'Financials Yearly'!G43</f>
        <v>90629.614781198077</v>
      </c>
      <c r="G137" s="132">
        <f>'Financials Yearly'!H43</f>
        <v>92458.915161219309</v>
      </c>
      <c r="H137" s="132">
        <f>'Financials Yearly'!I43</f>
        <v>94325.1387907592</v>
      </c>
      <c r="I137" s="132">
        <f>'Financials Yearly'!J43</f>
        <v>96229.030941818943</v>
      </c>
      <c r="J137" s="132">
        <f>'Financials Yearly'!K43</f>
        <v>98171.351929234894</v>
      </c>
      <c r="K137" s="132">
        <f>'Financials Yearly'!L43</f>
        <v>100152.87741430847</v>
      </c>
      <c r="L137" s="132">
        <f>'Financials Yearly'!M43</f>
        <v>102174.39871456477</v>
      </c>
      <c r="M137" s="132">
        <f>'Financials Yearly'!N43</f>
        <v>104236.72311976316</v>
      </c>
      <c r="N137" s="132">
        <f>'Financials Yearly'!O43</f>
        <v>106340.67421428673</v>
      </c>
      <c r="O137" s="132">
        <f>'Financials Yearly'!P43</f>
        <v>108487.09220603864</v>
      </c>
      <c r="P137" s="132">
        <f>'Financials Yearly'!Q43</f>
        <v>110676.83426197723</v>
      </c>
      <c r="Q137" s="132">
        <f>'Financials Yearly'!R43</f>
        <v>112910.77485042365</v>
      </c>
      <c r="R137" s="132">
        <f>'Financials Yearly'!S43</f>
        <v>115189.80609027861</v>
      </c>
      <c r="S137" s="132">
        <f>'Financials Yearly'!T43</f>
        <v>117514.83810728804</v>
      </c>
      <c r="T137" s="132">
        <f>'Financials Yearly'!U43</f>
        <v>119886.79939749969</v>
      </c>
      <c r="U137" s="132">
        <f>'Financials Yearly'!V43</f>
        <v>122306.63719805575</v>
      </c>
      <c r="V137" s="132">
        <f>'Financials Yearly'!W43</f>
        <v>124775.31786546974</v>
      </c>
      <c r="W137" s="132">
        <f>'Financials Yearly'!X43</f>
        <v>127293.82726153887</v>
      </c>
      <c r="X137" s="132">
        <f>'Financials Yearly'!Y43</f>
        <v>129863.17114704546</v>
      </c>
    </row>
    <row r="138" spans="1:24" x14ac:dyDescent="0.25">
      <c r="A138" s="134" t="str">
        <f>'Financials Yearly'!B44</f>
        <v>Office Supplies</v>
      </c>
      <c r="B138" s="132">
        <f>'Financials Yearly'!C44</f>
        <v>0</v>
      </c>
      <c r="C138" s="132">
        <f>'Financials Yearly'!D44</f>
        <v>56626.461985249829</v>
      </c>
      <c r="D138" s="132">
        <f>'Financials Yearly'!E44</f>
        <v>76834.302455325291</v>
      </c>
      <c r="E138" s="132">
        <f>'Financials Yearly'!F44</f>
        <v>78385.153344623686</v>
      </c>
      <c r="F138" s="132">
        <f>'Financials Yearly'!G44</f>
        <v>79967.307159880686</v>
      </c>
      <c r="G138" s="132">
        <f>'Financials Yearly'!H44</f>
        <v>81581.395730487653</v>
      </c>
      <c r="H138" s="132">
        <f>'Financials Yearly'!I44</f>
        <v>83228.06363890518</v>
      </c>
      <c r="I138" s="132">
        <f>'Financials Yearly'!J44</f>
        <v>84907.968478075534</v>
      </c>
      <c r="J138" s="132">
        <f>'Financials Yearly'!K44</f>
        <v>86621.781114030789</v>
      </c>
      <c r="K138" s="132">
        <f>'Financials Yearly'!L44</f>
        <v>88370.1859538016</v>
      </c>
      <c r="L138" s="132">
        <f>'Financials Yearly'!M44</f>
        <v>90153.88121873363</v>
      </c>
      <c r="M138" s="132">
        <f>'Financials Yearly'!N44</f>
        <v>91973.579223320456</v>
      </c>
      <c r="N138" s="132">
        <f>'Financials Yearly'!O44</f>
        <v>93830.006659664767</v>
      </c>
      <c r="O138" s="132">
        <f>'Financials Yearly'!P44</f>
        <v>95723.904887681143</v>
      </c>
      <c r="P138" s="132">
        <f>'Financials Yearly'!Q44</f>
        <v>97656.030231156386</v>
      </c>
      <c r="Q138" s="132">
        <f>'Financials Yearly'!R44</f>
        <v>99627.15427978558</v>
      </c>
      <c r="R138" s="132">
        <f>'Financials Yearly'!S44</f>
        <v>101638.06419730466</v>
      </c>
      <c r="S138" s="132">
        <f>'Financials Yearly'!T44</f>
        <v>103689.56303584242</v>
      </c>
      <c r="T138" s="132">
        <f>'Financials Yearly'!U44</f>
        <v>105782.4700566174</v>
      </c>
      <c r="U138" s="132">
        <f>'Financials Yearly'!V44</f>
        <v>107917.62105710803</v>
      </c>
      <c r="V138" s="132">
        <f>'Financials Yearly'!W44</f>
        <v>110095.86870482625</v>
      </c>
      <c r="W138" s="132">
        <f>'Financials Yearly'!X44</f>
        <v>112318.08287782843</v>
      </c>
      <c r="X138" s="132">
        <f>'Financials Yearly'!Y44</f>
        <v>114585.15101209894</v>
      </c>
    </row>
    <row r="139" spans="1:24" x14ac:dyDescent="0.25">
      <c r="A139" s="134" t="str">
        <f>'Financials Yearly'!B45</f>
        <v>Gas Transmission Costs</v>
      </c>
      <c r="B139" s="132">
        <f>'Financials Yearly'!C45</f>
        <v>0</v>
      </c>
      <c r="C139" s="132">
        <f>'Financials Yearly'!D45</f>
        <v>0</v>
      </c>
      <c r="D139" s="132">
        <f>'Financials Yearly'!E45</f>
        <v>0</v>
      </c>
      <c r="E139" s="132">
        <f>'Financials Yearly'!F45</f>
        <v>0</v>
      </c>
      <c r="F139" s="132">
        <f>'Financials Yearly'!G45</f>
        <v>0</v>
      </c>
      <c r="G139" s="132">
        <f>'Financials Yearly'!H45</f>
        <v>0</v>
      </c>
      <c r="H139" s="132">
        <f>'Financials Yearly'!I45</f>
        <v>0</v>
      </c>
      <c r="I139" s="132">
        <f>'Financials Yearly'!J45</f>
        <v>0</v>
      </c>
      <c r="J139" s="132">
        <f>'Financials Yearly'!K45</f>
        <v>0</v>
      </c>
      <c r="K139" s="132">
        <f>'Financials Yearly'!L45</f>
        <v>0</v>
      </c>
      <c r="L139" s="132">
        <f>'Financials Yearly'!M45</f>
        <v>0</v>
      </c>
      <c r="M139" s="132">
        <f>'Financials Yearly'!N45</f>
        <v>0</v>
      </c>
      <c r="N139" s="132">
        <f>'Financials Yearly'!O45</f>
        <v>0</v>
      </c>
      <c r="O139" s="132">
        <f>'Financials Yearly'!P45</f>
        <v>0</v>
      </c>
      <c r="P139" s="132">
        <f>'Financials Yearly'!Q45</f>
        <v>0</v>
      </c>
      <c r="Q139" s="132">
        <f>'Financials Yearly'!R45</f>
        <v>0</v>
      </c>
      <c r="R139" s="132">
        <f>'Financials Yearly'!S45</f>
        <v>0</v>
      </c>
      <c r="S139" s="132">
        <f>'Financials Yearly'!T45</f>
        <v>0</v>
      </c>
      <c r="T139" s="132">
        <f>'Financials Yearly'!U45</f>
        <v>0</v>
      </c>
      <c r="U139" s="132">
        <f>'Financials Yearly'!V45</f>
        <v>0</v>
      </c>
      <c r="V139" s="132">
        <f>'Financials Yearly'!W45</f>
        <v>0</v>
      </c>
      <c r="W139" s="132">
        <f>'Financials Yearly'!X45</f>
        <v>0</v>
      </c>
      <c r="X139" s="132">
        <f>'Financials Yearly'!Y45</f>
        <v>0</v>
      </c>
    </row>
    <row r="140" spans="1:24" x14ac:dyDescent="0.25">
      <c r="A140" s="134" t="str">
        <f>'Financials Yearly'!B46</f>
        <v>Permit  Renewals</v>
      </c>
      <c r="B140" s="132">
        <f>'Financials Yearly'!C46</f>
        <v>0</v>
      </c>
      <c r="C140" s="132">
        <f>'Financials Yearly'!D46</f>
        <v>56626.461985249829</v>
      </c>
      <c r="D140" s="132">
        <f>'Financials Yearly'!E46</f>
        <v>76834.302455325291</v>
      </c>
      <c r="E140" s="132">
        <f>'Financials Yearly'!F46</f>
        <v>78385.153344623686</v>
      </c>
      <c r="F140" s="132">
        <f>'Financials Yearly'!G46</f>
        <v>79967.307159880686</v>
      </c>
      <c r="G140" s="132">
        <f>'Financials Yearly'!H46</f>
        <v>81581.395730487653</v>
      </c>
      <c r="H140" s="132">
        <f>'Financials Yearly'!I46</f>
        <v>83228.06363890518</v>
      </c>
      <c r="I140" s="132">
        <f>'Financials Yearly'!J46</f>
        <v>84907.968478075534</v>
      </c>
      <c r="J140" s="132">
        <f>'Financials Yearly'!K46</f>
        <v>86621.781114030789</v>
      </c>
      <c r="K140" s="132">
        <f>'Financials Yearly'!L46</f>
        <v>88370.1859538016</v>
      </c>
      <c r="L140" s="132">
        <f>'Financials Yearly'!M46</f>
        <v>90153.88121873363</v>
      </c>
      <c r="M140" s="132">
        <f>'Financials Yearly'!N46</f>
        <v>91973.579223320456</v>
      </c>
      <c r="N140" s="132">
        <f>'Financials Yearly'!O46</f>
        <v>93830.006659664767</v>
      </c>
      <c r="O140" s="132">
        <f>'Financials Yearly'!P46</f>
        <v>95723.904887681143</v>
      </c>
      <c r="P140" s="132">
        <f>'Financials Yearly'!Q46</f>
        <v>97656.030231156386</v>
      </c>
      <c r="Q140" s="132">
        <f>'Financials Yearly'!R46</f>
        <v>99627.15427978558</v>
      </c>
      <c r="R140" s="132">
        <f>'Financials Yearly'!S46</f>
        <v>101638.06419730466</v>
      </c>
      <c r="S140" s="132">
        <f>'Financials Yearly'!T46</f>
        <v>103689.56303584242</v>
      </c>
      <c r="T140" s="132">
        <f>'Financials Yearly'!U46</f>
        <v>105782.4700566174</v>
      </c>
      <c r="U140" s="132">
        <f>'Financials Yearly'!V46</f>
        <v>107917.62105710803</v>
      </c>
      <c r="V140" s="132">
        <f>'Financials Yearly'!W46</f>
        <v>110095.86870482625</v>
      </c>
      <c r="W140" s="132">
        <f>'Financials Yearly'!X46</f>
        <v>112318.08287782843</v>
      </c>
      <c r="X140" s="132">
        <f>'Financials Yearly'!Y46</f>
        <v>114585.15101209894</v>
      </c>
    </row>
    <row r="141" spans="1:24" x14ac:dyDescent="0.25">
      <c r="A141" s="134" t="str">
        <f>'Financials Yearly'!B47</f>
        <v>Property Taxes</v>
      </c>
      <c r="B141" s="132">
        <f>'Financials Yearly'!C47</f>
        <v>0</v>
      </c>
      <c r="C141" s="132">
        <f>'Financials Yearly'!D47</f>
        <v>64176.656916616463</v>
      </c>
      <c r="D141" s="132">
        <f>'Financials Yearly'!E47</f>
        <v>87078.876116035332</v>
      </c>
      <c r="E141" s="132">
        <f>'Financials Yearly'!F47</f>
        <v>88836.507123906835</v>
      </c>
      <c r="F141" s="132">
        <f>'Financials Yearly'!G47</f>
        <v>90629.614781198077</v>
      </c>
      <c r="G141" s="132">
        <f>'Financials Yearly'!H47</f>
        <v>92458.915161219309</v>
      </c>
      <c r="H141" s="132">
        <f>'Financials Yearly'!I47</f>
        <v>94325.1387907592</v>
      </c>
      <c r="I141" s="132">
        <f>'Financials Yearly'!J47</f>
        <v>96229.030941818943</v>
      </c>
      <c r="J141" s="132">
        <f>'Financials Yearly'!K47</f>
        <v>98171.351929234894</v>
      </c>
      <c r="K141" s="132">
        <f>'Financials Yearly'!L47</f>
        <v>100152.87741430847</v>
      </c>
      <c r="L141" s="132">
        <f>'Financials Yearly'!M47</f>
        <v>102174.39871456477</v>
      </c>
      <c r="M141" s="132">
        <f>'Financials Yearly'!N47</f>
        <v>104236.72311976316</v>
      </c>
      <c r="N141" s="132">
        <f>'Financials Yearly'!O47</f>
        <v>106340.67421428673</v>
      </c>
      <c r="O141" s="132">
        <f>'Financials Yearly'!P47</f>
        <v>108487.09220603864</v>
      </c>
      <c r="P141" s="132">
        <f>'Financials Yearly'!Q47</f>
        <v>110676.83426197723</v>
      </c>
      <c r="Q141" s="132">
        <f>'Financials Yearly'!R47</f>
        <v>112910.77485042365</v>
      </c>
      <c r="R141" s="132">
        <f>'Financials Yearly'!S47</f>
        <v>115189.80609027861</v>
      </c>
      <c r="S141" s="132">
        <f>'Financials Yearly'!T47</f>
        <v>117514.83810728804</v>
      </c>
      <c r="T141" s="132">
        <f>'Financials Yearly'!U47</f>
        <v>119886.79939749969</v>
      </c>
      <c r="U141" s="132">
        <f>'Financials Yearly'!V47</f>
        <v>122306.63719805575</v>
      </c>
      <c r="V141" s="132">
        <f>'Financials Yearly'!W47</f>
        <v>124775.31786546974</v>
      </c>
      <c r="W141" s="132">
        <f>'Financials Yearly'!X47</f>
        <v>127293.82726153887</v>
      </c>
      <c r="X141" s="132">
        <f>'Financials Yearly'!Y47</f>
        <v>129863.17114704546</v>
      </c>
    </row>
    <row r="142" spans="1:24" x14ac:dyDescent="0.25">
      <c r="A142" s="134" t="str">
        <f>'Financials Yearly'!B48</f>
        <v>Miscellaneous</v>
      </c>
      <c r="B142" s="132">
        <f>'Financials Yearly'!C48</f>
        <v>0</v>
      </c>
      <c r="C142" s="132">
        <f>'Financials Yearly'!D48</f>
        <v>75501.949313666424</v>
      </c>
      <c r="D142" s="132">
        <f>'Financials Yearly'!E48</f>
        <v>102445.73660710039</v>
      </c>
      <c r="E142" s="132">
        <f>'Financials Yearly'!F48</f>
        <v>104513.53779283159</v>
      </c>
      <c r="F142" s="132">
        <f>'Financials Yearly'!G48</f>
        <v>106623.07621317422</v>
      </c>
      <c r="G142" s="132">
        <f>'Financials Yearly'!H48</f>
        <v>108775.19430731685</v>
      </c>
      <c r="H142" s="132">
        <f>'Financials Yearly'!I48</f>
        <v>110970.75151854024</v>
      </c>
      <c r="I142" s="132">
        <f>'Financials Yearly'!J48</f>
        <v>113210.62463743403</v>
      </c>
      <c r="J142" s="132">
        <f>'Financials Yearly'!K48</f>
        <v>115495.70815204106</v>
      </c>
      <c r="K142" s="132">
        <f>'Financials Yearly'!L48</f>
        <v>117826.91460506881</v>
      </c>
      <c r="L142" s="132">
        <f>'Financials Yearly'!M48</f>
        <v>120205.1749583115</v>
      </c>
      <c r="M142" s="132">
        <f>'Financials Yearly'!N48</f>
        <v>122631.43896442727</v>
      </c>
      <c r="N142" s="132">
        <f>'Financials Yearly'!O48</f>
        <v>125106.67554621969</v>
      </c>
      <c r="O142" s="132">
        <f>'Financials Yearly'!P48</f>
        <v>127631.87318357488</v>
      </c>
      <c r="P142" s="132">
        <f>'Financials Yearly'!Q48</f>
        <v>130208.04030820854</v>
      </c>
      <c r="Q142" s="132">
        <f>'Financials Yearly'!R48</f>
        <v>132836.2057063808</v>
      </c>
      <c r="R142" s="132">
        <f>'Financials Yearly'!S48</f>
        <v>135517.41892973954</v>
      </c>
      <c r="S142" s="132">
        <f>'Financials Yearly'!T48</f>
        <v>138252.75071445655</v>
      </c>
      <c r="T142" s="132">
        <f>'Financials Yearly'!U48</f>
        <v>141043.29340882317</v>
      </c>
      <c r="U142" s="132">
        <f>'Financials Yearly'!V48</f>
        <v>143890.16140947735</v>
      </c>
      <c r="V142" s="132">
        <f>'Financials Yearly'!W48</f>
        <v>146794.49160643498</v>
      </c>
      <c r="W142" s="132">
        <f>'Financials Yearly'!X48</f>
        <v>149757.44383710457</v>
      </c>
      <c r="X142" s="132">
        <f>'Financials Yearly'!Y48</f>
        <v>152780.20134946526</v>
      </c>
    </row>
    <row r="143" spans="1:24" x14ac:dyDescent="0.25">
      <c r="A143" s="134" t="str">
        <f>'Financials Yearly'!B49</f>
        <v>Total Expenses</v>
      </c>
      <c r="B143" s="132">
        <f>'Financials Yearly'!C49</f>
        <v>4213882.049129135</v>
      </c>
      <c r="C143" s="132">
        <f>'Financials Yearly'!D49</f>
        <v>14503584.947462868</v>
      </c>
      <c r="D143" s="132">
        <f>'Financials Yearly'!E49</f>
        <v>16601801.022423325</v>
      </c>
      <c r="E143" s="132">
        <f>'Financials Yearly'!F49</f>
        <v>14831083.644016823</v>
      </c>
      <c r="F143" s="132">
        <f>'Financials Yearly'!G49</f>
        <v>14043196.631043853</v>
      </c>
      <c r="G143" s="132">
        <f>'Financials Yearly'!H49</f>
        <v>13700323.296883605</v>
      </c>
      <c r="H143" s="132">
        <f>'Financials Yearly'!I49</f>
        <v>13326670.615055246</v>
      </c>
      <c r="I143" s="132">
        <f>'Financials Yearly'!J49</f>
        <v>12919923.927017292</v>
      </c>
      <c r="J143" s="132">
        <f>'Financials Yearly'!K49</f>
        <v>12477599.753433965</v>
      </c>
      <c r="K143" s="132">
        <f>'Financials Yearly'!L49</f>
        <v>11997033.563115837</v>
      </c>
      <c r="L143" s="132">
        <f>'Financials Yearly'!M49</f>
        <v>11475366.657263037</v>
      </c>
      <c r="M143" s="132">
        <f>'Financials Yearly'!N49</f>
        <v>11210606.342172302</v>
      </c>
      <c r="N143" s="132">
        <f>'Financials Yearly'!O49</f>
        <v>11076025.625162281</v>
      </c>
      <c r="O143" s="132">
        <f>'Financials Yearly'!P49</f>
        <v>10925063.395949617</v>
      </c>
      <c r="P143" s="132">
        <f>'Financials Yearly'!Q49</f>
        <v>10756434.773982327</v>
      </c>
      <c r="Q143" s="132">
        <f>'Financials Yearly'!R49</f>
        <v>10568760.300582958</v>
      </c>
      <c r="R143" s="132">
        <f>'Financials Yearly'!S49</f>
        <v>10585140.268039811</v>
      </c>
      <c r="S143" s="132">
        <f>'Financials Yearly'!T49</f>
        <v>10711909.421827443</v>
      </c>
      <c r="T143" s="132">
        <f>'Financials Yearly'!U49</f>
        <v>10840669.517143866</v>
      </c>
      <c r="U143" s="132">
        <f>'Financials Yearly'!V49</f>
        <v>10971455.035642283</v>
      </c>
      <c r="V143" s="132">
        <f>'Financials Yearly'!W49</f>
        <v>11104301.097661486</v>
      </c>
      <c r="W143" s="132">
        <f>'Financials Yearly'!X49</f>
        <v>11239243.474541649</v>
      </c>
      <c r="X143" s="132">
        <f>'Financials Yearly'!Y49</f>
        <v>11376318.601182893</v>
      </c>
    </row>
    <row r="144" spans="1:24" x14ac:dyDescent="0.25">
      <c r="A144" s="134" t="s">
        <v>266</v>
      </c>
    </row>
    <row r="145" spans="1:14" x14ac:dyDescent="0.25">
      <c r="A145" s="134" t="s">
        <v>266</v>
      </c>
      <c r="M145" t="str">
        <f t="shared" ref="M145:M152" si="20">A127</f>
        <v>Employee Cost</v>
      </c>
      <c r="N145" s="132">
        <f t="shared" ref="N145:N152" si="21">E127</f>
        <v>4895637.3135650316</v>
      </c>
    </row>
    <row r="146" spans="1:14" x14ac:dyDescent="0.25">
      <c r="M146" t="str">
        <f t="shared" si="20"/>
        <v>Turbine LTMA Cost 5 year term</v>
      </c>
      <c r="N146" s="132">
        <f t="shared" si="21"/>
        <v>560150.89845767792</v>
      </c>
    </row>
    <row r="147" spans="1:14" x14ac:dyDescent="0.25">
      <c r="M147" t="str">
        <f t="shared" si="20"/>
        <v>Pyrolysis LTMA Cost yrs. 3+</v>
      </c>
      <c r="N147" s="132">
        <f t="shared" si="21"/>
        <v>174768.72874346914</v>
      </c>
    </row>
    <row r="148" spans="1:14" x14ac:dyDescent="0.25">
      <c r="M148" t="str">
        <f t="shared" si="20"/>
        <v>Total O&amp;M</v>
      </c>
      <c r="N148" s="132">
        <f t="shared" si="21"/>
        <v>1606373.0758758215</v>
      </c>
    </row>
    <row r="149" spans="1:14" x14ac:dyDescent="0.25">
      <c r="M149" t="str">
        <f t="shared" si="20"/>
        <v>All insurance for the plant and risks</v>
      </c>
      <c r="N149" s="132">
        <f t="shared" si="21"/>
        <v>6758045.3250321718</v>
      </c>
    </row>
    <row r="150" spans="1:14" x14ac:dyDescent="0.25">
      <c r="M150" t="str">
        <f t="shared" si="20"/>
        <v xml:space="preserve">Land Rental </v>
      </c>
      <c r="N150" s="132">
        <f t="shared" si="21"/>
        <v>104513.53779283159</v>
      </c>
    </row>
    <row r="151" spans="1:14" x14ac:dyDescent="0.25">
      <c r="M151" t="str">
        <f t="shared" si="20"/>
        <v>IT  outsourced</v>
      </c>
      <c r="N151" s="132">
        <f t="shared" si="21"/>
        <v>83610.830234265275</v>
      </c>
    </row>
    <row r="152" spans="1:14" x14ac:dyDescent="0.25">
      <c r="M152" t="str">
        <f t="shared" si="20"/>
        <v>Utilities</v>
      </c>
      <c r="N152" s="132">
        <f t="shared" si="21"/>
        <v>209027.07558566317</v>
      </c>
    </row>
    <row r="153" spans="1:14" x14ac:dyDescent="0.25">
      <c r="M153" t="str">
        <f t="shared" ref="M153:M160" si="22">A135</f>
        <v>OVD Fee for exporting</v>
      </c>
      <c r="N153" s="132">
        <f t="shared" ref="N153:N160" si="23">E135</f>
        <v>0</v>
      </c>
    </row>
    <row r="154" spans="1:14" x14ac:dyDescent="0.25">
      <c r="M154" t="str">
        <f t="shared" si="22"/>
        <v>Electricity</v>
      </c>
      <c r="N154" s="132">
        <f t="shared" si="23"/>
        <v>0</v>
      </c>
    </row>
    <row r="155" spans="1:14" x14ac:dyDescent="0.25">
      <c r="M155" t="str">
        <f t="shared" si="22"/>
        <v>Accounting &amp; Auditing</v>
      </c>
      <c r="N155" s="132">
        <f t="shared" si="23"/>
        <v>88836.507123906835</v>
      </c>
    </row>
    <row r="156" spans="1:14" x14ac:dyDescent="0.25">
      <c r="M156" t="str">
        <f t="shared" si="22"/>
        <v>Office Supplies</v>
      </c>
      <c r="N156" s="132">
        <f t="shared" si="23"/>
        <v>78385.153344623686</v>
      </c>
    </row>
    <row r="157" spans="1:14" x14ac:dyDescent="0.25">
      <c r="M157" t="str">
        <f t="shared" si="22"/>
        <v>Gas Transmission Costs</v>
      </c>
      <c r="N157" s="132">
        <f t="shared" si="23"/>
        <v>0</v>
      </c>
    </row>
    <row r="158" spans="1:14" x14ac:dyDescent="0.25">
      <c r="M158" t="str">
        <f t="shared" si="22"/>
        <v>Permit  Renewals</v>
      </c>
      <c r="N158" s="132">
        <f t="shared" si="23"/>
        <v>78385.153344623686</v>
      </c>
    </row>
    <row r="159" spans="1:14" x14ac:dyDescent="0.25">
      <c r="M159" t="str">
        <f t="shared" si="22"/>
        <v>Property Taxes</v>
      </c>
      <c r="N159" s="132">
        <f t="shared" si="23"/>
        <v>88836.507123906835</v>
      </c>
    </row>
    <row r="160" spans="1:14" x14ac:dyDescent="0.25">
      <c r="M160" t="str">
        <f t="shared" si="22"/>
        <v>Miscellaneous</v>
      </c>
      <c r="N160" s="132">
        <f t="shared" si="23"/>
        <v>104513.53779283159</v>
      </c>
    </row>
    <row r="161" spans="1:16" x14ac:dyDescent="0.25">
      <c r="M161" t="s">
        <v>266</v>
      </c>
    </row>
    <row r="162" spans="1:16" x14ac:dyDescent="0.25">
      <c r="M162" t="s">
        <v>266</v>
      </c>
    </row>
    <row r="163" spans="1:16" x14ac:dyDescent="0.25">
      <c r="M163" t="s">
        <v>266</v>
      </c>
    </row>
    <row r="164" spans="1:16" x14ac:dyDescent="0.25">
      <c r="M164" t="s">
        <v>266</v>
      </c>
    </row>
    <row r="168" spans="1:16" ht="18.75" x14ac:dyDescent="0.3">
      <c r="A168" s="825" t="s">
        <v>975</v>
      </c>
      <c r="B168" s="825"/>
      <c r="C168" s="825"/>
      <c r="D168" s="825"/>
      <c r="E168" s="825"/>
      <c r="F168" s="825"/>
      <c r="G168" s="825"/>
      <c r="H168" s="825"/>
      <c r="I168" s="825"/>
      <c r="J168" s="825"/>
      <c r="K168" s="825"/>
      <c r="L168" s="825"/>
      <c r="M168" s="825"/>
      <c r="N168" s="825"/>
      <c r="O168" s="825"/>
      <c r="P168" s="825"/>
    </row>
    <row r="170" spans="1:16" x14ac:dyDescent="0.25">
      <c r="A170" s="309" t="s">
        <v>976</v>
      </c>
      <c r="B170" s="310"/>
    </row>
    <row r="171" spans="1:16" x14ac:dyDescent="0.25">
      <c r="A171" s="135" t="str">
        <f t="shared" ref="A171:A178" si="24">A45</f>
        <v>Income Power</v>
      </c>
      <c r="B171" s="132">
        <f>SUM('Financials Yearly'!E5:N5)</f>
        <v>212351832.51747409</v>
      </c>
      <c r="K171" s="309" t="s">
        <v>1139</v>
      </c>
    </row>
    <row r="172" spans="1:16" x14ac:dyDescent="0.25">
      <c r="A172" s="135" t="str">
        <f t="shared" si="24"/>
        <v xml:space="preserve">Activated Carbon Ash </v>
      </c>
      <c r="B172" s="132">
        <f>SUM('Financials Yearly'!E7:N7)</f>
        <v>174428808.97889802</v>
      </c>
      <c r="K172" s="324" t="str">
        <f>CapEx!C1</f>
        <v>USA</v>
      </c>
      <c r="L172" s="132">
        <f>CapEx!D1</f>
        <v>117546147.8</v>
      </c>
    </row>
    <row r="173" spans="1:16" x14ac:dyDescent="0.25">
      <c r="A173" s="135" t="str">
        <f t="shared" si="24"/>
        <v>Aluminum</v>
      </c>
      <c r="B173" s="132">
        <f>SUM('Financials Yearly'!E8:N8)</f>
        <v>38896822.741528355</v>
      </c>
      <c r="K173" s="324" t="str">
        <f>CapEx!C2</f>
        <v>Djibouti</v>
      </c>
      <c r="L173" s="132">
        <f>CapEx!D2</f>
        <v>7146511.7665999997</v>
      </c>
    </row>
    <row r="174" spans="1:16" x14ac:dyDescent="0.25">
      <c r="A174" s="135" t="str">
        <f t="shared" si="24"/>
        <v>Ferrous Metals</v>
      </c>
      <c r="B174" s="132">
        <f>SUM('Financials Yearly'!E9:N9)</f>
        <v>5032035.492905084</v>
      </c>
      <c r="K174" s="324" t="str">
        <f>CapEx!C3</f>
        <v>India</v>
      </c>
      <c r="L174" s="132">
        <f>CapEx!D3</f>
        <v>2240000</v>
      </c>
    </row>
    <row r="175" spans="1:16" x14ac:dyDescent="0.25">
      <c r="A175" s="135" t="str">
        <f t="shared" si="24"/>
        <v>Non-Ferrous Metals</v>
      </c>
      <c r="B175" s="132">
        <f>SUM('Financials Yearly'!E10:N10)</f>
        <v>104090089.02662517</v>
      </c>
      <c r="K175" s="324" t="str">
        <f>CapEx!C4</f>
        <v>UK</v>
      </c>
      <c r="L175" s="132">
        <f>CapEx!D4</f>
        <v>107330695.6382</v>
      </c>
    </row>
    <row r="176" spans="1:16" x14ac:dyDescent="0.25">
      <c r="A176" s="135" t="str">
        <f t="shared" si="24"/>
        <v>Steel from Tires</v>
      </c>
      <c r="B176" s="132">
        <f>SUM('Financials Yearly'!E11:N11)</f>
        <v>14609135.301982479</v>
      </c>
      <c r="K176" s="324" t="str">
        <f>CapEx!C5</f>
        <v>Finland</v>
      </c>
      <c r="L176" s="132">
        <f>CapEx!D5</f>
        <v>2583373.2599999998</v>
      </c>
    </row>
    <row r="177" spans="1:36" x14ac:dyDescent="0.25">
      <c r="A177" s="135" t="str">
        <f t="shared" si="24"/>
        <v>Steel, OTR Tires</v>
      </c>
      <c r="B177" s="132">
        <f>SUM('Financials Yearly'!E12:N12)</f>
        <v>0</v>
      </c>
      <c r="K177" s="324" t="str">
        <f>CapEx!C6</f>
        <v>Germany</v>
      </c>
      <c r="L177" s="132">
        <f>CapEx!D6</f>
        <v>9149476.2799999993</v>
      </c>
    </row>
    <row r="178" spans="1:36" x14ac:dyDescent="0.25">
      <c r="A178" s="135" t="str">
        <f t="shared" si="24"/>
        <v xml:space="preserve">Carbon Black </v>
      </c>
      <c r="B178" s="132">
        <f>SUM('Financials Yearly'!E13:N13)</f>
        <v>92819657.625727057</v>
      </c>
      <c r="K178" s="324" t="str">
        <f>CapEx!C7</f>
        <v>Holland</v>
      </c>
      <c r="L178" s="132">
        <f>CapEx!D7</f>
        <v>1148000</v>
      </c>
    </row>
    <row r="179" spans="1:36" x14ac:dyDescent="0.25">
      <c r="A179" s="135"/>
      <c r="B179" s="132"/>
      <c r="K179" s="324" t="str">
        <f>CapEx!C8</f>
        <v>Total Capital Expenditures</v>
      </c>
      <c r="L179" s="132">
        <f>CapEx!D8</f>
        <v>247144204.7448</v>
      </c>
    </row>
    <row r="180" spans="1:36" x14ac:dyDescent="0.25">
      <c r="A180" s="135"/>
      <c r="B180" s="132"/>
    </row>
    <row r="181" spans="1:36" x14ac:dyDescent="0.25">
      <c r="A181" s="135"/>
      <c r="B181" s="132"/>
    </row>
    <row r="182" spans="1:36" x14ac:dyDescent="0.25">
      <c r="A182" s="135"/>
      <c r="B182" s="132"/>
    </row>
    <row r="183" spans="1:36" x14ac:dyDescent="0.25">
      <c r="A183" s="135"/>
      <c r="B183" s="132"/>
    </row>
    <row r="184" spans="1:36" x14ac:dyDescent="0.25">
      <c r="A184" s="135"/>
      <c r="B184" s="132"/>
    </row>
    <row r="185" spans="1:36" x14ac:dyDescent="0.25">
      <c r="A185" s="135"/>
      <c r="B185" s="132"/>
    </row>
    <row r="186" spans="1:36" x14ac:dyDescent="0.25">
      <c r="A186" s="135" t="str">
        <f t="shared" ref="A186:A194" si="25">A53</f>
        <v>Graphene</v>
      </c>
      <c r="B186" s="132">
        <f>SUM('Financials Yearly'!E14:N14)</f>
        <v>208844229.65788591</v>
      </c>
      <c r="S186" t="s">
        <v>1107</v>
      </c>
    </row>
    <row r="187" spans="1:36" x14ac:dyDescent="0.25">
      <c r="A187" s="135" t="str">
        <f t="shared" si="25"/>
        <v>Light Oil Sale</v>
      </c>
      <c r="B187" s="132">
        <f>SUM('Financials Yearly'!E15:N15)</f>
        <v>0</v>
      </c>
    </row>
    <row r="188" spans="1:36" x14ac:dyDescent="0.25">
      <c r="A188" s="135" t="str">
        <f t="shared" si="25"/>
        <v>Diesel</v>
      </c>
      <c r="B188" s="132">
        <f>SUM('Financials Yearly'!E16:N16)</f>
        <v>0</v>
      </c>
      <c r="T188" s="136">
        <f>T120</f>
        <v>2024</v>
      </c>
      <c r="U188" s="136">
        <f t="shared" ref="U188:AC188" si="26">U113</f>
        <v>0</v>
      </c>
      <c r="V188" s="136">
        <f t="shared" si="26"/>
        <v>0</v>
      </c>
      <c r="W188" s="136">
        <f t="shared" si="26"/>
        <v>0</v>
      </c>
      <c r="X188" s="136">
        <f t="shared" si="26"/>
        <v>0</v>
      </c>
      <c r="Y188" s="136">
        <f t="shared" si="26"/>
        <v>0</v>
      </c>
      <c r="Z188" s="136">
        <f t="shared" si="26"/>
        <v>0</v>
      </c>
      <c r="AA188" s="136">
        <f t="shared" si="26"/>
        <v>0</v>
      </c>
      <c r="AB188" s="136">
        <f t="shared" si="26"/>
        <v>0</v>
      </c>
      <c r="AC188" s="136">
        <f t="shared" si="26"/>
        <v>0</v>
      </c>
      <c r="AD188" s="136">
        <f>SUM(AC188+1)</f>
        <v>1</v>
      </c>
      <c r="AE188" s="136">
        <f t="shared" ref="AE188:AJ188" si="27">SUM(AD188+1)</f>
        <v>2</v>
      </c>
      <c r="AF188" s="136">
        <f t="shared" si="27"/>
        <v>3</v>
      </c>
      <c r="AG188" s="136">
        <f t="shared" si="27"/>
        <v>4</v>
      </c>
      <c r="AH188" s="136">
        <f t="shared" si="27"/>
        <v>5</v>
      </c>
      <c r="AI188" s="136">
        <f t="shared" si="27"/>
        <v>6</v>
      </c>
      <c r="AJ188" s="136">
        <f t="shared" si="27"/>
        <v>7</v>
      </c>
    </row>
    <row r="189" spans="1:36" x14ac:dyDescent="0.25">
      <c r="A189" s="135" t="str">
        <f t="shared" si="25"/>
        <v xml:space="preserve">JP </v>
      </c>
      <c r="B189" s="132">
        <f>SUM('Financials Yearly'!E17:N17)</f>
        <v>0</v>
      </c>
      <c r="S189" t="s">
        <v>1108</v>
      </c>
      <c r="T189" s="133">
        <f>'Capital Contributions'!Q29</f>
        <v>194866984.83765143</v>
      </c>
      <c r="U189" s="133">
        <f>'Capital Contributions'!AB34</f>
        <v>186805151.51938075</v>
      </c>
      <c r="V189" s="133">
        <f>'Capital Contributions'!AN34</f>
        <v>175378095.17654648</v>
      </c>
      <c r="W189" s="133">
        <f>'Capital Contributions'!AZ34</f>
        <v>163124976.00673997</v>
      </c>
      <c r="X189" s="133">
        <f>'Capital Contributions'!BL34</f>
        <v>149986077.86140704</v>
      </c>
      <c r="Y189" s="133">
        <f>'Capital Contributions'!BX34</f>
        <v>135897367.70678616</v>
      </c>
      <c r="Z189" s="133">
        <f>'Capital Contributions'!CJ34</f>
        <v>120790183.55592768</v>
      </c>
      <c r="AA189" s="133">
        <f>'Capital Contributions'!CV34</f>
        <v>104590899.84129357</v>
      </c>
      <c r="AB189" s="133">
        <f>'Capital Contributions'!DH34</f>
        <v>87220568.597115487</v>
      </c>
      <c r="AC189" s="133">
        <f>'Capital Contributions'!DT34</f>
        <v>68594534.702796161</v>
      </c>
      <c r="AD189" s="133">
        <f>'Capital Contributions'!EF34</f>
        <v>48622023.312225491</v>
      </c>
      <c r="AE189" s="133">
        <f>'Capital Contributions'!ER34</f>
        <v>37821419.959431708</v>
      </c>
      <c r="AF189" s="133">
        <f>'Capital Contributions'!FD34</f>
        <v>29903912.776906002</v>
      </c>
      <c r="AG189" s="133">
        <f>'Capital Contributions'!FP34</f>
        <v>21414048.359975699</v>
      </c>
      <c r="AH189" s="133">
        <f>'Capital Contributions'!GB34</f>
        <v>12310450.957887026</v>
      </c>
      <c r="AI189" s="133">
        <f>'Capital Contributions'!GN34</f>
        <v>2548753.7635187455</v>
      </c>
      <c r="AJ189" s="133">
        <f>'Capital Contributions'!GZ34</f>
        <v>0</v>
      </c>
    </row>
    <row r="190" spans="1:36" x14ac:dyDescent="0.25">
      <c r="A190" s="135" t="str">
        <f t="shared" si="25"/>
        <v>Gas</v>
      </c>
      <c r="B190" s="132">
        <f>SUM('Financials Yearly'!E18:N18)</f>
        <v>0</v>
      </c>
    </row>
    <row r="191" spans="1:36" x14ac:dyDescent="0.25">
      <c r="A191" s="135" t="str">
        <f t="shared" si="25"/>
        <v>Lube oil</v>
      </c>
      <c r="B191" s="132">
        <f>SUM('Financials Yearly'!E19:N19)</f>
        <v>0</v>
      </c>
    </row>
    <row r="192" spans="1:36" x14ac:dyDescent="0.25">
      <c r="A192" s="135" t="str">
        <f t="shared" si="25"/>
        <v>Petroleum Coke</v>
      </c>
      <c r="B192" s="132">
        <f>SUM('Financials Yearly'!E20:N20)</f>
        <v>0</v>
      </c>
    </row>
    <row r="193" spans="1:10" ht="15.75" thickBot="1" x14ac:dyDescent="0.3">
      <c r="A193" s="135" t="str">
        <f t="shared" si="25"/>
        <v>RNG Sale price</v>
      </c>
      <c r="B193" s="132">
        <f>SUM('Financials Yearly'!E6:N6)</f>
        <v>0</v>
      </c>
    </row>
    <row r="194" spans="1:10" ht="15.75" thickTop="1" x14ac:dyDescent="0.25">
      <c r="A194" s="311" t="str">
        <f t="shared" si="25"/>
        <v>Total Commodity Revenue</v>
      </c>
      <c r="B194" s="679">
        <f>SUM(B171:B193)</f>
        <v>851072611.34302616</v>
      </c>
    </row>
    <row r="196" spans="1:10" x14ac:dyDescent="0.25">
      <c r="C196" s="136" t="s">
        <v>266</v>
      </c>
    </row>
    <row r="197" spans="1:10" x14ac:dyDescent="0.25">
      <c r="A197" s="134" t="s">
        <v>977</v>
      </c>
      <c r="C197" s="136"/>
    </row>
    <row r="198" spans="1:10" x14ac:dyDescent="0.25">
      <c r="A198" s="135" t="str">
        <f>A2</f>
        <v>Total Revenue</v>
      </c>
      <c r="B198" s="132">
        <f>SUM(C2:L2)</f>
        <v>788985797.27199602</v>
      </c>
      <c r="C198" s="136"/>
    </row>
    <row r="199" spans="1:10" x14ac:dyDescent="0.25">
      <c r="A199" s="135" t="str">
        <f>A3</f>
        <v>Total Expenses</v>
      </c>
      <c r="B199" s="132">
        <f>SUM(C3:L3)</f>
        <v>135876584.05771586</v>
      </c>
      <c r="C199" s="136"/>
    </row>
    <row r="200" spans="1:10" x14ac:dyDescent="0.25">
      <c r="A200" s="135" t="str">
        <f>A4</f>
        <v>Interest Expense</v>
      </c>
      <c r="B200" s="132">
        <f>SUM(C4:L4)</f>
        <v>93761642.218452156</v>
      </c>
      <c r="C200" s="136"/>
    </row>
    <row r="201" spans="1:10" x14ac:dyDescent="0.25">
      <c r="A201" s="135" t="str">
        <f>A5</f>
        <v>Debt Amortization Payments</v>
      </c>
      <c r="B201" s="132">
        <f>SUM(C5:L5)</f>
        <v>146244961.52542603</v>
      </c>
      <c r="C201" s="136"/>
      <c r="I201" s="134" t="s">
        <v>1145</v>
      </c>
    </row>
    <row r="202" spans="1:10" x14ac:dyDescent="0.25">
      <c r="C202" s="136"/>
      <c r="I202" s="134" t="s">
        <v>1147</v>
      </c>
      <c r="J202" s="134"/>
    </row>
    <row r="203" spans="1:10" ht="30" x14ac:dyDescent="0.25">
      <c r="C203" s="136"/>
      <c r="J203" s="142" t="s">
        <v>1146</v>
      </c>
    </row>
    <row r="204" spans="1:10" x14ac:dyDescent="0.25">
      <c r="C204" s="136"/>
      <c r="I204" s="134" t="s">
        <v>1100</v>
      </c>
      <c r="J204" s="794">
        <v>26805</v>
      </c>
    </row>
    <row r="205" spans="1:10" x14ac:dyDescent="0.25">
      <c r="C205" s="136"/>
      <c r="I205" s="134" t="s">
        <v>1097</v>
      </c>
      <c r="J205" s="794">
        <v>9115</v>
      </c>
    </row>
    <row r="206" spans="1:10" x14ac:dyDescent="0.25">
      <c r="C206" s="136"/>
      <c r="I206" s="134" t="s">
        <v>569</v>
      </c>
      <c r="J206" s="794">
        <v>18032879</v>
      </c>
    </row>
    <row r="207" spans="1:10" x14ac:dyDescent="0.25">
      <c r="C207" s="136"/>
    </row>
    <row r="208" spans="1:10" x14ac:dyDescent="0.25">
      <c r="C208" s="136"/>
      <c r="J208" s="134" t="s">
        <v>1158</v>
      </c>
    </row>
    <row r="209" spans="1:11" ht="45" x14ac:dyDescent="0.25">
      <c r="C209" s="136"/>
      <c r="I209" s="136" t="s">
        <v>1157</v>
      </c>
      <c r="J209" s="142" t="s">
        <v>1159</v>
      </c>
      <c r="K209" s="142" t="s">
        <v>1160</v>
      </c>
    </row>
    <row r="210" spans="1:11" x14ac:dyDescent="0.25">
      <c r="C210" s="136"/>
      <c r="I210" t="s">
        <v>1148</v>
      </c>
      <c r="J210" s="794">
        <v>770000</v>
      </c>
      <c r="K210">
        <v>769999</v>
      </c>
    </row>
    <row r="211" spans="1:11" x14ac:dyDescent="0.25">
      <c r="C211" s="136"/>
      <c r="I211" t="s">
        <v>1149</v>
      </c>
      <c r="J211" s="794">
        <v>55000</v>
      </c>
      <c r="K211">
        <v>54999</v>
      </c>
    </row>
    <row r="212" spans="1:11" x14ac:dyDescent="0.25">
      <c r="C212" s="136"/>
      <c r="I212" t="s">
        <v>1150</v>
      </c>
      <c r="J212" s="794">
        <v>11000</v>
      </c>
      <c r="K212">
        <v>10995</v>
      </c>
    </row>
    <row r="213" spans="1:11" x14ac:dyDescent="0.25">
      <c r="B213" s="136" t="s">
        <v>890</v>
      </c>
      <c r="I213" t="s">
        <v>1151</v>
      </c>
      <c r="J213" s="794">
        <v>27500</v>
      </c>
      <c r="K213">
        <v>27485</v>
      </c>
    </row>
    <row r="214" spans="1:11" x14ac:dyDescent="0.25">
      <c r="A214" s="134" t="s">
        <v>900</v>
      </c>
      <c r="B214" s="170">
        <f>SUM('Plant Salaries'!U115-'Plant Salaries'!T115)</f>
        <v>48</v>
      </c>
      <c r="I214" t="s">
        <v>1152</v>
      </c>
      <c r="J214" s="794">
        <v>5500</v>
      </c>
      <c r="K214">
        <v>5500</v>
      </c>
    </row>
    <row r="215" spans="1:11" x14ac:dyDescent="0.25">
      <c r="A215" s="134" t="s">
        <v>901</v>
      </c>
      <c r="B215" s="136">
        <f>'Plant Salaries'!T115</f>
        <v>46</v>
      </c>
      <c r="I215" t="s">
        <v>1153</v>
      </c>
      <c r="J215" s="794">
        <v>2750</v>
      </c>
      <c r="K215">
        <v>2749</v>
      </c>
    </row>
    <row r="216" spans="1:11" x14ac:dyDescent="0.25">
      <c r="A216" s="134" t="s">
        <v>892</v>
      </c>
      <c r="B216" s="170">
        <f>SUM('Plant Salaries'!S115-graphs!B214-graphs!B215)</f>
        <v>13</v>
      </c>
      <c r="I216" t="s">
        <v>1154</v>
      </c>
      <c r="J216" s="794">
        <v>2200</v>
      </c>
      <c r="K216">
        <v>2200</v>
      </c>
    </row>
    <row r="217" spans="1:11" x14ac:dyDescent="0.25">
      <c r="I217" t="s">
        <v>1155</v>
      </c>
      <c r="J217" s="794">
        <v>1650</v>
      </c>
      <c r="K217">
        <v>1650</v>
      </c>
    </row>
    <row r="218" spans="1:11" x14ac:dyDescent="0.25">
      <c r="I218" t="s">
        <v>1156</v>
      </c>
      <c r="J218" s="794">
        <v>275</v>
      </c>
      <c r="K218">
        <v>275</v>
      </c>
    </row>
    <row r="219" spans="1:11" x14ac:dyDescent="0.25">
      <c r="K219" t="s">
        <v>266</v>
      </c>
    </row>
    <row r="220" spans="1:11" x14ac:dyDescent="0.25">
      <c r="A220" s="134" t="s">
        <v>891</v>
      </c>
    </row>
    <row r="221" spans="1:11" x14ac:dyDescent="0.25">
      <c r="A221" s="134" t="s">
        <v>902</v>
      </c>
      <c r="B221" s="136">
        <f>'Plant Salaries'!U115</f>
        <v>94</v>
      </c>
    </row>
    <row r="222" spans="1:11" x14ac:dyDescent="0.25">
      <c r="A222" s="134" t="s">
        <v>892</v>
      </c>
      <c r="B222" s="136">
        <f>B216</f>
        <v>13</v>
      </c>
    </row>
    <row r="223" spans="1:11" x14ac:dyDescent="0.25">
      <c r="A223" s="134" t="s">
        <v>16</v>
      </c>
      <c r="B223" s="136">
        <f>SUM(B221:B222)</f>
        <v>107</v>
      </c>
    </row>
    <row r="234" spans="1:3" x14ac:dyDescent="0.25">
      <c r="C234" s="136" t="s">
        <v>266</v>
      </c>
    </row>
    <row r="235" spans="1:3" x14ac:dyDescent="0.25">
      <c r="A235" s="134" t="s">
        <v>904</v>
      </c>
      <c r="B235" s="136" t="s">
        <v>907</v>
      </c>
      <c r="C235" s="147" t="s">
        <v>266</v>
      </c>
    </row>
    <row r="236" spans="1:3" x14ac:dyDescent="0.25">
      <c r="A236" s="134" t="s">
        <v>900</v>
      </c>
      <c r="B236" s="147">
        <f>SUM('Plant Salaries'!W115-'Plant Salaries'!V115)</f>
        <v>1388000</v>
      </c>
      <c r="C236" s="147" t="s">
        <v>266</v>
      </c>
    </row>
    <row r="237" spans="1:3" x14ac:dyDescent="0.25">
      <c r="A237" s="134" t="s">
        <v>901</v>
      </c>
      <c r="B237" s="147">
        <f>'Plant Salaries'!V115</f>
        <v>1292000</v>
      </c>
      <c r="C237" s="147" t="s">
        <v>266</v>
      </c>
    </row>
    <row r="238" spans="1:3" x14ac:dyDescent="0.25">
      <c r="A238" s="134" t="s">
        <v>892</v>
      </c>
      <c r="B238" s="147">
        <f>'Plant Salaries'!H115-'Plant Salaries'!W115</f>
        <v>937326</v>
      </c>
    </row>
    <row r="240" spans="1:3" x14ac:dyDescent="0.25">
      <c r="A240" s="134" t="s">
        <v>904</v>
      </c>
      <c r="B240" s="136" t="s">
        <v>908</v>
      </c>
    </row>
    <row r="241" spans="1:2" x14ac:dyDescent="0.25">
      <c r="A241" s="134" t="s">
        <v>900</v>
      </c>
      <c r="B241" s="147">
        <f>SUM(B236/B214)</f>
        <v>28916.666666666668</v>
      </c>
    </row>
    <row r="242" spans="1:2" x14ac:dyDescent="0.25">
      <c r="A242" s="134" t="s">
        <v>901</v>
      </c>
      <c r="B242" s="147">
        <f t="shared" ref="B242:B243" si="28">SUM(B237/B215)</f>
        <v>28086.956521739132</v>
      </c>
    </row>
    <row r="243" spans="1:2" x14ac:dyDescent="0.25">
      <c r="A243" s="134" t="s">
        <v>892</v>
      </c>
      <c r="B243" s="147">
        <f t="shared" si="28"/>
        <v>72102</v>
      </c>
    </row>
    <row r="265" spans="1:6" x14ac:dyDescent="0.25">
      <c r="A265" s="134" t="s">
        <v>1141</v>
      </c>
    </row>
    <row r="266" spans="1:6" x14ac:dyDescent="0.25">
      <c r="A266" s="134" t="s">
        <v>266</v>
      </c>
      <c r="B266" s="134">
        <f>C1</f>
        <v>2027</v>
      </c>
      <c r="C266" s="134">
        <f t="shared" ref="C266:F266" si="29">D1</f>
        <v>2028</v>
      </c>
      <c r="D266" s="134">
        <f t="shared" si="29"/>
        <v>2029</v>
      </c>
      <c r="E266" s="134">
        <f t="shared" si="29"/>
        <v>2030</v>
      </c>
      <c r="F266" s="134">
        <f t="shared" si="29"/>
        <v>2031</v>
      </c>
    </row>
    <row r="267" spans="1:6" x14ac:dyDescent="0.25">
      <c r="A267" s="134" t="s">
        <v>149</v>
      </c>
      <c r="B267" s="132">
        <f>'Financials Yearly'!D21</f>
        <v>43137907.63449195</v>
      </c>
      <c r="C267" s="132">
        <f>'Financials Yearly'!E21</f>
        <v>74666932.810393706</v>
      </c>
      <c r="D267" s="132">
        <f>'Financials Yearly'!F21</f>
        <v>81209971.610527456</v>
      </c>
      <c r="E267" s="132">
        <f>'Financials Yearly'!G21</f>
        <v>82634341.641189128</v>
      </c>
      <c r="F267" s="132">
        <f>'Financials Yearly'!H21</f>
        <v>83633869.621948481</v>
      </c>
    </row>
    <row r="268" spans="1:6" x14ac:dyDescent="0.25">
      <c r="A268" s="134" t="s">
        <v>76</v>
      </c>
      <c r="B268" s="132">
        <f>'Financials Yearly'!D51</f>
        <v>27575572.687029082</v>
      </c>
      <c r="C268" s="132">
        <f>'Financials Yearly'!E51</f>
        <v>56659881.787970379</v>
      </c>
      <c r="D268" s="132">
        <f>'Financials Yearly'!F51</f>
        <v>64973637.966510631</v>
      </c>
      <c r="E268" s="132">
        <f>'Financials Yearly'!G51</f>
        <v>67182045.010145277</v>
      </c>
      <c r="F268" s="132">
        <f>'Financials Yearly'!H51</f>
        <v>68528296.325064868</v>
      </c>
    </row>
    <row r="272" spans="1:6" x14ac:dyDescent="0.25">
      <c r="A272" s="134" t="s">
        <v>1142</v>
      </c>
      <c r="B272" s="132">
        <f>'Financials Yearly'!D5</f>
        <v>0</v>
      </c>
      <c r="C272" s="132">
        <f>'Financials Yearly'!E5</f>
        <v>16398976.114098672</v>
      </c>
      <c r="D272" s="132">
        <f>'Financials Yearly'!F5</f>
        <v>21765913.751440059</v>
      </c>
      <c r="E272" s="132">
        <f>'Financials Yearly'!G5</f>
        <v>21825546.391854964</v>
      </c>
      <c r="F272" s="132">
        <f>'Financials Yearly'!H5</f>
        <v>21765913.751440059</v>
      </c>
    </row>
    <row r="273" spans="1:6" x14ac:dyDescent="0.25">
      <c r="A273" s="134" t="s">
        <v>1143</v>
      </c>
      <c r="B273" s="132">
        <f>SUM('Financials Yearly'!D7:D20)</f>
        <v>43137907.63449195</v>
      </c>
      <c r="C273" s="132">
        <f>SUM('Financials Yearly'!E7:E20)</f>
        <v>58267956.696295023</v>
      </c>
      <c r="D273" s="132">
        <f>SUM('Financials Yearly'!F7:F20)</f>
        <v>59444057.859087408</v>
      </c>
      <c r="E273" s="132">
        <f>SUM('Financials Yearly'!G7:G20)</f>
        <v>60808795.249334149</v>
      </c>
      <c r="F273" s="132">
        <f>SUM('Financials Yearly'!H7:H20)</f>
        <v>61867955.870508425</v>
      </c>
    </row>
    <row r="274" spans="1:6" x14ac:dyDescent="0.25">
      <c r="A274" s="134" t="s">
        <v>16</v>
      </c>
      <c r="B274" s="132">
        <f>SUM(B272:B273)</f>
        <v>43137907.63449195</v>
      </c>
      <c r="C274" s="132">
        <f t="shared" ref="C274:F274" si="30">SUM(C272:C273)</f>
        <v>74666932.810393691</v>
      </c>
      <c r="D274" s="132">
        <f t="shared" si="30"/>
        <v>81209971.610527471</v>
      </c>
      <c r="E274" s="132">
        <f t="shared" si="30"/>
        <v>82634341.641189113</v>
      </c>
      <c r="F274" s="132">
        <f t="shared" si="30"/>
        <v>83633869.621948481</v>
      </c>
    </row>
    <row r="275" spans="1:6" x14ac:dyDescent="0.25">
      <c r="A275" s="134" t="s">
        <v>1144</v>
      </c>
      <c r="B275" s="793">
        <f>SUM(B274/B273)</f>
        <v>1</v>
      </c>
      <c r="C275" s="793">
        <f>SUM(C273/C274)</f>
        <v>0.78037163846355395</v>
      </c>
      <c r="D275" s="793">
        <f t="shared" ref="D275:F275" si="31">SUM(D273/D274)</f>
        <v>0.73197978869114033</v>
      </c>
      <c r="E275" s="793">
        <f t="shared" si="31"/>
        <v>0.73587801441409417</v>
      </c>
      <c r="F275" s="793">
        <f t="shared" si="31"/>
        <v>0.739747618401147</v>
      </c>
    </row>
    <row r="279" spans="1:6" x14ac:dyDescent="0.25">
      <c r="B279" s="136">
        <f>B266</f>
        <v>2027</v>
      </c>
      <c r="C279" s="136">
        <f t="shared" ref="C279:F279" si="32">C266</f>
        <v>2028</v>
      </c>
      <c r="D279" s="136">
        <f t="shared" si="32"/>
        <v>2029</v>
      </c>
      <c r="E279" s="136">
        <f t="shared" si="32"/>
        <v>2030</v>
      </c>
      <c r="F279" s="136">
        <f t="shared" si="32"/>
        <v>2031</v>
      </c>
    </row>
    <row r="280" spans="1:6" x14ac:dyDescent="0.25">
      <c r="A280" s="134" t="str">
        <f>A267</f>
        <v>Revenue</v>
      </c>
      <c r="B280" s="132">
        <f>B267</f>
        <v>43137907.63449195</v>
      </c>
      <c r="C280" s="132">
        <f t="shared" ref="C280:F281" si="33">C267</f>
        <v>74666932.810393706</v>
      </c>
      <c r="D280" s="132">
        <f t="shared" si="33"/>
        <v>81209971.610527456</v>
      </c>
      <c r="E280" s="132">
        <f t="shared" si="33"/>
        <v>82634341.641189128</v>
      </c>
      <c r="F280" s="132">
        <f t="shared" si="33"/>
        <v>83633869.621948481</v>
      </c>
    </row>
    <row r="281" spans="1:6" x14ac:dyDescent="0.25">
      <c r="A281" s="134" t="str">
        <f>A268</f>
        <v>EBITDA</v>
      </c>
      <c r="B281" s="132">
        <f>B268</f>
        <v>27575572.687029082</v>
      </c>
      <c r="C281" s="132">
        <f t="shared" si="33"/>
        <v>56659881.787970379</v>
      </c>
      <c r="D281" s="132">
        <f t="shared" si="33"/>
        <v>64973637.966510631</v>
      </c>
      <c r="E281" s="132">
        <f t="shared" si="33"/>
        <v>67182045.010145277</v>
      </c>
      <c r="F281" s="132">
        <f t="shared" si="33"/>
        <v>68528296.325064868</v>
      </c>
    </row>
    <row r="282" spans="1:6" x14ac:dyDescent="0.25">
      <c r="A282" s="134" t="str">
        <f>'Financials Yearly'!B97</f>
        <v>Total Project Cash Flow</v>
      </c>
      <c r="B282" s="132">
        <f>'Financials Yearly'!D97</f>
        <v>10779994.59750643</v>
      </c>
      <c r="C282" s="132">
        <f>'Financials Yearly'!E97</f>
        <v>30892539.937120374</v>
      </c>
      <c r="D282" s="132">
        <f>'Financials Yearly'!F97</f>
        <v>38790608.306733631</v>
      </c>
      <c r="E282" s="132">
        <f>'Financials Yearly'!G97</f>
        <v>40888594.998186514</v>
      </c>
      <c r="F282" s="132">
        <f>'Financials Yearly'!H97</f>
        <v>42167533.747360125</v>
      </c>
    </row>
    <row r="283" spans="1:6" x14ac:dyDescent="0.25">
      <c r="A283" s="134" t="s">
        <v>1174</v>
      </c>
      <c r="B283" s="820">
        <v>2000000</v>
      </c>
      <c r="C283" s="820">
        <v>2000000</v>
      </c>
      <c r="D283" s="820">
        <v>2000000</v>
      </c>
      <c r="E283" s="820">
        <v>2000000</v>
      </c>
      <c r="F283" s="820">
        <v>2000000</v>
      </c>
    </row>
    <row r="284" spans="1:6" x14ac:dyDescent="0.25">
      <c r="A284" s="134" t="s">
        <v>1175</v>
      </c>
      <c r="B284" s="764">
        <f>SUM(B282-B283) * 45%</f>
        <v>3950997.5688778935</v>
      </c>
      <c r="C284" s="764">
        <f t="shared" ref="C284:F284" si="34">SUM(C282-C283) * 45%</f>
        <v>13001642.971704168</v>
      </c>
      <c r="D284" s="764">
        <f t="shared" si="34"/>
        <v>16555773.738030134</v>
      </c>
      <c r="E284" s="764">
        <f t="shared" si="34"/>
        <v>17499867.74918393</v>
      </c>
      <c r="F284" s="764">
        <f t="shared" si="34"/>
        <v>18075390.186312057</v>
      </c>
    </row>
    <row r="285" spans="1:6" x14ac:dyDescent="0.25">
      <c r="A285" s="134" t="s">
        <v>1176</v>
      </c>
      <c r="B285" s="764">
        <f>SUM(B282-B283) * 55%</f>
        <v>4828997.0286285365</v>
      </c>
      <c r="C285" s="764">
        <f t="shared" ref="C285:F285" si="35">SUM(C282-C283) * 55%</f>
        <v>15890896.965416208</v>
      </c>
      <c r="D285" s="764">
        <f t="shared" si="35"/>
        <v>20234834.568703499</v>
      </c>
      <c r="E285" s="764">
        <f t="shared" si="35"/>
        <v>21388727.249002583</v>
      </c>
      <c r="F285" s="764">
        <f t="shared" si="35"/>
        <v>22092143.561048072</v>
      </c>
    </row>
  </sheetData>
  <mergeCells count="2">
    <mergeCell ref="A42:P42"/>
    <mergeCell ref="A168:P16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4806-FB60-4765-8677-3DBDE33D6DEF}">
  <sheetPr>
    <tabColor rgb="FF2C3449"/>
  </sheetPr>
  <dimension ref="B2:AI85"/>
  <sheetViews>
    <sheetView view="pageBreakPreview" zoomScale="85" zoomScaleNormal="85" zoomScaleSheetLayoutView="85" zoomScalePageLayoutView="55" workbookViewId="0">
      <selection activeCell="G21" sqref="G21"/>
    </sheetView>
  </sheetViews>
  <sheetFormatPr defaultColWidth="9.140625" defaultRowHeight="12.75" x14ac:dyDescent="0.2"/>
  <cols>
    <col min="1" max="1" width="9.140625" style="1"/>
    <col min="2" max="2" width="21.140625" style="1" bestFit="1" customWidth="1"/>
    <col min="3" max="3" width="14.85546875" style="1" customWidth="1"/>
    <col min="4" max="4" width="15.7109375" style="1" customWidth="1"/>
    <col min="5" max="5" width="7.140625" style="1" bestFit="1" customWidth="1"/>
    <col min="6" max="6" width="3.5703125" style="1" customWidth="1"/>
    <col min="7" max="7" width="34.85546875" style="1" bestFit="1" customWidth="1"/>
    <col min="8" max="8" width="19.28515625" style="1" customWidth="1"/>
    <col min="9" max="9" width="16.7109375" style="1" customWidth="1"/>
    <col min="10" max="10" width="8.7109375" style="1" customWidth="1"/>
    <col min="11" max="11" width="9.140625" style="1"/>
    <col min="12" max="12" width="27" style="1" bestFit="1" customWidth="1"/>
    <col min="13" max="13" width="12.7109375" style="1" bestFit="1" customWidth="1"/>
    <col min="14" max="16" width="12.5703125" style="1" bestFit="1" customWidth="1"/>
    <col min="17" max="34" width="12.28515625" style="1" bestFit="1" customWidth="1"/>
    <col min="35" max="35" width="13.140625" style="1" bestFit="1" customWidth="1"/>
    <col min="36" max="16384" width="9.140625" style="1"/>
  </cols>
  <sheetData>
    <row r="2" spans="2:35" x14ac:dyDescent="0.2">
      <c r="B2" s="5" t="s">
        <v>13</v>
      </c>
      <c r="C2" s="5"/>
      <c r="D2" s="14" t="s">
        <v>173</v>
      </c>
      <c r="E2" s="14" t="s">
        <v>174</v>
      </c>
      <c r="F2" s="6"/>
      <c r="G2" s="5" t="s">
        <v>14</v>
      </c>
      <c r="H2" s="5"/>
      <c r="I2" s="14" t="s">
        <v>173</v>
      </c>
      <c r="J2" s="14" t="s">
        <v>174</v>
      </c>
      <c r="M2" s="322">
        <f>'Data Sources'!C1</f>
        <v>2026</v>
      </c>
      <c r="N2" s="5">
        <f>M2+1</f>
        <v>2027</v>
      </c>
      <c r="O2" s="5">
        <f t="shared" ref="O2:AI2" si="0">N2+1</f>
        <v>2028</v>
      </c>
      <c r="P2" s="5">
        <f t="shared" si="0"/>
        <v>2029</v>
      </c>
      <c r="Q2" s="5">
        <f t="shared" si="0"/>
        <v>2030</v>
      </c>
      <c r="R2" s="5">
        <f t="shared" si="0"/>
        <v>2031</v>
      </c>
      <c r="S2" s="5">
        <f t="shared" si="0"/>
        <v>2032</v>
      </c>
      <c r="T2" s="5">
        <f t="shared" si="0"/>
        <v>2033</v>
      </c>
      <c r="U2" s="5">
        <f t="shared" si="0"/>
        <v>2034</v>
      </c>
      <c r="V2" s="5">
        <f t="shared" si="0"/>
        <v>2035</v>
      </c>
      <c r="W2" s="5">
        <f t="shared" si="0"/>
        <v>2036</v>
      </c>
      <c r="X2" s="5">
        <f t="shared" si="0"/>
        <v>2037</v>
      </c>
      <c r="Y2" s="5">
        <f t="shared" si="0"/>
        <v>2038</v>
      </c>
      <c r="Z2" s="5">
        <f t="shared" si="0"/>
        <v>2039</v>
      </c>
      <c r="AA2" s="5">
        <f t="shared" si="0"/>
        <v>2040</v>
      </c>
      <c r="AB2" s="5">
        <f t="shared" si="0"/>
        <v>2041</v>
      </c>
      <c r="AC2" s="5">
        <f t="shared" si="0"/>
        <v>2042</v>
      </c>
      <c r="AD2" s="5">
        <f t="shared" si="0"/>
        <v>2043</v>
      </c>
      <c r="AE2" s="5">
        <f t="shared" si="0"/>
        <v>2044</v>
      </c>
      <c r="AF2" s="5">
        <f t="shared" si="0"/>
        <v>2045</v>
      </c>
      <c r="AG2" s="5">
        <f t="shared" si="0"/>
        <v>2046</v>
      </c>
      <c r="AH2" s="5">
        <f t="shared" si="0"/>
        <v>2047</v>
      </c>
      <c r="AI2" s="5">
        <f t="shared" si="0"/>
        <v>2048</v>
      </c>
    </row>
    <row r="3" spans="2:35" x14ac:dyDescent="0.2">
      <c r="B3" s="1" t="s">
        <v>11</v>
      </c>
      <c r="C3" s="3"/>
      <c r="D3" s="7">
        <f>D8-SUM(D4:D5)</f>
        <v>64955661.612550527</v>
      </c>
      <c r="E3" s="23">
        <f>D3/$D$8</f>
        <v>0.23774314463870894</v>
      </c>
      <c r="G3" s="1" t="s">
        <v>15</v>
      </c>
      <c r="I3" s="7">
        <f>CapEx!$D$113</f>
        <v>254728084.75509998</v>
      </c>
      <c r="J3" s="23">
        <f>I3/$I$7</f>
        <v>0.93232605740670127</v>
      </c>
      <c r="L3" s="1" t="s">
        <v>149</v>
      </c>
      <c r="M3" s="7">
        <f>SUMIF(Financials!$C$6:$JR$6,Summary!M$2,Financials!$C$37:$JR$37)</f>
        <v>0</v>
      </c>
      <c r="N3" s="7">
        <f>SUMIF(Financials!$C$6:$JR$6,Summary!N$2,Financials!$C$37:$JR$37)</f>
        <v>42079157.634491958</v>
      </c>
      <c r="O3" s="7">
        <f>SUMIF(Financials!$C$6:$JR$6,Summary!O$2,Financials!$C$37:$JR$37)</f>
        <v>73261682.810393676</v>
      </c>
      <c r="P3" s="7">
        <f>SUMIF(Financials!$C$6:$JR$6,Summary!P$2,Financials!$C$37:$JR$37)</f>
        <v>79804721.610527486</v>
      </c>
      <c r="Q3" s="7">
        <f>SUMIF(Financials!$C$6:$JR$6,Summary!Q$2,Financials!$C$37:$JR$37)</f>
        <v>81225241.641189128</v>
      </c>
      <c r="R3" s="7">
        <f>SUMIF(Financials!$C$6:$JR$6,Summary!R$2,Financials!$C$37:$JR$37)</f>
        <v>82228619.621948481</v>
      </c>
      <c r="S3" s="7">
        <f>SUMIF(Financials!$C$6:$JR$6,Summary!S$2,Financials!$C$37:$JR$37)</f>
        <v>83477384.448526293</v>
      </c>
      <c r="T3" s="7">
        <f>SUMIF(Financials!$C$6:$JR$6,Summary!T$2,Financials!$C$37:$JR$37)</f>
        <v>84751354.788526282</v>
      </c>
      <c r="U3" s="7">
        <f>SUMIF(Financials!$C$6:$JR$6,Summary!U$2,Financials!$C$37:$JR$37)</f>
        <v>86051039.398996562</v>
      </c>
      <c r="V3" s="7">
        <f>SUMIF(Financials!$C$6:$JR$6,Summary!V$2,Financials!$C$37:$JR$37)</f>
        <v>87376957.305918351</v>
      </c>
      <c r="W3" s="7">
        <f>SUMIF(Financials!$C$6:$JR$6,Summary!W$2,Financials!$C$37:$JR$37)</f>
        <v>88729638.011477888</v>
      </c>
      <c r="X3" s="7">
        <f>SUMIF(Financials!$C$6:$JR$6,Summary!X$2,Financials!$C$37:$JR$37)</f>
        <v>90109621.705521971</v>
      </c>
      <c r="Y3" s="7">
        <f>SUMIF(Financials!$C$6:$JR$6,Summary!Y$2,Financials!$C$37:$JR$37)</f>
        <v>91517459.481281281</v>
      </c>
      <c r="Z3" s="7">
        <f>SUMIF(Financials!$C$6:$JR$6,Summary!Z$2,Financials!$C$37:$JR$37)</f>
        <v>92953713.555448383</v>
      </c>
      <c r="AA3" s="7">
        <f>SUMIF(Financials!$C$6:$JR$6,Summary!AA$2,Financials!$C$37:$JR$37)</f>
        <v>94418957.492697492</v>
      </c>
      <c r="AB3" s="7">
        <f>SUMIF(Financials!$C$6:$JR$6,Summary!AB$2,Financials!$C$37:$JR$37)</f>
        <v>95913776.434736207</v>
      </c>
      <c r="AC3" s="7">
        <f>SUMIF(Financials!$C$6:$JR$6,Summary!AC$2,Financials!$C$37:$JR$37)</f>
        <v>97438767.333980471</v>
      </c>
      <c r="AD3" s="7">
        <f>SUMIF(Financials!$C$6:$JR$6,Summary!AD$2,Financials!$C$37:$JR$37)</f>
        <v>98994539.191946149</v>
      </c>
      <c r="AE3" s="7">
        <f>SUMIF(Financials!$C$6:$JR$6,Summary!AE$2,Financials!$C$37:$JR$37)</f>
        <v>100581713.30245224</v>
      </c>
      <c r="AF3" s="7">
        <f>SUMIF(Financials!$C$6:$JR$6,Summary!AF$2,Financials!$C$37:$JR$37)</f>
        <v>102200923.49973328</v>
      </c>
      <c r="AG3" s="7">
        <f>SUMIF(Financials!$C$6:$JR$6,Summary!AG$2,Financials!$C$37:$JR$37)</f>
        <v>103852816.41155934</v>
      </c>
      <c r="AH3" s="7">
        <f>SUMIF(Financials!$C$6:$JR$6,Summary!AH$2,Financials!$C$37:$JR$37)</f>
        <v>105538051.71746548</v>
      </c>
      <c r="AI3" s="7">
        <f>SUMIF(Financials!$C$6:$JR$6,Summary!AI$2,Financials!$C$37:$JR$37)</f>
        <v>107257302.41219306</v>
      </c>
    </row>
    <row r="4" spans="2:35" x14ac:dyDescent="0.2">
      <c r="B4" s="1" t="s">
        <v>988</v>
      </c>
      <c r="D4" s="7">
        <f>$I$6</f>
        <v>13395164.777380109</v>
      </c>
      <c r="E4" s="23">
        <f>D4/$D$8</f>
        <v>4.9027421445164664E-2</v>
      </c>
      <c r="G4" s="1" t="s">
        <v>262</v>
      </c>
      <c r="H4" s="27">
        <v>0.01</v>
      </c>
      <c r="I4" s="7">
        <f>H4*$I$3</f>
        <v>2547280.8475509998</v>
      </c>
      <c r="J4" s="23">
        <f>I4/$I$7</f>
        <v>9.3232605740670126E-3</v>
      </c>
      <c r="L4" s="1" t="s">
        <v>49</v>
      </c>
      <c r="M4" s="7">
        <f>SUMIF(Financials!$C$6:$JR$6,Summary!M$2,Financials!$C$56:$JR$56)</f>
        <v>7223797.7985070879</v>
      </c>
      <c r="N4" s="7">
        <f>SUMIF(Financials!$C$6:$JR$6,Summary!N$2,Financials!$C$56:$JR$56)</f>
        <v>14503584.947462868</v>
      </c>
      <c r="O4" s="7">
        <f>SUMIF(Financials!$C$6:$JR$6,Summary!O$2,Financials!$C$56:$JR$56)</f>
        <v>16601801.022423323</v>
      </c>
      <c r="P4" s="7">
        <f>SUMIF(Financials!$C$6:$JR$6,Summary!P$2,Financials!$C$56:$JR$56)</f>
        <v>14831083.644016827</v>
      </c>
      <c r="Q4" s="7">
        <f>SUMIF(Financials!$C$6:$JR$6,Summary!Q$2,Financials!$C$56:$JR$56)</f>
        <v>14043196.631043853</v>
      </c>
      <c r="R4" s="7">
        <f>SUMIF(Financials!$C$6:$JR$6,Summary!R$2,Financials!$C$56:$JR$56)</f>
        <v>13700323.296883607</v>
      </c>
      <c r="S4" s="7">
        <f>SUMIF(Financials!$C$6:$JR$6,Summary!S$2,Financials!$C$56:$JR$56)</f>
        <v>13326670.615055252</v>
      </c>
      <c r="T4" s="7">
        <f>SUMIF(Financials!$C$6:$JR$6,Summary!T$2,Financials!$C$56:$JR$56)</f>
        <v>12919923.927017288</v>
      </c>
      <c r="U4" s="7">
        <f>SUMIF(Financials!$C$6:$JR$6,Summary!U$2,Financials!$C$56:$JR$56)</f>
        <v>12477599.753433967</v>
      </c>
      <c r="V4" s="7">
        <f>SUMIF(Financials!$C$6:$JR$6,Summary!V$2,Financials!$C$56:$JR$56)</f>
        <v>11997033.563115839</v>
      </c>
      <c r="W4" s="7">
        <f>SUMIF(Financials!$C$6:$JR$6,Summary!W$2,Financials!$C$56:$JR$56)</f>
        <v>11475366.657263037</v>
      </c>
      <c r="X4" s="7">
        <f>SUMIF(Financials!$C$6:$JR$6,Summary!X$2,Financials!$C$56:$JR$56)</f>
        <v>11210606.342172302</v>
      </c>
      <c r="Y4" s="7">
        <f>SUMIF(Financials!$C$6:$JR$6,Summary!Y$2,Financials!$C$56:$JR$56)</f>
        <v>11076025.625162283</v>
      </c>
      <c r="Z4" s="7">
        <f>SUMIF(Financials!$C$6:$JR$6,Summary!Z$2,Financials!$C$56:$JR$56)</f>
        <v>10925063.395949615</v>
      </c>
      <c r="AA4" s="7">
        <f>SUMIF(Financials!$C$6:$JR$6,Summary!AA$2,Financials!$C$56:$JR$56)</f>
        <v>10756434.773982326</v>
      </c>
      <c r="AB4" s="7">
        <f>SUMIF(Financials!$C$6:$JR$6,Summary!AB$2,Financials!$C$56:$JR$56)</f>
        <v>10568760.300582958</v>
      </c>
      <c r="AC4" s="7">
        <f>SUMIF(Financials!$C$6:$JR$6,Summary!AC$2,Financials!$C$56:$JR$56)</f>
        <v>10585140.268039811</v>
      </c>
      <c r="AD4" s="7">
        <f>SUMIF(Financials!$C$6:$JR$6,Summary!AD$2,Financials!$C$56:$JR$56)</f>
        <v>10711909.421827445</v>
      </c>
      <c r="AE4" s="7">
        <f>SUMIF(Financials!$C$6:$JR$6,Summary!AE$2,Financials!$C$56:$JR$56)</f>
        <v>10840669.517143866</v>
      </c>
      <c r="AF4" s="7">
        <f>SUMIF(Financials!$C$6:$JR$6,Summary!AF$2,Financials!$C$56:$JR$56)</f>
        <v>10971455.035642283</v>
      </c>
      <c r="AG4" s="7">
        <f>SUMIF(Financials!$C$6:$JR$6,Summary!AG$2,Financials!$C$56:$JR$56)</f>
        <v>11104301.09766149</v>
      </c>
      <c r="AH4" s="7">
        <f>SUMIF(Financials!$C$6:$JR$6,Summary!AH$2,Financials!$C$56:$JR$56)</f>
        <v>11239243.474541651</v>
      </c>
      <c r="AI4" s="7">
        <f>SUMIF(Financials!$C$6:$JR$6,Summary!AI$2,Financials!$C$56:$JR$56)</f>
        <v>11376318.601182895</v>
      </c>
    </row>
    <row r="5" spans="2:35" x14ac:dyDescent="0.2">
      <c r="B5" s="1" t="s">
        <v>12</v>
      </c>
      <c r="C5" s="9">
        <v>0.75</v>
      </c>
      <c r="D5" s="7">
        <f>SUM($I$3:$I$5)*$C$5</f>
        <v>194866984.83765146</v>
      </c>
      <c r="E5" s="23">
        <f>D5/$D$8</f>
        <v>0.71322943391612637</v>
      </c>
      <c r="G5" s="1" t="s">
        <v>122</v>
      </c>
      <c r="H5" s="27">
        <v>0.01</v>
      </c>
      <c r="I5" s="7">
        <f>H5*SUM($I$3)</f>
        <v>2547280.8475509998</v>
      </c>
      <c r="J5" s="23">
        <f>I5/$I$7</f>
        <v>9.3232605740670126E-3</v>
      </c>
      <c r="L5" s="59" t="s">
        <v>76</v>
      </c>
      <c r="M5" s="63">
        <f>SUMIF(Financials!$C$6:$JR$6,Summary!M$2,Financials!$C$58:$JR$58)</f>
        <v>-7223797.7985070879</v>
      </c>
      <c r="N5" s="63">
        <f>SUMIF(Financials!$C$6:$JR$6,Summary!N$2,Financials!$C$58:$JR$58)</f>
        <v>27575572.687029086</v>
      </c>
      <c r="O5" s="63">
        <f>SUMIF(Financials!$C$6:$JR$6,Summary!O$2,Financials!$C$58:$JR$58)</f>
        <v>56659881.787970379</v>
      </c>
      <c r="P5" s="63">
        <f>SUMIF(Financials!$C$6:$JR$6,Summary!P$2,Financials!$C$58:$JR$58)</f>
        <v>64973637.966510639</v>
      </c>
      <c r="Q5" s="63">
        <f>SUMIF(Financials!$C$6:$JR$6,Summary!Q$2,Financials!$C$58:$JR$58)</f>
        <v>67182045.010145262</v>
      </c>
      <c r="R5" s="63">
        <f>SUMIF(Financials!$C$6:$JR$6,Summary!R$2,Financials!$C$58:$JR$58)</f>
        <v>68528296.325064868</v>
      </c>
      <c r="S5" s="63">
        <f>SUMIF(Financials!$C$6:$JR$6,Summary!S$2,Financials!$C$58:$JR$58)</f>
        <v>70150713.833471045</v>
      </c>
      <c r="T5" s="63">
        <f>SUMIF(Financials!$C$6:$JR$6,Summary!T$2,Financials!$C$58:$JR$58)</f>
        <v>71831430.86150901</v>
      </c>
      <c r="U5" s="63">
        <f>SUMIF(Financials!$C$6:$JR$6,Summary!U$2,Financials!$C$58:$JR$58)</f>
        <v>73573439.645562604</v>
      </c>
      <c r="V5" s="63">
        <f>SUMIF(Financials!$C$6:$JR$6,Summary!V$2,Financials!$C$58:$JR$58)</f>
        <v>75379923.742802516</v>
      </c>
      <c r="W5" s="63">
        <f>SUMIF(Financials!$C$6:$JR$6,Summary!W$2,Financials!$C$58:$JR$58)</f>
        <v>77254271.354214847</v>
      </c>
      <c r="X5" s="63">
        <f>SUMIF(Financials!$C$6:$JR$6,Summary!X$2,Financials!$C$58:$JR$58)</f>
        <v>78899015.363349661</v>
      </c>
      <c r="Y5" s="63">
        <f>SUMIF(Financials!$C$6:$JR$6,Summary!Y$2,Financials!$C$58:$JR$58)</f>
        <v>80441433.856119007</v>
      </c>
      <c r="Z5" s="63">
        <f>SUMIF(Financials!$C$6:$JR$6,Summary!Z$2,Financials!$C$58:$JR$58)</f>
        <v>82028650.159498796</v>
      </c>
      <c r="AA5" s="63">
        <f>SUMIF(Financials!$C$6:$JR$6,Summary!AA$2,Financials!$C$58:$JR$58)</f>
        <v>83662522.718715191</v>
      </c>
      <c r="AB5" s="63">
        <f>SUMIF(Financials!$C$6:$JR$6,Summary!AB$2,Financials!$C$58:$JR$58)</f>
        <v>85345016.134153247</v>
      </c>
      <c r="AC5" s="63">
        <f>SUMIF(Financials!$C$6:$JR$6,Summary!AC$2,Financials!$C$58:$JR$58)</f>
        <v>86853627.065940663</v>
      </c>
      <c r="AD5" s="63">
        <f>SUMIF(Financials!$C$6:$JR$6,Summary!AD$2,Financials!$C$58:$JR$58)</f>
        <v>88282629.770118698</v>
      </c>
      <c r="AE5" s="63">
        <f>SUMIF(Financials!$C$6:$JR$6,Summary!AE$2,Financials!$C$58:$JR$58)</f>
        <v>89741043.785308361</v>
      </c>
      <c r="AF5" s="63">
        <f>SUMIF(Financials!$C$6:$JR$6,Summary!AF$2,Financials!$C$58:$JR$58)</f>
        <v>91229468.464091003</v>
      </c>
      <c r="AG5" s="63">
        <f>SUMIF(Financials!$C$6:$JR$6,Summary!AG$2,Financials!$C$58:$JR$58)</f>
        <v>92748515.313897863</v>
      </c>
      <c r="AH5" s="63">
        <f>SUMIF(Financials!$C$6:$JR$6,Summary!AH$2,Financials!$C$58:$JR$58)</f>
        <v>94298808.242923841</v>
      </c>
      <c r="AI5" s="63">
        <f>SUMIF(Financials!$C$6:$JR$6,Summary!AI$2,Financials!$C$58:$JR$58)</f>
        <v>95880983.811010122</v>
      </c>
    </row>
    <row r="6" spans="2:35" x14ac:dyDescent="0.2">
      <c r="G6" s="1" t="str" cm="1">
        <f t="array" ref="G6:H6">'Capital Contributions'!A6:B6</f>
        <v xml:space="preserve">Construction Loan </v>
      </c>
      <c r="H6" s="1">
        <v>0</v>
      </c>
      <c r="I6" s="7">
        <f>SUM('Capital Contributions'!$E$10:$JT$10)</f>
        <v>13395164.777380109</v>
      </c>
      <c r="J6" s="23">
        <f>I6/$I$7</f>
        <v>4.9027421445164664E-2</v>
      </c>
    </row>
    <row r="7" spans="2:35" x14ac:dyDescent="0.2">
      <c r="G7" s="65" t="s">
        <v>16</v>
      </c>
      <c r="H7" s="65"/>
      <c r="I7" s="66">
        <f>SUM(I3:I6)</f>
        <v>273217811.2275821</v>
      </c>
      <c r="J7" s="67">
        <f>SUM(J3:J6)</f>
        <v>0.99999999999999989</v>
      </c>
      <c r="L7" s="1" t="s">
        <v>120</v>
      </c>
      <c r="M7" s="18">
        <f>-SUMIF(Financials!$C$6:$JR$6,Summary!M$2,Financials!$C$70:$JR$70)</f>
        <v>-9254241.349580016</v>
      </c>
      <c r="N7" s="18">
        <f>-SUMIF(Financials!$C$6:$JR$6,Summary!N$2,Financials!$C$70:$JR$70)</f>
        <v>-14185154.13172793</v>
      </c>
      <c r="O7" s="18">
        <f>-SUMIF(Financials!$C$6:$JR$6,Summary!O$2,Financials!$C$70:$JR$70)</f>
        <v>-12714362.35343045</v>
      </c>
      <c r="P7" s="18">
        <f>-SUMIF(Financials!$C$6:$JR$6,Summary!P$2,Financials!$C$70:$JR$70)</f>
        <v>-11888299.526458202</v>
      </c>
      <c r="Q7" s="18">
        <f>-SUMIF(Financials!$C$6:$JR$6,Summary!Q$2,Financials!$C$70:$JR$70)</f>
        <v>-11002520.550931798</v>
      </c>
      <c r="R7" s="18">
        <f>-SUMIF(Financials!$C$6:$JR$6,Summary!R$2,Financials!$C$70:$JR$70)</f>
        <v>-10052708.541643836</v>
      </c>
      <c r="S7" s="18">
        <f>-SUMIF(Financials!$C$6:$JR$6,Summary!S$2,Financials!$C$70:$JR$70)</f>
        <v>-9034234.5454062242</v>
      </c>
      <c r="T7" s="18">
        <f>-SUMIF(Financials!$C$6:$JR$6,Summary!T$2,Financials!$C$70:$JR$70)</f>
        <v>-7942134.9816306233</v>
      </c>
      <c r="U7" s="18">
        <f>-SUMIF(Financials!$C$6:$JR$6,Summary!U$2,Financials!$C$70:$JR$70)</f>
        <v>-6771087.4520866219</v>
      </c>
      <c r="V7" s="18">
        <f>-SUMIF(Financials!$C$6:$JR$6,Summary!V$2,Financials!$C$70:$JR$70)</f>
        <v>-5515384.8019453902</v>
      </c>
      <c r="W7" s="18">
        <f>-SUMIF(Financials!$C$6:$JR$6,Summary!W$2,Financials!$C$70:$JR$70)</f>
        <v>-4168907.305694059</v>
      </c>
      <c r="X7" s="18">
        <f>-SUMIF(Financials!$C$6:$JR$6,Summary!X$2,Financials!$C$70:$JR$70)</f>
        <v>-2970391.9454732942</v>
      </c>
      <c r="Y7" s="18">
        <f>-SUMIF(Financials!$C$6:$JR$6,Summary!Y$2,Financials!$C$70:$JR$70)</f>
        <v>-2396680.3164087497</v>
      </c>
      <c r="Z7" s="18">
        <f>-SUMIF(Financials!$C$6:$JR$6,Summary!Z$2,Financials!$C$70:$JR$70)</f>
        <v>-1824323.0820041397</v>
      </c>
      <c r="AA7" s="18">
        <f>-SUMIF(Financials!$C$6:$JR$6,Summary!AA$2,Financials!$C$70:$JR$70)</f>
        <v>-1210590.0968457698</v>
      </c>
      <c r="AB7" s="18">
        <f>-SUMIF(Financials!$C$6:$JR$6,Summary!AB$2,Financials!$C$70:$JR$70)</f>
        <v>-552490.30456616264</v>
      </c>
      <c r="AC7" s="18">
        <f>-SUMIF(Financials!$C$6:$JR$6,Summary!AC$2,Financials!$C$70:$JR$70)</f>
        <v>-29793.11121479913</v>
      </c>
      <c r="AD7" s="18">
        <f>-SUMIF(Financials!$C$6:$JR$6,Summary!AD$2,Financials!$C$70:$JR$70)</f>
        <v>0</v>
      </c>
      <c r="AE7" s="18">
        <f>-SUMIF(Financials!$C$6:$JR$6,Summary!AE$2,Financials!$C$70:$JR$70)</f>
        <v>0</v>
      </c>
      <c r="AF7" s="18">
        <f>-SUMIF(Financials!$C$6:$JR$6,Summary!AF$2,Financials!$C$70:$JR$70)</f>
        <v>0</v>
      </c>
      <c r="AG7" s="18">
        <f>-SUMIF(Financials!$C$6:$JR$6,Summary!AG$2,Financials!$C$70:$JR$70)</f>
        <v>0</v>
      </c>
      <c r="AH7" s="18">
        <f>-SUMIF(Financials!$C$6:$JR$6,Summary!AH$2,Financials!$C$70:$JR$70)</f>
        <v>0</v>
      </c>
      <c r="AI7" s="18">
        <f>-SUMIF(Financials!$C$6:$JR$6,Summary!AI$2,Financials!$C$70:$JR$70)</f>
        <v>0</v>
      </c>
    </row>
    <row r="8" spans="2:35" x14ac:dyDescent="0.2">
      <c r="B8" s="65" t="s">
        <v>16</v>
      </c>
      <c r="C8" s="65"/>
      <c r="D8" s="66">
        <f>I7</f>
        <v>273217811.2275821</v>
      </c>
      <c r="E8" s="67">
        <f>SUM(E3:E7)</f>
        <v>1</v>
      </c>
      <c r="L8" s="1" t="s">
        <v>153</v>
      </c>
      <c r="M8" s="18">
        <f>-SUMIF(Financials!$C$6:$JR$6,Summary!M$2,Financials!$C$66:$JR$66)</f>
        <v>0</v>
      </c>
      <c r="N8" s="18">
        <f>-SUMIF(Financials!$C$6:$JR$6,Summary!N$2,Financials!$C$66:$JR$66)</f>
        <v>-29126337.005426005</v>
      </c>
      <c r="O8" s="18">
        <f>-SUMIF(Financials!$C$6:$JR$6,Summary!O$2,Financials!$C$66:$JR$66)</f>
        <v>-36593508.861389801</v>
      </c>
      <c r="P8" s="18">
        <f>-SUMIF(Financials!$C$6:$JR$6,Summary!P$2,Financials!$C$66:$JR$66)</f>
        <v>-36593508.861389801</v>
      </c>
      <c r="Q8" s="18">
        <f>-SUMIF(Financials!$C$6:$JR$6,Summary!Q$2,Financials!$C$66:$JR$66)</f>
        <v>-36593508.861389801</v>
      </c>
      <c r="R8" s="18">
        <f>-SUMIF(Financials!$C$6:$JR$6,Summary!R$2,Financials!$C$66:$JR$66)</f>
        <v>-36593508.861389801</v>
      </c>
      <c r="S8" s="18">
        <f>-SUMIF(Financials!$C$6:$JR$6,Summary!S$2,Financials!$C$66:$JR$66)</f>
        <v>-36593508.861389801</v>
      </c>
      <c r="T8" s="18">
        <f>-SUMIF(Financials!$C$6:$JR$6,Summary!T$2,Financials!$C$66:$JR$66)</f>
        <v>-36736366.004246943</v>
      </c>
      <c r="U8" s="18">
        <f>-SUMIF(Financials!$C$6:$JR$6,Summary!U$2,Financials!$C$66:$JR$66)</f>
        <v>-9586928.3519147988</v>
      </c>
      <c r="V8" s="18">
        <f>-SUMIF(Financials!$C$6:$JR$6,Summary!V$2,Financials!$C$66:$JR$66)</f>
        <v>-632353.89637550863</v>
      </c>
      <c r="W8" s="18">
        <f>-SUMIF(Financials!$C$6:$JR$6,Summary!W$2,Financials!$C$66:$JR$66)</f>
        <v>-775211.03923265135</v>
      </c>
      <c r="X8" s="18">
        <f>-SUMIF(Financials!$C$6:$JR$6,Summary!X$2,Financials!$C$66:$JR$66)</f>
        <v>-918068.18208979408</v>
      </c>
      <c r="Y8" s="18">
        <f>-SUMIF(Financials!$C$6:$JR$6,Summary!Y$2,Financials!$C$66:$JR$66)</f>
        <v>-1060925.3249469369</v>
      </c>
      <c r="Z8" s="18">
        <f>-SUMIF(Financials!$C$6:$JR$6,Summary!Z$2,Financials!$C$66:$JR$66)</f>
        <v>-1203782.4678040799</v>
      </c>
      <c r="AA8" s="18">
        <f>-SUMIF(Financials!$C$6:$JR$6,Summary!AA$2,Financials!$C$66:$JR$66)</f>
        <v>-1203782.4678040799</v>
      </c>
      <c r="AB8" s="18">
        <f>-SUMIF(Financials!$C$6:$JR$6,Summary!AB$2,Financials!$C$66:$JR$66)</f>
        <v>-1203782.4678040799</v>
      </c>
      <c r="AC8" s="18">
        <f>-SUMIF(Financials!$C$6:$JR$6,Summary!AC$2,Financials!$C$66:$JR$66)</f>
        <v>-1203782.4678040799</v>
      </c>
      <c r="AD8" s="18">
        <f>-SUMIF(Financials!$C$6:$JR$6,Summary!AD$2,Financials!$C$66:$JR$66)</f>
        <v>-1203782.4678040799</v>
      </c>
      <c r="AE8" s="18">
        <f>-SUMIF(Financials!$C$6:$JR$6,Summary!AE$2,Financials!$C$66:$JR$66)</f>
        <v>-1203782.4678040799</v>
      </c>
      <c r="AF8" s="18">
        <f>-SUMIF(Financials!$C$6:$JR$6,Summary!AF$2,Financials!$C$66:$JR$66)</f>
        <v>-1203782.4678040799</v>
      </c>
      <c r="AG8" s="18">
        <f>-SUMIF(Financials!$C$6:$JR$6,Summary!AG$2,Financials!$C$66:$JR$66)</f>
        <v>-1203782.4678040799</v>
      </c>
      <c r="AH8" s="18">
        <f>-SUMIF(Financials!$C$6:$JR$6,Summary!AH$2,Financials!$C$66:$JR$66)</f>
        <v>-1203782.4678040799</v>
      </c>
      <c r="AI8" s="18">
        <f>-SUMIF(Financials!$C$6:$JR$6,Summary!AI$2,Financials!$C$66:$JR$66)</f>
        <v>-1203782.4678040799</v>
      </c>
    </row>
    <row r="9" spans="2:35" x14ac:dyDescent="0.2">
      <c r="L9" s="1" t="s">
        <v>150</v>
      </c>
      <c r="M9" s="18">
        <f>-SUMIF(Financials!$C$6:$JR$6,Summary!M$2,Financials!$C$89:$JR$89)</f>
        <v>0</v>
      </c>
      <c r="N9" s="18">
        <f>-SUMIF(Financials!$C$6:$JR$6,Summary!N$2,Financials!$C$89:$JR$89)</f>
        <v>0</v>
      </c>
      <c r="O9" s="18">
        <f>-SUMIF(Financials!$C$6:$JR$6,Summary!O$2,Financials!$C$89:$JR$89)</f>
        <v>0</v>
      </c>
      <c r="P9" s="18">
        <f>-SUMIF(Financials!$C$6:$JR$6,Summary!P$2,Financials!$C$89:$JR$89)</f>
        <v>0</v>
      </c>
      <c r="Q9" s="18">
        <f>-SUMIF(Financials!$C$6:$JR$6,Summary!Q$2,Financials!$C$89:$JR$89)</f>
        <v>0</v>
      </c>
      <c r="R9" s="18">
        <f>-SUMIF(Financials!$C$6:$JR$6,Summary!R$2,Financials!$C$89:$JR$89)</f>
        <v>0</v>
      </c>
      <c r="S9" s="18">
        <f>-SUMIF(Financials!$C$6:$JR$6,Summary!S$2,Financials!$C$89:$JR$89)</f>
        <v>0</v>
      </c>
      <c r="T9" s="18">
        <f>-SUMIF(Financials!$C$6:$JR$6,Summary!T$2,Financials!$C$89:$JR$89)</f>
        <v>0</v>
      </c>
      <c r="U9" s="18">
        <f>-SUMIF(Financials!$C$6:$JR$6,Summary!U$2,Financials!$C$89:$JR$89)</f>
        <v>0</v>
      </c>
      <c r="V9" s="18">
        <f>-SUMIF(Financials!$C$6:$JR$6,Summary!V$2,Financials!$C$89:$JR$89)</f>
        <v>-1201366.5941631054</v>
      </c>
      <c r="W9" s="18">
        <f>-SUMIF(Financials!$C$6:$JR$6,Summary!W$2,Financials!$C$89:$JR$89)</f>
        <v>-14462030.601857629</v>
      </c>
      <c r="X9" s="18">
        <f>-SUMIF(Financials!$C$6:$JR$6,Summary!X$2,Financials!$C$89:$JR$89)</f>
        <v>-15002111.047157314</v>
      </c>
      <c r="Y9" s="18">
        <f>-SUMIF(Financials!$C$6:$JR$6,Summary!Y$2,Financials!$C$89:$JR$89)</f>
        <v>-15396765.642952664</v>
      </c>
      <c r="Z9" s="18">
        <f>-SUMIF(Financials!$C$6:$JR$6,Summary!Z$2,Financials!$C$89:$JR$89)</f>
        <v>-15800108.921938114</v>
      </c>
      <c r="AA9" s="18">
        <f>-SUMIF(Financials!$C$6:$JR$6,Summary!AA$2,Financials!$C$89:$JR$89)</f>
        <v>-16249630.030813068</v>
      </c>
      <c r="AB9" s="18">
        <f>-SUMIF(Financials!$C$6:$JR$6,Summary!AB$2,Financials!$C$89:$JR$89)</f>
        <v>-16717748.672356604</v>
      </c>
      <c r="AC9" s="18">
        <f>-SUMIF(Financials!$C$6:$JR$6,Summary!AC$2,Financials!$C$89:$JR$89)</f>
        <v>-17124010.297384359</v>
      </c>
      <c r="AD9" s="18">
        <f>-SUMIF(Financials!$C$6:$JR$6,Summary!AD$2,Financials!$C$89:$JR$89)</f>
        <v>-17415769.460462924</v>
      </c>
      <c r="AE9" s="18">
        <f>-SUMIF(Financials!$C$6:$JR$6,Summary!AE$2,Financials!$C$89:$JR$89)</f>
        <v>-17707452.263500862</v>
      </c>
      <c r="AF9" s="18">
        <f>-SUMIF(Financials!$C$6:$JR$6,Summary!AF$2,Financials!$C$89:$JR$89)</f>
        <v>-18005137.199257385</v>
      </c>
      <c r="AG9" s="18">
        <f>-SUMIF(Financials!$C$6:$JR$6,Summary!AG$2,Financials!$C$89:$JR$89)</f>
        <v>-18308946.569218758</v>
      </c>
      <c r="AH9" s="18">
        <f>-SUMIF(Financials!$C$6:$JR$6,Summary!AH$2,Financials!$C$89:$JR$89)</f>
        <v>-18619005.155023955</v>
      </c>
      <c r="AI9" s="18">
        <f>-SUMIF(Financials!$C$6:$JR$6,Summary!AI$2,Financials!$C$89:$JR$89)</f>
        <v>-18935440.268641215</v>
      </c>
    </row>
    <row r="10" spans="2:35" x14ac:dyDescent="0.2">
      <c r="G10" s="5" t="s">
        <v>147</v>
      </c>
      <c r="H10" s="30">
        <f>-SUM('NPV IRR'!C5:JR5)</f>
        <v>78350826.389930621</v>
      </c>
      <c r="L10" s="60" t="s">
        <v>123</v>
      </c>
      <c r="M10" s="64">
        <f t="shared" ref="M10:AI10" si="1">SUM(M5:M9)</f>
        <v>-16478039.148087103</v>
      </c>
      <c r="N10" s="64">
        <f t="shared" si="1"/>
        <v>-15735918.450124849</v>
      </c>
      <c r="O10" s="64">
        <f t="shared" si="1"/>
        <v>7352010.5731501281</v>
      </c>
      <c r="P10" s="64">
        <f t="shared" si="1"/>
        <v>16491829.578662634</v>
      </c>
      <c r="Q10" s="64">
        <f t="shared" si="1"/>
        <v>19586015.597823665</v>
      </c>
      <c r="R10" s="64">
        <f t="shared" si="1"/>
        <v>21882078.922031231</v>
      </c>
      <c r="S10" s="64">
        <f t="shared" si="1"/>
        <v>24522970.426675022</v>
      </c>
      <c r="T10" s="64">
        <f t="shared" si="1"/>
        <v>27152929.875631444</v>
      </c>
      <c r="U10" s="64">
        <f t="shared" si="1"/>
        <v>57215423.841561183</v>
      </c>
      <c r="V10" s="64">
        <f t="shared" si="1"/>
        <v>68030818.450318515</v>
      </c>
      <c r="W10" s="64">
        <f t="shared" si="1"/>
        <v>57848122.4074305</v>
      </c>
      <c r="X10" s="64">
        <f t="shared" si="1"/>
        <v>60008444.188629255</v>
      </c>
      <c r="Y10" s="64">
        <f t="shared" si="1"/>
        <v>61587062.571810648</v>
      </c>
      <c r="Z10" s="64">
        <f t="shared" si="1"/>
        <v>63200435.687752463</v>
      </c>
      <c r="AA10" s="64">
        <f t="shared" si="1"/>
        <v>64998520.123252273</v>
      </c>
      <c r="AB10" s="64">
        <f t="shared" si="1"/>
        <v>66870994.689426407</v>
      </c>
      <c r="AC10" s="64">
        <f t="shared" si="1"/>
        <v>68496041.189537436</v>
      </c>
      <c r="AD10" s="64">
        <f t="shared" si="1"/>
        <v>69663077.841851696</v>
      </c>
      <c r="AE10" s="64">
        <f t="shared" si="1"/>
        <v>70829809.054003417</v>
      </c>
      <c r="AF10" s="64">
        <f t="shared" si="1"/>
        <v>72020548.79702954</v>
      </c>
      <c r="AG10" s="64">
        <f t="shared" si="1"/>
        <v>73235786.276875034</v>
      </c>
      <c r="AH10" s="64">
        <f t="shared" si="1"/>
        <v>74476020.620095819</v>
      </c>
      <c r="AI10" s="64">
        <f t="shared" si="1"/>
        <v>75741761.074564829</v>
      </c>
    </row>
    <row r="11" spans="2:35" x14ac:dyDescent="0.2">
      <c r="B11" s="826" t="s">
        <v>114</v>
      </c>
      <c r="C11" s="826"/>
      <c r="D11" s="7"/>
      <c r="E11" s="8"/>
      <c r="G11" s="5" t="s">
        <v>192</v>
      </c>
      <c r="H11" s="30">
        <f>SUM('NPV IRR'!C6:JR6)</f>
        <v>1129380740.370914</v>
      </c>
      <c r="O11" s="7"/>
    </row>
    <row r="12" spans="2:35" x14ac:dyDescent="0.2">
      <c r="B12" s="1" t="s">
        <v>116</v>
      </c>
      <c r="C12" s="38">
        <f>'Capital Contributions'!B7</f>
        <v>0.71322943391612637</v>
      </c>
      <c r="G12" s="5" t="s">
        <v>195</v>
      </c>
      <c r="H12" s="129">
        <f>'NPV IRR'!$B$10</f>
        <v>0.39179596304893494</v>
      </c>
      <c r="M12" s="322">
        <f>M2</f>
        <v>2026</v>
      </c>
      <c r="N12" s="5">
        <f>M12+1</f>
        <v>2027</v>
      </c>
      <c r="O12" s="5">
        <f t="shared" ref="O12:AI12" si="2">N12+1</f>
        <v>2028</v>
      </c>
      <c r="P12" s="5">
        <f t="shared" si="2"/>
        <v>2029</v>
      </c>
      <c r="Q12" s="5">
        <f t="shared" si="2"/>
        <v>2030</v>
      </c>
      <c r="R12" s="5">
        <f t="shared" si="2"/>
        <v>2031</v>
      </c>
      <c r="S12" s="5">
        <f t="shared" si="2"/>
        <v>2032</v>
      </c>
      <c r="T12" s="5">
        <f t="shared" si="2"/>
        <v>2033</v>
      </c>
      <c r="U12" s="5">
        <f t="shared" si="2"/>
        <v>2034</v>
      </c>
      <c r="V12" s="5">
        <f t="shared" si="2"/>
        <v>2035</v>
      </c>
      <c r="W12" s="5">
        <f t="shared" si="2"/>
        <v>2036</v>
      </c>
      <c r="X12" s="5">
        <f t="shared" si="2"/>
        <v>2037</v>
      </c>
      <c r="Y12" s="5">
        <f t="shared" si="2"/>
        <v>2038</v>
      </c>
      <c r="Z12" s="5">
        <f t="shared" si="2"/>
        <v>2039</v>
      </c>
      <c r="AA12" s="5">
        <f t="shared" si="2"/>
        <v>2040</v>
      </c>
      <c r="AB12" s="5">
        <f t="shared" si="2"/>
        <v>2041</v>
      </c>
      <c r="AC12" s="5">
        <f t="shared" si="2"/>
        <v>2042</v>
      </c>
      <c r="AD12" s="5">
        <f t="shared" si="2"/>
        <v>2043</v>
      </c>
      <c r="AE12" s="5">
        <f t="shared" si="2"/>
        <v>2044</v>
      </c>
      <c r="AF12" s="5">
        <f t="shared" si="2"/>
        <v>2045</v>
      </c>
      <c r="AG12" s="5">
        <f t="shared" si="2"/>
        <v>2046</v>
      </c>
      <c r="AH12" s="5">
        <f t="shared" si="2"/>
        <v>2047</v>
      </c>
      <c r="AI12" s="5">
        <f t="shared" si="2"/>
        <v>2048</v>
      </c>
    </row>
    <row r="13" spans="2:35" x14ac:dyDescent="0.2">
      <c r="B13" s="1" t="s">
        <v>104</v>
      </c>
      <c r="C13" s="7">
        <f>'Capital Contributions'!B8</f>
        <v>194866984.83765146</v>
      </c>
      <c r="G13" s="5" t="s">
        <v>237</v>
      </c>
      <c r="H13" s="98">
        <f>'NPV IRR'!$B$22</f>
        <v>233069711.85267803</v>
      </c>
      <c r="L13" s="3" t="s">
        <v>154</v>
      </c>
      <c r="M13" s="7">
        <f>SUMIF('NPV IRR'!$C$3:$JR$3,Summary!M$12,'NPV IRR'!$C$5:$JR$5)</f>
        <v>-74209902.962130517</v>
      </c>
      <c r="N13" s="7">
        <f>SUMIF('NPV IRR'!$C$3:$JR$3,Summary!N$12,'NPV IRR'!$C$5:$JR$5)</f>
        <v>-4140923.4278000938</v>
      </c>
      <c r="O13" s="7">
        <f>SUMIF('NPV IRR'!$C$3:$JR$3,Summary!O$12,'NPV IRR'!$C$5:$JR$5)</f>
        <v>0</v>
      </c>
      <c r="P13" s="7">
        <f>SUMIF('NPV IRR'!$C$3:$JR$3,Summary!P$12,'NPV IRR'!$C$5:$JR$5)</f>
        <v>0</v>
      </c>
      <c r="Q13" s="7">
        <f>SUMIF('NPV IRR'!$C$3:$JR$3,Summary!Q$12,'NPV IRR'!$C$5:$JR$5)</f>
        <v>0</v>
      </c>
      <c r="R13" s="7">
        <f>SUMIF('NPV IRR'!$C$3:$JR$3,Summary!R$12,'NPV IRR'!$C$5:$JR$5)</f>
        <v>0</v>
      </c>
      <c r="S13" s="7">
        <f>SUMIF('NPV IRR'!$C$3:$JR$3,Summary!S$12,'NPV IRR'!$C$5:$JR$5)</f>
        <v>0</v>
      </c>
      <c r="T13" s="7">
        <f>SUMIF('NPV IRR'!$C$3:$JR$3,Summary!T$12,'NPV IRR'!$C$5:$JR$5)</f>
        <v>0</v>
      </c>
      <c r="U13" s="7">
        <f>SUMIF('NPV IRR'!$C$3:$JR$3,Summary!U$12,'NPV IRR'!$C$5:$JR$5)</f>
        <v>0</v>
      </c>
      <c r="V13" s="7">
        <f>SUMIF('NPV IRR'!$C$3:$JR$3,Summary!V$12,'NPV IRR'!$C$5:$JR$5)</f>
        <v>0</v>
      </c>
      <c r="W13" s="7">
        <f>SUMIF('NPV IRR'!$C$3:$JR$3,Summary!W$12,'NPV IRR'!$C$5:$JR$5)</f>
        <v>0</v>
      </c>
      <c r="X13" s="7">
        <f>SUMIF('NPV IRR'!$C$3:$JR$3,Summary!X$12,'NPV IRR'!$C$5:$JR$5)</f>
        <v>0</v>
      </c>
      <c r="Y13" s="7">
        <f>SUMIF('NPV IRR'!$C$3:$JR$3,Summary!Y$12,'NPV IRR'!$C$5:$JR$5)</f>
        <v>0</v>
      </c>
      <c r="Z13" s="7">
        <f>SUMIF('NPV IRR'!$C$3:$JR$3,Summary!Z$12,'NPV IRR'!$C$5:$JR$5)</f>
        <v>0</v>
      </c>
      <c r="AA13" s="7">
        <f>SUMIF('NPV IRR'!$C$3:$JR$3,Summary!AA$12,'NPV IRR'!$C$5:$JR$5)</f>
        <v>0</v>
      </c>
      <c r="AB13" s="7">
        <f>SUMIF('NPV IRR'!$C$3:$JR$3,Summary!AB$12,'NPV IRR'!$C$5:$JR$5)</f>
        <v>0</v>
      </c>
      <c r="AC13" s="7">
        <f>SUMIF('NPV IRR'!$C$3:$JR$3,Summary!AC$12,'NPV IRR'!$C$5:$JR$5)</f>
        <v>0</v>
      </c>
      <c r="AD13" s="7">
        <f>SUMIF('NPV IRR'!$C$3:$JR$3,Summary!AD$12,'NPV IRR'!$C$5:$JR$5)</f>
        <v>0</v>
      </c>
      <c r="AE13" s="7">
        <f>SUMIF('NPV IRR'!$C$3:$JR$3,Summary!AE$12,'NPV IRR'!$C$5:$JR$5)</f>
        <v>0</v>
      </c>
      <c r="AF13" s="7">
        <f>SUMIF('NPV IRR'!$C$3:$JR$3,Summary!AF$12,'NPV IRR'!$C$5:$JR$5)</f>
        <v>0</v>
      </c>
      <c r="AG13" s="7">
        <f>SUMIF('NPV IRR'!$C$3:$JR$3,Summary!AG$12,'NPV IRR'!$C$5:$JR$5)</f>
        <v>0</v>
      </c>
      <c r="AH13" s="7">
        <f>SUMIF('NPV IRR'!$C$3:$JR$3,Summary!AH$12,'NPV IRR'!$C$5:$JR$5)</f>
        <v>0</v>
      </c>
      <c r="AI13" s="7">
        <f>SUMIF('NPV IRR'!$C$3:$JR$3,Summary!AI$12,'NPV IRR'!$C$5:$JR$5)</f>
        <v>0</v>
      </c>
    </row>
    <row r="14" spans="2:35" x14ac:dyDescent="0.2">
      <c r="B14" s="1" t="s">
        <v>105</v>
      </c>
      <c r="C14" s="208">
        <f>'Capital Contributions'!B9</f>
        <v>8.5000000000000006E-2</v>
      </c>
      <c r="G14" s="5" t="s">
        <v>260</v>
      </c>
      <c r="H14" s="127">
        <f>'NPV IRR'!$B$36</f>
        <v>0.20546600097656254</v>
      </c>
      <c r="L14" s="3" t="s">
        <v>165</v>
      </c>
      <c r="M14" s="7">
        <f>SUMIF(Financials!$C$6:$JR$6,Summary!M$12,Financials!$C$101:$JR$101)</f>
        <v>0</v>
      </c>
      <c r="N14" s="7">
        <f>SUMIF(Financials!$C$6:$JR$6,Summary!N$12,Financials!$C$101:$JR$101)</f>
        <v>8061833.3182707066</v>
      </c>
      <c r="O14" s="7">
        <f>SUMIF(Financials!$C$6:$JR$6,Summary!O$12,Financials!$C$101:$JR$101)</f>
        <v>11427056.342834271</v>
      </c>
      <c r="P14" s="7">
        <f>SUMIF(Financials!$C$6:$JR$6,Summary!P$12,Financials!$C$101:$JR$101)</f>
        <v>12253119.169806525</v>
      </c>
      <c r="Q14" s="7">
        <f>SUMIF(Financials!$C$6:$JR$6,Summary!Q$12,Financials!$C$101:$JR$101)</f>
        <v>13138898.145332925</v>
      </c>
      <c r="R14" s="7">
        <f>SUMIF(Financials!$C$6:$JR$6,Summary!R$12,Financials!$C$101:$JR$101)</f>
        <v>14088710.15462089</v>
      </c>
      <c r="S14" s="7">
        <f>SUMIF(Financials!$C$6:$JR$6,Summary!S$12,Financials!$C$101:$JR$101)</f>
        <v>15107184.150858499</v>
      </c>
      <c r="T14" s="7">
        <f>SUMIF(Financials!$C$6:$JR$6,Summary!T$12,Financials!$C$101:$JR$101)</f>
        <v>16199283.7146341</v>
      </c>
      <c r="U14" s="7">
        <f>SUMIF(Financials!$C$6:$JR$6,Summary!U$12,Financials!$C$101:$JR$101)</f>
        <v>17370331.244178101</v>
      </c>
      <c r="V14" s="7">
        <f>SUMIF(Financials!$C$6:$JR$6,Summary!V$12,Financials!$C$101:$JR$101)</f>
        <v>18626033.894319337</v>
      </c>
      <c r="W14" s="7">
        <f>SUMIF(Financials!$C$6:$JR$6,Summary!W$12,Financials!$C$101:$JR$101)</f>
        <v>19972511.390570667</v>
      </c>
      <c r="X14" s="7">
        <f>SUMIF(Financials!$C$6:$JR$6,Summary!X$12,Financials!$C$101:$JR$101)</f>
        <v>10800603.35279372</v>
      </c>
      <c r="Y14" s="7">
        <f>SUMIF(Financials!$C$6:$JR$6,Summary!Y$12,Financials!$C$101:$JR$101)</f>
        <v>7917507.1825256934</v>
      </c>
      <c r="Z14" s="7">
        <f>SUMIF(Financials!$C$6:$JR$6,Summary!Z$12,Financials!$C$101:$JR$101)</f>
        <v>8489864.4169303011</v>
      </c>
      <c r="AA14" s="7">
        <f>SUMIF(Financials!$C$6:$JR$6,Summary!AA$12,Financials!$C$101:$JR$101)</f>
        <v>9103597.4020886701</v>
      </c>
      <c r="AB14" s="7">
        <f>SUMIF(Financials!$C$6:$JR$6,Summary!AB$12,Financials!$C$101:$JR$101)</f>
        <v>9761697.1943682786</v>
      </c>
      <c r="AC14" s="7">
        <f>SUMIF(Financials!$C$6:$JR$6,Summary!AC$12,Financials!$C$101:$JR$101)</f>
        <v>2548753.7635188112</v>
      </c>
      <c r="AD14" s="7">
        <f>SUMIF(Financials!$C$6:$JR$6,Summary!AD$12,Financials!$C$101:$JR$101)</f>
        <v>0</v>
      </c>
      <c r="AE14" s="7">
        <f>SUMIF(Financials!$C$6:$JR$6,Summary!AE$12,Financials!$C$101:$JR$101)</f>
        <v>0</v>
      </c>
      <c r="AF14" s="7">
        <f>SUMIF(Financials!$C$6:$JR$6,Summary!AF$12,Financials!$C$101:$JR$101)</f>
        <v>0</v>
      </c>
      <c r="AG14" s="7">
        <f>SUMIF(Financials!$C$6:$JR$6,Summary!AG$12,Financials!$C$101:$JR$101)</f>
        <v>0</v>
      </c>
      <c r="AH14" s="7">
        <f>SUMIF(Financials!$C$6:$JR$6,Summary!AH$12,Financials!$C$101:$JR$101)</f>
        <v>0</v>
      </c>
      <c r="AI14" s="7">
        <f>SUMIF(Financials!$C$6:$JR$6,Summary!AI$12,Financials!$C$101:$JR$101)</f>
        <v>0</v>
      </c>
    </row>
    <row r="15" spans="2:35" x14ac:dyDescent="0.2">
      <c r="B15" s="1" t="s">
        <v>106</v>
      </c>
      <c r="C15" s="38" t="str">
        <f>'Capital Contributions'!B10</f>
        <v>COD</v>
      </c>
      <c r="L15" s="3" t="s">
        <v>15</v>
      </c>
      <c r="M15" s="7">
        <f>SUMIF(Financials!$C$6:$JR$6,Summary!M2,Financials!$C$100:$JR$100)</f>
        <v>0</v>
      </c>
      <c r="N15" s="7">
        <f>SUMIF(Financials!$C$6:$JR$6,Summary!N2,Financials!$C$100:$JR$100)</f>
        <v>0</v>
      </c>
      <c r="O15" s="7">
        <f>SUMIF(Financials!$C$6:$JR$6,Summary!O2,Financials!$C$100:$JR$100)</f>
        <v>0</v>
      </c>
      <c r="P15" s="7">
        <f>SUMIF(Financials!$C$6:$JR$6,Summary!P2,Financials!$C$100:$JR$100)</f>
        <v>0</v>
      </c>
      <c r="Q15" s="7">
        <f>SUMIF(Financials!$C$6:$JR$6,Summary!Q2,Financials!$C$100:$JR$100)</f>
        <v>0</v>
      </c>
      <c r="R15" s="7">
        <f>SUMIF(Financials!$C$6:$JR$6,Summary!R2,Financials!$C$100:$JR$100)</f>
        <v>0</v>
      </c>
      <c r="S15" s="7">
        <f>SUMIF(Financials!$C$6:$JR$6,Summary!S2,Financials!$C$100:$JR$100)</f>
        <v>0</v>
      </c>
      <c r="T15" s="7">
        <f>SUMIF(Financials!$C$6:$JR$6,Summary!T2,Financials!$C$100:$JR$100)</f>
        <v>1000000.0000000001</v>
      </c>
      <c r="U15" s="7">
        <f>SUMIF(Financials!$C$6:$JR$6,Summary!U2,Financials!$C$100:$JR$100)</f>
        <v>1000000.0000000001</v>
      </c>
      <c r="V15" s="7">
        <f>SUMIF(Financials!$C$6:$JR$6,Summary!V2,Financials!$C$100:$JR$100)</f>
        <v>1000000.0000000001</v>
      </c>
      <c r="W15" s="7">
        <f>SUMIF(Financials!$C$6:$JR$6,Summary!W2,Financials!$C$100:$JR$100)</f>
        <v>1000000.0000000001</v>
      </c>
      <c r="X15" s="7">
        <f>SUMIF(Financials!$C$6:$JR$6,Summary!X2,Financials!$C$100:$JR$100)</f>
        <v>1000000.0000000001</v>
      </c>
      <c r="Y15" s="7">
        <f>SUMIF(Financials!$C$6:$JR$6,Summary!Y2,Financials!$C$100:$JR$100)</f>
        <v>1000000.0000000001</v>
      </c>
      <c r="Z15" s="7">
        <f>SUMIF(Financials!$C$6:$JR$6,Summary!Z2,Financials!$C$100:$JR$100)</f>
        <v>1000000.0000000001</v>
      </c>
      <c r="AA15" s="7">
        <f>SUMIF(Financials!$C$6:$JR$6,Summary!AA2,Financials!$C$100:$JR$100)</f>
        <v>1000000.0000000001</v>
      </c>
      <c r="AB15" s="7">
        <f>SUMIF(Financials!$C$6:$JR$6,Summary!AB2,Financials!$C$100:$JR$100)</f>
        <v>1000000.0000000001</v>
      </c>
      <c r="AC15" s="7">
        <f>SUMIF(Financials!$C$6:$JR$6,Summary!AC2,Financials!$C$100:$JR$100)</f>
        <v>1000000.0000000001</v>
      </c>
      <c r="AD15" s="7">
        <f>SUMIF(Financials!$C$6:$JR$6,Summary!AD2,Financials!$C$100:$JR$100)</f>
        <v>1000000.0000000001</v>
      </c>
      <c r="AE15" s="7">
        <f>SUMIF(Financials!$C$6:$JR$6,Summary!AE2,Financials!$C$100:$JR$100)</f>
        <v>1000000.0000000001</v>
      </c>
      <c r="AF15" s="7">
        <f>SUMIF(Financials!$C$6:$JR$6,Summary!AF2,Financials!$C$100:$JR$100)</f>
        <v>1000000.0000000001</v>
      </c>
      <c r="AG15" s="7">
        <f>SUMIF(Financials!$C$6:$JR$6,Summary!AG2,Financials!$C$100:$JR$100)</f>
        <v>1000000.0000000001</v>
      </c>
      <c r="AH15" s="7">
        <f>SUMIF(Financials!$C$6:$JR$6,Summary!AH2,Financials!$C$100:$JR$100)</f>
        <v>1000000.0000000001</v>
      </c>
      <c r="AI15" s="7">
        <f>SUMIF(Financials!$C$6:$JR$6,Summary!AI2,Financials!$C$100:$JR$100)</f>
        <v>1000000.0000000001</v>
      </c>
    </row>
    <row r="16" spans="2:35" x14ac:dyDescent="0.2">
      <c r="B16" s="1" t="s">
        <v>115</v>
      </c>
      <c r="C16" s="38" t="str">
        <f>'Capital Contributions'!B11</f>
        <v>Yes</v>
      </c>
      <c r="L16" s="3" t="s">
        <v>193</v>
      </c>
      <c r="M16" s="7">
        <f>SUMIF('NPV IRR'!$C$3:$JR$3,Summary!M$12,'NPV IRR'!$C$6:$JR$6)</f>
        <v>0</v>
      </c>
      <c r="N16" s="7">
        <f>SUMIF('NPV IRR'!$C$3:$JR$3,Summary!N$12,'NPV IRR'!$C$6:$JR$6)</f>
        <v>10779994.59750643</v>
      </c>
      <c r="O16" s="7">
        <f>SUMIF('NPV IRR'!$C$3:$JR$3,Summary!O$12,'NPV IRR'!$C$6:$JR$6)</f>
        <v>30892539.937120374</v>
      </c>
      <c r="P16" s="7">
        <f>SUMIF('NPV IRR'!$C$3:$JR$3,Summary!P$12,'NPV IRR'!$C$6:$JR$6)</f>
        <v>38790608.306733631</v>
      </c>
      <c r="Q16" s="7">
        <f>SUMIF('NPV IRR'!$C$3:$JR$3,Summary!Q$12,'NPV IRR'!$C$6:$JR$6)</f>
        <v>40888594.998186514</v>
      </c>
      <c r="R16" s="7">
        <f>SUMIF('NPV IRR'!$C$3:$JR$3,Summary!R$12,'NPV IRR'!$C$6:$JR$6)</f>
        <v>42167533.747360125</v>
      </c>
      <c r="S16" s="7">
        <f>SUMIF('NPV IRR'!$C$3:$JR$3,Summary!S$12,'NPV IRR'!$C$6:$JR$6)</f>
        <v>43708830.380346</v>
      </c>
      <c r="T16" s="7">
        <f>SUMIF('NPV IRR'!$C$3:$JR$3,Summary!T$12,'NPV IRR'!$C$6:$JR$6)</f>
        <v>44355511.556982078</v>
      </c>
      <c r="U16" s="7">
        <f>SUMIF('NPV IRR'!$C$3:$JR$3,Summary!U$12,'NPV IRR'!$C$6:$JR$6)</f>
        <v>46010419.90183299</v>
      </c>
      <c r="V16" s="7">
        <f>SUMIF('NPV IRR'!$C$3:$JR$3,Summary!V$12,'NPV IRR'!$C$6:$JR$6)</f>
        <v>46585281.529755935</v>
      </c>
      <c r="W16" s="7">
        <f>SUMIF('NPV IRR'!$C$3:$JR$3,Summary!W$12,'NPV IRR'!$C$6:$JR$6)</f>
        <v>35768280.95328787</v>
      </c>
      <c r="X16" s="7">
        <f>SUMIF('NPV IRR'!$C$3:$JR$3,Summary!X$12,'NPV IRR'!$C$6:$JR$6)</f>
        <v>46669613.567029066</v>
      </c>
      <c r="Y16" s="7">
        <f>SUMIF('NPV IRR'!$C$3:$JR$3,Summary!Y$12,'NPV IRR'!$C$6:$JR$6)</f>
        <v>51043956.678520314</v>
      </c>
      <c r="Z16" s="7">
        <f>SUMIF('NPV IRR'!$C$3:$JR$3,Summary!Z$12,'NPV IRR'!$C$6:$JR$6)</f>
        <v>52168636.051694915</v>
      </c>
      <c r="AA16" s="7">
        <f>SUMIF('NPV IRR'!$C$3:$JR$3,Summary!AA$12,'NPV IRR'!$C$6:$JR$6)</f>
        <v>53293769.929519288</v>
      </c>
      <c r="AB16" s="7">
        <f>SUMIF('NPV IRR'!$C$3:$JR$3,Summary!AB$12,'NPV IRR'!$C$6:$JR$6)</f>
        <v>54447425.964719102</v>
      </c>
      <c r="AC16" s="7">
        <f>SUMIF('NPV IRR'!$C$3:$JR$3,Summary!AC$12,'NPV IRR'!$C$6:$JR$6)</f>
        <v>62843516.399131566</v>
      </c>
      <c r="AD16" s="7">
        <f>SUMIF('NPV IRR'!$C$3:$JR$3,Summary!AD$12,'NPV IRR'!$C$6:$JR$6)</f>
        <v>66373517.294172972</v>
      </c>
      <c r="AE16" s="7">
        <f>SUMIF('NPV IRR'!$C$3:$JR$3,Summary!AE$12,'NPV IRR'!$C$6:$JR$6)</f>
        <v>67481911.945717141</v>
      </c>
      <c r="AF16" s="7">
        <f>SUMIF('NPV IRR'!$C$3:$JR$3,Summary!AF$12,'NPV IRR'!$C$6:$JR$6)</f>
        <v>71045881.256349355</v>
      </c>
      <c r="AG16" s="7">
        <f>SUMIF('NPV IRR'!$C$3:$JR$3,Summary!AG$12,'NPV IRR'!$C$6:$JR$6)</f>
        <v>73439568.744679108</v>
      </c>
      <c r="AH16" s="7">
        <f>SUMIF('NPV IRR'!$C$3:$JR$3,Summary!AH$12,'NPV IRR'!$C$6:$JR$6)</f>
        <v>74679803.087899879</v>
      </c>
      <c r="AI16" s="7">
        <f>SUMIF('NPV IRR'!$C$3:$JR$3,Summary!AI$12,'NPV IRR'!$C$6:$JR$6)</f>
        <v>75945543.542368934</v>
      </c>
    </row>
    <row r="17" spans="2:35" x14ac:dyDescent="0.2">
      <c r="M17" s="7"/>
      <c r="N17" s="7"/>
      <c r="O17" s="7"/>
      <c r="P17" s="7"/>
      <c r="Q17" s="7"/>
      <c r="R17" s="7"/>
      <c r="S17" s="7"/>
      <c r="T17" s="7"/>
      <c r="U17" s="7"/>
      <c r="V17" s="7"/>
      <c r="W17" s="7"/>
      <c r="X17" s="7"/>
      <c r="Y17" s="7"/>
      <c r="Z17" s="7"/>
      <c r="AA17" s="7"/>
      <c r="AB17" s="7"/>
      <c r="AC17" s="7"/>
      <c r="AD17" s="7"/>
      <c r="AE17" s="7"/>
      <c r="AF17" s="7"/>
      <c r="AG17" s="7"/>
      <c r="AH17" s="7"/>
      <c r="AI17" s="7"/>
    </row>
    <row r="18" spans="2:35" x14ac:dyDescent="0.2">
      <c r="B18" s="826" t="s">
        <v>121</v>
      </c>
      <c r="C18" s="826"/>
    </row>
    <row r="19" spans="2:35" x14ac:dyDescent="0.2">
      <c r="B19" s="1" t="s">
        <v>98</v>
      </c>
      <c r="C19" s="1">
        <f>'Capital Contributions'!B14</f>
        <v>16</v>
      </c>
    </row>
    <row r="20" spans="2:35" x14ac:dyDescent="0.2">
      <c r="B20" s="1" t="s">
        <v>116</v>
      </c>
      <c r="C20" s="38">
        <f>'Capital Contributions'!B15</f>
        <v>0.35</v>
      </c>
    </row>
    <row r="21" spans="2:35" x14ac:dyDescent="0.2">
      <c r="B21" s="1" t="s">
        <v>104</v>
      </c>
      <c r="C21" s="7">
        <f>'Capital Contributions'!B16</f>
        <v>95626233.929653734</v>
      </c>
      <c r="N21" s="18"/>
      <c r="O21" s="18"/>
      <c r="P21" s="18"/>
      <c r="Q21" s="18"/>
      <c r="R21" s="18"/>
      <c r="S21" s="18"/>
      <c r="T21" s="18"/>
      <c r="U21" s="18"/>
      <c r="V21" s="18"/>
      <c r="W21" s="18"/>
      <c r="X21" s="18"/>
      <c r="Y21" s="18"/>
      <c r="Z21" s="18"/>
      <c r="AA21" s="18"/>
      <c r="AB21" s="18"/>
      <c r="AC21" s="18"/>
      <c r="AD21" s="18"/>
      <c r="AE21" s="18"/>
      <c r="AF21" s="18"/>
      <c r="AG21" s="18"/>
      <c r="AH21" s="18"/>
      <c r="AI21" s="18"/>
    </row>
    <row r="22" spans="2:35" x14ac:dyDescent="0.2">
      <c r="B22" s="1" t="s">
        <v>105</v>
      </c>
      <c r="C22" s="208">
        <f>'Capital Contributions'!B17</f>
        <v>7.0000000000000007E-2</v>
      </c>
      <c r="L22" s="826" t="s">
        <v>191</v>
      </c>
      <c r="M22" s="826"/>
    </row>
    <row r="23" spans="2:35" x14ac:dyDescent="0.2">
      <c r="B23" s="1" t="s">
        <v>106</v>
      </c>
      <c r="C23" s="1">
        <f>'Capital Contributions'!B18</f>
        <v>15</v>
      </c>
      <c r="H23" s="1" t="s">
        <v>266</v>
      </c>
      <c r="L23" s="3" t="s">
        <v>76</v>
      </c>
      <c r="M23" s="78">
        <f>SUM($M$5:$AI$5)</f>
        <v>1695297130.1008997</v>
      </c>
    </row>
    <row r="24" spans="2:35" x14ac:dyDescent="0.2">
      <c r="B24" s="1" t="s">
        <v>170</v>
      </c>
      <c r="C24" s="1">
        <f>'Capital Contributions'!B19</f>
        <v>196</v>
      </c>
      <c r="L24" s="3" t="s">
        <v>193</v>
      </c>
      <c r="M24" s="78">
        <f>SUM($M$16:$AI$16)</f>
        <v>1129380740.3709135</v>
      </c>
    </row>
    <row r="26" spans="2:35" x14ac:dyDescent="0.2">
      <c r="B26" s="826" t="s">
        <v>137</v>
      </c>
      <c r="C26" s="826"/>
      <c r="L26" s="47" t="s">
        <v>171</v>
      </c>
      <c r="M26" s="322">
        <f>M2+2</f>
        <v>2028</v>
      </c>
      <c r="N26" s="5">
        <f>M26+1</f>
        <v>2029</v>
      </c>
      <c r="O26" s="5">
        <f t="shared" ref="O26:AG26" si="3">N26+1</f>
        <v>2030</v>
      </c>
      <c r="P26" s="5">
        <f t="shared" si="3"/>
        <v>2031</v>
      </c>
      <c r="Q26" s="5">
        <f t="shared" si="3"/>
        <v>2032</v>
      </c>
      <c r="R26" s="5">
        <f t="shared" si="3"/>
        <v>2033</v>
      </c>
      <c r="S26" s="5">
        <f t="shared" si="3"/>
        <v>2034</v>
      </c>
      <c r="T26" s="5">
        <f t="shared" si="3"/>
        <v>2035</v>
      </c>
      <c r="U26" s="5">
        <f t="shared" si="3"/>
        <v>2036</v>
      </c>
      <c r="V26" s="5">
        <f t="shared" si="3"/>
        <v>2037</v>
      </c>
      <c r="W26" s="5">
        <f t="shared" si="3"/>
        <v>2038</v>
      </c>
      <c r="X26" s="5">
        <f t="shared" si="3"/>
        <v>2039</v>
      </c>
      <c r="Y26" s="5">
        <f t="shared" si="3"/>
        <v>2040</v>
      </c>
      <c r="Z26" s="5">
        <f t="shared" si="3"/>
        <v>2041</v>
      </c>
      <c r="AA26" s="5">
        <f t="shared" si="3"/>
        <v>2042</v>
      </c>
      <c r="AB26" s="5">
        <f t="shared" si="3"/>
        <v>2043</v>
      </c>
      <c r="AC26" s="5">
        <f t="shared" si="3"/>
        <v>2044</v>
      </c>
      <c r="AD26" s="5">
        <f t="shared" si="3"/>
        <v>2045</v>
      </c>
      <c r="AE26" s="5">
        <f t="shared" si="3"/>
        <v>2046</v>
      </c>
      <c r="AF26" s="5">
        <f t="shared" si="3"/>
        <v>2047</v>
      </c>
      <c r="AG26" s="5">
        <f t="shared" si="3"/>
        <v>2048</v>
      </c>
      <c r="AH26" s="37"/>
      <c r="AI26" s="37"/>
    </row>
    <row r="27" spans="2:35" x14ac:dyDescent="0.2">
      <c r="B27" s="1" t="s">
        <v>98</v>
      </c>
      <c r="C27" s="1">
        <f>'Capital Contributions'!B22</f>
        <v>16</v>
      </c>
      <c r="L27" s="3" t="s">
        <v>149</v>
      </c>
    </row>
    <row r="28" spans="2:35" x14ac:dyDescent="0.2">
      <c r="B28" s="1" t="s">
        <v>116</v>
      </c>
      <c r="C28" s="38">
        <f>'Capital Contributions'!B23</f>
        <v>0.36322943391612639</v>
      </c>
      <c r="L28" s="21" t="s">
        <v>166</v>
      </c>
      <c r="M28" s="78">
        <f>SUMIF(Financials!$C$6:$JR$6,Summary!M$26,Financials!$C$12:$JR$12)</f>
        <v>16398976.114098672</v>
      </c>
      <c r="N28" s="78">
        <f>SUMIF(Financials!$C$6:$JR$6,Summary!N$26,Financials!$C$12:$JR$12)</f>
        <v>21765913.751440059</v>
      </c>
      <c r="O28" s="78">
        <f>SUMIF(Financials!$C$6:$JR$6,Summary!O$26,Financials!$C$12:$JR$12)</f>
        <v>21825546.391854964</v>
      </c>
      <c r="P28" s="78">
        <f>SUMIF(Financials!$C$6:$JR$6,Summary!P$26,Financials!$C$12:$JR$12)</f>
        <v>21765913.751440059</v>
      </c>
      <c r="Q28" s="78">
        <f>SUMIF(Financials!$C$6:$JR$6,Summary!Q$26,Financials!$C$12:$JR$12)</f>
        <v>21765913.751440059</v>
      </c>
      <c r="R28" s="78">
        <f>SUMIF(Financials!$C$6:$JR$6,Summary!R$26,Financials!$C$12:$JR$12)</f>
        <v>21765913.751440059</v>
      </c>
      <c r="S28" s="78">
        <f>SUMIF(Financials!$C$6:$JR$6,Summary!S$26,Financials!$C$12:$JR$12)</f>
        <v>21765913.751440059</v>
      </c>
      <c r="T28" s="78">
        <f>SUMIF(Financials!$C$6:$JR$6,Summary!T$26,Financials!$C$12:$JR$12)</f>
        <v>21765913.751440059</v>
      </c>
      <c r="U28" s="78">
        <f>SUMIF(Financials!$C$6:$JR$6,Summary!U$26,Financials!$C$12:$JR$12)</f>
        <v>21765913.751440059</v>
      </c>
      <c r="V28" s="78">
        <f>SUMIF(Financials!$C$6:$JR$6,Summary!V$26,Financials!$C$12:$JR$12)</f>
        <v>21765913.751440059</v>
      </c>
      <c r="W28" s="78">
        <f>SUMIF(Financials!$C$6:$JR$6,Summary!W$26,Financials!$C$12:$JR$12)</f>
        <v>21765913.751440059</v>
      </c>
      <c r="X28" s="78">
        <f>SUMIF(Financials!$C$6:$JR$6,Summary!X$26,Financials!$C$12:$JR$12)</f>
        <v>21765913.751440059</v>
      </c>
      <c r="Y28" s="78">
        <f>SUMIF(Financials!$C$6:$JR$6,Summary!Y$26,Financials!$C$12:$JR$12)</f>
        <v>21765913.751440059</v>
      </c>
      <c r="Z28" s="78">
        <f>SUMIF(Financials!$C$6:$JR$6,Summary!Z$26,Financials!$C$12:$JR$12)</f>
        <v>21765913.751440059</v>
      </c>
      <c r="AA28" s="78">
        <f>SUMIF(Financials!$C$6:$JR$6,Summary!AA$26,Financials!$C$12:$JR$12)</f>
        <v>21765913.751440059</v>
      </c>
      <c r="AB28" s="78">
        <f>SUMIF(Financials!$C$6:$JR$6,Summary!AB$26,Financials!$C$12:$JR$12)</f>
        <v>21765913.751440059</v>
      </c>
      <c r="AC28" s="78">
        <f>SUMIF(Financials!$C$6:$JR$6,Summary!AC$26,Financials!$C$12:$JR$12)</f>
        <v>21765913.751440059</v>
      </c>
      <c r="AD28" s="78">
        <f>SUMIF(Financials!$C$6:$JR$6,Summary!AD$26,Financials!$C$12:$JR$12)</f>
        <v>21765913.751440059</v>
      </c>
      <c r="AE28" s="78">
        <f>SUMIF(Financials!$C$6:$JR$6,Summary!AE$26,Financials!$C$12:$JR$12)</f>
        <v>21765913.751440059</v>
      </c>
      <c r="AF28" s="78">
        <f>SUMIF(Financials!$C$6:$JR$6,Summary!AF$26,Financials!$C$12:$JR$12)</f>
        <v>21765913.751440059</v>
      </c>
      <c r="AG28" s="78">
        <f>SUMIF(Financials!$C$6:$JR$6,Summary!AG$26,Financials!$C$12:$JR$12)</f>
        <v>21765913.751440059</v>
      </c>
      <c r="AH28" s="78"/>
      <c r="AI28" s="78"/>
    </row>
    <row r="29" spans="2:35" x14ac:dyDescent="0.2">
      <c r="B29" s="1" t="s">
        <v>104</v>
      </c>
      <c r="C29" s="7">
        <f>'Capital Contributions'!B24</f>
        <v>99240750.907997727</v>
      </c>
      <c r="L29" s="21" t="s">
        <v>168</v>
      </c>
      <c r="M29" s="78">
        <f>SUMIF(Financials!$C$6:$JR$6,Summary!M$26,Financials!$C$28:$JR$28)-M28</f>
        <v>58267956.696295008</v>
      </c>
      <c r="N29" s="78">
        <f>SUMIF(Financials!$C$6:$JR$6,Summary!N$26,Financials!$C$28:$JR$28)-N28</f>
        <v>59444057.859087408</v>
      </c>
      <c r="O29" s="78">
        <f>SUMIF(Financials!$C$6:$JR$6,Summary!O$26,Financials!$C$28:$JR$28)-O28</f>
        <v>60808795.249334164</v>
      </c>
      <c r="P29" s="78">
        <f>SUMIF(Financials!$C$6:$JR$6,Summary!P$26,Financials!$C$28:$JR$28)-P28</f>
        <v>61867955.870508417</v>
      </c>
      <c r="Q29" s="78">
        <f>SUMIF(Financials!$C$6:$JR$6,Summary!Q$26,Financials!$C$28:$JR$28)-Q28</f>
        <v>63116720.69708623</v>
      </c>
      <c r="R29" s="78">
        <f>SUMIF(Financials!$C$6:$JR$6,Summary!R$26,Financials!$C$28:$JR$28)-R28</f>
        <v>64390691.037086219</v>
      </c>
      <c r="S29" s="78">
        <f>SUMIF(Financials!$C$6:$JR$6,Summary!S$26,Financials!$C$28:$JR$28)-S28</f>
        <v>65690375.647556499</v>
      </c>
      <c r="T29" s="78">
        <f>SUMIF(Financials!$C$6:$JR$6,Summary!T$26,Financials!$C$28:$JR$28)-T28</f>
        <v>67016293.554478288</v>
      </c>
      <c r="U29" s="78">
        <f>SUMIF(Financials!$C$6:$JR$6,Summary!U$26,Financials!$C$28:$JR$28)-U28</f>
        <v>68368974.260037825</v>
      </c>
      <c r="V29" s="78">
        <f>SUMIF(Financials!$C$6:$JR$6,Summary!V$26,Financials!$C$28:$JR$28)-V28</f>
        <v>69748957.954081908</v>
      </c>
      <c r="W29" s="78">
        <f>SUMIF(Financials!$C$6:$JR$6,Summary!W$26,Financials!$C$28:$JR$28)-W28</f>
        <v>71156795.729841217</v>
      </c>
      <c r="X29" s="78">
        <f>SUMIF(Financials!$C$6:$JR$6,Summary!X$26,Financials!$C$28:$JR$28)-X28</f>
        <v>72593049.80400832</v>
      </c>
      <c r="Y29" s="78">
        <f>SUMIF(Financials!$C$6:$JR$6,Summary!Y$26,Financials!$C$28:$JR$28)-Y28</f>
        <v>74058293.741257429</v>
      </c>
      <c r="Z29" s="78">
        <f>SUMIF(Financials!$C$6:$JR$6,Summary!Z$26,Financials!$C$28:$JR$28)-Z28</f>
        <v>75553112.683296144</v>
      </c>
      <c r="AA29" s="78">
        <f>SUMIF(Financials!$C$6:$JR$6,Summary!AA$26,Financials!$C$28:$JR$28)-AA28</f>
        <v>77078103.582540408</v>
      </c>
      <c r="AB29" s="78">
        <f>SUMIF(Financials!$C$6:$JR$6,Summary!AB$26,Financials!$C$28:$JR$28)-AB28</f>
        <v>78633875.440506086</v>
      </c>
      <c r="AC29" s="78">
        <f>SUMIF(Financials!$C$6:$JR$6,Summary!AC$26,Financials!$C$28:$JR$28)-AC28</f>
        <v>80221049.551012173</v>
      </c>
      <c r="AD29" s="78">
        <f>SUMIF(Financials!$C$6:$JR$6,Summary!AD$26,Financials!$C$28:$JR$28)-AD28</f>
        <v>81840259.748293221</v>
      </c>
      <c r="AE29" s="78">
        <f>SUMIF(Financials!$C$6:$JR$6,Summary!AE$26,Financials!$C$28:$JR$28)-AE28</f>
        <v>83492152.66011928</v>
      </c>
      <c r="AF29" s="78">
        <f>SUMIF(Financials!$C$6:$JR$6,Summary!AF$26,Financials!$C$28:$JR$28)-AF28</f>
        <v>85177387.966025412</v>
      </c>
      <c r="AG29" s="78">
        <f>SUMIF(Financials!$C$6:$JR$6,Summary!AG$26,Financials!$C$28:$JR$28)-AG28</f>
        <v>86896638.660752997</v>
      </c>
      <c r="AH29" s="78"/>
      <c r="AI29" s="78"/>
    </row>
    <row r="30" spans="2:35" x14ac:dyDescent="0.2">
      <c r="B30" s="1" t="s">
        <v>105</v>
      </c>
      <c r="C30" s="38">
        <f>'Capital Contributions'!B25</f>
        <v>7.0000000000000007E-2</v>
      </c>
      <c r="L30" s="21" t="s">
        <v>167</v>
      </c>
      <c r="M30" s="78">
        <f>SUMIF(Financials!$C$6:$JR$6,Summary!M$26,Financials!$C$35:$JR$35)</f>
        <v>-1405250</v>
      </c>
      <c r="N30" s="78">
        <f>SUMIF(Financials!$C$6:$JR$6,Summary!N$26,Financials!$C$35:$JR$35)</f>
        <v>-1405250</v>
      </c>
      <c r="O30" s="78">
        <f>SUMIF(Financials!$C$6:$JR$6,Summary!O$26,Financials!$C$35:$JR$35)</f>
        <v>-1409100</v>
      </c>
      <c r="P30" s="78">
        <f>SUMIF(Financials!$C$6:$JR$6,Summary!P$26,Financials!$C$35:$JR$35)</f>
        <v>-1405250</v>
      </c>
      <c r="Q30" s="78">
        <f>SUMIF(Financials!$C$6:$JR$6,Summary!Q$26,Financials!$C$35:$JR$35)</f>
        <v>-1405250</v>
      </c>
      <c r="R30" s="78">
        <f>SUMIF(Financials!$C$6:$JR$6,Summary!R$26,Financials!$C$35:$JR$35)</f>
        <v>-1405250</v>
      </c>
      <c r="S30" s="78">
        <f>SUMIF(Financials!$C$6:$JR$6,Summary!S$26,Financials!$C$35:$JR$35)</f>
        <v>-1405250</v>
      </c>
      <c r="T30" s="78">
        <f>SUMIF(Financials!$C$6:$JR$6,Summary!T$26,Financials!$C$35:$JR$35)</f>
        <v>-1405250</v>
      </c>
      <c r="U30" s="78">
        <f>SUMIF(Financials!$C$6:$JR$6,Summary!U$26,Financials!$C$35:$JR$35)</f>
        <v>-1405250</v>
      </c>
      <c r="V30" s="78">
        <f>SUMIF(Financials!$C$6:$JR$6,Summary!V$26,Financials!$C$35:$JR$35)</f>
        <v>-1405250</v>
      </c>
      <c r="W30" s="78">
        <f>SUMIF(Financials!$C$6:$JR$6,Summary!W$26,Financials!$C$35:$JR$35)</f>
        <v>-1405250</v>
      </c>
      <c r="X30" s="78">
        <f>SUMIF(Financials!$C$6:$JR$6,Summary!X$26,Financials!$C$35:$JR$35)</f>
        <v>-1405250</v>
      </c>
      <c r="Y30" s="78">
        <f>SUMIF(Financials!$C$6:$JR$6,Summary!Y$26,Financials!$C$35:$JR$35)</f>
        <v>-1405250</v>
      </c>
      <c r="Z30" s="78">
        <f>SUMIF(Financials!$C$6:$JR$6,Summary!Z$26,Financials!$C$35:$JR$35)</f>
        <v>-1405250</v>
      </c>
      <c r="AA30" s="78">
        <f>SUMIF(Financials!$C$6:$JR$6,Summary!AA$26,Financials!$C$35:$JR$35)</f>
        <v>-1405250</v>
      </c>
      <c r="AB30" s="78">
        <f>SUMIF(Financials!$C$6:$JR$6,Summary!AB$26,Financials!$C$35:$JR$35)</f>
        <v>-1405250</v>
      </c>
      <c r="AC30" s="78">
        <f>SUMIF(Financials!$C$6:$JR$6,Summary!AC$26,Financials!$C$35:$JR$35)</f>
        <v>-1405250</v>
      </c>
      <c r="AD30" s="78">
        <f>SUMIF(Financials!$C$6:$JR$6,Summary!AD$26,Financials!$C$35:$JR$35)</f>
        <v>-1405250</v>
      </c>
      <c r="AE30" s="78">
        <f>SUMIF(Financials!$C$6:$JR$6,Summary!AE$26,Financials!$C$35:$JR$35)</f>
        <v>-1405250</v>
      </c>
      <c r="AF30" s="78">
        <f>SUMIF(Financials!$C$6:$JR$6,Summary!AF$26,Financials!$C$35:$JR$35)</f>
        <v>-1405250</v>
      </c>
      <c r="AG30" s="78">
        <f>SUMIF(Financials!$C$6:$JR$6,Summary!AG$26,Financials!$C$35:$JR$35)</f>
        <v>-1405250</v>
      </c>
      <c r="AH30" s="78"/>
      <c r="AI30" s="78"/>
    </row>
    <row r="31" spans="2:35" x14ac:dyDescent="0.2">
      <c r="B31" s="1" t="s">
        <v>106</v>
      </c>
      <c r="C31" s="1">
        <f>'Capital Contributions'!B26</f>
        <v>10</v>
      </c>
      <c r="L31" s="43" t="s">
        <v>70</v>
      </c>
      <c r="M31" s="85">
        <f>SUM(M28:M30)</f>
        <v>73261682.810393676</v>
      </c>
      <c r="N31" s="85">
        <f t="shared" ref="N31" si="4">SUM(N28:N30)</f>
        <v>79804721.610527471</v>
      </c>
      <c r="O31" s="85">
        <f t="shared" ref="O31:AG31" si="5">SUM(O28:O30)</f>
        <v>81225241.641189128</v>
      </c>
      <c r="P31" s="85">
        <f t="shared" si="5"/>
        <v>82228619.621948481</v>
      </c>
      <c r="Q31" s="85">
        <f t="shared" si="5"/>
        <v>83477384.448526293</v>
      </c>
      <c r="R31" s="85">
        <f t="shared" si="5"/>
        <v>84751354.788526282</v>
      </c>
      <c r="S31" s="85">
        <f t="shared" si="5"/>
        <v>86051039.398996562</v>
      </c>
      <c r="T31" s="85">
        <f t="shared" si="5"/>
        <v>87376957.305918351</v>
      </c>
      <c r="U31" s="85">
        <f t="shared" si="5"/>
        <v>88729638.011477888</v>
      </c>
      <c r="V31" s="85">
        <f t="shared" si="5"/>
        <v>90109621.705521971</v>
      </c>
      <c r="W31" s="85">
        <f t="shared" si="5"/>
        <v>91517459.481281281</v>
      </c>
      <c r="X31" s="85">
        <f t="shared" si="5"/>
        <v>92953713.555448383</v>
      </c>
      <c r="Y31" s="85">
        <f t="shared" si="5"/>
        <v>94418957.492697492</v>
      </c>
      <c r="Z31" s="85">
        <f t="shared" si="5"/>
        <v>95913776.434736207</v>
      </c>
      <c r="AA31" s="85">
        <f t="shared" si="5"/>
        <v>97438767.333980471</v>
      </c>
      <c r="AB31" s="85">
        <f t="shared" si="5"/>
        <v>98994539.191946149</v>
      </c>
      <c r="AC31" s="85">
        <f t="shared" si="5"/>
        <v>100581713.30245224</v>
      </c>
      <c r="AD31" s="85">
        <f t="shared" si="5"/>
        <v>102200923.49973328</v>
      </c>
      <c r="AE31" s="85">
        <f t="shared" si="5"/>
        <v>103852816.41155934</v>
      </c>
      <c r="AF31" s="85">
        <f t="shared" si="5"/>
        <v>105538051.71746548</v>
      </c>
      <c r="AG31" s="85">
        <f t="shared" si="5"/>
        <v>107257302.41219306</v>
      </c>
      <c r="AH31" s="94"/>
      <c r="AI31" s="94"/>
    </row>
    <row r="32" spans="2:35" x14ac:dyDescent="0.2">
      <c r="B32" s="1" t="s">
        <v>170</v>
      </c>
      <c r="C32" s="1">
        <f>'Capital Contributions'!B27</f>
        <v>136</v>
      </c>
      <c r="L32" s="3"/>
      <c r="M32" s="94"/>
      <c r="N32" s="94"/>
      <c r="O32" s="94"/>
      <c r="P32" s="94"/>
      <c r="Q32" s="94"/>
      <c r="R32" s="94"/>
      <c r="S32" s="94"/>
      <c r="T32" s="94"/>
      <c r="U32" s="94"/>
      <c r="V32" s="94"/>
      <c r="W32" s="94"/>
      <c r="X32" s="94"/>
      <c r="Y32" s="94"/>
      <c r="Z32" s="94"/>
      <c r="AA32" s="94"/>
      <c r="AB32" s="94"/>
      <c r="AC32" s="94"/>
      <c r="AD32" s="94"/>
      <c r="AE32" s="94"/>
      <c r="AF32" s="94"/>
      <c r="AG32" s="94"/>
      <c r="AH32" s="94"/>
      <c r="AI32" s="94"/>
    </row>
    <row r="33" spans="2:35" x14ac:dyDescent="0.2">
      <c r="L33" s="1" t="s">
        <v>75</v>
      </c>
      <c r="M33" s="78">
        <f>SUMIF(Financials!$C$6:$JR$6,Summary!M$26,Financials!$C$56:$JR$56)</f>
        <v>16601801.022423323</v>
      </c>
      <c r="N33" s="78">
        <f>SUMIF(Financials!$C$6:$JR$6,Summary!N$26,Financials!$C$56:$JR$56)</f>
        <v>14831083.644016827</v>
      </c>
      <c r="O33" s="78">
        <f>SUMIF(Financials!$C$6:$JR$6,Summary!O$26,Financials!$C$56:$JR$56)</f>
        <v>14043196.631043853</v>
      </c>
      <c r="P33" s="78">
        <f>SUMIF(Financials!$C$6:$JR$6,Summary!P$26,Financials!$C$56:$JR$56)</f>
        <v>13700323.296883607</v>
      </c>
      <c r="Q33" s="78">
        <f>SUMIF(Financials!$C$6:$JR$6,Summary!Q$26,Financials!$C$56:$JR$56)</f>
        <v>13326670.615055252</v>
      </c>
      <c r="R33" s="78">
        <f>SUMIF(Financials!$C$6:$JR$6,Summary!R$26,Financials!$C$56:$JR$56)</f>
        <v>12919923.927017288</v>
      </c>
      <c r="S33" s="78">
        <f>SUMIF(Financials!$C$6:$JR$6,Summary!S$26,Financials!$C$56:$JR$56)</f>
        <v>12477599.753433967</v>
      </c>
      <c r="T33" s="78">
        <f>SUMIF(Financials!$C$6:$JR$6,Summary!T$26,Financials!$C$56:$JR$56)</f>
        <v>11997033.563115839</v>
      </c>
      <c r="U33" s="78">
        <f>SUMIF(Financials!$C$6:$JR$6,Summary!U$26,Financials!$C$56:$JR$56)</f>
        <v>11475366.657263037</v>
      </c>
      <c r="V33" s="78">
        <f>SUMIF(Financials!$C$6:$JR$6,Summary!V$26,Financials!$C$56:$JR$56)</f>
        <v>11210606.342172302</v>
      </c>
      <c r="W33" s="78">
        <f>SUMIF(Financials!$C$6:$JR$6,Summary!W$26,Financials!$C$56:$JR$56)</f>
        <v>11076025.625162283</v>
      </c>
      <c r="X33" s="78">
        <f>SUMIF(Financials!$C$6:$JR$6,Summary!X$26,Financials!$C$56:$JR$56)</f>
        <v>10925063.395949615</v>
      </c>
      <c r="Y33" s="78">
        <f>SUMIF(Financials!$C$6:$JR$6,Summary!Y$26,Financials!$C$56:$JR$56)</f>
        <v>10756434.773982326</v>
      </c>
      <c r="Z33" s="78">
        <f>SUMIF(Financials!$C$6:$JR$6,Summary!Z$26,Financials!$C$56:$JR$56)</f>
        <v>10568760.300582958</v>
      </c>
      <c r="AA33" s="78">
        <f>SUMIF(Financials!$C$6:$JR$6,Summary!AA$26,Financials!$C$56:$JR$56)</f>
        <v>10585140.268039811</v>
      </c>
      <c r="AB33" s="78">
        <f>SUMIF(Financials!$C$6:$JR$6,Summary!AB$26,Financials!$C$56:$JR$56)</f>
        <v>10711909.421827445</v>
      </c>
      <c r="AC33" s="78">
        <f>SUMIF(Financials!$C$6:$JR$6,Summary!AC$26,Financials!$C$56:$JR$56)</f>
        <v>10840669.517143866</v>
      </c>
      <c r="AD33" s="78">
        <f>SUMIF(Financials!$C$6:$JR$6,Summary!AD$26,Financials!$C$56:$JR$56)</f>
        <v>10971455.035642283</v>
      </c>
      <c r="AE33" s="78">
        <f>SUMIF(Financials!$C$6:$JR$6,Summary!AE$26,Financials!$C$56:$JR$56)</f>
        <v>11104301.09766149</v>
      </c>
      <c r="AF33" s="78">
        <f>SUMIF(Financials!$C$6:$JR$6,Summary!AF$26,Financials!$C$56:$JR$56)</f>
        <v>11239243.474541651</v>
      </c>
      <c r="AG33" s="78">
        <f>SUMIF(Financials!$C$6:$JR$6,Summary!AG$26,Financials!$C$56:$JR$56)</f>
        <v>11376318.601182895</v>
      </c>
      <c r="AH33" s="94"/>
      <c r="AI33" s="94"/>
    </row>
    <row r="34" spans="2:35" x14ac:dyDescent="0.2">
      <c r="L34" s="92" t="s">
        <v>172</v>
      </c>
      <c r="M34" s="79">
        <f>M33/M$31</f>
        <v>0.22660960526104673</v>
      </c>
      <c r="N34" s="79">
        <f t="shared" ref="N34:AG34" si="6">N33/N$31</f>
        <v>0.1858421825765805</v>
      </c>
      <c r="O34" s="79">
        <f t="shared" si="6"/>
        <v>0.17289202650919022</v>
      </c>
      <c r="P34" s="79">
        <f t="shared" si="6"/>
        <v>0.16661259011609036</v>
      </c>
      <c r="Q34" s="79">
        <f t="shared" si="6"/>
        <v>0.1596440844798237</v>
      </c>
      <c r="R34" s="79">
        <f t="shared" si="6"/>
        <v>0.15244504302326975</v>
      </c>
      <c r="S34" s="79">
        <f t="shared" si="6"/>
        <v>0.14500231305258898</v>
      </c>
      <c r="T34" s="79">
        <f t="shared" si="6"/>
        <v>0.13730202942536243</v>
      </c>
      <c r="U34" s="79">
        <f t="shared" si="6"/>
        <v>0.12932957819323693</v>
      </c>
      <c r="V34" s="79">
        <f t="shared" si="6"/>
        <v>0.1244107580299087</v>
      </c>
      <c r="W34" s="79">
        <f t="shared" si="6"/>
        <v>0.12102636685874942</v>
      </c>
      <c r="X34" s="79">
        <f t="shared" si="6"/>
        <v>0.11753229621571427</v>
      </c>
      <c r="Y34" s="79">
        <f t="shared" si="6"/>
        <v>0.11392240562298354</v>
      </c>
      <c r="Z34" s="79">
        <f t="shared" si="6"/>
        <v>0.11019022181630383</v>
      </c>
      <c r="AA34" s="79">
        <f t="shared" si="6"/>
        <v>0.10863376618628862</v>
      </c>
      <c r="AB34" s="79">
        <f t="shared" si="6"/>
        <v>0.10820707393826556</v>
      </c>
      <c r="AC34" s="79">
        <f t="shared" si="6"/>
        <v>0.10777972616697876</v>
      </c>
      <c r="AD34" s="79">
        <f t="shared" si="6"/>
        <v>0.10735181894585244</v>
      </c>
      <c r="AE34" s="79">
        <f t="shared" si="6"/>
        <v>0.10692344686788412</v>
      </c>
      <c r="AF34" s="79">
        <f t="shared" si="6"/>
        <v>0.10649470301602763</v>
      </c>
      <c r="AG34" s="79">
        <f t="shared" si="6"/>
        <v>0.1060656789359046</v>
      </c>
      <c r="AH34" s="94"/>
      <c r="AI34" s="94"/>
    </row>
    <row r="36" spans="2:35" x14ac:dyDescent="0.2">
      <c r="L36" s="80" t="s">
        <v>76</v>
      </c>
      <c r="M36" s="81">
        <f>HLOOKUP(M$26,$M$2:$AI$16,4,0)</f>
        <v>56659881.787970379</v>
      </c>
      <c r="N36" s="81">
        <f t="shared" ref="N36:AG36" si="7">HLOOKUP(N$26,$M$2:$AI$16,4,0)</f>
        <v>64973637.966510639</v>
      </c>
      <c r="O36" s="81">
        <f t="shared" si="7"/>
        <v>67182045.010145262</v>
      </c>
      <c r="P36" s="81">
        <f t="shared" si="7"/>
        <v>68528296.325064868</v>
      </c>
      <c r="Q36" s="81">
        <f t="shared" si="7"/>
        <v>70150713.833471045</v>
      </c>
      <c r="R36" s="81">
        <f t="shared" si="7"/>
        <v>71831430.86150901</v>
      </c>
      <c r="S36" s="81">
        <f t="shared" si="7"/>
        <v>73573439.645562604</v>
      </c>
      <c r="T36" s="81">
        <f t="shared" si="7"/>
        <v>75379923.742802516</v>
      </c>
      <c r="U36" s="81">
        <f t="shared" si="7"/>
        <v>77254271.354214847</v>
      </c>
      <c r="V36" s="81">
        <f t="shared" si="7"/>
        <v>78899015.363349661</v>
      </c>
      <c r="W36" s="81">
        <f t="shared" si="7"/>
        <v>80441433.856119007</v>
      </c>
      <c r="X36" s="81">
        <f t="shared" si="7"/>
        <v>82028650.159498796</v>
      </c>
      <c r="Y36" s="81">
        <f t="shared" si="7"/>
        <v>83662522.718715191</v>
      </c>
      <c r="Z36" s="81">
        <f t="shared" si="7"/>
        <v>85345016.134153247</v>
      </c>
      <c r="AA36" s="81">
        <f t="shared" si="7"/>
        <v>86853627.065940663</v>
      </c>
      <c r="AB36" s="81">
        <f t="shared" si="7"/>
        <v>88282629.770118698</v>
      </c>
      <c r="AC36" s="81">
        <f t="shared" si="7"/>
        <v>89741043.785308361</v>
      </c>
      <c r="AD36" s="81">
        <f t="shared" si="7"/>
        <v>91229468.464091003</v>
      </c>
      <c r="AE36" s="81">
        <f t="shared" si="7"/>
        <v>92748515.313897863</v>
      </c>
      <c r="AF36" s="81">
        <f t="shared" si="7"/>
        <v>94298808.242923841</v>
      </c>
      <c r="AG36" s="82">
        <f t="shared" si="7"/>
        <v>95880983.811010122</v>
      </c>
      <c r="AH36" s="94"/>
      <c r="AI36" s="94"/>
    </row>
    <row r="37" spans="2:35" x14ac:dyDescent="0.2">
      <c r="L37" s="91" t="s">
        <v>169</v>
      </c>
      <c r="M37" s="83">
        <f t="shared" ref="M37:AG37" si="8">M36/M31</f>
        <v>0.77339039473895366</v>
      </c>
      <c r="N37" s="83">
        <f t="shared" si="8"/>
        <v>0.81415781742341942</v>
      </c>
      <c r="O37" s="83">
        <f t="shared" si="8"/>
        <v>0.82710797349080956</v>
      </c>
      <c r="P37" s="83">
        <f t="shared" si="8"/>
        <v>0.83338740988390958</v>
      </c>
      <c r="Q37" s="83">
        <f t="shared" si="8"/>
        <v>0.8403559155201763</v>
      </c>
      <c r="R37" s="83">
        <f t="shared" si="8"/>
        <v>0.84755495697673044</v>
      </c>
      <c r="S37" s="83">
        <f t="shared" si="8"/>
        <v>0.85499768694741118</v>
      </c>
      <c r="T37" s="83">
        <f t="shared" si="8"/>
        <v>0.8626979705746376</v>
      </c>
      <c r="U37" s="83">
        <f t="shared" si="8"/>
        <v>0.87067042180676302</v>
      </c>
      <c r="V37" s="83">
        <f t="shared" si="8"/>
        <v>0.87558924197009125</v>
      </c>
      <c r="W37" s="83">
        <f t="shared" si="8"/>
        <v>0.87897363314125065</v>
      </c>
      <c r="X37" s="83">
        <f t="shared" si="8"/>
        <v>0.88246770378428607</v>
      </c>
      <c r="Y37" s="83">
        <f t="shared" si="8"/>
        <v>0.88607759437701672</v>
      </c>
      <c r="Z37" s="83">
        <f t="shared" si="8"/>
        <v>0.88980977818369611</v>
      </c>
      <c r="AA37" s="83">
        <f t="shared" si="8"/>
        <v>0.89136623381371138</v>
      </c>
      <c r="AB37" s="83">
        <f t="shared" si="8"/>
        <v>0.89179292606173444</v>
      </c>
      <c r="AC37" s="83">
        <f t="shared" si="8"/>
        <v>0.89222027383302116</v>
      </c>
      <c r="AD37" s="83">
        <f t="shared" si="8"/>
        <v>0.89264818105414756</v>
      </c>
      <c r="AE37" s="83">
        <f t="shared" si="8"/>
        <v>0.89307655313211598</v>
      </c>
      <c r="AF37" s="83">
        <f t="shared" si="8"/>
        <v>0.89350529698397252</v>
      </c>
      <c r="AG37" s="84">
        <f t="shared" si="8"/>
        <v>0.89393432106409498</v>
      </c>
      <c r="AH37" s="79"/>
      <c r="AI37" s="79"/>
    </row>
    <row r="39" spans="2:35" x14ac:dyDescent="0.2">
      <c r="B39" s="1" t="s">
        <v>800</v>
      </c>
      <c r="L39" s="1" t="s">
        <v>193</v>
      </c>
      <c r="M39" s="78">
        <f>HLOOKUP(M$26,$M$2:$AI$16,15,0)</f>
        <v>30892539.937120374</v>
      </c>
      <c r="N39" s="78">
        <f t="shared" ref="N39:AG39" si="9">HLOOKUP(N$26,$M$2:$AI$16,15,0)</f>
        <v>38790608.306733631</v>
      </c>
      <c r="O39" s="78">
        <f t="shared" si="9"/>
        <v>40888594.998186514</v>
      </c>
      <c r="P39" s="78">
        <f t="shared" si="9"/>
        <v>42167533.747360125</v>
      </c>
      <c r="Q39" s="78">
        <f t="shared" si="9"/>
        <v>43708830.380346</v>
      </c>
      <c r="R39" s="78">
        <f t="shared" si="9"/>
        <v>44355511.556982078</v>
      </c>
      <c r="S39" s="78">
        <f t="shared" si="9"/>
        <v>46010419.90183299</v>
      </c>
      <c r="T39" s="78">
        <f t="shared" si="9"/>
        <v>46585281.529755935</v>
      </c>
      <c r="U39" s="78">
        <f t="shared" si="9"/>
        <v>35768280.95328787</v>
      </c>
      <c r="V39" s="78">
        <f t="shared" si="9"/>
        <v>46669613.567029066</v>
      </c>
      <c r="W39" s="78">
        <f t="shared" si="9"/>
        <v>51043956.678520314</v>
      </c>
      <c r="X39" s="78">
        <f t="shared" si="9"/>
        <v>52168636.051694915</v>
      </c>
      <c r="Y39" s="78">
        <f t="shared" si="9"/>
        <v>53293769.929519288</v>
      </c>
      <c r="Z39" s="78">
        <f t="shared" si="9"/>
        <v>54447425.964719102</v>
      </c>
      <c r="AA39" s="78">
        <f t="shared" si="9"/>
        <v>62843516.399131566</v>
      </c>
      <c r="AB39" s="78">
        <f t="shared" si="9"/>
        <v>66373517.294172972</v>
      </c>
      <c r="AC39" s="78">
        <f t="shared" si="9"/>
        <v>67481911.945717141</v>
      </c>
      <c r="AD39" s="78">
        <f t="shared" si="9"/>
        <v>71045881.256349355</v>
      </c>
      <c r="AE39" s="78">
        <f t="shared" si="9"/>
        <v>73439568.744679108</v>
      </c>
      <c r="AF39" s="78">
        <f t="shared" si="9"/>
        <v>74679803.087899879</v>
      </c>
      <c r="AG39" s="78">
        <f t="shared" si="9"/>
        <v>75945543.542368934</v>
      </c>
      <c r="AH39" s="94"/>
      <c r="AI39" s="94"/>
    </row>
    <row r="40" spans="2:35" x14ac:dyDescent="0.2">
      <c r="L40" s="92" t="s">
        <v>169</v>
      </c>
      <c r="M40" s="79">
        <f t="shared" ref="M40:AG40" si="10">M39/M31</f>
        <v>0.4216739058133897</v>
      </c>
      <c r="N40" s="79">
        <f t="shared" si="10"/>
        <v>0.48606908869432797</v>
      </c>
      <c r="O40" s="79">
        <f t="shared" si="10"/>
        <v>0.50339764058580538</v>
      </c>
      <c r="P40" s="79">
        <f t="shared" si="10"/>
        <v>0.5128084837277842</v>
      </c>
      <c r="Q40" s="79">
        <f t="shared" si="10"/>
        <v>0.52360086110864767</v>
      </c>
      <c r="R40" s="79">
        <f t="shared" si="10"/>
        <v>0.52336050164223413</v>
      </c>
      <c r="S40" s="79">
        <f t="shared" si="10"/>
        <v>0.53468755546919655</v>
      </c>
      <c r="T40" s="79">
        <f t="shared" si="10"/>
        <v>0.53315293832737465</v>
      </c>
      <c r="U40" s="79">
        <f t="shared" si="10"/>
        <v>0.40311537108560003</v>
      </c>
      <c r="V40" s="79">
        <f t="shared" si="10"/>
        <v>0.51792042496355439</v>
      </c>
      <c r="W40" s="79">
        <f t="shared" si="10"/>
        <v>0.55775102333299253</v>
      </c>
      <c r="X40" s="79">
        <f t="shared" si="10"/>
        <v>0.56123240327106982</v>
      </c>
      <c r="Y40" s="79">
        <f t="shared" si="10"/>
        <v>0.56443929635254775</v>
      </c>
      <c r="Z40" s="79">
        <f t="shared" si="10"/>
        <v>0.56767054732504918</v>
      </c>
      <c r="AA40" s="79">
        <f t="shared" si="10"/>
        <v>0.64495393485151087</v>
      </c>
      <c r="AB40" s="79">
        <f t="shared" si="10"/>
        <v>0.6704765518982575</v>
      </c>
      <c r="AC40" s="79">
        <f t="shared" si="10"/>
        <v>0.67091631003338548</v>
      </c>
      <c r="AD40" s="79">
        <f t="shared" si="10"/>
        <v>0.69515889703809541</v>
      </c>
      <c r="AE40" s="79">
        <f t="shared" si="10"/>
        <v>0.7071504777842974</v>
      </c>
      <c r="AF40" s="79">
        <f t="shared" si="10"/>
        <v>0.70761021141288638</v>
      </c>
      <c r="AG40" s="79">
        <f t="shared" si="10"/>
        <v>0.70806874529165309</v>
      </c>
      <c r="AH40" s="79"/>
      <c r="AI40" s="79"/>
    </row>
    <row r="41" spans="2:35" x14ac:dyDescent="0.2">
      <c r="B41" s="10" t="str">
        <f>Financials!B12</f>
        <v>Income Power</v>
      </c>
      <c r="C41" s="18">
        <f>Financials!AG12</f>
        <v>1848611.8528620324</v>
      </c>
    </row>
    <row r="42" spans="2:35" x14ac:dyDescent="0.2">
      <c r="B42" s="10" t="str">
        <f>Financials!B13</f>
        <v>RNG Sale price</v>
      </c>
      <c r="C42" s="18">
        <f>Financials!AG13</f>
        <v>0</v>
      </c>
    </row>
    <row r="43" spans="2:35" x14ac:dyDescent="0.2">
      <c r="B43" s="10" t="str">
        <f>Financials!B14</f>
        <v xml:space="preserve">Activated Carbon Ash </v>
      </c>
      <c r="C43" s="18">
        <f>Financials!AG14</f>
        <v>1352512.9048503083</v>
      </c>
      <c r="L43" s="86" t="s">
        <v>123</v>
      </c>
      <c r="M43" s="87">
        <f>HLOOKUP(M$26,$M$2:$AI$10,9,0)</f>
        <v>7352010.5731501281</v>
      </c>
      <c r="N43" s="87">
        <f>HLOOKUP(N$26,$M$2:$AI$10,9,0)</f>
        <v>16491829.578662634</v>
      </c>
      <c r="O43" s="87">
        <f t="shared" ref="O43:AG43" si="11">HLOOKUP(O$26,$M$2:$AI$10,9,0)</f>
        <v>19586015.597823665</v>
      </c>
      <c r="P43" s="87">
        <f t="shared" si="11"/>
        <v>21882078.922031231</v>
      </c>
      <c r="Q43" s="87">
        <f t="shared" si="11"/>
        <v>24522970.426675022</v>
      </c>
      <c r="R43" s="87">
        <f t="shared" si="11"/>
        <v>27152929.875631444</v>
      </c>
      <c r="S43" s="87">
        <f t="shared" si="11"/>
        <v>57215423.841561183</v>
      </c>
      <c r="T43" s="87">
        <f t="shared" si="11"/>
        <v>68030818.450318515</v>
      </c>
      <c r="U43" s="87">
        <f t="shared" si="11"/>
        <v>57848122.4074305</v>
      </c>
      <c r="V43" s="87">
        <f t="shared" si="11"/>
        <v>60008444.188629255</v>
      </c>
      <c r="W43" s="87">
        <f t="shared" si="11"/>
        <v>61587062.571810648</v>
      </c>
      <c r="X43" s="87">
        <f t="shared" si="11"/>
        <v>63200435.687752463</v>
      </c>
      <c r="Y43" s="87">
        <f t="shared" si="11"/>
        <v>64998520.123252273</v>
      </c>
      <c r="Z43" s="87">
        <f t="shared" si="11"/>
        <v>66870994.689426407</v>
      </c>
      <c r="AA43" s="87">
        <f t="shared" si="11"/>
        <v>68496041.189537436</v>
      </c>
      <c r="AB43" s="87">
        <f t="shared" si="11"/>
        <v>69663077.841851696</v>
      </c>
      <c r="AC43" s="87">
        <f t="shared" si="11"/>
        <v>70829809.054003417</v>
      </c>
      <c r="AD43" s="87">
        <f t="shared" si="11"/>
        <v>72020548.79702954</v>
      </c>
      <c r="AE43" s="87">
        <f t="shared" si="11"/>
        <v>73235786.276875034</v>
      </c>
      <c r="AF43" s="87">
        <f t="shared" si="11"/>
        <v>74476020.620095819</v>
      </c>
      <c r="AG43" s="88">
        <f t="shared" si="11"/>
        <v>75741761.074564829</v>
      </c>
      <c r="AH43" s="94"/>
      <c r="AI43" s="94"/>
    </row>
    <row r="44" spans="2:35" x14ac:dyDescent="0.2">
      <c r="B44" s="10" t="str">
        <f>Financials!B15</f>
        <v>Aluminum</v>
      </c>
      <c r="C44" s="18">
        <f>Financials!AG15</f>
        <v>301604.16174117476</v>
      </c>
      <c r="L44" s="93" t="s">
        <v>169</v>
      </c>
      <c r="M44" s="89">
        <f t="shared" ref="M44:AG44" si="12">M43/M31</f>
        <v>0.1003527395374966</v>
      </c>
      <c r="N44" s="89">
        <f t="shared" si="12"/>
        <v>0.20665230384673264</v>
      </c>
      <c r="O44" s="89">
        <f t="shared" si="12"/>
        <v>0.241132130875578</v>
      </c>
      <c r="P44" s="89">
        <f t="shared" si="12"/>
        <v>0.26611268707459201</v>
      </c>
      <c r="Q44" s="89">
        <f t="shared" si="12"/>
        <v>0.29376783411076257</v>
      </c>
      <c r="R44" s="89">
        <f t="shared" si="12"/>
        <v>0.32038343154966809</v>
      </c>
      <c r="S44" s="89">
        <f t="shared" si="12"/>
        <v>0.66490101968748994</v>
      </c>
      <c r="T44" s="89">
        <f t="shared" si="12"/>
        <v>0.77858992288016593</v>
      </c>
      <c r="U44" s="89">
        <f t="shared" si="12"/>
        <v>0.65195940954867171</v>
      </c>
      <c r="V44" s="89">
        <f t="shared" si="12"/>
        <v>0.6659493520540648</v>
      </c>
      <c r="W44" s="89">
        <f t="shared" si="12"/>
        <v>0.67295424196524478</v>
      </c>
      <c r="X44" s="89">
        <f t="shared" si="12"/>
        <v>0.67991297249305038</v>
      </c>
      <c r="Y44" s="89">
        <f t="shared" si="12"/>
        <v>0.68840539918352051</v>
      </c>
      <c r="Z44" s="89">
        <f t="shared" si="12"/>
        <v>0.69719905914588054</v>
      </c>
      <c r="AA44" s="89">
        <f t="shared" si="12"/>
        <v>0.7029649806094207</v>
      </c>
      <c r="AB44" s="89">
        <f t="shared" si="12"/>
        <v>0.70370626915872592</v>
      </c>
      <c r="AC44" s="89">
        <f t="shared" si="12"/>
        <v>0.7042016558319707</v>
      </c>
      <c r="AD44" s="89">
        <f t="shared" si="12"/>
        <v>0.70469567525206844</v>
      </c>
      <c r="AE44" s="89">
        <f t="shared" si="12"/>
        <v>0.70518825398675966</v>
      </c>
      <c r="AF44" s="89">
        <f t="shared" si="12"/>
        <v>0.70567932047366755</v>
      </c>
      <c r="AG44" s="90">
        <f t="shared" si="12"/>
        <v>0.70616880502445367</v>
      </c>
      <c r="AH44" s="79"/>
      <c r="AI44" s="79"/>
    </row>
    <row r="45" spans="2:35" x14ac:dyDescent="0.2">
      <c r="B45" s="10" t="str">
        <f>Financials!B16</f>
        <v>Ferrous Metals</v>
      </c>
      <c r="C45" s="18">
        <f>Financials!AG16</f>
        <v>39018.170115707602</v>
      </c>
      <c r="L45" s="47"/>
      <c r="M45" s="79"/>
      <c r="N45" s="79"/>
      <c r="O45" s="79"/>
      <c r="P45" s="79"/>
      <c r="Q45" s="79"/>
    </row>
    <row r="46" spans="2:35" x14ac:dyDescent="0.2">
      <c r="B46" s="10" t="str">
        <f>Financials!B17</f>
        <v>Non-Ferrous Metals</v>
      </c>
      <c r="C46" s="18">
        <f>Financials!AG17</f>
        <v>807109.72860314383</v>
      </c>
      <c r="L46" s="47"/>
      <c r="M46" s="79"/>
      <c r="N46" s="79"/>
      <c r="O46" s="79"/>
      <c r="P46" s="79"/>
      <c r="Q46" s="79"/>
    </row>
    <row r="47" spans="2:35" x14ac:dyDescent="0.2">
      <c r="B47" s="10" t="str">
        <f>Financials!B18</f>
        <v>Steel from Tires</v>
      </c>
      <c r="C47" s="18">
        <f>Financials!AG18</f>
        <v>113278.55840044124</v>
      </c>
      <c r="L47" s="47"/>
      <c r="M47" s="79"/>
      <c r="N47" s="79"/>
      <c r="O47" s="79"/>
      <c r="P47" s="79"/>
      <c r="Q47" s="79"/>
    </row>
    <row r="48" spans="2:35" x14ac:dyDescent="0.2">
      <c r="B48" s="10" t="str">
        <f>Financials!B19</f>
        <v>Steel, OTR Tires</v>
      </c>
      <c r="C48" s="18">
        <f>Financials!AG19</f>
        <v>0</v>
      </c>
    </row>
    <row r="49" spans="2:3" x14ac:dyDescent="0.2">
      <c r="B49" s="10" t="str">
        <f>Financials!B20</f>
        <v xml:space="preserve">Carbon Black </v>
      </c>
      <c r="C49" s="18">
        <f>Financials!AG20</f>
        <v>719719.32559472276</v>
      </c>
    </row>
    <row r="50" spans="2:3" x14ac:dyDescent="0.2">
      <c r="B50" s="10" t="str">
        <f>Financials!B22</f>
        <v>Light Oil Sale</v>
      </c>
      <c r="C50" s="18">
        <f>Financials!AG22</f>
        <v>0</v>
      </c>
    </row>
    <row r="51" spans="2:3" x14ac:dyDescent="0.2">
      <c r="B51" s="10" t="str">
        <f>Financials!B23</f>
        <v>Diesel</v>
      </c>
      <c r="C51" s="18">
        <f>Financials!AG23</f>
        <v>0</v>
      </c>
    </row>
    <row r="52" spans="2:3" x14ac:dyDescent="0.2">
      <c r="B52" s="10" t="str">
        <f>Financials!B24</f>
        <v xml:space="preserve">JP </v>
      </c>
      <c r="C52" s="18">
        <f>Financials!AG24</f>
        <v>0</v>
      </c>
    </row>
    <row r="53" spans="2:3" x14ac:dyDescent="0.2">
      <c r="B53" s="10" t="str">
        <f>Financials!B25</f>
        <v>Gas</v>
      </c>
      <c r="C53" s="18">
        <f>Financials!AG25</f>
        <v>0</v>
      </c>
    </row>
    <row r="54" spans="2:3" x14ac:dyDescent="0.2">
      <c r="B54" s="10" t="str">
        <f>Financials!B26</f>
        <v>Lube oil</v>
      </c>
      <c r="C54" s="18">
        <f>Financials!AG26</f>
        <v>0</v>
      </c>
    </row>
    <row r="55" spans="2:3" x14ac:dyDescent="0.2">
      <c r="B55" s="10" t="str">
        <f>Financials!B27</f>
        <v>Petroleum Coke</v>
      </c>
      <c r="C55" s="18">
        <f>Financials!AG27</f>
        <v>0</v>
      </c>
    </row>
    <row r="56" spans="2:3" x14ac:dyDescent="0.2">
      <c r="B56" s="10" t="str">
        <f>Financials!B28</f>
        <v>Total Commodity Revenue</v>
      </c>
      <c r="C56" s="18">
        <f>Financials!AG28</f>
        <v>6801223.1847556569</v>
      </c>
    </row>
    <row r="57" spans="2:3" x14ac:dyDescent="0.2">
      <c r="B57" s="10" t="s">
        <v>266</v>
      </c>
    </row>
    <row r="58" spans="2:3" x14ac:dyDescent="0.2">
      <c r="B58" s="10" t="s">
        <v>266</v>
      </c>
    </row>
    <row r="59" spans="2:3" x14ac:dyDescent="0.2">
      <c r="B59" s="10" t="s">
        <v>266</v>
      </c>
    </row>
    <row r="60" spans="2:3" x14ac:dyDescent="0.2">
      <c r="B60" s="10">
        <f>SUM(C41+C51+C52+C53+C54+C55) / C56</f>
        <v>0.27180579178838493</v>
      </c>
    </row>
    <row r="61" spans="2:3" x14ac:dyDescent="0.2">
      <c r="B61" s="10" t="s">
        <v>266</v>
      </c>
    </row>
    <row r="72" spans="2:3" x14ac:dyDescent="0.2">
      <c r="B72" s="1" t="s">
        <v>266</v>
      </c>
    </row>
    <row r="74" spans="2:3" x14ac:dyDescent="0.2">
      <c r="B74" s="10" t="s">
        <v>267</v>
      </c>
    </row>
    <row r="75" spans="2:3" x14ac:dyDescent="0.2">
      <c r="B75" s="10" t="str">
        <f>Financials!B37</f>
        <v>Total Revenue</v>
      </c>
      <c r="C75" s="18">
        <f>Financials!AH37</f>
        <v>6690127.5369754806</v>
      </c>
    </row>
    <row r="76" spans="2:3" x14ac:dyDescent="0.2">
      <c r="B76" s="10" t="str">
        <f>Financials!B56</f>
        <v>Total Expenses</v>
      </c>
      <c r="C76" s="18">
        <f>Financials!AH56</f>
        <v>1384940.5707716723</v>
      </c>
    </row>
    <row r="77" spans="2:3" x14ac:dyDescent="0.2">
      <c r="B77" s="10" t="str">
        <f>Financials!B58</f>
        <v>EBITDA</v>
      </c>
      <c r="C77" s="18">
        <f>Financials!AH58</f>
        <v>5305186.9662038088</v>
      </c>
    </row>
    <row r="78" spans="2:3" x14ac:dyDescent="0.2">
      <c r="B78" s="10" t="s">
        <v>268</v>
      </c>
      <c r="C78" s="7">
        <f>SUM('Capital Contributions'!AJ31)</f>
        <v>2011784.8913553937</v>
      </c>
    </row>
    <row r="79" spans="2:3" x14ac:dyDescent="0.2">
      <c r="B79" s="10" t="s">
        <v>266</v>
      </c>
    </row>
    <row r="80" spans="2:3" x14ac:dyDescent="0.2">
      <c r="B80" s="10" t="s">
        <v>266</v>
      </c>
    </row>
    <row r="81" spans="2:2" x14ac:dyDescent="0.2">
      <c r="B81" s="10" t="s">
        <v>266</v>
      </c>
    </row>
    <row r="82" spans="2:2" x14ac:dyDescent="0.2">
      <c r="B82" s="10" t="s">
        <v>266</v>
      </c>
    </row>
    <row r="83" spans="2:2" x14ac:dyDescent="0.2">
      <c r="B83" s="10" t="s">
        <v>266</v>
      </c>
    </row>
    <row r="84" spans="2:2" x14ac:dyDescent="0.2">
      <c r="B84" s="10" t="s">
        <v>266</v>
      </c>
    </row>
    <row r="85" spans="2:2" x14ac:dyDescent="0.2">
      <c r="B85" s="10" t="s">
        <v>266</v>
      </c>
    </row>
  </sheetData>
  <mergeCells count="4">
    <mergeCell ref="L22:M22"/>
    <mergeCell ref="B11:C11"/>
    <mergeCell ref="B18:C18"/>
    <mergeCell ref="B26:C26"/>
  </mergeCells>
  <pageMargins left="0.7" right="0.7" top="0.75" bottom="0.75" header="0.3" footer="0.3"/>
  <pageSetup scale="65" orientation="landscape" r:id="rId1"/>
  <headerFooter>
    <oddHeader>&amp;CDjibouti 
Project Finance Model</oddHeader>
    <oddFooter>&amp;CStrictly Private and Confidential&amp;R&amp;P</oddFooter>
  </headerFooter>
  <colBreaks count="1" manualBreakCount="1">
    <brk id="25" min="1" max="42"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BB5B-9D4C-43E5-9653-7C94AD8133F2}">
  <dimension ref="A1:G103"/>
  <sheetViews>
    <sheetView workbookViewId="0">
      <selection activeCell="E15" sqref="E15"/>
    </sheetView>
  </sheetViews>
  <sheetFormatPr defaultRowHeight="15" x14ac:dyDescent="0.25"/>
  <cols>
    <col min="1" max="1" width="42" customWidth="1"/>
    <col min="2" max="2" width="8.42578125" customWidth="1"/>
    <col min="3" max="3" width="14.5703125" style="143" customWidth="1"/>
    <col min="4" max="4" width="13.85546875" style="147" customWidth="1"/>
    <col min="5" max="5" width="128.140625" style="143" customWidth="1"/>
  </cols>
  <sheetData>
    <row r="1" spans="1:5" x14ac:dyDescent="0.25">
      <c r="A1" s="324" t="s">
        <v>544</v>
      </c>
      <c r="C1" s="321">
        <v>2026</v>
      </c>
    </row>
    <row r="2" spans="1:5" x14ac:dyDescent="0.25">
      <c r="A2" s="324" t="s">
        <v>98</v>
      </c>
      <c r="C2" s="321">
        <v>1</v>
      </c>
    </row>
    <row r="3" spans="1:5" x14ac:dyDescent="0.25">
      <c r="A3" s="324" t="s">
        <v>340</v>
      </c>
      <c r="C3" s="321">
        <v>30</v>
      </c>
    </row>
    <row r="4" spans="1:5" x14ac:dyDescent="0.25">
      <c r="A4" s="324" t="s">
        <v>1087</v>
      </c>
      <c r="C4" s="321">
        <v>16</v>
      </c>
      <c r="E4" s="143" t="s">
        <v>1088</v>
      </c>
    </row>
    <row r="5" spans="1:5" x14ac:dyDescent="0.25">
      <c r="A5" s="324" t="s">
        <v>727</v>
      </c>
      <c r="C5" s="577">
        <v>2204.62</v>
      </c>
    </row>
    <row r="6" spans="1:5" x14ac:dyDescent="0.25">
      <c r="A6" s="324" t="s">
        <v>728</v>
      </c>
      <c r="C6" s="321">
        <v>365</v>
      </c>
    </row>
    <row r="7" spans="1:5" x14ac:dyDescent="0.25">
      <c r="A7" s="324" t="s">
        <v>1082</v>
      </c>
      <c r="C7" s="773">
        <v>0.01</v>
      </c>
      <c r="E7" s="143" t="s">
        <v>1083</v>
      </c>
    </row>
    <row r="8" spans="1:5" x14ac:dyDescent="0.25">
      <c r="A8" s="324" t="s">
        <v>1090</v>
      </c>
      <c r="C8" s="773">
        <v>2.1999999999999999E-2</v>
      </c>
      <c r="E8" s="143" t="s">
        <v>1084</v>
      </c>
    </row>
    <row r="9" spans="1:5" x14ac:dyDescent="0.25">
      <c r="A9" s="324" t="s">
        <v>1091</v>
      </c>
      <c r="C9" s="773">
        <v>0.02</v>
      </c>
      <c r="E9" s="143" t="s">
        <v>1084</v>
      </c>
    </row>
    <row r="10" spans="1:5" x14ac:dyDescent="0.25">
      <c r="A10" s="324" t="s">
        <v>756</v>
      </c>
      <c r="B10" s="324" t="s">
        <v>753</v>
      </c>
      <c r="C10" s="321">
        <v>365</v>
      </c>
      <c r="E10" s="143" t="s">
        <v>1021</v>
      </c>
    </row>
    <row r="11" spans="1:5" x14ac:dyDescent="0.25">
      <c r="A11" s="324" t="s">
        <v>757</v>
      </c>
      <c r="B11" s="324" t="s">
        <v>753</v>
      </c>
      <c r="C11" s="321">
        <v>365</v>
      </c>
      <c r="E11" s="143" t="s">
        <v>1021</v>
      </c>
    </row>
    <row r="12" spans="1:5" x14ac:dyDescent="0.25">
      <c r="A12" s="324" t="s">
        <v>552</v>
      </c>
      <c r="B12" s="324" t="s">
        <v>553</v>
      </c>
      <c r="C12" s="144">
        <v>3.9656699999999998</v>
      </c>
    </row>
    <row r="13" spans="1:5" x14ac:dyDescent="0.25">
      <c r="A13" s="324" t="s">
        <v>738</v>
      </c>
      <c r="B13" s="324" t="s">
        <v>737</v>
      </c>
      <c r="C13" s="144">
        <v>19</v>
      </c>
      <c r="E13" s="143" t="s">
        <v>754</v>
      </c>
    </row>
    <row r="14" spans="1:5" x14ac:dyDescent="0.25">
      <c r="A14" s="324" t="s">
        <v>752</v>
      </c>
      <c r="B14" s="324" t="s">
        <v>753</v>
      </c>
      <c r="C14" s="144">
        <v>7</v>
      </c>
      <c r="E14" s="143" t="s">
        <v>755</v>
      </c>
    </row>
    <row r="15" spans="1:5" x14ac:dyDescent="0.25">
      <c r="A15" s="324" t="s">
        <v>789</v>
      </c>
      <c r="B15" s="324" t="s">
        <v>790</v>
      </c>
      <c r="C15" s="144">
        <v>55</v>
      </c>
      <c r="E15" s="143" t="s">
        <v>801</v>
      </c>
    </row>
    <row r="16" spans="1:5" ht="15.75" x14ac:dyDescent="0.25">
      <c r="A16" s="593" t="s">
        <v>719</v>
      </c>
      <c r="C16" s="591">
        <v>0.1</v>
      </c>
    </row>
    <row r="17" spans="1:5" ht="15.75" x14ac:dyDescent="0.25">
      <c r="A17" s="593" t="s">
        <v>722</v>
      </c>
      <c r="C17" s="592">
        <v>5</v>
      </c>
    </row>
    <row r="18" spans="1:5" ht="15.75" x14ac:dyDescent="0.25">
      <c r="A18" s="593" t="s">
        <v>832</v>
      </c>
      <c r="B18" s="324" t="s">
        <v>174</v>
      </c>
      <c r="C18" s="591">
        <v>0.6</v>
      </c>
      <c r="E18" s="607" t="s">
        <v>740</v>
      </c>
    </row>
    <row r="19" spans="1:5" ht="15.75" x14ac:dyDescent="0.25">
      <c r="A19" s="593" t="s">
        <v>852</v>
      </c>
      <c r="B19" s="324" t="s">
        <v>853</v>
      </c>
      <c r="C19" s="646">
        <v>44</v>
      </c>
      <c r="E19" s="607" t="s">
        <v>1022</v>
      </c>
    </row>
    <row r="20" spans="1:5" ht="15.75" x14ac:dyDescent="0.25">
      <c r="A20" s="324" t="s">
        <v>888</v>
      </c>
      <c r="B20" s="321"/>
      <c r="C20" s="654">
        <v>0.05</v>
      </c>
      <c r="E20" s="143" t="s">
        <v>1023</v>
      </c>
    </row>
    <row r="21" spans="1:5" x14ac:dyDescent="0.25">
      <c r="A21" s="324" t="s">
        <v>1024</v>
      </c>
      <c r="B21" s="321"/>
      <c r="C21" s="656">
        <v>45000000</v>
      </c>
      <c r="E21" s="143" t="s">
        <v>889</v>
      </c>
    </row>
    <row r="22" spans="1:5" x14ac:dyDescent="0.25">
      <c r="A22" s="324" t="s">
        <v>964</v>
      </c>
      <c r="B22" s="321"/>
      <c r="C22" s="672">
        <v>0.9</v>
      </c>
      <c r="E22" s="143" t="s">
        <v>1025</v>
      </c>
    </row>
    <row r="23" spans="1:5" x14ac:dyDescent="0.25">
      <c r="A23" s="324" t="s">
        <v>1135</v>
      </c>
      <c r="B23" s="321"/>
      <c r="C23" s="792">
        <v>28</v>
      </c>
      <c r="E23" s="143" t="s">
        <v>1136</v>
      </c>
    </row>
    <row r="24" spans="1:5" x14ac:dyDescent="0.25">
      <c r="A24" s="324" t="s">
        <v>966</v>
      </c>
      <c r="B24" s="321"/>
      <c r="C24" s="676" t="s">
        <v>983</v>
      </c>
      <c r="E24" s="143" t="s">
        <v>967</v>
      </c>
    </row>
    <row r="25" spans="1:5" x14ac:dyDescent="0.25">
      <c r="A25" s="324" t="s">
        <v>971</v>
      </c>
      <c r="B25" s="321"/>
      <c r="C25" s="676">
        <v>0.8</v>
      </c>
      <c r="E25" s="143" t="s">
        <v>1026</v>
      </c>
    </row>
    <row r="26" spans="1:5" x14ac:dyDescent="0.25">
      <c r="A26" s="324" t="s">
        <v>968</v>
      </c>
      <c r="B26" s="321"/>
      <c r="C26" s="676" t="s">
        <v>969</v>
      </c>
      <c r="E26" s="143" t="s">
        <v>970</v>
      </c>
    </row>
    <row r="27" spans="1:5" x14ac:dyDescent="0.25">
      <c r="A27" s="324" t="s">
        <v>1008</v>
      </c>
      <c r="B27" s="321"/>
      <c r="C27" s="676" t="s">
        <v>969</v>
      </c>
      <c r="E27" s="143" t="s">
        <v>1009</v>
      </c>
    </row>
    <row r="28" spans="1:5" x14ac:dyDescent="0.25">
      <c r="A28" s="134"/>
      <c r="B28" s="321"/>
    </row>
    <row r="29" spans="1:5" ht="30" x14ac:dyDescent="0.25">
      <c r="A29" s="597" t="s">
        <v>306</v>
      </c>
      <c r="B29" s="597" t="s">
        <v>309</v>
      </c>
      <c r="C29" s="598" t="s">
        <v>307</v>
      </c>
      <c r="D29" s="599" t="s">
        <v>308</v>
      </c>
      <c r="E29" s="598" t="s">
        <v>304</v>
      </c>
    </row>
    <row r="30" spans="1:5" x14ac:dyDescent="0.25">
      <c r="A30" s="600" t="s">
        <v>328</v>
      </c>
      <c r="B30" s="601" t="s">
        <v>42</v>
      </c>
      <c r="C30" s="602">
        <f>IF(C26="N",D30,(0))</f>
        <v>66.55</v>
      </c>
      <c r="D30" s="677">
        <v>66.55</v>
      </c>
      <c r="E30" s="604" t="s">
        <v>413</v>
      </c>
    </row>
    <row r="31" spans="1:5" x14ac:dyDescent="0.25">
      <c r="A31" s="600" t="s">
        <v>410</v>
      </c>
      <c r="B31" s="601" t="s">
        <v>369</v>
      </c>
      <c r="C31" s="637">
        <f>'Power Production'!E30</f>
        <v>37.335737800465985</v>
      </c>
      <c r="D31" s="603"/>
      <c r="E31" s="604" t="s">
        <v>1027</v>
      </c>
    </row>
    <row r="32" spans="1:5" x14ac:dyDescent="0.25">
      <c r="A32" s="600" t="s">
        <v>411</v>
      </c>
      <c r="B32" s="601" t="s">
        <v>369</v>
      </c>
      <c r="C32" s="637">
        <f>SUM(C31-10)</f>
        <v>27.335737800465985</v>
      </c>
      <c r="D32" s="603"/>
      <c r="E32" s="604" t="s">
        <v>1113</v>
      </c>
    </row>
    <row r="33" spans="1:7" ht="30" x14ac:dyDescent="0.25">
      <c r="A33" s="600" t="s">
        <v>1093</v>
      </c>
      <c r="B33" s="605" t="s">
        <v>246</v>
      </c>
      <c r="C33" s="612">
        <f>SUM(D33 * $C$22)</f>
        <v>630</v>
      </c>
      <c r="D33" s="671">
        <v>700</v>
      </c>
      <c r="E33" s="607" t="s">
        <v>1094</v>
      </c>
    </row>
    <row r="34" spans="1:7" x14ac:dyDescent="0.25">
      <c r="A34" s="600" t="s">
        <v>303</v>
      </c>
      <c r="B34" s="605" t="s">
        <v>246</v>
      </c>
      <c r="C34" s="612">
        <f t="shared" ref="C34:C40" si="0">SUM(D34 * $C$22)</f>
        <v>900</v>
      </c>
      <c r="D34" s="671">
        <v>1000</v>
      </c>
      <c r="E34" s="653" t="s">
        <v>305</v>
      </c>
    </row>
    <row r="35" spans="1:7" x14ac:dyDescent="0.25">
      <c r="A35" s="600" t="s">
        <v>963</v>
      </c>
      <c r="B35" s="605" t="s">
        <v>246</v>
      </c>
      <c r="C35" s="612">
        <f>SUM(D35 * $C$22)</f>
        <v>9000</v>
      </c>
      <c r="D35" s="674">
        <v>10000</v>
      </c>
      <c r="E35" s="675" t="s">
        <v>965</v>
      </c>
    </row>
    <row r="36" spans="1:7" x14ac:dyDescent="0.25">
      <c r="A36" s="608" t="s">
        <v>1</v>
      </c>
      <c r="B36" s="605" t="s">
        <v>246</v>
      </c>
      <c r="C36" s="612">
        <f t="shared" si="0"/>
        <v>1917</v>
      </c>
      <c r="D36" s="671">
        <v>2130</v>
      </c>
      <c r="E36" s="609" t="s">
        <v>330</v>
      </c>
    </row>
    <row r="37" spans="1:7" x14ac:dyDescent="0.25">
      <c r="A37" s="608" t="s">
        <v>2</v>
      </c>
      <c r="B37" s="605" t="s">
        <v>246</v>
      </c>
      <c r="C37" s="612">
        <f t="shared" si="0"/>
        <v>180</v>
      </c>
      <c r="D37" s="671">
        <v>200</v>
      </c>
      <c r="E37" s="653" t="s">
        <v>1114</v>
      </c>
      <c r="G37" t="s">
        <v>266</v>
      </c>
    </row>
    <row r="38" spans="1:7" x14ac:dyDescent="0.25">
      <c r="A38" s="608" t="s">
        <v>3</v>
      </c>
      <c r="B38" s="605" t="s">
        <v>246</v>
      </c>
      <c r="C38" s="612">
        <f t="shared" si="0"/>
        <v>7695</v>
      </c>
      <c r="D38" s="671">
        <v>8550</v>
      </c>
      <c r="E38" s="653" t="s">
        <v>1092</v>
      </c>
    </row>
    <row r="39" spans="1:7" x14ac:dyDescent="0.25">
      <c r="A39" s="608" t="s">
        <v>4</v>
      </c>
      <c r="B39" s="605" t="s">
        <v>246</v>
      </c>
      <c r="C39" s="612">
        <f t="shared" si="0"/>
        <v>237.6</v>
      </c>
      <c r="D39" s="671">
        <v>264</v>
      </c>
      <c r="E39" s="609" t="s">
        <v>330</v>
      </c>
    </row>
    <row r="40" spans="1:7" x14ac:dyDescent="0.25">
      <c r="A40" s="608" t="s">
        <v>5</v>
      </c>
      <c r="B40" s="605" t="s">
        <v>246</v>
      </c>
      <c r="C40" s="612">
        <f t="shared" si="0"/>
        <v>270</v>
      </c>
      <c r="D40" s="671">
        <v>300</v>
      </c>
      <c r="E40" s="607" t="s">
        <v>310</v>
      </c>
    </row>
    <row r="41" spans="1:7" x14ac:dyDescent="0.25">
      <c r="A41" s="608" t="s">
        <v>7</v>
      </c>
      <c r="B41" s="605" t="s">
        <v>246</v>
      </c>
      <c r="C41" s="606">
        <v>-7</v>
      </c>
      <c r="D41" s="610">
        <v>70</v>
      </c>
      <c r="E41" s="607" t="s">
        <v>884</v>
      </c>
    </row>
    <row r="42" spans="1:7" x14ac:dyDescent="0.25">
      <c r="A42" s="608" t="s">
        <v>8</v>
      </c>
      <c r="B42" s="605" t="s">
        <v>246</v>
      </c>
      <c r="C42" s="606">
        <v>0</v>
      </c>
      <c r="D42" s="610">
        <v>22</v>
      </c>
      <c r="E42" s="607" t="s">
        <v>885</v>
      </c>
    </row>
    <row r="43" spans="1:7" x14ac:dyDescent="0.25">
      <c r="A43" s="608" t="s">
        <v>9</v>
      </c>
      <c r="B43" s="605" t="s">
        <v>42</v>
      </c>
      <c r="C43" s="606">
        <v>0</v>
      </c>
      <c r="D43" s="652">
        <v>0</v>
      </c>
      <c r="E43" s="607" t="s">
        <v>887</v>
      </c>
    </row>
    <row r="44" spans="1:7" x14ac:dyDescent="0.25">
      <c r="A44" s="608" t="s">
        <v>10</v>
      </c>
      <c r="B44" s="605" t="s">
        <v>41</v>
      </c>
      <c r="C44" s="606">
        <v>0</v>
      </c>
      <c r="D44" s="652">
        <v>0</v>
      </c>
      <c r="E44" s="607" t="s">
        <v>886</v>
      </c>
    </row>
    <row r="45" spans="1:7" x14ac:dyDescent="0.25">
      <c r="A45" s="608" t="s">
        <v>535</v>
      </c>
      <c r="B45" s="605" t="s">
        <v>536</v>
      </c>
      <c r="C45" s="606">
        <v>0</v>
      </c>
      <c r="D45" s="652">
        <v>70</v>
      </c>
      <c r="E45" s="607" t="s">
        <v>538</v>
      </c>
    </row>
    <row r="46" spans="1:7" x14ac:dyDescent="0.25">
      <c r="A46" s="608" t="s">
        <v>177</v>
      </c>
      <c r="B46" s="605" t="s">
        <v>329</v>
      </c>
      <c r="C46" s="606">
        <v>0</v>
      </c>
      <c r="D46" s="611" t="s">
        <v>266</v>
      </c>
      <c r="E46" s="609" t="s">
        <v>375</v>
      </c>
    </row>
    <row r="47" spans="1:7" x14ac:dyDescent="0.25">
      <c r="A47" s="608" t="s">
        <v>179</v>
      </c>
      <c r="B47" s="605" t="s">
        <v>329</v>
      </c>
      <c r="C47" s="606">
        <v>0</v>
      </c>
      <c r="D47" s="611" t="s">
        <v>266</v>
      </c>
      <c r="E47" s="609" t="s">
        <v>373</v>
      </c>
    </row>
    <row r="48" spans="1:7" x14ac:dyDescent="0.25">
      <c r="A48" s="608" t="s">
        <v>180</v>
      </c>
      <c r="B48" s="605" t="s">
        <v>329</v>
      </c>
      <c r="C48" s="606">
        <v>0</v>
      </c>
      <c r="D48" s="611" t="s">
        <v>266</v>
      </c>
      <c r="E48" s="609" t="s">
        <v>374</v>
      </c>
    </row>
    <row r="49" spans="1:5" x14ac:dyDescent="0.25">
      <c r="A49" s="608" t="s">
        <v>181</v>
      </c>
      <c r="B49" s="605" t="s">
        <v>329</v>
      </c>
      <c r="C49" s="612">
        <f>SUM(D49/42)</f>
        <v>0</v>
      </c>
      <c r="D49" s="611">
        <v>0</v>
      </c>
      <c r="E49" s="609" t="s">
        <v>376</v>
      </c>
    </row>
    <row r="50" spans="1:5" x14ac:dyDescent="0.25">
      <c r="A50" s="600" t="s">
        <v>248</v>
      </c>
      <c r="B50" s="605" t="s">
        <v>329</v>
      </c>
      <c r="C50" s="606">
        <v>0</v>
      </c>
      <c r="D50" s="611" t="s">
        <v>266</v>
      </c>
      <c r="E50" s="609" t="s">
        <v>377</v>
      </c>
    </row>
    <row r="51" spans="1:5" x14ac:dyDescent="0.25">
      <c r="A51" s="600" t="s">
        <v>419</v>
      </c>
      <c r="B51" s="605" t="s">
        <v>420</v>
      </c>
      <c r="C51" s="673">
        <f>IF(C26="N",0,(D51*C22))</f>
        <v>0</v>
      </c>
      <c r="D51" s="611">
        <v>8</v>
      </c>
      <c r="E51" s="609" t="s">
        <v>546</v>
      </c>
    </row>
    <row r="52" spans="1:5" ht="45" x14ac:dyDescent="0.25">
      <c r="A52" s="613" t="s">
        <v>318</v>
      </c>
      <c r="B52" s="614"/>
      <c r="C52" s="615" t="s">
        <v>370</v>
      </c>
      <c r="D52" s="616" t="s">
        <v>371</v>
      </c>
      <c r="E52" s="617"/>
    </row>
    <row r="53" spans="1:5" x14ac:dyDescent="0.25">
      <c r="A53" s="623" t="s">
        <v>317</v>
      </c>
      <c r="B53" s="605" t="s">
        <v>314</v>
      </c>
      <c r="C53" s="618">
        <v>550</v>
      </c>
      <c r="D53" s="619"/>
      <c r="E53" s="607" t="s">
        <v>876</v>
      </c>
    </row>
    <row r="54" spans="1:5" x14ac:dyDescent="0.25">
      <c r="A54" s="623" t="s">
        <v>313</v>
      </c>
      <c r="B54" s="605" t="s">
        <v>314</v>
      </c>
      <c r="C54" s="618">
        <v>100</v>
      </c>
      <c r="D54" s="619"/>
      <c r="E54" s="607" t="s">
        <v>855</v>
      </c>
    </row>
    <row r="55" spans="1:5" x14ac:dyDescent="0.25">
      <c r="A55" s="623" t="s">
        <v>739</v>
      </c>
      <c r="B55" s="605" t="s">
        <v>174</v>
      </c>
      <c r="C55" s="620">
        <v>3.1E-2</v>
      </c>
      <c r="D55" s="619"/>
      <c r="E55" s="607" t="s">
        <v>973</v>
      </c>
    </row>
    <row r="56" spans="1:5" x14ac:dyDescent="0.25">
      <c r="A56" s="623" t="s">
        <v>3</v>
      </c>
      <c r="B56" s="605" t="s">
        <v>174</v>
      </c>
      <c r="C56" s="621">
        <v>1.4999999999999999E-2</v>
      </c>
      <c r="D56" s="619"/>
      <c r="E56" s="607" t="s">
        <v>973</v>
      </c>
    </row>
    <row r="57" spans="1:5" x14ac:dyDescent="0.25">
      <c r="A57" s="623" t="s">
        <v>741</v>
      </c>
      <c r="B57" s="605" t="s">
        <v>174</v>
      </c>
      <c r="C57" s="621">
        <v>5.0000000000000001E-4</v>
      </c>
      <c r="D57" s="619"/>
      <c r="E57" s="607" t="s">
        <v>973</v>
      </c>
    </row>
    <row r="58" spans="1:5" x14ac:dyDescent="0.25">
      <c r="A58" s="623" t="s">
        <v>802</v>
      </c>
      <c r="B58" s="605" t="s">
        <v>174</v>
      </c>
      <c r="C58" s="621">
        <v>0.15</v>
      </c>
      <c r="D58" s="619"/>
      <c r="E58" s="607" t="s">
        <v>742</v>
      </c>
    </row>
    <row r="59" spans="1:5" x14ac:dyDescent="0.25">
      <c r="A59" s="638" t="str">
        <f>A33</f>
        <v xml:space="preserve">Activated Carbon Ash </v>
      </c>
      <c r="B59" s="622" t="s">
        <v>247</v>
      </c>
      <c r="C59" s="634">
        <f>'Calc Summary'!B15</f>
        <v>67.544633573282255</v>
      </c>
      <c r="D59" s="618" t="s">
        <v>266</v>
      </c>
      <c r="E59" s="829" t="s">
        <v>799</v>
      </c>
    </row>
    <row r="60" spans="1:5" x14ac:dyDescent="0.25">
      <c r="A60" s="638" t="str">
        <f>A36</f>
        <v>Aluminum</v>
      </c>
      <c r="B60" s="622" t="s">
        <v>247</v>
      </c>
      <c r="C60" s="635">
        <f>SUM('Calc Summary'!B18 * C18)</f>
        <v>4.95</v>
      </c>
      <c r="D60" s="618" t="s">
        <v>266</v>
      </c>
      <c r="E60" s="829"/>
    </row>
    <row r="61" spans="1:5" x14ac:dyDescent="0.25">
      <c r="A61" s="638" t="str">
        <f>A37</f>
        <v>Ferrous Metals</v>
      </c>
      <c r="B61" s="622" t="s">
        <v>247</v>
      </c>
      <c r="C61" s="635">
        <f>SUM('Calc Summary'!B17 * (1-C18))</f>
        <v>6.8200000000000109</v>
      </c>
      <c r="D61" s="618" t="s">
        <v>266</v>
      </c>
      <c r="E61" s="829"/>
    </row>
    <row r="62" spans="1:5" x14ac:dyDescent="0.25">
      <c r="A62" s="638" t="str">
        <f>A38</f>
        <v>Non-Ferrous Metals</v>
      </c>
      <c r="B62" s="622" t="s">
        <v>247</v>
      </c>
      <c r="C62" s="635">
        <f>SUM('Calc Summary'!B18 * (100% - C18))</f>
        <v>3.3000000000000003</v>
      </c>
      <c r="D62" s="618" t="s">
        <v>266</v>
      </c>
      <c r="E62" s="829"/>
    </row>
    <row r="63" spans="1:5" x14ac:dyDescent="0.25">
      <c r="A63" s="623" t="str">
        <f>A34</f>
        <v xml:space="preserve">Carbon Black </v>
      </c>
      <c r="B63" s="622" t="s">
        <v>247</v>
      </c>
      <c r="C63" s="635">
        <f>IF(C24 ="N",D63,(D63*C25))</f>
        <v>25.16</v>
      </c>
      <c r="D63" s="678">
        <f>'Calc Summary'!B16</f>
        <v>31.45</v>
      </c>
      <c r="E63" s="830"/>
    </row>
    <row r="64" spans="1:5" x14ac:dyDescent="0.25">
      <c r="A64" s="623" t="str">
        <f>A35</f>
        <v>Graphene</v>
      </c>
      <c r="B64" s="622" t="s">
        <v>247</v>
      </c>
      <c r="C64" s="635">
        <f>SUM(D63-C63) * C22</f>
        <v>5.6609999999999996</v>
      </c>
      <c r="D64" s="618"/>
      <c r="E64" s="607" t="s">
        <v>972</v>
      </c>
    </row>
    <row r="65" spans="1:5" ht="29.25" customHeight="1" x14ac:dyDescent="0.25">
      <c r="A65" s="827" t="s">
        <v>311</v>
      </c>
      <c r="B65" s="624" t="s">
        <v>312</v>
      </c>
      <c r="C65" s="625">
        <v>0.25</v>
      </c>
      <c r="D65" s="776">
        <v>0.25</v>
      </c>
      <c r="E65" s="829" t="s">
        <v>1086</v>
      </c>
    </row>
    <row r="66" spans="1:5" ht="43.5" customHeight="1" x14ac:dyDescent="0.25">
      <c r="A66" s="828"/>
      <c r="B66" s="624" t="s">
        <v>316</v>
      </c>
      <c r="C66" s="626">
        <f>SUM((((C54- (C54* 15%)) * C65) * (C5/52.27)) * 7.48)</f>
        <v>6704.119934953128</v>
      </c>
      <c r="D66" s="619"/>
      <c r="E66" s="829"/>
    </row>
    <row r="67" spans="1:5" ht="43.5" customHeight="1" x14ac:dyDescent="0.25">
      <c r="A67" s="623" t="str">
        <f>A46</f>
        <v>Diesel</v>
      </c>
      <c r="B67" s="624" t="s">
        <v>319</v>
      </c>
      <c r="C67" s="636">
        <v>0.2</v>
      </c>
      <c r="D67" s="619"/>
      <c r="E67" s="829" t="s">
        <v>320</v>
      </c>
    </row>
    <row r="68" spans="1:5" ht="43.5" customHeight="1" x14ac:dyDescent="0.25">
      <c r="A68" s="623" t="str">
        <f t="shared" ref="A68:A71" si="1">A47</f>
        <v xml:space="preserve">JP </v>
      </c>
      <c r="B68" s="624" t="s">
        <v>319</v>
      </c>
      <c r="C68" s="636">
        <v>0.2</v>
      </c>
      <c r="D68" s="619"/>
      <c r="E68" s="830"/>
    </row>
    <row r="69" spans="1:5" ht="43.5" customHeight="1" x14ac:dyDescent="0.25">
      <c r="A69" s="623" t="str">
        <f t="shared" si="1"/>
        <v>Gas</v>
      </c>
      <c r="B69" s="624" t="s">
        <v>319</v>
      </c>
      <c r="C69" s="636">
        <v>0.2</v>
      </c>
      <c r="D69" s="619"/>
      <c r="E69" s="830"/>
    </row>
    <row r="70" spans="1:5" ht="43.5" customHeight="1" x14ac:dyDescent="0.25">
      <c r="A70" s="623" t="str">
        <f t="shared" si="1"/>
        <v>Lube oil</v>
      </c>
      <c r="B70" s="624" t="s">
        <v>319</v>
      </c>
      <c r="C70" s="636">
        <v>0.2</v>
      </c>
      <c r="D70" s="619"/>
      <c r="E70" s="830"/>
    </row>
    <row r="71" spans="1:5" x14ac:dyDescent="0.25">
      <c r="A71" s="623" t="str">
        <f t="shared" si="1"/>
        <v>Petroleum Coke</v>
      </c>
      <c r="B71" s="624" t="s">
        <v>319</v>
      </c>
      <c r="C71" s="636">
        <v>0.2</v>
      </c>
      <c r="D71" s="619"/>
      <c r="E71" s="830"/>
    </row>
    <row r="72" spans="1:5" x14ac:dyDescent="0.25">
      <c r="A72" s="627" t="s">
        <v>281</v>
      </c>
      <c r="B72" s="628"/>
      <c r="C72" s="622">
        <v>3.7854100000000002</v>
      </c>
      <c r="D72" s="619"/>
      <c r="E72" s="607" t="s">
        <v>315</v>
      </c>
    </row>
    <row r="73" spans="1:5" x14ac:dyDescent="0.25">
      <c r="A73" s="627" t="s">
        <v>400</v>
      </c>
      <c r="B73" s="628"/>
      <c r="C73" s="622">
        <v>119.240471</v>
      </c>
      <c r="D73" s="619"/>
      <c r="E73" s="607" t="s">
        <v>372</v>
      </c>
    </row>
    <row r="74" spans="1:5" x14ac:dyDescent="0.25">
      <c r="A74" s="600" t="s">
        <v>321</v>
      </c>
      <c r="B74" s="624" t="s">
        <v>174</v>
      </c>
      <c r="C74" s="629">
        <v>0.15</v>
      </c>
      <c r="D74" s="619"/>
      <c r="E74" s="607" t="s">
        <v>322</v>
      </c>
    </row>
    <row r="75" spans="1:5" x14ac:dyDescent="0.25">
      <c r="A75" s="600" t="s">
        <v>417</v>
      </c>
      <c r="B75" s="624" t="s">
        <v>724</v>
      </c>
      <c r="C75" s="630">
        <f>'Stage 3 Gas Opt'!B7</f>
        <v>7539.0971129191566</v>
      </c>
      <c r="D75" s="619"/>
      <c r="E75" s="607" t="s">
        <v>418</v>
      </c>
    </row>
    <row r="76" spans="1:5" x14ac:dyDescent="0.25">
      <c r="A76" s="631" t="s">
        <v>798</v>
      </c>
      <c r="B76" s="632" t="s">
        <v>605</v>
      </c>
      <c r="C76" s="633">
        <v>22</v>
      </c>
      <c r="D76" s="619"/>
      <c r="E76" s="607" t="s">
        <v>266</v>
      </c>
    </row>
    <row r="79" spans="1:5" x14ac:dyDescent="0.25">
      <c r="A79" s="199" t="s">
        <v>389</v>
      </c>
      <c r="B79" s="199"/>
      <c r="C79" s="200"/>
      <c r="D79" s="201"/>
    </row>
    <row r="80" spans="1:5" x14ac:dyDescent="0.25">
      <c r="C80" s="143" t="s">
        <v>390</v>
      </c>
    </row>
    <row r="81" spans="1:5" x14ac:dyDescent="0.25">
      <c r="A81" s="308" t="s">
        <v>403</v>
      </c>
      <c r="C81" s="13">
        <v>2160000</v>
      </c>
      <c r="E81" s="143" t="s">
        <v>414</v>
      </c>
    </row>
    <row r="82" spans="1:5" x14ac:dyDescent="0.25">
      <c r="A82" s="308" t="s">
        <v>401</v>
      </c>
      <c r="C82" s="13">
        <v>250000</v>
      </c>
      <c r="E82" s="143" t="s">
        <v>391</v>
      </c>
    </row>
    <row r="83" spans="1:5" x14ac:dyDescent="0.25">
      <c r="A83" s="308" t="s">
        <v>20</v>
      </c>
      <c r="C83" s="145">
        <f>SUM(D84:D90)</f>
        <v>1537000</v>
      </c>
      <c r="E83" s="143" t="s">
        <v>392</v>
      </c>
    </row>
    <row r="84" spans="1:5" ht="30" x14ac:dyDescent="0.25">
      <c r="A84" s="3"/>
      <c r="C84" s="13"/>
      <c r="D84" s="203">
        <v>1200000</v>
      </c>
      <c r="E84" s="143" t="s">
        <v>405</v>
      </c>
    </row>
    <row r="85" spans="1:5" x14ac:dyDescent="0.25">
      <c r="A85" s="3"/>
      <c r="C85" s="13"/>
      <c r="D85" s="210">
        <v>0</v>
      </c>
      <c r="E85" s="143" t="s">
        <v>426</v>
      </c>
    </row>
    <row r="86" spans="1:5" x14ac:dyDescent="0.25">
      <c r="A86" s="3"/>
      <c r="C86" s="13"/>
      <c r="D86" s="203">
        <v>170000</v>
      </c>
      <c r="E86" s="143" t="s">
        <v>402</v>
      </c>
    </row>
    <row r="87" spans="1:5" x14ac:dyDescent="0.25">
      <c r="A87" s="3"/>
      <c r="C87" s="13"/>
      <c r="D87" s="203">
        <v>0</v>
      </c>
      <c r="E87" s="143" t="s">
        <v>404</v>
      </c>
    </row>
    <row r="88" spans="1:5" x14ac:dyDescent="0.25">
      <c r="A88" s="3"/>
      <c r="C88" s="13"/>
      <c r="D88" s="203"/>
      <c r="E88" s="143" t="s">
        <v>398</v>
      </c>
    </row>
    <row r="89" spans="1:5" x14ac:dyDescent="0.25">
      <c r="A89" s="3"/>
      <c r="C89" s="13"/>
      <c r="D89" s="203">
        <v>82000</v>
      </c>
      <c r="E89" s="143" t="s">
        <v>393</v>
      </c>
    </row>
    <row r="90" spans="1:5" x14ac:dyDescent="0.25">
      <c r="A90" s="3"/>
      <c r="C90" s="13"/>
      <c r="D90" s="203">
        <v>85000</v>
      </c>
      <c r="E90" s="143" t="s">
        <v>394</v>
      </c>
    </row>
    <row r="91" spans="1:5" x14ac:dyDescent="0.25">
      <c r="A91" s="308" t="s">
        <v>1079</v>
      </c>
      <c r="C91" s="771">
        <f>Insurance!E12</f>
        <v>7511416.2775470056</v>
      </c>
      <c r="E91" s="143" t="s">
        <v>1080</v>
      </c>
    </row>
    <row r="92" spans="1:5" x14ac:dyDescent="0.25">
      <c r="A92" s="308" t="s">
        <v>421</v>
      </c>
      <c r="C92" s="214">
        <v>19088.490000000002</v>
      </c>
      <c r="E92" s="143" t="s">
        <v>424</v>
      </c>
    </row>
    <row r="93" spans="1:5" x14ac:dyDescent="0.25">
      <c r="A93" s="308" t="s">
        <v>21</v>
      </c>
      <c r="C93" s="13">
        <v>80000</v>
      </c>
      <c r="E93" s="143" t="s">
        <v>425</v>
      </c>
    </row>
    <row r="94" spans="1:5" x14ac:dyDescent="0.25">
      <c r="A94" s="308" t="s">
        <v>22</v>
      </c>
      <c r="C94" s="13">
        <v>200000</v>
      </c>
      <c r="E94" s="143" t="s">
        <v>542</v>
      </c>
    </row>
    <row r="95" spans="1:5" x14ac:dyDescent="0.25">
      <c r="A95" s="308" t="s">
        <v>540</v>
      </c>
      <c r="C95" s="148">
        <f>SUM('Power Production'!D28*'Data Sources'!D95) *365</f>
        <v>0</v>
      </c>
      <c r="D95" s="317">
        <v>0</v>
      </c>
      <c r="E95" s="143" t="s">
        <v>539</v>
      </c>
    </row>
    <row r="96" spans="1:5" x14ac:dyDescent="0.25">
      <c r="A96" s="308" t="s">
        <v>1119</v>
      </c>
      <c r="C96" s="789">
        <v>0</v>
      </c>
      <c r="D96" s="317"/>
      <c r="E96" s="143" t="s">
        <v>1120</v>
      </c>
    </row>
    <row r="97" spans="1:6" x14ac:dyDescent="0.25">
      <c r="A97" s="308" t="s">
        <v>23</v>
      </c>
      <c r="C97" s="13">
        <v>85000</v>
      </c>
      <c r="E97" s="204" t="s">
        <v>395</v>
      </c>
      <c r="F97" s="202" t="s">
        <v>266</v>
      </c>
    </row>
    <row r="98" spans="1:6" x14ac:dyDescent="0.25">
      <c r="A98" s="308" t="s">
        <v>24</v>
      </c>
      <c r="C98" s="13">
        <v>75000</v>
      </c>
      <c r="E98" s="204" t="s">
        <v>396</v>
      </c>
      <c r="F98" s="202" t="s">
        <v>266</v>
      </c>
    </row>
    <row r="99" spans="1:6" x14ac:dyDescent="0.25">
      <c r="A99" s="308" t="s">
        <v>543</v>
      </c>
      <c r="C99" s="13">
        <v>0</v>
      </c>
      <c r="E99" s="204" t="s">
        <v>399</v>
      </c>
      <c r="F99" s="202" t="s">
        <v>266</v>
      </c>
    </row>
    <row r="100" spans="1:6" x14ac:dyDescent="0.25">
      <c r="A100" s="308" t="s">
        <v>25</v>
      </c>
      <c r="C100" s="13">
        <v>75000</v>
      </c>
      <c r="E100" s="204" t="s">
        <v>415</v>
      </c>
      <c r="F100" s="202" t="s">
        <v>266</v>
      </c>
    </row>
    <row r="101" spans="1:6" x14ac:dyDescent="0.25">
      <c r="A101" s="308" t="s">
        <v>26</v>
      </c>
      <c r="C101" s="13">
        <v>85000</v>
      </c>
      <c r="E101" s="204" t="s">
        <v>541</v>
      </c>
      <c r="F101" s="202" t="s">
        <v>266</v>
      </c>
    </row>
    <row r="102" spans="1:6" x14ac:dyDescent="0.25">
      <c r="A102" s="308" t="s">
        <v>27</v>
      </c>
      <c r="C102" s="13">
        <v>100000</v>
      </c>
      <c r="E102" s="204" t="s">
        <v>397</v>
      </c>
    </row>
    <row r="103" spans="1:6" x14ac:dyDescent="0.25">
      <c r="A103" s="308" t="s">
        <v>406</v>
      </c>
      <c r="C103" s="206">
        <v>100000</v>
      </c>
      <c r="E103" s="143" t="s">
        <v>1089</v>
      </c>
    </row>
  </sheetData>
  <mergeCells count="4">
    <mergeCell ref="A65:A66"/>
    <mergeCell ref="E65:E66"/>
    <mergeCell ref="E67:E71"/>
    <mergeCell ref="E59:E63"/>
  </mergeCells>
  <hyperlinks>
    <hyperlink ref="E39" r:id="rId1" xr:uid="{EA283000-BBE2-4584-8C12-07513C9DB59A}"/>
    <hyperlink ref="E36" r:id="rId2" xr:uid="{7AE4887C-F974-43A3-8925-8BC642389383}"/>
    <hyperlink ref="E47" r:id="rId3" xr:uid="{994C5679-27C1-45EB-A09C-4416446C8108}"/>
    <hyperlink ref="E48" r:id="rId4" xr:uid="{B5FF7C6A-5C88-43E7-9694-DA6747A490D6}"/>
    <hyperlink ref="E46" r:id="rId5" xr:uid="{75ECB23E-6FE7-4C24-AB92-3FA30C1B3722}"/>
    <hyperlink ref="E49" r:id="rId6" xr:uid="{60F89D0A-A1FE-4D0D-BE30-1536C44FF9F5}"/>
    <hyperlink ref="E50" r:id="rId7" xr:uid="{E756D116-2FE2-49BD-A157-74687C2A033A}"/>
    <hyperlink ref="E34" r:id="rId8" xr:uid="{B8639FFA-F0B0-49E3-BF83-B249758C7397}"/>
    <hyperlink ref="E35" r:id="rId9" xr:uid="{C619855B-1D8A-499C-9DEA-D093DF9E6154}"/>
    <hyperlink ref="E38" r:id="rId10" location="tabIndex=0  (copper, aluminium, zinc, Nickel, lead" xr:uid="{F48243C3-67B7-416F-A1D4-227D98EB06D9}"/>
    <hyperlink ref="E37" r:id="rId11" location="tabIndex=0;  Current contract is at $200 MT" xr:uid="{70DF2686-5391-4E49-BFE1-791F3CBBF781}"/>
  </hyperlinks>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C9ADF-BAF8-403C-968A-B6052030C5C8}">
  <sheetPr>
    <tabColor rgb="FFE6D261"/>
  </sheetPr>
  <dimension ref="B1:Z67"/>
  <sheetViews>
    <sheetView workbookViewId="0">
      <selection activeCell="D44" sqref="D44"/>
    </sheetView>
  </sheetViews>
  <sheetFormatPr defaultColWidth="9.140625" defaultRowHeight="12.75" x14ac:dyDescent="0.2"/>
  <cols>
    <col min="1" max="1" width="3.85546875" style="1" customWidth="1"/>
    <col min="2" max="2" width="36.5703125" style="1" bestFit="1" customWidth="1"/>
    <col min="3" max="3" width="10.5703125" style="1" bestFit="1" customWidth="1"/>
    <col min="4" max="4" width="18.140625" style="1" bestFit="1" customWidth="1"/>
    <col min="5" max="5" width="3.28515625" style="1" customWidth="1"/>
    <col min="6" max="6" width="32.140625" style="1" bestFit="1" customWidth="1"/>
    <col min="7" max="7" width="15.5703125" style="1" bestFit="1" customWidth="1"/>
    <col min="8" max="8" width="15.5703125" style="1" customWidth="1"/>
    <col min="9" max="9" width="2.7109375" style="1" customWidth="1"/>
    <col min="10" max="10" width="28.28515625" style="1" bestFit="1" customWidth="1"/>
    <col min="11" max="11" width="18.42578125" style="1" bestFit="1" customWidth="1"/>
    <col min="12" max="13" width="9.140625" style="1"/>
    <col min="14" max="14" width="3.5703125" style="1" bestFit="1" customWidth="1"/>
    <col min="15" max="19" width="10.7109375" style="1" bestFit="1" customWidth="1"/>
    <col min="20" max="26" width="10.85546875" style="1" bestFit="1" customWidth="1"/>
    <col min="27" max="16384" width="9.140625" style="1"/>
  </cols>
  <sheetData>
    <row r="1" spans="2:26" x14ac:dyDescent="0.2">
      <c r="P1" s="832" t="s">
        <v>250</v>
      </c>
      <c r="Q1" s="832"/>
      <c r="R1" s="832"/>
      <c r="S1" s="832"/>
      <c r="T1" s="832"/>
      <c r="U1" s="832"/>
      <c r="V1" s="832"/>
      <c r="W1" s="832"/>
      <c r="X1" s="832"/>
      <c r="Y1" s="832"/>
      <c r="Z1" s="832"/>
    </row>
    <row r="2" spans="2:26" x14ac:dyDescent="0.2">
      <c r="B2" s="4" t="s">
        <v>0</v>
      </c>
      <c r="C2" s="4" t="s">
        <v>43</v>
      </c>
      <c r="D2" s="14" t="s">
        <v>44</v>
      </c>
      <c r="F2" s="5" t="s">
        <v>45</v>
      </c>
      <c r="G2" s="14" t="s">
        <v>48</v>
      </c>
      <c r="H2" s="14" t="s">
        <v>69</v>
      </c>
      <c r="J2" s="5" t="s">
        <v>63</v>
      </c>
      <c r="K2" s="14" t="s">
        <v>64</v>
      </c>
      <c r="L2" s="14" t="s">
        <v>65</v>
      </c>
      <c r="O2" s="8">
        <f>Summary!$H$12</f>
        <v>0.39179596304893494</v>
      </c>
      <c r="P2" s="116">
        <v>750</v>
      </c>
      <c r="Q2" s="116">
        <v>760</v>
      </c>
      <c r="R2" s="116">
        <v>770</v>
      </c>
      <c r="S2" s="116">
        <v>780</v>
      </c>
      <c r="T2" s="116">
        <v>790</v>
      </c>
      <c r="U2" s="116">
        <v>800</v>
      </c>
      <c r="V2" s="116">
        <v>810</v>
      </c>
      <c r="W2" s="116">
        <v>820</v>
      </c>
      <c r="X2" s="116">
        <v>830</v>
      </c>
      <c r="Y2" s="116">
        <v>840</v>
      </c>
      <c r="Z2" s="116">
        <v>850</v>
      </c>
    </row>
    <row r="3" spans="2:26" ht="12.75" customHeight="1" x14ac:dyDescent="0.2">
      <c r="B3" s="2" t="str">
        <f>'Data Sources'!A33</f>
        <v xml:space="preserve">Activated Carbon Ash </v>
      </c>
      <c r="C3" s="11" t="s">
        <v>246</v>
      </c>
      <c r="D3" s="145">
        <f>'Data Sources'!C33</f>
        <v>630</v>
      </c>
      <c r="F3" s="1" t="s">
        <v>18</v>
      </c>
      <c r="G3" s="10"/>
      <c r="H3" s="10"/>
      <c r="J3" s="2" t="s">
        <v>57</v>
      </c>
      <c r="K3" s="24">
        <v>0.02</v>
      </c>
      <c r="L3" s="23">
        <f>K3/12</f>
        <v>1.6666666666666668E-3</v>
      </c>
      <c r="N3" s="831" t="s">
        <v>255</v>
      </c>
      <c r="O3" s="117">
        <v>2.5</v>
      </c>
      <c r="P3" s="8">
        <f t="dataTable" ref="P3:Z10" dt2D="1" dtr="1" r1="D4" r2="D28"/>
        <v>0.36696042418479924</v>
      </c>
      <c r="Q3" s="8">
        <v>0.36704172492027287</v>
      </c>
      <c r="R3" s="8">
        <v>0.3671230256557465</v>
      </c>
      <c r="S3" s="8">
        <v>0.36720432639122003</v>
      </c>
      <c r="T3" s="8">
        <v>0.36728562712669377</v>
      </c>
      <c r="U3" s="8">
        <v>0.36736693978309631</v>
      </c>
      <c r="V3" s="8">
        <v>0.36744824051856995</v>
      </c>
      <c r="W3" s="8">
        <v>0.36752955317497249</v>
      </c>
      <c r="X3" s="8">
        <v>0.36761086583137514</v>
      </c>
      <c r="Y3" s="8">
        <v>0.36769217848777769</v>
      </c>
      <c r="Z3" s="8">
        <v>0.36777349114418034</v>
      </c>
    </row>
    <row r="4" spans="2:26" x14ac:dyDescent="0.2">
      <c r="B4" s="2" t="str">
        <f>'Data Sources'!A36</f>
        <v>Aluminum</v>
      </c>
      <c r="C4" s="11" t="s">
        <v>246</v>
      </c>
      <c r="D4" s="145">
        <f>'Data Sources'!C36</f>
        <v>1917</v>
      </c>
      <c r="F4" s="1" t="str">
        <f>Financials!B40</f>
        <v>Employee Cost</v>
      </c>
      <c r="G4" s="148">
        <f>'Emp Labor Cost'!Z117</f>
        <v>4788734.5610278361</v>
      </c>
      <c r="H4" s="29">
        <f t="shared" ref="H4:H11" si="0">G4/12</f>
        <v>399061.21341898636</v>
      </c>
      <c r="J4" s="2" t="s">
        <v>530</v>
      </c>
      <c r="K4" s="24">
        <v>0</v>
      </c>
      <c r="L4" s="23">
        <f>K4/12</f>
        <v>0</v>
      </c>
      <c r="N4" s="831"/>
      <c r="O4" s="117">
        <v>2.75</v>
      </c>
      <c r="P4" s="8">
        <v>0.36757020354270931</v>
      </c>
      <c r="Q4" s="8">
        <v>0.36765964627265924</v>
      </c>
      <c r="R4" s="8">
        <v>0.36774908900260928</v>
      </c>
      <c r="S4" s="8">
        <v>0.36783854365348823</v>
      </c>
      <c r="T4" s="8">
        <v>0.36792798638343815</v>
      </c>
      <c r="U4" s="8">
        <v>0.36801744103431699</v>
      </c>
      <c r="V4" s="8">
        <v>0.36810688376426692</v>
      </c>
      <c r="W4" s="8">
        <v>0.36819633841514587</v>
      </c>
      <c r="X4" s="8">
        <v>0.36828579306602471</v>
      </c>
      <c r="Y4" s="8">
        <v>0.36837524771690366</v>
      </c>
      <c r="Z4" s="8">
        <v>0.36846470236778261</v>
      </c>
    </row>
    <row r="5" spans="2:26" x14ac:dyDescent="0.2">
      <c r="B5" s="2" t="str">
        <f>'Data Sources'!A37</f>
        <v>Ferrous Metals</v>
      </c>
      <c r="C5" s="11" t="s">
        <v>246</v>
      </c>
      <c r="D5" s="145">
        <f>'Data Sources'!C37</f>
        <v>180</v>
      </c>
      <c r="F5" s="1" t="str">
        <f>Financials!B41</f>
        <v>Turbine LTMA Cost 5 year term</v>
      </c>
      <c r="G5" s="148">
        <f>'Data Sources'!C81</f>
        <v>2160000</v>
      </c>
      <c r="H5" s="29">
        <f t="shared" si="0"/>
        <v>180000</v>
      </c>
      <c r="J5" s="2" t="s">
        <v>58</v>
      </c>
      <c r="K5" s="24">
        <v>0</v>
      </c>
      <c r="L5" s="23">
        <f t="shared" ref="L5:L12" si="1">K5/12</f>
        <v>0</v>
      </c>
      <c r="N5" s="831"/>
      <c r="O5" s="117">
        <v>3</v>
      </c>
      <c r="P5" s="8">
        <v>0.3681800782680511</v>
      </c>
      <c r="Q5" s="8">
        <v>0.36827766299247744</v>
      </c>
      <c r="R5" s="8">
        <v>0.36837524771690366</v>
      </c>
      <c r="S5" s="8">
        <v>0.36847283244133</v>
      </c>
      <c r="T5" s="8">
        <v>0.36857042908668514</v>
      </c>
      <c r="U5" s="8">
        <v>0.36866801381111147</v>
      </c>
      <c r="V5" s="8">
        <v>0.36876561045646672</v>
      </c>
      <c r="W5" s="8">
        <v>0.36886320710182197</v>
      </c>
      <c r="X5" s="8">
        <v>0.3689608037471771</v>
      </c>
      <c r="Y5" s="8">
        <v>0.36905841231346126</v>
      </c>
      <c r="Z5" s="8">
        <v>0.36915600895881651</v>
      </c>
    </row>
    <row r="6" spans="2:26" x14ac:dyDescent="0.2">
      <c r="B6" s="2" t="str">
        <f>'Data Sources'!A38</f>
        <v>Non-Ferrous Metals</v>
      </c>
      <c r="C6" s="11" t="s">
        <v>246</v>
      </c>
      <c r="D6" s="145">
        <f>'Data Sources'!C38</f>
        <v>7695</v>
      </c>
      <c r="F6" s="1" t="str">
        <f>Financials!B42</f>
        <v>Pyrolysis LTMA Cost yrs. 3+</v>
      </c>
      <c r="G6" s="148">
        <f>'Data Sources'!C82</f>
        <v>250000</v>
      </c>
      <c r="H6" s="29">
        <f t="shared" si="0"/>
        <v>20833.333333333332</v>
      </c>
      <c r="J6" s="2" t="s">
        <v>59</v>
      </c>
      <c r="K6" s="24">
        <v>0</v>
      </c>
      <c r="L6" s="23">
        <f t="shared" si="1"/>
        <v>0</v>
      </c>
      <c r="N6" s="831"/>
      <c r="O6" s="117">
        <v>3.25</v>
      </c>
      <c r="P6" s="8">
        <v>0.36879001259803779</v>
      </c>
      <c r="Q6" s="8">
        <v>0.36889573931694031</v>
      </c>
      <c r="R6" s="8">
        <v>0.36900147795677185</v>
      </c>
      <c r="S6" s="8">
        <v>0.36910720467567448</v>
      </c>
      <c r="T6" s="8">
        <v>0.36921294331550603</v>
      </c>
      <c r="U6" s="8">
        <v>0.36931868195533757</v>
      </c>
      <c r="V6" s="8">
        <v>0.36942668557167058</v>
      </c>
      <c r="W6" s="8">
        <v>0.36953243613243103</v>
      </c>
      <c r="X6" s="8">
        <v>0.36963817477226257</v>
      </c>
      <c r="Y6" s="8">
        <v>0.36974392533302303</v>
      </c>
      <c r="Z6" s="8">
        <v>0.36984966397285457</v>
      </c>
    </row>
    <row r="7" spans="2:26" x14ac:dyDescent="0.2">
      <c r="B7" s="2" t="str">
        <f>'Data Sources'!A39</f>
        <v>Steel from Tires</v>
      </c>
      <c r="C7" s="11" t="s">
        <v>246</v>
      </c>
      <c r="D7" s="145">
        <f>'Data Sources'!C39</f>
        <v>237.6</v>
      </c>
      <c r="F7" s="1" t="str">
        <f>Financials!B43</f>
        <v>Total O&amp;M</v>
      </c>
      <c r="G7" s="148">
        <f>'Data Sources'!C83</f>
        <v>1537000</v>
      </c>
      <c r="H7" s="29">
        <f t="shared" si="0"/>
        <v>128083.33333333333</v>
      </c>
      <c r="J7" s="2" t="s">
        <v>60</v>
      </c>
      <c r="K7" s="24">
        <v>0</v>
      </c>
      <c r="L7" s="23">
        <f t="shared" si="1"/>
        <v>0</v>
      </c>
      <c r="N7" s="831"/>
      <c r="O7" s="117">
        <v>3.37</v>
      </c>
      <c r="P7" s="8">
        <v>0.36908281445503233</v>
      </c>
      <c r="Q7" s="8">
        <v>0.3691924512386322</v>
      </c>
      <c r="R7" s="8">
        <v>0.36930208802223208</v>
      </c>
      <c r="S7" s="8">
        <v>0.36941400170326244</v>
      </c>
      <c r="T7" s="8">
        <v>0.36952365040779123</v>
      </c>
      <c r="U7" s="120">
        <v>0.36963329911232001</v>
      </c>
      <c r="V7" s="8">
        <v>0.36974294781684869</v>
      </c>
      <c r="W7" s="8">
        <v>0.36985259652137759</v>
      </c>
      <c r="X7" s="8">
        <v>0.36996224522590648</v>
      </c>
      <c r="Y7" s="8">
        <v>0.37007190585136418</v>
      </c>
      <c r="Z7" s="8">
        <v>0.37018156647682199</v>
      </c>
    </row>
    <row r="8" spans="2:26" x14ac:dyDescent="0.2">
      <c r="B8" s="2" t="str">
        <f>'Data Sources'!A40</f>
        <v>Steel, OTR Tires</v>
      </c>
      <c r="C8" s="11" t="s">
        <v>246</v>
      </c>
      <c r="D8" s="145">
        <f>'Data Sources'!C40</f>
        <v>270</v>
      </c>
      <c r="F8" s="1" t="str">
        <f>Financials!B44</f>
        <v>All insurance for the plant and risks</v>
      </c>
      <c r="G8" s="148">
        <f>'Data Sources'!C91</f>
        <v>7511416.2775470056</v>
      </c>
      <c r="H8" s="29">
        <f t="shared" si="0"/>
        <v>625951.35646225046</v>
      </c>
      <c r="J8" s="2" t="s">
        <v>803</v>
      </c>
      <c r="K8" s="24">
        <v>0</v>
      </c>
      <c r="L8" s="23">
        <f t="shared" si="1"/>
        <v>0</v>
      </c>
      <c r="N8" s="831"/>
      <c r="O8" s="117">
        <v>3.5</v>
      </c>
      <c r="P8" s="8">
        <v>0.36940228343009962</v>
      </c>
      <c r="Q8" s="8">
        <v>0.36951616406440735</v>
      </c>
      <c r="R8" s="8">
        <v>0.36963004469871519</v>
      </c>
      <c r="S8" s="8">
        <v>0.36974392533302303</v>
      </c>
      <c r="T8" s="8">
        <v>0.36985780596733098</v>
      </c>
      <c r="U8" s="8">
        <v>0.36997168660163882</v>
      </c>
      <c r="V8" s="8">
        <v>0.37008557915687568</v>
      </c>
      <c r="W8" s="8">
        <v>0.37019945979118352</v>
      </c>
      <c r="X8" s="8">
        <v>0.37031335234642038</v>
      </c>
      <c r="Y8" s="8">
        <v>0.37042725682258615</v>
      </c>
      <c r="Z8" s="8">
        <v>0.3705411493778229</v>
      </c>
    </row>
    <row r="9" spans="2:26" ht="12" customHeight="1" x14ac:dyDescent="0.2">
      <c r="B9" s="2" t="str">
        <f>'Data Sources'!A34</f>
        <v xml:space="preserve">Carbon Black </v>
      </c>
      <c r="C9" s="11" t="s">
        <v>246</v>
      </c>
      <c r="D9" s="145">
        <f>'Data Sources'!C34</f>
        <v>900</v>
      </c>
      <c r="F9" s="1" t="str">
        <f>Financials!B46</f>
        <v>IT  outsourced</v>
      </c>
      <c r="G9" s="148">
        <f>'Data Sources'!C93</f>
        <v>80000</v>
      </c>
      <c r="H9" s="29">
        <f t="shared" si="0"/>
        <v>6666.666666666667</v>
      </c>
      <c r="J9" s="2" t="s">
        <v>61</v>
      </c>
      <c r="K9" s="24">
        <v>0.02</v>
      </c>
      <c r="L9" s="23">
        <f t="shared" si="1"/>
        <v>1.6666666666666668E-3</v>
      </c>
      <c r="N9" s="831"/>
      <c r="O9" s="117">
        <v>3.75</v>
      </c>
      <c r="P9" s="8">
        <v>0.37001236081123356</v>
      </c>
      <c r="Q9" s="8">
        <v>0.37013438344001781</v>
      </c>
      <c r="R9" s="8">
        <v>0.37025640606880195</v>
      </c>
      <c r="S9" s="8">
        <v>0.3703784406185151</v>
      </c>
      <c r="T9" s="8">
        <v>0.37050047516822826</v>
      </c>
      <c r="U9" s="8">
        <v>0.37062250971794131</v>
      </c>
      <c r="V9" s="8">
        <v>0.37074454426765446</v>
      </c>
      <c r="W9" s="8">
        <v>0.37086659073829653</v>
      </c>
      <c r="X9" s="8">
        <v>0.37098862528800969</v>
      </c>
      <c r="Y9" s="8">
        <v>0.37111067175865176</v>
      </c>
      <c r="Z9" s="8">
        <v>0.37123273015022273</v>
      </c>
    </row>
    <row r="10" spans="2:26" x14ac:dyDescent="0.2">
      <c r="B10" s="2" t="str">
        <f>'Data Sources'!A35</f>
        <v>Graphene</v>
      </c>
      <c r="C10" s="11" t="s">
        <v>246</v>
      </c>
      <c r="D10" s="145">
        <f>'Data Sources'!C35</f>
        <v>9000</v>
      </c>
      <c r="F10" s="1" t="str">
        <f>Financials!B47</f>
        <v>Utilities</v>
      </c>
      <c r="G10" s="148">
        <f>'Data Sources'!C94</f>
        <v>200000</v>
      </c>
      <c r="H10" s="29">
        <f t="shared" si="0"/>
        <v>16666.666666666668</v>
      </c>
      <c r="J10" s="2" t="s">
        <v>62</v>
      </c>
      <c r="K10" s="24">
        <v>0.02</v>
      </c>
      <c r="L10" s="23">
        <f t="shared" si="1"/>
        <v>1.6666666666666668E-3</v>
      </c>
      <c r="N10" s="831"/>
      <c r="O10" s="117">
        <v>4</v>
      </c>
      <c r="P10" s="8">
        <v>0.37062250971794131</v>
      </c>
      <c r="Q10" s="8">
        <v>0.37075268626213076</v>
      </c>
      <c r="R10" s="8">
        <v>0.37088286280632021</v>
      </c>
      <c r="S10" s="8">
        <v>0.37101303935050967</v>
      </c>
      <c r="T10" s="8">
        <v>0.37114322781562803</v>
      </c>
      <c r="U10" s="8">
        <v>0.37127340435981748</v>
      </c>
      <c r="V10" s="8">
        <v>0.37140360474586476</v>
      </c>
      <c r="W10" s="8">
        <v>0.37153379321098323</v>
      </c>
      <c r="X10" s="8">
        <v>0.37166399359703062</v>
      </c>
      <c r="Y10" s="8">
        <v>0.371794193983078</v>
      </c>
      <c r="Z10" s="8">
        <v>0.37192439436912539</v>
      </c>
    </row>
    <row r="11" spans="2:26" x14ac:dyDescent="0.2">
      <c r="B11" s="2" t="str">
        <f>'Data Sources'!A41</f>
        <v>MSW tipping fees</v>
      </c>
      <c r="C11" s="11" t="s">
        <v>246</v>
      </c>
      <c r="D11" s="146">
        <f>'Data Sources'!C41</f>
        <v>-7</v>
      </c>
      <c r="F11" s="1" t="str">
        <f>Financials!B49</f>
        <v>Electricity</v>
      </c>
      <c r="G11" s="18">
        <f>'Data Sources'!C95</f>
        <v>0</v>
      </c>
      <c r="H11" s="29">
        <f t="shared" si="0"/>
        <v>0</v>
      </c>
      <c r="J11" s="2" t="s">
        <v>67</v>
      </c>
      <c r="K11" s="24">
        <v>0.02</v>
      </c>
      <c r="L11" s="23">
        <f t="shared" si="1"/>
        <v>1.6666666666666668E-3</v>
      </c>
    </row>
    <row r="12" spans="2:26" x14ac:dyDescent="0.2">
      <c r="B12" s="2" t="str">
        <f>'Data Sources'!A42</f>
        <v>Tire tipping fees</v>
      </c>
      <c r="C12" s="11" t="s">
        <v>246</v>
      </c>
      <c r="D12" s="146">
        <f>'Data Sources'!C42</f>
        <v>0</v>
      </c>
      <c r="F12" s="1" t="str">
        <f>Financials!B50</f>
        <v>Accounting &amp; Auditing</v>
      </c>
      <c r="G12" s="148">
        <f>'Data Sources'!C97</f>
        <v>85000</v>
      </c>
      <c r="H12" s="29">
        <f t="shared" ref="H12:H17" si="2">G12/12</f>
        <v>7083.333333333333</v>
      </c>
      <c r="J12" s="2" t="s">
        <v>66</v>
      </c>
      <c r="K12" s="24">
        <v>0</v>
      </c>
      <c r="L12" s="23">
        <f t="shared" si="1"/>
        <v>0</v>
      </c>
      <c r="P12" s="832" t="s">
        <v>251</v>
      </c>
      <c r="Q12" s="832"/>
      <c r="R12" s="832"/>
      <c r="S12" s="832"/>
      <c r="T12" s="832"/>
      <c r="U12" s="832"/>
      <c r="V12" s="832"/>
      <c r="W12" s="832"/>
      <c r="X12" s="832"/>
      <c r="Y12" s="832"/>
      <c r="Z12" s="832"/>
    </row>
    <row r="13" spans="2:26" x14ac:dyDescent="0.2">
      <c r="B13" s="2" t="str">
        <f>'Data Sources'!A43</f>
        <v>Renewable Energy Credits</v>
      </c>
      <c r="C13" s="11" t="s">
        <v>42</v>
      </c>
      <c r="D13" s="145">
        <f>'Data Sources'!C43</f>
        <v>0</v>
      </c>
      <c r="F13" s="1" t="str">
        <f>Financials!B51</f>
        <v>Office Supplies</v>
      </c>
      <c r="G13" s="148">
        <f>'Data Sources'!C98</f>
        <v>75000</v>
      </c>
      <c r="H13" s="29">
        <f t="shared" si="2"/>
        <v>6250</v>
      </c>
      <c r="J13" s="25" t="s">
        <v>68</v>
      </c>
      <c r="K13" s="27">
        <v>1</v>
      </c>
      <c r="L13" s="28">
        <f>K13</f>
        <v>1</v>
      </c>
      <c r="O13" s="8">
        <f>Summary!$H$12</f>
        <v>0.39179596304893494</v>
      </c>
      <c r="P13" s="118">
        <v>105</v>
      </c>
      <c r="Q13" s="118">
        <v>110</v>
      </c>
      <c r="R13" s="118">
        <v>115</v>
      </c>
      <c r="S13" s="118">
        <v>120</v>
      </c>
      <c r="T13" s="118">
        <v>125</v>
      </c>
      <c r="U13" s="118">
        <v>135.16999999999999</v>
      </c>
      <c r="V13" s="118">
        <f>U13+5</f>
        <v>140.16999999999999</v>
      </c>
      <c r="W13" s="118">
        <f t="shared" ref="W13:Z13" si="3">V13+5</f>
        <v>145.16999999999999</v>
      </c>
      <c r="X13" s="118">
        <f t="shared" si="3"/>
        <v>150.16999999999999</v>
      </c>
      <c r="Y13" s="118">
        <f t="shared" si="3"/>
        <v>155.16999999999999</v>
      </c>
      <c r="Z13" s="118">
        <f t="shared" si="3"/>
        <v>160.16999999999999</v>
      </c>
    </row>
    <row r="14" spans="2:26" ht="12.75" customHeight="1" x14ac:dyDescent="0.2">
      <c r="B14" s="2" t="str">
        <f>'Data Sources'!A44</f>
        <v>Carbon Credits</v>
      </c>
      <c r="C14" s="11" t="s">
        <v>41</v>
      </c>
      <c r="D14" s="145">
        <f>'Data Sources'!C44</f>
        <v>0</v>
      </c>
      <c r="F14" s="1" t="str">
        <f>Financials!B52</f>
        <v>Gas Transmission Costs</v>
      </c>
      <c r="G14" s="148">
        <f>'Data Sources'!C99</f>
        <v>0</v>
      </c>
      <c r="H14" s="29">
        <f t="shared" si="2"/>
        <v>0</v>
      </c>
      <c r="J14" s="25" t="s">
        <v>263</v>
      </c>
      <c r="K14" s="24">
        <v>0.01</v>
      </c>
      <c r="L14" s="23">
        <f t="shared" ref="L14" si="4">K14/12</f>
        <v>8.3333333333333339E-4</v>
      </c>
      <c r="N14" s="831" t="s">
        <v>255</v>
      </c>
      <c r="O14" s="117">
        <v>8.5</v>
      </c>
      <c r="P14" s="8">
        <f t="dataTable" ref="P14:Z20" dt2D="1" dtr="1" r1="D5" r2="D29" ca="1"/>
        <v>0.39069952368736272</v>
      </c>
      <c r="Q14" s="8">
        <v>0.39083828330039971</v>
      </c>
      <c r="R14" s="8">
        <v>0.39097704291343682</v>
      </c>
      <c r="S14" s="8">
        <v>0.39111809134483344</v>
      </c>
      <c r="T14" s="8">
        <v>0.39125686287879946</v>
      </c>
      <c r="U14" s="8">
        <v>0.39153912663459778</v>
      </c>
      <c r="V14" s="8">
        <v>0.39167789816856391</v>
      </c>
      <c r="W14" s="8">
        <v>0.39181668162345884</v>
      </c>
      <c r="X14" s="8">
        <v>0.39195546507835388</v>
      </c>
      <c r="Y14" s="8">
        <v>0.39209424853324892</v>
      </c>
      <c r="Z14" s="8">
        <v>0.39223303198814397</v>
      </c>
    </row>
    <row r="15" spans="2:26" x14ac:dyDescent="0.2">
      <c r="B15" s="2" t="str">
        <f>'Data Sources'!A45</f>
        <v>Light Oil Sale</v>
      </c>
      <c r="C15" s="51" t="str">
        <f>'Data Sources'!B45</f>
        <v>$/barrel</v>
      </c>
      <c r="D15" s="313">
        <f>'Data Sources'!C45</f>
        <v>0</v>
      </c>
      <c r="F15" s="1" t="str">
        <f>Financials!B53</f>
        <v>Permit  Renewals</v>
      </c>
      <c r="G15" s="148">
        <f>'Data Sources'!C100</f>
        <v>75000</v>
      </c>
      <c r="H15" s="29">
        <f t="shared" si="2"/>
        <v>6250</v>
      </c>
      <c r="N15" s="831"/>
      <c r="O15" s="117">
        <v>8.75</v>
      </c>
      <c r="P15" s="8">
        <v>0.39078522324562071</v>
      </c>
      <c r="Q15" s="8">
        <v>0.39092807173728938</v>
      </c>
      <c r="R15" s="8">
        <v>0.39107319712638855</v>
      </c>
      <c r="S15" s="8">
        <v>0.39121604561805734</v>
      </c>
      <c r="T15" s="8">
        <v>0.39135889410972591</v>
      </c>
      <c r="U15" s="8">
        <v>0.39164946675300594</v>
      </c>
      <c r="V15" s="8">
        <v>0.39179232716560364</v>
      </c>
      <c r="W15" s="8">
        <v>0.39193518757820134</v>
      </c>
      <c r="X15" s="8">
        <v>0.39207805991172784</v>
      </c>
      <c r="Y15" s="8">
        <v>0.39222092032432554</v>
      </c>
      <c r="Z15" s="8">
        <v>0.39236379265785215</v>
      </c>
    </row>
    <row r="16" spans="2:26" x14ac:dyDescent="0.2">
      <c r="B16" s="2" t="str">
        <f>'Data Sources'!A46</f>
        <v>Diesel</v>
      </c>
      <c r="C16" s="11" t="s">
        <v>178</v>
      </c>
      <c r="D16" s="145">
        <f>SUM('Data Sources'!C46/'Data Sources'!$C$72)</f>
        <v>0</v>
      </c>
      <c r="F16" s="1" t="str">
        <f>Financials!B54</f>
        <v>Property Taxes</v>
      </c>
      <c r="G16" s="148">
        <f>'Data Sources'!C101</f>
        <v>85000</v>
      </c>
      <c r="H16" s="29">
        <f t="shared" si="2"/>
        <v>7083.333333333333</v>
      </c>
      <c r="N16" s="831"/>
      <c r="O16" s="117">
        <v>9</v>
      </c>
      <c r="P16" s="8">
        <v>0.39087093472480772</v>
      </c>
      <c r="Q16" s="8">
        <v>0.39102013707160954</v>
      </c>
      <c r="R16" s="8">
        <v>0.39116707444190979</v>
      </c>
      <c r="S16" s="8">
        <v>0.39131399989128124</v>
      </c>
      <c r="T16" s="8">
        <v>0.39146093726158149</v>
      </c>
      <c r="U16" s="8">
        <v>0.39175980687141421</v>
      </c>
      <c r="V16" s="8">
        <v>0.39190675616264348</v>
      </c>
      <c r="W16" s="8">
        <v>0.39205370545387264</v>
      </c>
      <c r="X16" s="8">
        <v>0.39220065474510191</v>
      </c>
      <c r="Y16" s="8">
        <v>0.39234760403633118</v>
      </c>
      <c r="Z16" s="8">
        <v>0.39249456524848936</v>
      </c>
    </row>
    <row r="17" spans="2:26" x14ac:dyDescent="0.2">
      <c r="B17" s="2" t="str">
        <f>'Data Sources'!A47</f>
        <v xml:space="preserve">JP </v>
      </c>
      <c r="C17" s="11" t="s">
        <v>178</v>
      </c>
      <c r="D17" s="145">
        <f>SUM('Data Sources'!C47/'Data Sources'!$C$72)</f>
        <v>0</v>
      </c>
      <c r="F17" s="1" t="str">
        <f>Financials!B55</f>
        <v>Miscellaneous</v>
      </c>
      <c r="G17" s="148">
        <f>'Data Sources'!C102</f>
        <v>100000</v>
      </c>
      <c r="H17" s="29">
        <f t="shared" si="2"/>
        <v>8333.3333333333339</v>
      </c>
      <c r="N17" s="831"/>
      <c r="O17" s="117">
        <v>9.3699999999999992</v>
      </c>
      <c r="P17" s="8">
        <v>0.39100006222724903</v>
      </c>
      <c r="Q17" s="8">
        <v>0.39115303158760073</v>
      </c>
      <c r="R17" s="8">
        <v>0.3913060009479522</v>
      </c>
      <c r="S17" s="8">
        <v>0.39145898222923281</v>
      </c>
      <c r="T17" s="8">
        <v>0.39161195158958428</v>
      </c>
      <c r="U17" s="120">
        <v>0.39192312359809878</v>
      </c>
      <c r="V17" s="8">
        <v>0.39207611680030818</v>
      </c>
      <c r="W17" s="8">
        <v>0.39222911000251781</v>
      </c>
      <c r="X17" s="8">
        <v>0.39238210320472722</v>
      </c>
      <c r="Y17" s="8">
        <v>0.39253509640693651</v>
      </c>
      <c r="Z17" s="8">
        <v>0.39268810153007516</v>
      </c>
    </row>
    <row r="18" spans="2:26" x14ac:dyDescent="0.2">
      <c r="B18" s="2" t="str">
        <f>'Data Sources'!A48</f>
        <v>Gas</v>
      </c>
      <c r="C18" s="11" t="s">
        <v>178</v>
      </c>
      <c r="D18" s="145">
        <f>SUM('Data Sources'!C48/'Data Sources'!$C$72)</f>
        <v>0</v>
      </c>
      <c r="F18" s="1" t="str">
        <f>Financials!B45</f>
        <v xml:space="preserve">Land Rental </v>
      </c>
      <c r="G18" s="779">
        <f>'Data Sources'!C103</f>
        <v>100000</v>
      </c>
      <c r="H18" s="148">
        <f>SUM(G18/12)</f>
        <v>8333.3333333333339</v>
      </c>
      <c r="N18" s="831"/>
      <c r="O18" s="117">
        <v>9.5</v>
      </c>
      <c r="P18" s="8">
        <v>0.39104462265968321</v>
      </c>
      <c r="Q18" s="8">
        <v>0.39119972586631779</v>
      </c>
      <c r="R18" s="8">
        <v>0.39135481715202325</v>
      </c>
      <c r="S18" s="8">
        <v>0.39150992035865784</v>
      </c>
      <c r="T18" s="8">
        <v>0.3916650116443634</v>
      </c>
      <c r="U18" s="8">
        <v>0.39198051095008857</v>
      </c>
      <c r="V18" s="8">
        <v>0.39213561415672304</v>
      </c>
      <c r="W18" s="8">
        <v>0.39229072928428654</v>
      </c>
      <c r="X18" s="8">
        <v>0.39244585633277895</v>
      </c>
      <c r="Y18" s="8">
        <v>0.39260098338127136</v>
      </c>
      <c r="Z18" s="8">
        <v>0.39275611042976388</v>
      </c>
    </row>
    <row r="19" spans="2:26" x14ac:dyDescent="0.2">
      <c r="B19" s="2" t="str">
        <f>'Data Sources'!A49</f>
        <v>Lube oil</v>
      </c>
      <c r="C19" s="11" t="s">
        <v>178</v>
      </c>
      <c r="D19" s="145">
        <f>SUM('Data Sources'!C49/'Data Sources'!$C$72)</f>
        <v>0</v>
      </c>
      <c r="G19" s="13"/>
      <c r="H19" s="13"/>
      <c r="N19" s="831"/>
      <c r="O19" s="117">
        <v>9.75</v>
      </c>
      <c r="P19" s="8">
        <v>0.39113033413887022</v>
      </c>
      <c r="Q19" s="8">
        <v>0.39128951430320746</v>
      </c>
      <c r="R19" s="8">
        <v>0.39144869446754449</v>
      </c>
      <c r="S19" s="8">
        <v>0.39160787463188174</v>
      </c>
      <c r="T19" s="8">
        <v>0.39176705479621887</v>
      </c>
      <c r="U19" s="8">
        <v>0.39209085106849673</v>
      </c>
      <c r="V19" s="8">
        <v>0.39225005507469179</v>
      </c>
      <c r="W19" s="8">
        <v>0.39240925908088686</v>
      </c>
      <c r="X19" s="8">
        <v>0.39256846308708193</v>
      </c>
      <c r="Y19" s="8">
        <v>0.392727667093277</v>
      </c>
      <c r="Z19" s="8">
        <v>0.39288688302040109</v>
      </c>
    </row>
    <row r="20" spans="2:26" x14ac:dyDescent="0.2">
      <c r="B20" s="2" t="str">
        <f>'Data Sources'!A50</f>
        <v>Petroleum Coke</v>
      </c>
      <c r="C20" s="11" t="s">
        <v>178</v>
      </c>
      <c r="D20" s="145">
        <f>SUM('Data Sources'!C50/'Data Sources'!$C$72)</f>
        <v>0</v>
      </c>
      <c r="F20" s="5" t="s">
        <v>100</v>
      </c>
      <c r="G20" s="35"/>
      <c r="H20" s="13"/>
      <c r="N20" s="831"/>
      <c r="O20" s="117">
        <v>10</v>
      </c>
      <c r="P20" s="8">
        <v>0.39121604561805734</v>
      </c>
      <c r="Q20" s="8">
        <v>0.39137930274009702</v>
      </c>
      <c r="R20" s="8">
        <v>0.39154257178306584</v>
      </c>
      <c r="S20" s="8">
        <v>0.39170582890510564</v>
      </c>
      <c r="T20" s="8">
        <v>0.39186910986900336</v>
      </c>
      <c r="U20" s="8">
        <v>0.39220120310783391</v>
      </c>
      <c r="V20" s="8">
        <v>0.39236448407173152</v>
      </c>
      <c r="W20" s="8">
        <v>0.39252777695655816</v>
      </c>
      <c r="X20" s="8">
        <v>0.39269106984138491</v>
      </c>
      <c r="Y20" s="8">
        <v>0.39285436272621166</v>
      </c>
      <c r="Z20" s="8">
        <v>0.39301765561103819</v>
      </c>
    </row>
    <row r="21" spans="2:26" x14ac:dyDescent="0.2">
      <c r="B21" s="2" t="str">
        <f>'Data Sources'!A51</f>
        <v>RNG Sale price</v>
      </c>
      <c r="C21" s="1" t="s">
        <v>423</v>
      </c>
      <c r="D21" s="207">
        <f>'Data Sources'!C51</f>
        <v>0</v>
      </c>
      <c r="F21" s="5"/>
      <c r="G21" s="35"/>
      <c r="H21" s="13"/>
      <c r="N21" s="316"/>
      <c r="O21" s="117"/>
      <c r="P21" s="8"/>
      <c r="Q21" s="8"/>
      <c r="R21" s="8"/>
      <c r="S21" s="8"/>
      <c r="T21" s="8"/>
      <c r="U21" s="8"/>
      <c r="V21" s="8"/>
      <c r="W21" s="8"/>
      <c r="X21" s="8"/>
      <c r="Y21" s="8"/>
      <c r="Z21" s="8"/>
    </row>
    <row r="22" spans="2:26" x14ac:dyDescent="0.2">
      <c r="B22" s="4" t="s">
        <v>17</v>
      </c>
      <c r="C22" s="4"/>
      <c r="D22" s="5"/>
      <c r="E22" s="12"/>
      <c r="F22" s="1" t="s">
        <v>101</v>
      </c>
      <c r="G22" s="9">
        <v>0.2</v>
      </c>
      <c r="H22" s="148" t="s">
        <v>378</v>
      </c>
      <c r="O22" s="119"/>
    </row>
    <row r="23" spans="2:26" x14ac:dyDescent="0.2">
      <c r="B23" s="12" t="s">
        <v>40</v>
      </c>
      <c r="C23" s="11" t="s">
        <v>42</v>
      </c>
      <c r="D23" s="146">
        <f>'Data Sources'!C30</f>
        <v>66.55</v>
      </c>
      <c r="F23" s="1" t="s">
        <v>102</v>
      </c>
      <c r="G23" s="9">
        <v>0</v>
      </c>
      <c r="H23" s="1" t="s">
        <v>379</v>
      </c>
      <c r="P23" s="832" t="s">
        <v>252</v>
      </c>
      <c r="Q23" s="832"/>
      <c r="R23" s="832"/>
      <c r="S23" s="832"/>
      <c r="T23" s="832"/>
      <c r="U23" s="832"/>
      <c r="V23" s="832"/>
      <c r="W23" s="832"/>
      <c r="X23" s="832"/>
      <c r="Y23" s="832"/>
      <c r="Z23" s="832"/>
    </row>
    <row r="24" spans="2:26" x14ac:dyDescent="0.2">
      <c r="B24" s="36" t="s">
        <v>50</v>
      </c>
      <c r="F24" s="1" t="s">
        <v>103</v>
      </c>
      <c r="H24" s="128" t="s">
        <v>98</v>
      </c>
      <c r="O24" s="8">
        <f>Summary!$H$12</f>
        <v>0.39179596304893494</v>
      </c>
      <c r="P24" s="118">
        <v>105</v>
      </c>
      <c r="Q24" s="118">
        <f>P24+5</f>
        <v>110</v>
      </c>
      <c r="R24" s="118">
        <f t="shared" ref="R24:Z24" si="5">Q24+5</f>
        <v>115</v>
      </c>
      <c r="S24" s="118">
        <f t="shared" si="5"/>
        <v>120</v>
      </c>
      <c r="T24" s="118">
        <f t="shared" si="5"/>
        <v>125</v>
      </c>
      <c r="U24" s="118">
        <v>127.08</v>
      </c>
      <c r="V24" s="118">
        <v>130</v>
      </c>
      <c r="W24" s="118">
        <f t="shared" si="5"/>
        <v>135</v>
      </c>
      <c r="X24" s="118">
        <f t="shared" si="5"/>
        <v>140</v>
      </c>
      <c r="Y24" s="118">
        <f t="shared" si="5"/>
        <v>145</v>
      </c>
      <c r="Z24" s="118">
        <f t="shared" si="5"/>
        <v>150</v>
      </c>
    </row>
    <row r="25" spans="2:26" x14ac:dyDescent="0.2">
      <c r="B25" s="2" t="s">
        <v>408</v>
      </c>
      <c r="C25" s="1" t="s">
        <v>53</v>
      </c>
      <c r="D25" s="115">
        <f>'Data Sources'!C31</f>
        <v>37.335737800465985</v>
      </c>
      <c r="F25" s="1" t="s">
        <v>261</v>
      </c>
      <c r="G25" s="41">
        <v>10</v>
      </c>
      <c r="H25" s="3">
        <f>G25*12</f>
        <v>120</v>
      </c>
      <c r="N25" s="831" t="s">
        <v>255</v>
      </c>
      <c r="O25" s="121">
        <v>15</v>
      </c>
      <c r="P25" s="8">
        <f t="dataTable" ref="P25:Z30" dt2D="1" dtr="1" r1="D7" r2="D31" ca="1"/>
        <v>0.38529728055000301</v>
      </c>
      <c r="Q25" s="8">
        <v>0.38554423451423647</v>
      </c>
      <c r="R25" s="8">
        <v>0.38578892350196847</v>
      </c>
      <c r="S25" s="8">
        <v>0.38603362441062938</v>
      </c>
      <c r="T25" s="8">
        <v>0.38627832531929018</v>
      </c>
      <c r="U25" s="8">
        <v>0.38638013005256655</v>
      </c>
      <c r="V25" s="8">
        <v>0.38652305006980903</v>
      </c>
      <c r="W25" s="8">
        <v>0.38676777482032776</v>
      </c>
      <c r="X25" s="8">
        <v>0.3870125114917754</v>
      </c>
      <c r="Y25" s="8">
        <v>0.38725724816322327</v>
      </c>
      <c r="Z25" s="8">
        <v>0.38750200867652895</v>
      </c>
    </row>
    <row r="26" spans="2:26" x14ac:dyDescent="0.2">
      <c r="B26" s="2" t="s">
        <v>409</v>
      </c>
      <c r="C26" s="1" t="s">
        <v>53</v>
      </c>
      <c r="D26" s="115">
        <f>'Data Sources'!C32</f>
        <v>27.335737800465985</v>
      </c>
      <c r="F26" s="5" t="s">
        <v>157</v>
      </c>
      <c r="G26" s="35"/>
      <c r="N26" s="831"/>
      <c r="O26" s="121">
        <v>17.5</v>
      </c>
      <c r="P26" s="8">
        <v>0.38615596890449533</v>
      </c>
      <c r="Q26" s="8">
        <v>0.38644147515296945</v>
      </c>
      <c r="R26" s="8">
        <v>0.38672698140144346</v>
      </c>
      <c r="S26" s="8">
        <v>0.3870125114917754</v>
      </c>
      <c r="T26" s="8">
        <v>0.38729804158210757</v>
      </c>
      <c r="U26" s="8">
        <v>0.38741683363914492</v>
      </c>
      <c r="V26" s="8">
        <v>0.38758359551429744</v>
      </c>
      <c r="W26" s="8">
        <v>0.38786914944648743</v>
      </c>
      <c r="X26" s="8">
        <v>0.38815472722053523</v>
      </c>
      <c r="Y26" s="8">
        <v>0.38844251036643984</v>
      </c>
      <c r="Z26" s="8">
        <v>0.38872810006141656</v>
      </c>
    </row>
    <row r="27" spans="2:26" x14ac:dyDescent="0.2">
      <c r="B27" s="2" t="str">
        <f t="shared" ref="B27:B34" si="6">B3</f>
        <v xml:space="preserve">Activated Carbon Ash </v>
      </c>
      <c r="C27" s="1" t="s">
        <v>247</v>
      </c>
      <c r="D27" s="115">
        <f>'Data Sources'!C59</f>
        <v>67.544633573282255</v>
      </c>
      <c r="F27" s="1" t="s">
        <v>164</v>
      </c>
      <c r="G27" s="655">
        <f>'Data Sources'!C20</f>
        <v>0.05</v>
      </c>
      <c r="N27" s="831"/>
      <c r="O27" s="121">
        <v>19.190000000000001</v>
      </c>
      <c r="P27" s="8">
        <v>0.38673498034477238</v>
      </c>
      <c r="Q27" s="8">
        <v>0.38704807162284849</v>
      </c>
      <c r="R27" s="8">
        <v>0.38736118674278253</v>
      </c>
      <c r="S27" s="8">
        <v>0.38767431378364559</v>
      </c>
      <c r="T27" s="8">
        <v>0.38798746466636669</v>
      </c>
      <c r="U27" s="8">
        <v>0.38811773657798776</v>
      </c>
      <c r="V27" s="8">
        <v>0.38830282092094426</v>
      </c>
      <c r="W27" s="8">
        <v>0.38861598372459416</v>
      </c>
      <c r="X27" s="8">
        <v>0.38892917037010188</v>
      </c>
      <c r="Y27" s="8">
        <v>0.38924235701560972</v>
      </c>
      <c r="Z27" s="8">
        <v>0.3895555794239044</v>
      </c>
    </row>
    <row r="28" spans="2:26" x14ac:dyDescent="0.2">
      <c r="B28" s="2" t="str">
        <f t="shared" si="6"/>
        <v>Aluminum</v>
      </c>
      <c r="C28" s="1" t="s">
        <v>247</v>
      </c>
      <c r="D28" s="115">
        <f>'Data Sources'!C60</f>
        <v>4.95</v>
      </c>
      <c r="F28" s="51" t="s">
        <v>156</v>
      </c>
      <c r="G28" s="145">
        <f>'Data Sources'!C21</f>
        <v>45000000</v>
      </c>
      <c r="H28" s="1" t="s">
        <v>804</v>
      </c>
      <c r="N28" s="831"/>
      <c r="O28" s="121">
        <v>20</v>
      </c>
      <c r="P28" s="8">
        <v>0.3870125114917754</v>
      </c>
      <c r="Q28" s="8">
        <v>0.38733883500099187</v>
      </c>
      <c r="R28" s="8">
        <v>0.38766518235206604</v>
      </c>
      <c r="S28" s="8">
        <v>0.38799154162406935</v>
      </c>
      <c r="T28" s="8">
        <v>0.38832011818885814</v>
      </c>
      <c r="U28" s="8">
        <v>0.38845588564872746</v>
      </c>
      <c r="V28" s="8">
        <v>0.38864650130271916</v>
      </c>
      <c r="W28" s="8">
        <v>0.38897290825843811</v>
      </c>
      <c r="X28" s="8">
        <v>0.38929932713508608</v>
      </c>
      <c r="Y28" s="8">
        <v>0.38962575793266296</v>
      </c>
      <c r="Z28" s="8">
        <v>0.38995221257209767</v>
      </c>
    </row>
    <row r="29" spans="2:26" x14ac:dyDescent="0.2">
      <c r="B29" s="2" t="str">
        <f t="shared" si="6"/>
        <v>Ferrous Metals</v>
      </c>
      <c r="C29" s="1" t="s">
        <v>247</v>
      </c>
      <c r="D29" s="115">
        <f>'Data Sources'!C61</f>
        <v>6.8200000000000109</v>
      </c>
      <c r="N29" s="831"/>
      <c r="O29" s="121">
        <v>22.5</v>
      </c>
      <c r="P29" s="8">
        <v>0.38786914944648743</v>
      </c>
      <c r="Q29" s="8">
        <v>0.38823851943016052</v>
      </c>
      <c r="R29" s="8">
        <v>0.38860570788383486</v>
      </c>
      <c r="S29" s="8">
        <v>0.38897290825843811</v>
      </c>
      <c r="T29" s="8">
        <v>0.38934013247489929</v>
      </c>
      <c r="U29" s="8">
        <v>0.38949289917945862</v>
      </c>
      <c r="V29" s="8">
        <v>0.38970736861228938</v>
      </c>
      <c r="W29" s="8">
        <v>0.39007464051246643</v>
      </c>
      <c r="X29" s="8">
        <v>0.39044191241264348</v>
      </c>
      <c r="Y29" s="8">
        <v>0.39080922007560726</v>
      </c>
      <c r="Z29" s="8">
        <v>0.39117882847785956</v>
      </c>
    </row>
    <row r="30" spans="2:26" x14ac:dyDescent="0.2">
      <c r="B30" s="2" t="str">
        <f t="shared" si="6"/>
        <v>Non-Ferrous Metals</v>
      </c>
      <c r="C30" s="1" t="s">
        <v>247</v>
      </c>
      <c r="D30" s="115">
        <f>'Data Sources'!C62</f>
        <v>3.3000000000000003</v>
      </c>
      <c r="N30" s="831"/>
      <c r="O30" s="121">
        <v>25</v>
      </c>
      <c r="P30" s="8">
        <v>0.38872810006141656</v>
      </c>
      <c r="Q30" s="8">
        <v>0.38913611769676215</v>
      </c>
      <c r="R30" s="8">
        <v>0.38954414725303643</v>
      </c>
      <c r="S30" s="8">
        <v>0.38995221257209767</v>
      </c>
      <c r="T30" s="8">
        <v>0.39036030173301695</v>
      </c>
      <c r="U30" s="8">
        <v>0.39053006768226628</v>
      </c>
      <c r="V30" s="8">
        <v>0.39076841473579405</v>
      </c>
      <c r="W30" s="8">
        <v>0.39117882847785956</v>
      </c>
      <c r="X30" s="8">
        <v>0.3915869772434234</v>
      </c>
      <c r="Y30" s="8">
        <v>0.39199514985084538</v>
      </c>
      <c r="Z30" s="8">
        <v>0.39240334630012519</v>
      </c>
    </row>
    <row r="31" spans="2:26" x14ac:dyDescent="0.2">
      <c r="B31" s="2" t="str">
        <f t="shared" si="6"/>
        <v>Steel from Tires</v>
      </c>
      <c r="C31" s="1" t="s">
        <v>247</v>
      </c>
      <c r="D31" s="115">
        <f>SUM(D36 * 'Data Sources'!C74)</f>
        <v>15</v>
      </c>
    </row>
    <row r="32" spans="2:26" x14ac:dyDescent="0.2">
      <c r="B32" s="2" t="str">
        <f t="shared" si="6"/>
        <v>Steel, OTR Tires</v>
      </c>
      <c r="C32" s="1" t="s">
        <v>247</v>
      </c>
      <c r="D32" s="69">
        <v>0</v>
      </c>
      <c r="P32" s="832" t="s">
        <v>253</v>
      </c>
      <c r="Q32" s="832"/>
      <c r="R32" s="832"/>
      <c r="S32" s="832"/>
      <c r="T32" s="832"/>
      <c r="U32" s="832"/>
      <c r="V32" s="832"/>
      <c r="W32" s="832"/>
      <c r="X32" s="832"/>
      <c r="Y32" s="832"/>
      <c r="Z32" s="832"/>
    </row>
    <row r="33" spans="2:26" x14ac:dyDescent="0.2">
      <c r="B33" s="2" t="str">
        <f t="shared" si="6"/>
        <v xml:space="preserve">Carbon Black </v>
      </c>
      <c r="C33" s="1" t="s">
        <v>247</v>
      </c>
      <c r="D33" s="115">
        <f>'Data Sources'!C63</f>
        <v>25.16</v>
      </c>
      <c r="F33" s="1" t="s">
        <v>280</v>
      </c>
      <c r="H33" s="1" t="s">
        <v>266</v>
      </c>
      <c r="O33" s="8">
        <f>Summary!$H$12</f>
        <v>0.39179596304893494</v>
      </c>
      <c r="P33" s="116">
        <f t="shared" ref="P33:S33" si="7">Q33-100000</f>
        <v>3570858</v>
      </c>
      <c r="Q33" s="116">
        <f t="shared" si="7"/>
        <v>3670858</v>
      </c>
      <c r="R33" s="116">
        <f t="shared" si="7"/>
        <v>3770858</v>
      </c>
      <c r="S33" s="116">
        <f t="shared" si="7"/>
        <v>3870858</v>
      </c>
      <c r="T33" s="116">
        <f>U33-100000</f>
        <v>3970858</v>
      </c>
      <c r="U33" s="122">
        <v>4070858</v>
      </c>
      <c r="V33" s="116">
        <f>U33+100000</f>
        <v>4170858</v>
      </c>
      <c r="W33" s="116">
        <f t="shared" ref="W33:Z33" si="8">V33+100000</f>
        <v>4270858</v>
      </c>
      <c r="X33" s="116">
        <f t="shared" si="8"/>
        <v>4370858</v>
      </c>
      <c r="Y33" s="116">
        <f t="shared" si="8"/>
        <v>4470858</v>
      </c>
      <c r="Z33" s="116">
        <f t="shared" si="8"/>
        <v>4570858</v>
      </c>
    </row>
    <row r="34" spans="2:26" x14ac:dyDescent="0.2">
      <c r="B34" s="2" t="str">
        <f t="shared" si="6"/>
        <v>Graphene</v>
      </c>
      <c r="C34" s="1" t="s">
        <v>247</v>
      </c>
      <c r="D34" s="115">
        <f>'Data Sources'!C64</f>
        <v>5.6609999999999996</v>
      </c>
      <c r="F34" s="123">
        <f>SUM(D37 / 'Data Sources'!$C$72)</f>
        <v>6704.119934953128</v>
      </c>
      <c r="H34" s="1" t="s">
        <v>805</v>
      </c>
      <c r="N34" s="831" t="s">
        <v>254</v>
      </c>
      <c r="O34" s="116">
        <f t="shared" ref="O34:O36" si="9">O35-100000</f>
        <v>2848800</v>
      </c>
      <c r="P34" s="8">
        <f t="dataTable" ref="P34:Z44" dt2D="1" dtr="1" r1="G4" r2="G7" ca="1"/>
        <v>0.39063133597373967</v>
      </c>
      <c r="Q34" s="8">
        <v>0.3897635161876678</v>
      </c>
      <c r="R34" s="8">
        <v>0.38889588713645939</v>
      </c>
      <c r="S34" s="8">
        <v>0.38802627921104438</v>
      </c>
      <c r="T34" s="8">
        <v>0.38715905547142027</v>
      </c>
      <c r="U34" s="8">
        <v>0.38629204630851743</v>
      </c>
      <c r="V34" s="8">
        <v>0.3854229748249054</v>
      </c>
      <c r="W34" s="8">
        <v>0.38455637097358708</v>
      </c>
      <c r="X34" s="8">
        <v>0.38368999361991885</v>
      </c>
      <c r="Y34" s="8">
        <v>0.3828215539455414</v>
      </c>
      <c r="Z34" s="8">
        <v>0.3819555938243866</v>
      </c>
    </row>
    <row r="35" spans="2:26" x14ac:dyDescent="0.2">
      <c r="B35" s="2" t="s">
        <v>51</v>
      </c>
      <c r="C35" s="1" t="s">
        <v>247</v>
      </c>
      <c r="D35" s="115">
        <f>SUM('Data Sources'!C53)</f>
        <v>550</v>
      </c>
      <c r="F35" s="123">
        <f>SUM(D39 / 'Data Sources'!$C$72)</f>
        <v>1340.8239869906256</v>
      </c>
      <c r="N35" s="831"/>
      <c r="O35" s="116">
        <f t="shared" si="9"/>
        <v>2948800</v>
      </c>
      <c r="P35" s="8">
        <v>0.38973695635795602</v>
      </c>
      <c r="Q35" s="8">
        <v>0.38886929154396055</v>
      </c>
      <c r="R35" s="8">
        <v>0.38799963593482978</v>
      </c>
      <c r="S35" s="8">
        <v>0.3871323645114898</v>
      </c>
      <c r="T35" s="8">
        <v>0.38626530766487122</v>
      </c>
      <c r="U35" s="8">
        <v>0.38539620041847233</v>
      </c>
      <c r="V35" s="8">
        <v>0.38452954888343815</v>
      </c>
      <c r="W35" s="8">
        <v>0.38366312384605405</v>
      </c>
      <c r="X35" s="8">
        <v>0.38279464840888977</v>
      </c>
      <c r="Y35" s="8">
        <v>0.3819286406040191</v>
      </c>
      <c r="Z35" s="8">
        <v>0.38106285929679873</v>
      </c>
    </row>
    <row r="36" spans="2:26" x14ac:dyDescent="0.2">
      <c r="B36" s="2" t="s">
        <v>52</v>
      </c>
      <c r="C36" s="1" t="s">
        <v>247</v>
      </c>
      <c r="D36" s="115">
        <f>'Data Sources'!C54</f>
        <v>100</v>
      </c>
      <c r="F36" s="123">
        <f>SUM(D40 / 'Data Sources'!$C$72)</f>
        <v>1340.8239869906256</v>
      </c>
      <c r="N36" s="831"/>
      <c r="O36" s="116">
        <f t="shared" si="9"/>
        <v>3048800</v>
      </c>
      <c r="P36" s="8">
        <v>0.38884268403053279</v>
      </c>
      <c r="Q36" s="8">
        <v>0.38797298073768627</v>
      </c>
      <c r="R36" s="8">
        <v>0.38710567355155945</v>
      </c>
      <c r="S36" s="8">
        <v>0.386238569021225</v>
      </c>
      <c r="T36" s="8">
        <v>0.38536941409111025</v>
      </c>
      <c r="U36" s="8">
        <v>0.38450272679328923</v>
      </c>
      <c r="V36" s="8">
        <v>0.38363625407218938</v>
      </c>
      <c r="W36" s="8">
        <v>0.38276773095130923</v>
      </c>
      <c r="X36" s="8">
        <v>0.3819016754627228</v>
      </c>
      <c r="Y36" s="8">
        <v>0.38103585839271548</v>
      </c>
      <c r="Z36" s="8">
        <v>0.38017025589942921</v>
      </c>
    </row>
    <row r="37" spans="2:26" x14ac:dyDescent="0.2">
      <c r="B37" s="113" t="s">
        <v>6</v>
      </c>
      <c r="C37" s="1" t="s">
        <v>249</v>
      </c>
      <c r="D37" s="115">
        <f>SUM('Data Sources'!C66*'Data Sources'!C72)</f>
        <v>25377.842642970922</v>
      </c>
      <c r="F37" s="123">
        <f>SUM(D41 / 'Data Sources'!$C$72)</f>
        <v>1340.8239869906256</v>
      </c>
      <c r="H37" s="1">
        <v>1.881</v>
      </c>
      <c r="J37" s="1">
        <f>SUM(H37/'Data Sources'!C72)</f>
        <v>0.49690786466987724</v>
      </c>
      <c r="N37" s="831"/>
      <c r="O37" s="116">
        <f>O38-100000</f>
        <v>3148800</v>
      </c>
      <c r="P37" s="8">
        <v>0.38794632554054265</v>
      </c>
      <c r="Q37" s="8">
        <v>0.38707897067070007</v>
      </c>
      <c r="R37" s="8">
        <v>0.38621183037757878</v>
      </c>
      <c r="S37" s="8">
        <v>0.38534262776374817</v>
      </c>
      <c r="T37" s="8">
        <v>0.38447589278221139</v>
      </c>
      <c r="U37" s="8">
        <v>0.38360938429832458</v>
      </c>
      <c r="V37" s="8">
        <v>0.38274081349372857</v>
      </c>
      <c r="W37" s="8">
        <v>0.38187472224235541</v>
      </c>
      <c r="X37" s="8">
        <v>0.3810088455677032</v>
      </c>
      <c r="Y37" s="8">
        <v>0.38014319539070118</v>
      </c>
      <c r="Z37" s="8">
        <v>0.3792755782604218</v>
      </c>
    </row>
    <row r="38" spans="2:26" x14ac:dyDescent="0.2">
      <c r="B38" s="113" t="str">
        <f>B15</f>
        <v>Light Oil Sale</v>
      </c>
      <c r="C38" s="1" t="s">
        <v>537</v>
      </c>
      <c r="D38" s="123">
        <f>SUM('Data Sources'!C66/42)</f>
        <v>159.6219032131697</v>
      </c>
      <c r="F38" s="123">
        <f>SUM(D42 / 'Data Sources'!$C$72)</f>
        <v>1340.8239869906256</v>
      </c>
      <c r="N38" s="831"/>
      <c r="O38" s="116">
        <v>3248800</v>
      </c>
      <c r="P38" s="8">
        <v>0.3870522677898407</v>
      </c>
      <c r="Q38" s="8">
        <v>0.38618509173393256</v>
      </c>
      <c r="R38" s="8">
        <v>0.38531584143638609</v>
      </c>
      <c r="S38" s="8">
        <v>0.38444905877113345</v>
      </c>
      <c r="T38" s="8">
        <v>0.38358250260353088</v>
      </c>
      <c r="U38" s="8">
        <v>0.38271389603614803</v>
      </c>
      <c r="V38" s="8">
        <v>0.381847757101059</v>
      </c>
      <c r="W38" s="8">
        <v>0.38098183274269104</v>
      </c>
      <c r="X38" s="8">
        <v>0.38011396527290342</v>
      </c>
      <c r="Y38" s="8">
        <v>0.37924848198890682</v>
      </c>
      <c r="Z38" s="8">
        <v>0.3783832252025604</v>
      </c>
    </row>
    <row r="39" spans="2:26" x14ac:dyDescent="0.2">
      <c r="B39" s="25" t="s">
        <v>177</v>
      </c>
      <c r="C39" s="1" t="s">
        <v>249</v>
      </c>
      <c r="D39" s="114">
        <f>SUM($D$37 * 'Data Sources'!C67)</f>
        <v>5075.5685285941845</v>
      </c>
      <c r="F39" s="123">
        <f>SUM(D43 / 'Data Sources'!$C$72)</f>
        <v>1340.8239869906256</v>
      </c>
      <c r="N39" s="831"/>
      <c r="O39" s="116">
        <f>O38+100000</f>
        <v>3348800</v>
      </c>
      <c r="P39" s="8">
        <v>0.38615834116935732</v>
      </c>
      <c r="Q39" s="8">
        <v>0.38528904318809509</v>
      </c>
      <c r="R39" s="8">
        <v>0.38442222476005561</v>
      </c>
      <c r="S39" s="8">
        <v>0.38355562090873718</v>
      </c>
      <c r="T39" s="8">
        <v>0.38268696665763857</v>
      </c>
      <c r="U39" s="8">
        <v>0.38182078003883357</v>
      </c>
      <c r="V39" s="8">
        <v>0.38095481991767877</v>
      </c>
      <c r="W39" s="8">
        <v>0.38008690476417528</v>
      </c>
      <c r="X39" s="8">
        <v>0.37922137379646292</v>
      </c>
      <c r="Y39" s="8">
        <v>0.37835608124732967</v>
      </c>
      <c r="Z39" s="8">
        <v>0.37749101519584649</v>
      </c>
    </row>
    <row r="40" spans="2:26" x14ac:dyDescent="0.2">
      <c r="B40" s="25" t="s">
        <v>179</v>
      </c>
      <c r="C40" s="1" t="s">
        <v>249</v>
      </c>
      <c r="D40" s="114">
        <f>SUM($D$37 * 'Data Sources'!C68)</f>
        <v>5075.5685285941845</v>
      </c>
      <c r="N40" s="831"/>
      <c r="O40" s="116">
        <f t="shared" ref="O40:O44" si="10">O39+100000</f>
        <v>3448800</v>
      </c>
      <c r="P40" s="8">
        <v>0.3852622449398041</v>
      </c>
      <c r="Q40" s="8">
        <v>0.38439539074897766</v>
      </c>
      <c r="R40" s="8">
        <v>0.38352873921394348</v>
      </c>
      <c r="S40" s="8">
        <v>0.38266003727912901</v>
      </c>
      <c r="T40" s="8">
        <v>0.38179381489753716</v>
      </c>
      <c r="U40" s="8">
        <v>0.3809278070926666</v>
      </c>
      <c r="V40" s="8">
        <v>0.38005984425544737</v>
      </c>
      <c r="W40" s="8">
        <v>0.37919426560401903</v>
      </c>
      <c r="X40" s="8">
        <v>0.37832892537117002</v>
      </c>
      <c r="Y40" s="8">
        <v>0.37746154665946963</v>
      </c>
      <c r="Z40" s="8">
        <v>0.37659664750099187</v>
      </c>
    </row>
    <row r="41" spans="2:26" x14ac:dyDescent="0.2">
      <c r="B41" s="25" t="s">
        <v>180</v>
      </c>
      <c r="C41" s="1" t="s">
        <v>249</v>
      </c>
      <c r="D41" s="114">
        <f>SUM($D$37 * 'Data Sources'!C69)</f>
        <v>5075.5685285941845</v>
      </c>
      <c r="N41" s="831"/>
      <c r="O41" s="116">
        <f t="shared" si="10"/>
        <v>3548800</v>
      </c>
      <c r="P41" s="8">
        <v>0.3843685448169708</v>
      </c>
      <c r="Q41" s="8">
        <v>0.38350185751914978</v>
      </c>
      <c r="R41" s="8">
        <v>0.38263310790061955</v>
      </c>
      <c r="S41" s="8">
        <v>0.38176683783531185</v>
      </c>
      <c r="T41" s="8">
        <v>0.38090078234672553</v>
      </c>
      <c r="U41" s="8">
        <v>0.38003278374671934</v>
      </c>
      <c r="V41" s="8">
        <v>0.37916715741157525</v>
      </c>
      <c r="W41" s="8">
        <v>0.37830176949501038</v>
      </c>
      <c r="X41" s="8">
        <v>0.37743435502052303</v>
      </c>
      <c r="Y41" s="8">
        <v>0.37656940817832951</v>
      </c>
      <c r="Z41" s="8">
        <v>0.37570469975471499</v>
      </c>
    </row>
    <row r="42" spans="2:26" x14ac:dyDescent="0.2">
      <c r="B42" s="25" t="s">
        <v>181</v>
      </c>
      <c r="C42" s="1" t="s">
        <v>249</v>
      </c>
      <c r="D42" s="114">
        <f>SUM($D$37 * 'Data Sources'!C70)</f>
        <v>5075.5685285941845</v>
      </c>
      <c r="F42" s="1" t="s">
        <v>266</v>
      </c>
      <c r="N42" s="831"/>
      <c r="O42" s="116">
        <f t="shared" si="10"/>
        <v>3648800</v>
      </c>
      <c r="P42" s="8">
        <v>0.38347496390342717</v>
      </c>
      <c r="Q42" s="8">
        <v>0.38260617852210999</v>
      </c>
      <c r="R42" s="8">
        <v>0.38173986077308653</v>
      </c>
      <c r="S42" s="8">
        <v>0.38087376952171326</v>
      </c>
      <c r="T42" s="8">
        <v>0.38000571131706229</v>
      </c>
      <c r="U42" s="8">
        <v>0.37914004921913158</v>
      </c>
      <c r="V42" s="8">
        <v>0.37827461361885062</v>
      </c>
      <c r="W42" s="8">
        <v>0.37740715146064752</v>
      </c>
      <c r="X42" s="8">
        <v>0.37654215693473825</v>
      </c>
      <c r="Y42" s="8">
        <v>0.37567741274833688</v>
      </c>
      <c r="Z42" s="8">
        <v>0.37481289505958559</v>
      </c>
    </row>
    <row r="43" spans="2:26" x14ac:dyDescent="0.2">
      <c r="B43" s="25" t="s">
        <v>248</v>
      </c>
      <c r="C43" s="1" t="s">
        <v>249</v>
      </c>
      <c r="D43" s="114">
        <f>SUM($D$37 * 'Data Sources'!C71)</f>
        <v>5075.5685285941845</v>
      </c>
      <c r="F43" s="1" t="s">
        <v>266</v>
      </c>
      <c r="N43" s="831"/>
      <c r="O43" s="116">
        <f t="shared" si="10"/>
        <v>3748800</v>
      </c>
      <c r="P43" s="8">
        <v>0.38257923722267151</v>
      </c>
      <c r="Q43" s="8">
        <v>0.38171288371086121</v>
      </c>
      <c r="R43" s="8">
        <v>0.38084674477577218</v>
      </c>
      <c r="S43" s="8">
        <v>0.37997863888740524</v>
      </c>
      <c r="T43" s="8">
        <v>0.37911294102668758</v>
      </c>
      <c r="U43" s="8">
        <v>0.37824745774269097</v>
      </c>
      <c r="V43" s="8">
        <v>0.37737994790077212</v>
      </c>
      <c r="W43" s="8">
        <v>0.37651490569114687</v>
      </c>
      <c r="X43" s="8">
        <v>0.37565011382102975</v>
      </c>
      <c r="Y43" s="8">
        <v>0.3747855484485626</v>
      </c>
      <c r="Z43" s="8">
        <v>0.37391902804374699</v>
      </c>
    </row>
    <row r="44" spans="2:26" x14ac:dyDescent="0.2">
      <c r="B44" s="211" t="s">
        <v>417</v>
      </c>
      <c r="C44" s="1" t="s">
        <v>422</v>
      </c>
      <c r="D44" s="212">
        <f>'Data Sources'!C75</f>
        <v>7539.0971129191566</v>
      </c>
      <c r="N44" s="831"/>
      <c r="O44" s="116">
        <f t="shared" si="10"/>
        <v>3848800</v>
      </c>
      <c r="P44" s="8">
        <v>0.38168589472770686</v>
      </c>
      <c r="Q44" s="8">
        <v>0.38081970810890198</v>
      </c>
      <c r="R44" s="8">
        <v>0.3799515664577483</v>
      </c>
      <c r="S44" s="8">
        <v>0.37908582091331489</v>
      </c>
      <c r="T44" s="8">
        <v>0.37822028994560242</v>
      </c>
      <c r="U44" s="8">
        <v>0.37735273241996758</v>
      </c>
      <c r="V44" s="8">
        <v>0.37648765444755561</v>
      </c>
      <c r="W44" s="8">
        <v>0.37562281489372262</v>
      </c>
      <c r="X44" s="8">
        <v>0.37475602030754096</v>
      </c>
      <c r="Y44" s="8">
        <v>0.37389163374900813</v>
      </c>
      <c r="Z44" s="8">
        <v>0.37302748560905463</v>
      </c>
    </row>
    <row r="46" spans="2:26" x14ac:dyDescent="0.2">
      <c r="P46" s="832" t="s">
        <v>256</v>
      </c>
      <c r="Q46" s="832"/>
      <c r="R46" s="832"/>
      <c r="S46" s="832"/>
      <c r="T46" s="832"/>
      <c r="U46" s="832"/>
      <c r="V46" s="832"/>
      <c r="W46" s="832"/>
      <c r="X46" s="832"/>
      <c r="Y46" s="832"/>
      <c r="Z46" s="832"/>
    </row>
    <row r="47" spans="2:26" x14ac:dyDescent="0.2">
      <c r="O47" s="8">
        <f>Summary!$H$12</f>
        <v>0.39179596304893494</v>
      </c>
      <c r="P47" s="118">
        <v>780</v>
      </c>
      <c r="Q47" s="118">
        <v>790</v>
      </c>
      <c r="R47" s="118">
        <v>800</v>
      </c>
      <c r="S47" s="118">
        <v>810</v>
      </c>
      <c r="T47" s="118">
        <v>820</v>
      </c>
      <c r="U47" s="118">
        <v>830</v>
      </c>
      <c r="V47" s="118">
        <v>840</v>
      </c>
      <c r="W47" s="118">
        <v>850</v>
      </c>
      <c r="X47" s="118">
        <v>860</v>
      </c>
      <c r="Y47" s="118">
        <v>870</v>
      </c>
      <c r="Z47" s="118">
        <v>880</v>
      </c>
    </row>
    <row r="48" spans="2:26" ht="12.75" customHeight="1" x14ac:dyDescent="0.2">
      <c r="N48" s="831" t="s">
        <v>255</v>
      </c>
      <c r="O48" s="124">
        <f>O49-2</f>
        <v>30</v>
      </c>
      <c r="P48" s="8">
        <f t="dataTable" ref="P48:Z54" dt2D="1" dtr="1" r1="D9" r2="D33" ca="1"/>
        <v>0.39426724314689643</v>
      </c>
      <c r="Q48" s="8">
        <v>0.39524725079536438</v>
      </c>
      <c r="R48" s="8">
        <v>0.39622740149497993</v>
      </c>
      <c r="S48" s="8">
        <v>0.3972099483013154</v>
      </c>
      <c r="T48" s="8">
        <v>0.39819033741950982</v>
      </c>
      <c r="U48" s="8">
        <v>0.39917084574699402</v>
      </c>
      <c r="V48" s="8">
        <v>0.40015351176261904</v>
      </c>
      <c r="W48" s="8">
        <v>0.40113425850868234</v>
      </c>
      <c r="X48" s="8">
        <v>0.40211512446403508</v>
      </c>
      <c r="Y48" s="8">
        <v>0.40309837460517872</v>
      </c>
      <c r="Z48" s="8">
        <v>0.40407945513725285</v>
      </c>
    </row>
    <row r="49" spans="14:26" x14ac:dyDescent="0.2">
      <c r="N49" s="831"/>
      <c r="O49" s="124">
        <f>O50-2</f>
        <v>32</v>
      </c>
      <c r="P49" s="8">
        <v>0.39936900734901426</v>
      </c>
      <c r="Q49" s="8">
        <v>0.40041503310203552</v>
      </c>
      <c r="R49" s="8">
        <v>0.40146120190620427</v>
      </c>
      <c r="S49" s="8">
        <v>0.40250979065895065</v>
      </c>
      <c r="T49" s="8">
        <v>0.40355619788169872</v>
      </c>
      <c r="U49" s="8">
        <v>0.40460273623466492</v>
      </c>
      <c r="V49" s="8">
        <v>0.40565170645713799</v>
      </c>
      <c r="W49" s="8">
        <v>0.40669848322868341</v>
      </c>
      <c r="X49" s="8">
        <v>0.40774539113044739</v>
      </c>
      <c r="Y49" s="8">
        <v>0.40879462361335761</v>
      </c>
      <c r="Z49" s="8">
        <v>0.40984174609184276</v>
      </c>
    </row>
    <row r="50" spans="14:26" x14ac:dyDescent="0.2">
      <c r="N50" s="831"/>
      <c r="O50" s="124">
        <f>O51-2</f>
        <v>34</v>
      </c>
      <c r="P50" s="8">
        <v>0.40447191596031185</v>
      </c>
      <c r="Q50" s="8">
        <v>0.40558628439903244</v>
      </c>
      <c r="R50" s="8">
        <v>0.40669848322868341</v>
      </c>
      <c r="S50" s="8">
        <v>0.40781082510948186</v>
      </c>
      <c r="T50" s="8">
        <v>0.40892550349235546</v>
      </c>
      <c r="U50" s="8">
        <v>0.41003809571266181</v>
      </c>
      <c r="V50" s="8">
        <v>0.41115313172340395</v>
      </c>
      <c r="W50" s="8">
        <v>0.41226597428321843</v>
      </c>
      <c r="X50" s="8">
        <v>0.41337893605232245</v>
      </c>
      <c r="Y50" s="8">
        <v>0.41449424624443065</v>
      </c>
      <c r="Z50" s="8">
        <v>0.41560743451118476</v>
      </c>
    </row>
    <row r="51" spans="14:26" x14ac:dyDescent="0.2">
      <c r="N51" s="831"/>
      <c r="O51" s="117">
        <v>36</v>
      </c>
      <c r="P51" s="8">
        <v>0.40957996249198914</v>
      </c>
      <c r="Q51" s="8">
        <v>0.41075808405876169</v>
      </c>
      <c r="R51" s="8">
        <v>0.41193864941596992</v>
      </c>
      <c r="S51" s="8">
        <v>0.41311704516410841</v>
      </c>
      <c r="T51" s="8">
        <v>0.41429781317710879</v>
      </c>
      <c r="U51" s="8">
        <v>0.4154764711856842</v>
      </c>
      <c r="V51" s="8">
        <v>0.41665526032447819</v>
      </c>
      <c r="W51" s="8">
        <v>0.41783648133277895</v>
      </c>
      <c r="X51" s="8">
        <v>0.41901550889015204</v>
      </c>
      <c r="Y51" s="8">
        <v>0.42019699215888984</v>
      </c>
      <c r="Z51" s="8">
        <v>0.42137624621391301</v>
      </c>
    </row>
    <row r="52" spans="14:26" x14ac:dyDescent="0.2">
      <c r="N52" s="831"/>
      <c r="O52" s="124">
        <f>O51+2</f>
        <v>38</v>
      </c>
      <c r="P52" s="8">
        <v>0.41469067931175241</v>
      </c>
      <c r="Q52" s="8">
        <v>0.4159348666667938</v>
      </c>
      <c r="R52" s="8">
        <v>0.41718152165412903</v>
      </c>
      <c r="S52" s="8">
        <v>0.41842598319053659</v>
      </c>
      <c r="T52" s="8">
        <v>0.41967058777809152</v>
      </c>
      <c r="U52" s="8">
        <v>0.42091763615608224</v>
      </c>
      <c r="V52" s="8">
        <v>0.42216249108314519</v>
      </c>
      <c r="W52" s="8">
        <v>0.42340971827507023</v>
      </c>
      <c r="X52" s="8">
        <v>0.42465481162071228</v>
      </c>
      <c r="Y52" s="8">
        <v>0.42590002417564388</v>
      </c>
      <c r="Z52" s="8">
        <v>0.42714768052101137</v>
      </c>
    </row>
    <row r="53" spans="14:26" x14ac:dyDescent="0.2">
      <c r="N53" s="831"/>
      <c r="O53" s="124">
        <f>O52+2</f>
        <v>40</v>
      </c>
      <c r="P53" s="8">
        <v>0.41980159878730783</v>
      </c>
      <c r="Q53" s="8">
        <v>0.42111417651176453</v>
      </c>
      <c r="R53" s="8">
        <v>0.42242457270622258</v>
      </c>
      <c r="S53" s="8">
        <v>0.42373735308647154</v>
      </c>
      <c r="T53" s="8">
        <v>0.42504802346229564</v>
      </c>
      <c r="U53" s="8">
        <v>0.42636114954948434</v>
      </c>
      <c r="V53" s="8">
        <v>0.42767205834388733</v>
      </c>
      <c r="W53" s="8">
        <v>0.428983098268509</v>
      </c>
      <c r="X53" s="8">
        <v>0.43029651045799255</v>
      </c>
      <c r="Y53" s="8">
        <v>0.4316077768802643</v>
      </c>
      <c r="Z53" s="8">
        <v>0.43292149901390087</v>
      </c>
    </row>
    <row r="54" spans="14:26" x14ac:dyDescent="0.2">
      <c r="N54" s="831"/>
      <c r="O54" s="124">
        <f>O53+2</f>
        <v>42</v>
      </c>
      <c r="P54" s="8">
        <v>0.42491694092750554</v>
      </c>
      <c r="Q54" s="8">
        <v>0.42629560828208934</v>
      </c>
      <c r="R54" s="8">
        <v>0.42767205834388733</v>
      </c>
      <c r="S54" s="8">
        <v>0.42904866337776182</v>
      </c>
      <c r="T54" s="8">
        <v>0.43042762875556939</v>
      </c>
      <c r="U54" s="8">
        <v>0.43180447220802309</v>
      </c>
      <c r="V54" s="8">
        <v>0.43318379521369943</v>
      </c>
      <c r="W54" s="8">
        <v>0.4345608651638031</v>
      </c>
      <c r="X54" s="8">
        <v>0.4359401643276215</v>
      </c>
      <c r="Y54" s="8">
        <v>0.43731746077537537</v>
      </c>
      <c r="Z54" s="8">
        <v>0.43869723677635197</v>
      </c>
    </row>
    <row r="56" spans="14:26" x14ac:dyDescent="0.2">
      <c r="O56" s="123"/>
    </row>
    <row r="57" spans="14:26" x14ac:dyDescent="0.2">
      <c r="O57" s="123"/>
      <c r="P57" s="832" t="s">
        <v>257</v>
      </c>
      <c r="Q57" s="832"/>
      <c r="R57" s="832"/>
      <c r="S57" s="832"/>
      <c r="T57" s="832"/>
      <c r="U57" s="832"/>
      <c r="V57" s="832"/>
      <c r="W57" s="832"/>
      <c r="X57" s="832"/>
      <c r="Y57" s="832"/>
      <c r="Z57" s="832"/>
    </row>
    <row r="58" spans="14:26" x14ac:dyDescent="0.2">
      <c r="O58" s="8">
        <f>Summary!$H$12</f>
        <v>0.39179596304893494</v>
      </c>
      <c r="P58" s="118">
        <v>61.5</v>
      </c>
      <c r="Q58" s="118">
        <v>62.5</v>
      </c>
      <c r="R58" s="118">
        <v>63.5</v>
      </c>
      <c r="S58" s="118">
        <v>64.5</v>
      </c>
      <c r="T58" s="118">
        <v>65.5</v>
      </c>
      <c r="U58" s="118">
        <v>66.5</v>
      </c>
      <c r="V58" s="118">
        <v>67.5</v>
      </c>
      <c r="W58" s="118">
        <v>68.5</v>
      </c>
      <c r="X58" s="118">
        <v>69.5</v>
      </c>
      <c r="Y58" s="118">
        <v>70.5</v>
      </c>
      <c r="Z58" s="118">
        <v>71.5</v>
      </c>
    </row>
    <row r="59" spans="14:26" ht="12.75" customHeight="1" x14ac:dyDescent="0.2">
      <c r="N59" s="831" t="s">
        <v>53</v>
      </c>
      <c r="O59" s="121">
        <f t="shared" ref="O59:O61" si="11">O60-1</f>
        <v>29.5</v>
      </c>
      <c r="P59" s="8">
        <f t="dataTable" ref="P59:Z67" dt2D="1" dtr="1" r1="D23" r2="D25" ca="1"/>
        <v>0.3557118237018585</v>
      </c>
      <c r="Q59" s="8">
        <v>0.35732658505439763</v>
      </c>
      <c r="R59" s="8">
        <v>0.35893895030021672</v>
      </c>
      <c r="S59" s="8">
        <v>0.36054671406745908</v>
      </c>
      <c r="T59" s="8">
        <v>0.36215421557426464</v>
      </c>
      <c r="U59" s="8">
        <v>0.36375938057899493</v>
      </c>
      <c r="V59" s="8">
        <v>0.36535992026329034</v>
      </c>
      <c r="W59" s="8">
        <v>0.36696017384529112</v>
      </c>
      <c r="X59" s="8">
        <v>0.36855809092521674</v>
      </c>
      <c r="Y59" s="8">
        <v>0.37015332579612747</v>
      </c>
      <c r="Z59" s="8">
        <v>0.37174414992332461</v>
      </c>
    </row>
    <row r="60" spans="14:26" x14ac:dyDescent="0.2">
      <c r="N60" s="831"/>
      <c r="O60" s="121">
        <f t="shared" si="11"/>
        <v>30.5</v>
      </c>
      <c r="P60" s="8">
        <v>0.35907530188560488</v>
      </c>
      <c r="Q60" s="8">
        <v>0.36073731780052187</v>
      </c>
      <c r="R60" s="8">
        <v>0.36239888072013859</v>
      </c>
      <c r="S60" s="8">
        <v>0.36405796408653257</v>
      </c>
      <c r="T60" s="8">
        <v>0.3657143890857697</v>
      </c>
      <c r="U60" s="8">
        <v>0.36736609339714044</v>
      </c>
      <c r="V60" s="8">
        <v>0.3690174043178559</v>
      </c>
      <c r="W60" s="8">
        <v>0.37066588997840888</v>
      </c>
      <c r="X60" s="8">
        <v>0.37231201529502866</v>
      </c>
      <c r="Y60" s="8">
        <v>0.37395330071449273</v>
      </c>
      <c r="Z60" s="8">
        <v>0.37559419274330141</v>
      </c>
    </row>
    <row r="61" spans="14:26" x14ac:dyDescent="0.2">
      <c r="N61" s="831"/>
      <c r="O61" s="121">
        <f t="shared" si="11"/>
        <v>31.5</v>
      </c>
      <c r="P61" s="8">
        <v>0.36242607235908508</v>
      </c>
      <c r="Q61" s="8">
        <v>0.36413938403129587</v>
      </c>
      <c r="R61" s="8">
        <v>0.36584987044334416</v>
      </c>
      <c r="S61" s="8">
        <v>0.36755546927452087</v>
      </c>
      <c r="T61" s="8">
        <v>0.36926049590110777</v>
      </c>
      <c r="U61" s="8">
        <v>0.37096253037452698</v>
      </c>
      <c r="V61" s="8">
        <v>0.37266201376914976</v>
      </c>
      <c r="W61" s="8">
        <v>0.37435649037361141</v>
      </c>
      <c r="X61" s="8">
        <v>0.37605040669441225</v>
      </c>
      <c r="Y61" s="8">
        <v>0.37774145007133486</v>
      </c>
      <c r="Z61" s="8">
        <v>0.37942978739738464</v>
      </c>
    </row>
    <row r="62" spans="14:26" x14ac:dyDescent="0.2">
      <c r="N62" s="831"/>
      <c r="O62" s="121">
        <f>O63-1</f>
        <v>32.5</v>
      </c>
      <c r="P62" s="8">
        <v>0.36576859354972846</v>
      </c>
      <c r="Q62" s="8">
        <v>0.36752840876579285</v>
      </c>
      <c r="R62" s="8">
        <v>0.36928750872612004</v>
      </c>
      <c r="S62" s="8">
        <v>0.37104341387748718</v>
      </c>
      <c r="T62" s="8">
        <v>0.37279660105705259</v>
      </c>
      <c r="U62" s="8">
        <v>0.37454460263252254</v>
      </c>
      <c r="V62" s="8">
        <v>0.37629185318946845</v>
      </c>
      <c r="W62" s="8">
        <v>0.37803605198860168</v>
      </c>
      <c r="X62" s="8">
        <v>0.37977735400199886</v>
      </c>
      <c r="Y62" s="8">
        <v>0.38151343464851373</v>
      </c>
      <c r="Z62" s="8">
        <v>0.38324869275093076</v>
      </c>
    </row>
    <row r="63" spans="14:26" x14ac:dyDescent="0.2">
      <c r="N63" s="831"/>
      <c r="O63" s="121">
        <v>33.5</v>
      </c>
      <c r="P63" s="8">
        <v>0.36909844279289239</v>
      </c>
      <c r="Q63" s="8">
        <v>0.37090860009193416</v>
      </c>
      <c r="R63" s="8">
        <v>0.37271584868431096</v>
      </c>
      <c r="S63" s="8">
        <v>0.37451773285865786</v>
      </c>
      <c r="T63" s="8">
        <v>0.37631867527961738</v>
      </c>
      <c r="U63" s="8">
        <v>0.37811637520790098</v>
      </c>
      <c r="V63" s="8">
        <v>0.37991101145744322</v>
      </c>
      <c r="W63" s="8">
        <v>0.38170239329338074</v>
      </c>
      <c r="X63" s="8">
        <v>0.3834884226322175</v>
      </c>
      <c r="Y63" s="8">
        <v>0.38527353405952447</v>
      </c>
      <c r="Z63" s="8">
        <v>0.38705546259880064</v>
      </c>
    </row>
    <row r="64" spans="14:26" x14ac:dyDescent="0.2">
      <c r="N64" s="831"/>
      <c r="O64" s="121">
        <f>O63+1</f>
        <v>34.5</v>
      </c>
      <c r="P64" s="8">
        <v>0.3724197208881378</v>
      </c>
      <c r="Q64" s="8">
        <v>0.37427586913108823</v>
      </c>
      <c r="R64" s="8">
        <v>0.37613089680671685</v>
      </c>
      <c r="S64" s="8">
        <v>0.37798249125480654</v>
      </c>
      <c r="T64" s="8">
        <v>0.37983081936836227</v>
      </c>
      <c r="U64" s="8">
        <v>0.38167571425437929</v>
      </c>
      <c r="V64" s="8">
        <v>0.38351505398750296</v>
      </c>
      <c r="W64" s="8">
        <v>0.38535328507423405</v>
      </c>
      <c r="X64" s="8">
        <v>0.38718815445899968</v>
      </c>
      <c r="Y64" s="8">
        <v>0.38901956677436822</v>
      </c>
      <c r="Z64" s="8">
        <v>0.39084540009498592</v>
      </c>
    </row>
    <row r="65" spans="14:26" x14ac:dyDescent="0.2">
      <c r="N65" s="831"/>
      <c r="O65" s="121">
        <f t="shared" ref="O65:O67" si="12">O64+1</f>
        <v>35.5</v>
      </c>
      <c r="P65" s="8">
        <v>0.37572839856147766</v>
      </c>
      <c r="Q65" s="8">
        <v>0.37763430476188653</v>
      </c>
      <c r="R65" s="8">
        <v>0.37953674197196963</v>
      </c>
      <c r="S65" s="8">
        <v>0.38143337368965147</v>
      </c>
      <c r="T65" s="8">
        <v>0.38332861065864554</v>
      </c>
      <c r="U65" s="8">
        <v>0.38522035479545602</v>
      </c>
      <c r="V65" s="8">
        <v>0.38710854649543758</v>
      </c>
      <c r="W65" s="8">
        <v>0.38899307847023001</v>
      </c>
      <c r="X65" s="8">
        <v>0.39087184071540837</v>
      </c>
      <c r="Y65" s="8">
        <v>0.39274930357933058</v>
      </c>
      <c r="Z65" s="8">
        <v>0.39462310671806344</v>
      </c>
    </row>
    <row r="66" spans="14:26" x14ac:dyDescent="0.2">
      <c r="N66" s="831"/>
      <c r="O66" s="121">
        <f t="shared" si="12"/>
        <v>36.5</v>
      </c>
      <c r="P66" s="8">
        <v>0.37902634739875796</v>
      </c>
      <c r="Q66" s="8">
        <v>0.38097957968711849</v>
      </c>
      <c r="R66" s="8">
        <v>0.38292896151542666</v>
      </c>
      <c r="S66" s="8">
        <v>0.38487465977668767</v>
      </c>
      <c r="T66" s="8">
        <v>0.3868165910243988</v>
      </c>
      <c r="U66" s="8">
        <v>0.38875467181205758</v>
      </c>
      <c r="V66" s="8">
        <v>0.39068676829338078</v>
      </c>
      <c r="W66" s="8">
        <v>0.39261736273765568</v>
      </c>
      <c r="X66" s="8">
        <v>0.3945440948009491</v>
      </c>
      <c r="Y66" s="8">
        <v>0.39646713137626655</v>
      </c>
      <c r="Z66" s="8">
        <v>0.39838613867759698</v>
      </c>
    </row>
    <row r="67" spans="14:26" x14ac:dyDescent="0.2">
      <c r="N67" s="831"/>
      <c r="O67" s="121">
        <f t="shared" si="12"/>
        <v>37.5</v>
      </c>
      <c r="P67" s="8">
        <v>0.38231585621833797</v>
      </c>
      <c r="Q67" s="8">
        <v>0.38431597352027891</v>
      </c>
      <c r="R67" s="8">
        <v>0.38630985617637636</v>
      </c>
      <c r="S67" s="8">
        <v>0.38830199837684631</v>
      </c>
      <c r="T67" s="8">
        <v>0.3902900636196136</v>
      </c>
      <c r="U67" s="8">
        <v>0.39227424263954169</v>
      </c>
      <c r="V67" s="8">
        <v>0.39425433278083799</v>
      </c>
      <c r="W67" s="8">
        <v>0.39623053669929509</v>
      </c>
      <c r="X67" s="8">
        <v>0.39820248484611509</v>
      </c>
      <c r="Y67" s="8">
        <v>0.40016837716102593</v>
      </c>
      <c r="Z67" s="8">
        <v>0.40213257670402536</v>
      </c>
    </row>
  </sheetData>
  <mergeCells count="12">
    <mergeCell ref="N48:N54"/>
    <mergeCell ref="P46:Z46"/>
    <mergeCell ref="P57:Z57"/>
    <mergeCell ref="N59:N67"/>
    <mergeCell ref="P1:Z1"/>
    <mergeCell ref="P12:Z12"/>
    <mergeCell ref="P23:Z23"/>
    <mergeCell ref="P32:Z32"/>
    <mergeCell ref="N34:N44"/>
    <mergeCell ref="N25:N30"/>
    <mergeCell ref="N14:N20"/>
    <mergeCell ref="N3:N10"/>
  </mergeCells>
  <conditionalFormatting sqref="P3:Z10">
    <cfRule type="colorScale" priority="6">
      <colorScale>
        <cfvo type="min"/>
        <cfvo type="percentile" val="50"/>
        <cfvo type="max"/>
        <color rgb="FFF8696B"/>
        <color rgb="FFFCFCFF"/>
        <color rgb="FF63BE7B"/>
      </colorScale>
    </cfRule>
  </conditionalFormatting>
  <conditionalFormatting sqref="P14:Z21">
    <cfRule type="colorScale" priority="5">
      <colorScale>
        <cfvo type="min"/>
        <cfvo type="percentile" val="50"/>
        <cfvo type="max"/>
        <color rgb="FFF8696B"/>
        <color rgb="FFFCFCFF"/>
        <color rgb="FF63BE7B"/>
      </colorScale>
    </cfRule>
  </conditionalFormatting>
  <conditionalFormatting sqref="P25:Z30">
    <cfRule type="colorScale" priority="4">
      <colorScale>
        <cfvo type="min"/>
        <cfvo type="percentile" val="50"/>
        <cfvo type="max"/>
        <color rgb="FFF8696B"/>
        <color rgb="FFFCFCFF"/>
        <color rgb="FF63BE7B"/>
      </colorScale>
    </cfRule>
  </conditionalFormatting>
  <conditionalFormatting sqref="P34:Z44">
    <cfRule type="colorScale" priority="3">
      <colorScale>
        <cfvo type="min"/>
        <cfvo type="percentile" val="50"/>
        <cfvo type="max"/>
        <color rgb="FFF8696B"/>
        <color rgb="FFFCFCFF"/>
        <color rgb="FF63BE7B"/>
      </colorScale>
    </cfRule>
  </conditionalFormatting>
  <conditionalFormatting sqref="P48:Z54">
    <cfRule type="colorScale" priority="2">
      <colorScale>
        <cfvo type="min"/>
        <cfvo type="percentile" val="50"/>
        <cfvo type="max"/>
        <color rgb="FFF8696B"/>
        <color rgb="FFFCFCFF"/>
        <color rgb="FF63BE7B"/>
      </colorScale>
    </cfRule>
  </conditionalFormatting>
  <conditionalFormatting sqref="P59:Z67">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FA71B-EC5F-413C-85B5-98918C4972E9}">
  <sheetPr>
    <tabColor rgb="FF2C3449"/>
  </sheetPr>
  <dimension ref="B2:M12"/>
  <sheetViews>
    <sheetView workbookViewId="0">
      <selection activeCell="H26" sqref="H26"/>
    </sheetView>
  </sheetViews>
  <sheetFormatPr defaultColWidth="9.140625" defaultRowHeight="14.25" x14ac:dyDescent="0.2"/>
  <cols>
    <col min="1" max="1" width="9.140625" style="101"/>
    <col min="2" max="2" width="25.28515625" style="101" bestFit="1" customWidth="1"/>
    <col min="3" max="3" width="16.28515625" style="101" bestFit="1" customWidth="1"/>
    <col min="4" max="4" width="15" style="101" bestFit="1" customWidth="1"/>
    <col min="5" max="13" width="16.140625" style="101" bestFit="1" customWidth="1"/>
    <col min="14" max="16384" width="9.140625" style="101"/>
  </cols>
  <sheetData>
    <row r="2" spans="2:13" ht="15" x14ac:dyDescent="0.25">
      <c r="B2" s="110" t="s">
        <v>239</v>
      </c>
      <c r="C2" s="106">
        <f>Summary!D3</f>
        <v>64955661.612550527</v>
      </c>
    </row>
    <row r="4" spans="2:13" ht="15" x14ac:dyDescent="0.25">
      <c r="B4" s="833" t="s">
        <v>147</v>
      </c>
      <c r="C4" s="833"/>
      <c r="D4" s="833"/>
    </row>
    <row r="5" spans="2:13" ht="15" x14ac:dyDescent="0.25">
      <c r="B5" s="110" t="s">
        <v>938</v>
      </c>
      <c r="C5" s="104">
        <v>0</v>
      </c>
      <c r="D5" s="111">
        <v>0.25</v>
      </c>
    </row>
    <row r="6" spans="2:13" ht="15" x14ac:dyDescent="0.25">
      <c r="B6" s="110" t="s">
        <v>240</v>
      </c>
      <c r="C6" s="103">
        <f>$C$2</f>
        <v>64955661.612550527</v>
      </c>
      <c r="D6" s="112">
        <f>1-D5</f>
        <v>0.75</v>
      </c>
    </row>
    <row r="7" spans="2:13" x14ac:dyDescent="0.2">
      <c r="B7" s="105"/>
      <c r="C7" s="103"/>
      <c r="D7" s="102"/>
    </row>
    <row r="8" spans="2:13" x14ac:dyDescent="0.2">
      <c r="C8" s="834" t="s">
        <v>241</v>
      </c>
      <c r="D8" s="834"/>
      <c r="E8" s="834"/>
      <c r="F8" s="834"/>
      <c r="G8" s="834"/>
      <c r="H8" s="834"/>
      <c r="I8" s="834"/>
      <c r="J8" s="834"/>
      <c r="K8" s="834"/>
      <c r="L8" s="834"/>
      <c r="M8" s="834"/>
    </row>
    <row r="9" spans="2:13" ht="15" x14ac:dyDescent="0.25">
      <c r="B9" s="107" t="s">
        <v>173</v>
      </c>
      <c r="C9" s="108">
        <f t="shared" ref="C9:K9" si="0">D9-0.05</f>
        <v>0.24999999999999989</v>
      </c>
      <c r="D9" s="108">
        <f t="shared" si="0"/>
        <v>0.29999999999999988</v>
      </c>
      <c r="E9" s="108">
        <f t="shared" si="0"/>
        <v>0.34999999999999987</v>
      </c>
      <c r="F9" s="108">
        <f t="shared" si="0"/>
        <v>0.39999999999999986</v>
      </c>
      <c r="G9" s="108">
        <f t="shared" si="0"/>
        <v>0.44999999999999984</v>
      </c>
      <c r="H9" s="108">
        <f t="shared" si="0"/>
        <v>0.49999999999999983</v>
      </c>
      <c r="I9" s="108">
        <f t="shared" si="0"/>
        <v>0.54999999999999982</v>
      </c>
      <c r="J9" s="108">
        <f t="shared" si="0"/>
        <v>0.59999999999999987</v>
      </c>
      <c r="K9" s="108">
        <f t="shared" si="0"/>
        <v>0.64999999999999991</v>
      </c>
      <c r="L9" s="108">
        <f>M9-0.05</f>
        <v>0.7</v>
      </c>
      <c r="M9" s="108">
        <f>D6</f>
        <v>0.75</v>
      </c>
    </row>
    <row r="10" spans="2:13" x14ac:dyDescent="0.2">
      <c r="B10" s="107" t="s">
        <v>154</v>
      </c>
      <c r="C10" s="100">
        <f t="shared" ref="C10:K10" si="1">(C9/$D$6)*$C$6</f>
        <v>21651887.2041835</v>
      </c>
      <c r="D10" s="100">
        <f t="shared" si="1"/>
        <v>25982264.645020202</v>
      </c>
      <c r="E10" s="100">
        <f t="shared" si="1"/>
        <v>30312642.085856903</v>
      </c>
      <c r="F10" s="100">
        <f t="shared" si="1"/>
        <v>34643019.526693597</v>
      </c>
      <c r="G10" s="100">
        <f t="shared" si="1"/>
        <v>38973396.967530303</v>
      </c>
      <c r="H10" s="100">
        <f t="shared" si="1"/>
        <v>43303774.408367001</v>
      </c>
      <c r="I10" s="100">
        <f t="shared" si="1"/>
        <v>47634151.849203698</v>
      </c>
      <c r="J10" s="100">
        <f t="shared" si="1"/>
        <v>51964529.290040411</v>
      </c>
      <c r="K10" s="100">
        <f t="shared" si="1"/>
        <v>56294906.730877116</v>
      </c>
      <c r="L10" s="100">
        <f>(L9/$D$6)*$C$6</f>
        <v>60625284.171713822</v>
      </c>
      <c r="M10" s="100">
        <f>C6</f>
        <v>64955661.612550527</v>
      </c>
    </row>
    <row r="11" spans="2:13" x14ac:dyDescent="0.2">
      <c r="B11" s="107" t="s">
        <v>242</v>
      </c>
      <c r="C11" s="109">
        <f>C$9*Summary!$H$11</f>
        <v>282345185.09272838</v>
      </c>
      <c r="D11" s="109">
        <f>D$9*Summary!$H$11</f>
        <v>338814222.11127406</v>
      </c>
      <c r="E11" s="109">
        <f>E$9*Summary!$H$11</f>
        <v>395283259.12981975</v>
      </c>
      <c r="F11" s="109">
        <f>F$9*Summary!$H$11</f>
        <v>451752296.14836544</v>
      </c>
      <c r="G11" s="109">
        <f>G$9*Summary!$H$11</f>
        <v>508221333.16691113</v>
      </c>
      <c r="H11" s="109">
        <f>H$9*Summary!$H$11</f>
        <v>564690370.18545675</v>
      </c>
      <c r="I11" s="109">
        <f>I$9*Summary!$H$11</f>
        <v>621159407.2040025</v>
      </c>
      <c r="J11" s="109">
        <f>J$9*Summary!$H$11</f>
        <v>677628444.22254825</v>
      </c>
      <c r="K11" s="109">
        <f>K$9*Summary!$H$11</f>
        <v>734097481.24109399</v>
      </c>
      <c r="L11" s="109">
        <f>L$9*Summary!$H$11</f>
        <v>790566518.25963974</v>
      </c>
      <c r="M11" s="109">
        <f>M$9*Summary!$H$11</f>
        <v>847035555.27818549</v>
      </c>
    </row>
    <row r="12" spans="2:13" x14ac:dyDescent="0.2">
      <c r="B12" s="107" t="s">
        <v>237</v>
      </c>
      <c r="C12" s="109">
        <f>C$9*Summary!$H$13</f>
        <v>58267427.963169485</v>
      </c>
      <c r="D12" s="109">
        <f>D$9*Summary!$H$13</f>
        <v>69920913.555803373</v>
      </c>
      <c r="E12" s="109">
        <f>E$9*Summary!$H$13</f>
        <v>81574399.148437276</v>
      </c>
      <c r="F12" s="109">
        <f>F$9*Summary!$H$13</f>
        <v>93227884.74107118</v>
      </c>
      <c r="G12" s="109">
        <f>G$9*Summary!$H$13</f>
        <v>104881370.33370508</v>
      </c>
      <c r="H12" s="109">
        <f>H$9*Summary!$H$13</f>
        <v>116534855.92633897</v>
      </c>
      <c r="I12" s="109">
        <f>I$9*Summary!$H$13</f>
        <v>128188341.51897287</v>
      </c>
      <c r="J12" s="109">
        <f>J$9*Summary!$H$13</f>
        <v>139841827.11160678</v>
      </c>
      <c r="K12" s="109">
        <f>K$9*Summary!$H$13</f>
        <v>151495312.70424071</v>
      </c>
      <c r="L12" s="109">
        <f>L$9*Summary!$H$13</f>
        <v>163148798.29687461</v>
      </c>
      <c r="M12" s="109">
        <f>M$9*Summary!$H$13</f>
        <v>174802283.88950852</v>
      </c>
    </row>
  </sheetData>
  <mergeCells count="2">
    <mergeCell ref="B4:D4"/>
    <mergeCell ref="C8:M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26152-9EB2-461F-A6F0-E90D15E751C8}">
  <sheetPr>
    <tabColor rgb="FFE6D261"/>
  </sheetPr>
  <dimension ref="A1:AU136"/>
  <sheetViews>
    <sheetView workbookViewId="0">
      <pane xSplit="13155" ySplit="2880" topLeftCell="D106" activePane="bottomRight"/>
      <selection activeCell="D1" sqref="D1"/>
      <selection pane="topRight" activeCell="E7" sqref="E7"/>
      <selection pane="bottomLeft" activeCell="E110" sqref="E110"/>
      <selection pane="bottomRight" activeCell="G117" sqref="G117"/>
    </sheetView>
  </sheetViews>
  <sheetFormatPr defaultColWidth="9.140625" defaultRowHeight="12.75" x14ac:dyDescent="0.2"/>
  <cols>
    <col min="1" max="1" width="9.140625" style="681"/>
    <col min="2" max="2" width="7.28515625" style="681" bestFit="1" customWidth="1"/>
    <col min="3" max="3" width="63.85546875" style="681" bestFit="1" customWidth="1"/>
    <col min="4" max="4" width="16" style="681" bestFit="1" customWidth="1"/>
    <col min="5" max="5" width="25.28515625" style="681" customWidth="1"/>
    <col min="6" max="6" width="13.5703125" style="681" customWidth="1"/>
    <col min="7" max="7" width="15.5703125" style="724" customWidth="1"/>
    <col min="8" max="8" width="10.42578125" style="692" customWidth="1"/>
    <col min="9" max="10" width="13.42578125" style="692" customWidth="1"/>
    <col min="11" max="11" width="16.42578125" style="692" customWidth="1"/>
    <col min="12" max="13" width="13.42578125" style="692" customWidth="1"/>
    <col min="14" max="14" width="31.140625" style="681" customWidth="1"/>
    <col min="15" max="15" width="16.140625" style="681" customWidth="1"/>
    <col min="16" max="16" width="40.140625" style="681" customWidth="1"/>
    <col min="17" max="17" width="9.140625" style="681"/>
    <col min="18" max="19" width="12.140625" style="681" customWidth="1"/>
    <col min="20" max="20" width="13.140625" style="681" customWidth="1"/>
    <col min="21" max="21" width="12.7109375" style="681" bestFit="1" customWidth="1"/>
    <col min="22" max="22" width="11.85546875" style="681" customWidth="1"/>
    <col min="23" max="23" width="10.7109375" style="681" bestFit="1" customWidth="1"/>
    <col min="24" max="24" width="9.140625" style="681"/>
    <col min="25" max="25" width="14.140625" style="681" customWidth="1"/>
    <col min="26" max="28" width="9.140625" style="681"/>
    <col min="29" max="34" width="11.7109375" style="681" bestFit="1" customWidth="1"/>
    <col min="35" max="47" width="13.42578125" style="681" bestFit="1" customWidth="1"/>
    <col min="48" max="16384" width="9.140625" style="681"/>
  </cols>
  <sheetData>
    <row r="1" spans="1:22" x14ac:dyDescent="0.2">
      <c r="A1" s="839" t="s">
        <v>1032</v>
      </c>
      <c r="B1" s="840"/>
      <c r="C1" s="754" t="s">
        <v>995</v>
      </c>
      <c r="D1" s="706">
        <f>SUM(D11+D12+D13+D14+D15+D16+D46+D47+D48+D49+D50+D51+D52+D53+D54+D55+D56+D57+D58+D59+D60+D61+D62+D63+D64+D65+D66+D69+D73+D74+D75+D76+D84+D85+D86+D88+D98+D101+D102+D87)</f>
        <v>117546147.8</v>
      </c>
    </row>
    <row r="2" spans="1:22" x14ac:dyDescent="0.2">
      <c r="A2" s="841"/>
      <c r="B2" s="842"/>
      <c r="C2" s="754" t="s">
        <v>1005</v>
      </c>
      <c r="D2" s="706">
        <f>SUM(D103+D112)</f>
        <v>7146511.7665999997</v>
      </c>
    </row>
    <row r="3" spans="1:22" x14ac:dyDescent="0.2">
      <c r="A3" s="841"/>
      <c r="B3" s="842"/>
      <c r="C3" s="754" t="s">
        <v>1140</v>
      </c>
      <c r="D3" s="706">
        <f>SUM(D89+D90+D91+D92+D93+D94)</f>
        <v>2240000</v>
      </c>
    </row>
    <row r="4" spans="1:22" x14ac:dyDescent="0.2">
      <c r="A4" s="841"/>
      <c r="B4" s="842"/>
      <c r="C4" s="754" t="s">
        <v>1138</v>
      </c>
      <c r="D4" s="706">
        <f>SUM(D70+D71+D72+D67+D77+D78+D79+D80+D82+D83+D68+D95+D96+D97+D99+D100+D104+D105+D108+D110)</f>
        <v>107330695.6382</v>
      </c>
    </row>
    <row r="5" spans="1:22" ht="15" x14ac:dyDescent="0.2">
      <c r="A5" s="843"/>
      <c r="B5" s="842"/>
      <c r="C5" s="754" t="s">
        <v>997</v>
      </c>
      <c r="D5" s="706">
        <f>SUM(F10+F18+F19+F35+F36)</f>
        <v>2583373.2599999998</v>
      </c>
      <c r="F5" s="846" t="s">
        <v>1018</v>
      </c>
      <c r="G5" s="847"/>
      <c r="H5" s="847"/>
      <c r="I5" s="847"/>
      <c r="J5" s="218"/>
      <c r="K5" s="218"/>
      <c r="L5" s="218"/>
      <c r="M5" s="218"/>
    </row>
    <row r="6" spans="1:22" ht="15" x14ac:dyDescent="0.2">
      <c r="A6" s="843"/>
      <c r="B6" s="842"/>
      <c r="C6" s="754" t="s">
        <v>1000</v>
      </c>
      <c r="D6" s="706">
        <f>SUM(D18+D19+D35+D36+D20+D21+D22+D23+D24+D25+D26+D27+D28+D29+D30+D31+D32+D33+D34+D37+D38+D39+D40+D41+D42+D43+D44)</f>
        <v>9149476.2799999993</v>
      </c>
      <c r="F6" s="847"/>
      <c r="G6" s="847"/>
      <c r="H6" s="847"/>
      <c r="I6" s="847"/>
      <c r="J6" s="218"/>
      <c r="K6" s="218"/>
      <c r="L6" s="218"/>
      <c r="M6" s="218"/>
      <c r="O6" s="682"/>
      <c r="P6" s="682"/>
    </row>
    <row r="7" spans="1:22" ht="15" x14ac:dyDescent="0.25">
      <c r="A7" s="844"/>
      <c r="B7" s="845"/>
      <c r="C7" s="754" t="s">
        <v>1030</v>
      </c>
      <c r="D7" s="706">
        <f>SUM(D45)</f>
        <v>1148000</v>
      </c>
      <c r="F7" s="848"/>
      <c r="G7" s="848"/>
      <c r="H7" s="848"/>
      <c r="I7" s="848"/>
      <c r="J7" s="491"/>
      <c r="K7" s="491"/>
      <c r="L7" s="491"/>
      <c r="M7" s="491"/>
      <c r="N7" s="683" t="s">
        <v>126</v>
      </c>
      <c r="O7" s="777">
        <f>'Data Sources'!C4</f>
        <v>16</v>
      </c>
      <c r="P7" s="684"/>
    </row>
    <row r="8" spans="1:22" ht="33" customHeight="1" x14ac:dyDescent="0.25">
      <c r="C8" s="755" t="s">
        <v>95</v>
      </c>
      <c r="D8" s="706">
        <f>SUM(D1:D7)</f>
        <v>247144204.7448</v>
      </c>
      <c r="F8" s="848"/>
      <c r="G8" s="848"/>
      <c r="H8" s="848"/>
      <c r="I8" s="849"/>
      <c r="J8" s="850" t="s">
        <v>1010</v>
      </c>
      <c r="K8" s="851"/>
      <c r="L8" s="851"/>
      <c r="M8" s="685"/>
    </row>
    <row r="9" spans="1:22" ht="29.25" customHeight="1" x14ac:dyDescent="0.2">
      <c r="B9" s="683" t="s">
        <v>94</v>
      </c>
      <c r="C9" s="683" t="s">
        <v>77</v>
      </c>
      <c r="D9" s="686" t="s">
        <v>44</v>
      </c>
      <c r="E9" s="787" t="s">
        <v>341</v>
      </c>
      <c r="F9" s="687" t="s">
        <v>993</v>
      </c>
      <c r="G9" s="688" t="s">
        <v>994</v>
      </c>
      <c r="H9" s="688" t="s">
        <v>1019</v>
      </c>
      <c r="I9" s="728" t="s">
        <v>1007</v>
      </c>
      <c r="J9" s="733" t="s">
        <v>1011</v>
      </c>
      <c r="K9" s="689" t="s">
        <v>1013</v>
      </c>
      <c r="L9" s="689" t="s">
        <v>1012</v>
      </c>
      <c r="M9" s="689" t="s">
        <v>1029</v>
      </c>
      <c r="N9" s="835" t="s">
        <v>96</v>
      </c>
      <c r="O9" s="835"/>
      <c r="P9" s="835"/>
      <c r="R9" s="835" t="s">
        <v>143</v>
      </c>
      <c r="S9" s="835"/>
      <c r="T9" s="835"/>
      <c r="U9" s="835"/>
      <c r="V9" s="835"/>
    </row>
    <row r="10" spans="1:22" x14ac:dyDescent="0.2">
      <c r="B10" s="691">
        <v>1</v>
      </c>
      <c r="C10" s="681" t="s">
        <v>78</v>
      </c>
      <c r="D10" s="740">
        <f>IF(I10="N",F10,0)</f>
        <v>700000</v>
      </c>
      <c r="F10" s="741">
        <v>700000</v>
      </c>
      <c r="G10" s="749" t="s">
        <v>996</v>
      </c>
      <c r="H10" s="749" t="s">
        <v>997</v>
      </c>
      <c r="I10" s="729" t="str">
        <f>IF('Data Sources'!$C$27="N","N","Y")</f>
        <v>N</v>
      </c>
      <c r="J10" s="737">
        <v>0.5</v>
      </c>
      <c r="K10" s="738">
        <v>0.4</v>
      </c>
      <c r="L10" s="738">
        <v>0.1</v>
      </c>
      <c r="M10" s="692">
        <v>8</v>
      </c>
      <c r="N10" s="690" t="s">
        <v>98</v>
      </c>
      <c r="O10" s="683" t="s">
        <v>99</v>
      </c>
      <c r="P10" s="683" t="s">
        <v>97</v>
      </c>
      <c r="R10" s="690" t="s">
        <v>144</v>
      </c>
      <c r="S10" s="690" t="s">
        <v>64</v>
      </c>
      <c r="T10" s="690" t="s">
        <v>98</v>
      </c>
      <c r="U10" s="683" t="s">
        <v>65</v>
      </c>
      <c r="V10" s="683" t="s">
        <v>97</v>
      </c>
    </row>
    <row r="11" spans="1:22" x14ac:dyDescent="0.2">
      <c r="B11" s="691">
        <v>1</v>
      </c>
      <c r="C11" s="681" t="s">
        <v>79</v>
      </c>
      <c r="D11" s="740">
        <f>IF(I11="Y",F11,0)</f>
        <v>1203500</v>
      </c>
      <c r="F11" s="741">
        <v>1203500</v>
      </c>
      <c r="G11" s="749" t="s">
        <v>998</v>
      </c>
      <c r="H11" s="749" t="s">
        <v>998</v>
      </c>
      <c r="I11" s="730" t="s">
        <v>983</v>
      </c>
      <c r="J11" s="737">
        <v>0.5</v>
      </c>
      <c r="K11" s="738">
        <v>0.4</v>
      </c>
      <c r="L11" s="738">
        <v>0.1</v>
      </c>
      <c r="M11" s="692">
        <v>8</v>
      </c>
      <c r="N11" s="693">
        <v>1</v>
      </c>
      <c r="O11" s="694">
        <v>0.21716080943632199</v>
      </c>
      <c r="P11" s="694">
        <f>SUM($O$11:O11)</f>
        <v>0.21716080943632199</v>
      </c>
      <c r="R11" s="681">
        <v>1</v>
      </c>
      <c r="S11" s="695">
        <f>1/7</f>
        <v>0.14285714285714285</v>
      </c>
      <c r="T11" s="693">
        <f>O7+11</f>
        <v>27</v>
      </c>
      <c r="U11" s="696">
        <f>S11/12</f>
        <v>1.1904761904761904E-2</v>
      </c>
      <c r="V11" s="697">
        <f>SUM($S$11:S11)</f>
        <v>0.14285714285714285</v>
      </c>
    </row>
    <row r="12" spans="1:22" x14ac:dyDescent="0.2">
      <c r="B12" s="691">
        <v>1</v>
      </c>
      <c r="C12" s="681" t="s">
        <v>80</v>
      </c>
      <c r="D12" s="740">
        <f t="shared" ref="D12" si="0">IF(I12="Y",F12,0)</f>
        <v>34573.800000000003</v>
      </c>
      <c r="F12" s="741">
        <v>34573.800000000003</v>
      </c>
      <c r="G12" s="749" t="s">
        <v>998</v>
      </c>
      <c r="H12" s="749" t="s">
        <v>998</v>
      </c>
      <c r="I12" s="730" t="s">
        <v>983</v>
      </c>
      <c r="J12" s="737">
        <v>0.5</v>
      </c>
      <c r="K12" s="738">
        <v>0.4</v>
      </c>
      <c r="L12" s="738">
        <v>0.1</v>
      </c>
      <c r="M12" s="692">
        <v>8</v>
      </c>
      <c r="N12" s="693">
        <v>2</v>
      </c>
      <c r="O12" s="694">
        <v>6.8334204488983905E-2</v>
      </c>
      <c r="P12" s="694">
        <f>SUM($O$11:O12)</f>
        <v>0.28549501392530591</v>
      </c>
      <c r="R12" s="681">
        <f>R11+1</f>
        <v>2</v>
      </c>
      <c r="S12" s="695">
        <f t="shared" ref="S12:S17" si="1">1/7</f>
        <v>0.14285714285714285</v>
      </c>
      <c r="T12" s="693">
        <f>T11+12</f>
        <v>39</v>
      </c>
      <c r="U12" s="696">
        <f t="shared" ref="U12:U17" si="2">S12/12</f>
        <v>1.1904761904761904E-2</v>
      </c>
      <c r="V12" s="697">
        <f>SUM($S$11:S12)</f>
        <v>0.2857142857142857</v>
      </c>
    </row>
    <row r="13" spans="1:22" x14ac:dyDescent="0.2">
      <c r="B13" s="691">
        <v>1</v>
      </c>
      <c r="C13" s="681" t="s">
        <v>197</v>
      </c>
      <c r="D13" s="740">
        <v>446430</v>
      </c>
      <c r="E13" s="788" t="s">
        <v>1115</v>
      </c>
      <c r="F13" s="741">
        <v>407774</v>
      </c>
      <c r="G13" s="749" t="s">
        <v>1031</v>
      </c>
      <c r="H13" s="749" t="s">
        <v>1031</v>
      </c>
      <c r="I13" s="730" t="s">
        <v>983</v>
      </c>
      <c r="J13" s="737">
        <v>0.5</v>
      </c>
      <c r="K13" s="738">
        <v>0.4</v>
      </c>
      <c r="L13" s="738">
        <v>0.1</v>
      </c>
      <c r="M13" s="692">
        <v>8</v>
      </c>
      <c r="N13" s="693">
        <v>3</v>
      </c>
      <c r="O13" s="694">
        <v>5.5080354911154601E-2</v>
      </c>
      <c r="P13" s="694">
        <f>SUM($O$11:O13)</f>
        <v>0.3405753688364605</v>
      </c>
      <c r="R13" s="681">
        <f t="shared" ref="R13:R20" si="3">R12+1</f>
        <v>3</v>
      </c>
      <c r="S13" s="695">
        <f t="shared" si="1"/>
        <v>0.14285714285714285</v>
      </c>
      <c r="T13" s="693">
        <f t="shared" ref="T13:T20" si="4">T12+12</f>
        <v>51</v>
      </c>
      <c r="U13" s="696">
        <f t="shared" si="2"/>
        <v>1.1904761904761904E-2</v>
      </c>
      <c r="V13" s="697">
        <f>SUM($S$11:S13)</f>
        <v>0.42857142857142855</v>
      </c>
    </row>
    <row r="14" spans="1:22" x14ac:dyDescent="0.2">
      <c r="B14" s="691">
        <v>1</v>
      </c>
      <c r="C14" s="681" t="s">
        <v>198</v>
      </c>
      <c r="D14" s="740">
        <v>304858</v>
      </c>
      <c r="E14" s="788" t="s">
        <v>1115</v>
      </c>
      <c r="F14" s="741">
        <v>231396</v>
      </c>
      <c r="G14" s="749" t="s">
        <v>1031</v>
      </c>
      <c r="H14" s="749" t="s">
        <v>1031</v>
      </c>
      <c r="I14" s="730" t="s">
        <v>983</v>
      </c>
      <c r="J14" s="737">
        <v>0.5</v>
      </c>
      <c r="K14" s="738">
        <v>0.4</v>
      </c>
      <c r="L14" s="738">
        <v>0.1</v>
      </c>
      <c r="M14" s="692">
        <v>8</v>
      </c>
      <c r="N14" s="693">
        <v>4</v>
      </c>
      <c r="O14" s="694">
        <v>3.5148729131101897E-2</v>
      </c>
      <c r="P14" s="694">
        <f>SUM($O$11:O14)</f>
        <v>0.3757240979675624</v>
      </c>
      <c r="R14" s="681">
        <f t="shared" si="3"/>
        <v>4</v>
      </c>
      <c r="S14" s="695">
        <f t="shared" si="1"/>
        <v>0.14285714285714285</v>
      </c>
      <c r="T14" s="693">
        <f t="shared" si="4"/>
        <v>63</v>
      </c>
      <c r="U14" s="696">
        <f t="shared" si="2"/>
        <v>1.1904761904761904E-2</v>
      </c>
      <c r="V14" s="697">
        <f>SUM($S$11:S14)</f>
        <v>0.5714285714285714</v>
      </c>
    </row>
    <row r="15" spans="1:22" x14ac:dyDescent="0.2">
      <c r="B15" s="691">
        <v>1</v>
      </c>
      <c r="C15" s="681" t="s">
        <v>199</v>
      </c>
      <c r="D15" s="740">
        <v>516512</v>
      </c>
      <c r="E15" s="788" t="s">
        <v>1115</v>
      </c>
      <c r="F15" s="741">
        <v>507209</v>
      </c>
      <c r="G15" s="749" t="s">
        <v>1031</v>
      </c>
      <c r="H15" s="749" t="s">
        <v>1031</v>
      </c>
      <c r="I15" s="730" t="s">
        <v>983</v>
      </c>
      <c r="J15" s="737">
        <v>0.5</v>
      </c>
      <c r="K15" s="738">
        <v>0.4</v>
      </c>
      <c r="L15" s="738">
        <v>0.1</v>
      </c>
      <c r="M15" s="692">
        <v>8</v>
      </c>
      <c r="N15" s="693">
        <v>5</v>
      </c>
      <c r="O15" s="694">
        <v>8.3342618278837793E-2</v>
      </c>
      <c r="P15" s="694">
        <f>SUM($O$11:O15)</f>
        <v>0.45906671624640016</v>
      </c>
      <c r="R15" s="681">
        <f t="shared" si="3"/>
        <v>5</v>
      </c>
      <c r="S15" s="695">
        <f t="shared" si="1"/>
        <v>0.14285714285714285</v>
      </c>
      <c r="T15" s="693">
        <f t="shared" si="4"/>
        <v>75</v>
      </c>
      <c r="U15" s="696">
        <f t="shared" si="2"/>
        <v>1.1904761904761904E-2</v>
      </c>
      <c r="V15" s="697">
        <f>SUM($S$11:S15)</f>
        <v>0.71428571428571419</v>
      </c>
    </row>
    <row r="16" spans="1:22" x14ac:dyDescent="0.2">
      <c r="B16" s="691">
        <v>1</v>
      </c>
      <c r="C16" s="681" t="s">
        <v>1067</v>
      </c>
      <c r="D16" s="740">
        <f t="shared" ref="D16:D45" si="5">IF(I16="N",F16,0)</f>
        <v>2685974</v>
      </c>
      <c r="F16" s="741">
        <v>2685974</v>
      </c>
      <c r="G16" s="749" t="s">
        <v>999</v>
      </c>
      <c r="H16" s="749" t="s">
        <v>999</v>
      </c>
      <c r="I16" s="729" t="str">
        <f>IF('Data Sources'!$C$27="N","N","Y")</f>
        <v>N</v>
      </c>
      <c r="J16" s="737">
        <v>0.5</v>
      </c>
      <c r="K16" s="738">
        <v>0.4</v>
      </c>
      <c r="L16" s="738">
        <v>0.1</v>
      </c>
      <c r="M16" s="692">
        <v>8</v>
      </c>
      <c r="N16" s="693">
        <v>6</v>
      </c>
      <c r="O16" s="694">
        <v>0.103450176956061</v>
      </c>
      <c r="P16" s="694">
        <f>SUM($O$11:O16)</f>
        <v>0.56251689320246112</v>
      </c>
      <c r="R16" s="681">
        <f t="shared" si="3"/>
        <v>6</v>
      </c>
      <c r="S16" s="695">
        <f t="shared" si="1"/>
        <v>0.14285714285714285</v>
      </c>
      <c r="T16" s="693">
        <f t="shared" si="4"/>
        <v>87</v>
      </c>
      <c r="U16" s="696">
        <f t="shared" si="2"/>
        <v>1.1904761904761904E-2</v>
      </c>
      <c r="V16" s="697">
        <f>SUM($S$11:S16)</f>
        <v>0.85714285714285698</v>
      </c>
    </row>
    <row r="17" spans="2:47" x14ac:dyDescent="0.2">
      <c r="B17" s="691">
        <v>1</v>
      </c>
      <c r="C17" s="681" t="s">
        <v>200</v>
      </c>
      <c r="D17" s="740">
        <f t="shared" si="5"/>
        <v>1200000</v>
      </c>
      <c r="F17" s="741">
        <v>1200000</v>
      </c>
      <c r="G17" s="749" t="s">
        <v>999</v>
      </c>
      <c r="H17" s="749" t="s">
        <v>999</v>
      </c>
      <c r="I17" s="729" t="str">
        <f>IF('Data Sources'!$C$27="N","N","Y")</f>
        <v>N</v>
      </c>
      <c r="J17" s="737">
        <v>0.5</v>
      </c>
      <c r="K17" s="738">
        <v>0.4</v>
      </c>
      <c r="L17" s="738">
        <v>0.1</v>
      </c>
      <c r="M17" s="692">
        <v>8</v>
      </c>
      <c r="N17" s="693">
        <v>7</v>
      </c>
      <c r="O17" s="694">
        <v>9.06106329993773E-2</v>
      </c>
      <c r="P17" s="694">
        <f>SUM($O$11:O17)</f>
        <v>0.65312752620183845</v>
      </c>
      <c r="R17" s="681">
        <f t="shared" si="3"/>
        <v>7</v>
      </c>
      <c r="S17" s="695">
        <f t="shared" si="1"/>
        <v>0.14285714285714285</v>
      </c>
      <c r="T17" s="693">
        <f t="shared" si="4"/>
        <v>99</v>
      </c>
      <c r="U17" s="696">
        <f t="shared" si="2"/>
        <v>1.1904761904761904E-2</v>
      </c>
      <c r="V17" s="697">
        <f>SUM($S$11:S17)</f>
        <v>0.99999999999999978</v>
      </c>
    </row>
    <row r="18" spans="2:47" x14ac:dyDescent="0.2">
      <c r="B18" s="691">
        <v>1</v>
      </c>
      <c r="C18" s="681" t="s">
        <v>81</v>
      </c>
      <c r="D18" s="740">
        <f t="shared" si="5"/>
        <v>648785.94999999995</v>
      </c>
      <c r="F18" s="741">
        <v>648785.94999999995</v>
      </c>
      <c r="G18" s="749" t="s">
        <v>996</v>
      </c>
      <c r="H18" s="749" t="s">
        <v>997</v>
      </c>
      <c r="I18" s="729" t="str">
        <f>IF('Data Sources'!$C$27="N","N","Y")</f>
        <v>N</v>
      </c>
      <c r="J18" s="737">
        <v>0.5</v>
      </c>
      <c r="K18" s="738">
        <v>0.4</v>
      </c>
      <c r="L18" s="738">
        <v>0.1</v>
      </c>
      <c r="M18" s="692">
        <v>8</v>
      </c>
      <c r="N18" s="693">
        <v>8</v>
      </c>
      <c r="O18" s="694">
        <v>7.7696546499782901E-2</v>
      </c>
      <c r="P18" s="694">
        <f>SUM($O$11:O18)</f>
        <v>0.73082407270162131</v>
      </c>
      <c r="R18" s="681">
        <f t="shared" si="3"/>
        <v>8</v>
      </c>
      <c r="T18" s="693">
        <f t="shared" si="4"/>
        <v>111</v>
      </c>
    </row>
    <row r="19" spans="2:47" x14ac:dyDescent="0.2">
      <c r="B19" s="691">
        <v>1</v>
      </c>
      <c r="C19" s="681" t="s">
        <v>82</v>
      </c>
      <c r="D19" s="740">
        <f t="shared" si="5"/>
        <v>128789.5</v>
      </c>
      <c r="F19" s="741">
        <v>128789.5</v>
      </c>
      <c r="G19" s="749" t="s">
        <v>996</v>
      </c>
      <c r="H19" s="749" t="s">
        <v>997</v>
      </c>
      <c r="I19" s="729" t="str">
        <f>IF('Data Sources'!$C$27="N","N","Y")</f>
        <v>N</v>
      </c>
      <c r="J19" s="737">
        <v>0.5</v>
      </c>
      <c r="K19" s="738">
        <v>0.4</v>
      </c>
      <c r="L19" s="738">
        <v>0.1</v>
      </c>
      <c r="M19" s="692">
        <v>8</v>
      </c>
      <c r="N19" s="693">
        <v>9</v>
      </c>
      <c r="O19" s="694">
        <v>7.1405244596488504E-2</v>
      </c>
      <c r="P19" s="694">
        <f>SUM($O$11:O19)</f>
        <v>0.80222931729810987</v>
      </c>
      <c r="R19" s="681">
        <f t="shared" si="3"/>
        <v>9</v>
      </c>
      <c r="T19" s="693">
        <f t="shared" si="4"/>
        <v>123</v>
      </c>
    </row>
    <row r="20" spans="2:47" x14ac:dyDescent="0.2">
      <c r="B20" s="691">
        <v>1</v>
      </c>
      <c r="C20" s="681" t="s">
        <v>83</v>
      </c>
      <c r="D20" s="740">
        <f t="shared" si="5"/>
        <v>255272.59</v>
      </c>
      <c r="F20" s="741">
        <v>255272.59</v>
      </c>
      <c r="G20" s="749" t="s">
        <v>996</v>
      </c>
      <c r="H20" s="749" t="s">
        <v>1000</v>
      </c>
      <c r="I20" s="729" t="str">
        <f>IF('Data Sources'!$C$27="N","N","Y")</f>
        <v>N</v>
      </c>
      <c r="J20" s="737">
        <v>0.5</v>
      </c>
      <c r="K20" s="738">
        <v>0.4</v>
      </c>
      <c r="L20" s="738">
        <v>0.1</v>
      </c>
      <c r="M20" s="692">
        <v>8</v>
      </c>
      <c r="N20" s="693">
        <v>10</v>
      </c>
      <c r="O20" s="694">
        <v>5.8318104968575001E-2</v>
      </c>
      <c r="P20" s="694">
        <f>SUM($O$11:O20)</f>
        <v>0.8605474222666849</v>
      </c>
      <c r="R20" s="681">
        <f t="shared" si="3"/>
        <v>10</v>
      </c>
      <c r="T20" s="693">
        <f t="shared" si="4"/>
        <v>135</v>
      </c>
    </row>
    <row r="21" spans="2:47" x14ac:dyDescent="0.2">
      <c r="B21" s="691">
        <v>1</v>
      </c>
      <c r="C21" s="681" t="s">
        <v>201</v>
      </c>
      <c r="D21" s="740">
        <f t="shared" si="5"/>
        <v>53428.5</v>
      </c>
      <c r="F21" s="741">
        <v>53428.5</v>
      </c>
      <c r="G21" s="749" t="s">
        <v>996</v>
      </c>
      <c r="H21" s="749" t="s">
        <v>1000</v>
      </c>
      <c r="I21" s="729" t="str">
        <f>IF('Data Sources'!$C$27="N","N","Y")</f>
        <v>N</v>
      </c>
      <c r="J21" s="737">
        <v>0.5</v>
      </c>
      <c r="K21" s="738">
        <v>0.4</v>
      </c>
      <c r="L21" s="738">
        <v>0.1</v>
      </c>
      <c r="M21" s="692">
        <v>8</v>
      </c>
      <c r="N21" s="693">
        <v>11</v>
      </c>
      <c r="O21" s="694">
        <v>5.6661897307947302E-2</v>
      </c>
      <c r="P21" s="694">
        <f>SUM($O$11:O21)</f>
        <v>0.91720931957463225</v>
      </c>
      <c r="T21" s="693"/>
    </row>
    <row r="22" spans="2:47" ht="25.5" x14ac:dyDescent="0.2">
      <c r="B22" s="691">
        <v>1</v>
      </c>
      <c r="C22" s="681" t="s">
        <v>218</v>
      </c>
      <c r="D22" s="740">
        <f t="shared" si="5"/>
        <v>234967.15</v>
      </c>
      <c r="F22" s="741">
        <v>234967.15</v>
      </c>
      <c r="G22" s="749" t="s">
        <v>996</v>
      </c>
      <c r="H22" s="749" t="s">
        <v>1000</v>
      </c>
      <c r="I22" s="729" t="str">
        <f>IF('Data Sources'!$C$27="N","N","Y")</f>
        <v>N</v>
      </c>
      <c r="J22" s="737">
        <v>0.5</v>
      </c>
      <c r="K22" s="738">
        <v>0.4</v>
      </c>
      <c r="L22" s="738">
        <v>0.1</v>
      </c>
      <c r="M22" s="692">
        <v>8</v>
      </c>
      <c r="N22" s="693">
        <v>12</v>
      </c>
      <c r="O22" s="694">
        <v>8.2790680425367497E-2</v>
      </c>
      <c r="P22" s="694">
        <f>SUM($O$11:O22)</f>
        <v>0.99999999999999978</v>
      </c>
      <c r="T22" s="698"/>
      <c r="Y22" s="699" t="s">
        <v>143</v>
      </c>
    </row>
    <row r="23" spans="2:47" x14ac:dyDescent="0.2">
      <c r="B23" s="691">
        <v>1</v>
      </c>
      <c r="C23" s="681" t="s">
        <v>219</v>
      </c>
      <c r="D23" s="740">
        <f t="shared" si="5"/>
        <v>229153.55</v>
      </c>
      <c r="F23" s="741">
        <v>229153.55</v>
      </c>
      <c r="G23" s="749" t="s">
        <v>996</v>
      </c>
      <c r="H23" s="749" t="s">
        <v>1000</v>
      </c>
      <c r="I23" s="729" t="str">
        <f>IF('Data Sources'!$C$27="N","N","Y")</f>
        <v>N</v>
      </c>
      <c r="J23" s="737">
        <v>0.5</v>
      </c>
      <c r="K23" s="738">
        <v>0.4</v>
      </c>
      <c r="L23" s="738">
        <v>0.1</v>
      </c>
      <c r="M23" s="692">
        <v>8</v>
      </c>
      <c r="N23" s="693">
        <v>13</v>
      </c>
      <c r="O23" s="700"/>
      <c r="P23" s="694">
        <f>SUM($O$11:O23)</f>
        <v>0.99999999999999978</v>
      </c>
      <c r="R23" s="835" t="s">
        <v>158</v>
      </c>
      <c r="S23" s="835"/>
      <c r="T23" s="835"/>
      <c r="U23" s="835" t="s">
        <v>118</v>
      </c>
      <c r="V23" s="835"/>
      <c r="W23" s="835"/>
      <c r="Y23" s="701">
        <f>'Data Sources'!C1</f>
        <v>2026</v>
      </c>
      <c r="Z23" s="701">
        <f>SUM(Y23+1)</f>
        <v>2027</v>
      </c>
      <c r="AA23" s="701">
        <f t="shared" ref="AA23:AU23" si="6">SUM(Z23+1)</f>
        <v>2028</v>
      </c>
      <c r="AB23" s="701">
        <f t="shared" si="6"/>
        <v>2029</v>
      </c>
      <c r="AC23" s="701">
        <f t="shared" si="6"/>
        <v>2030</v>
      </c>
      <c r="AD23" s="701">
        <f t="shared" si="6"/>
        <v>2031</v>
      </c>
      <c r="AE23" s="701">
        <f t="shared" si="6"/>
        <v>2032</v>
      </c>
      <c r="AF23" s="701">
        <f t="shared" si="6"/>
        <v>2033</v>
      </c>
      <c r="AG23" s="701">
        <f t="shared" si="6"/>
        <v>2034</v>
      </c>
      <c r="AH23" s="701">
        <f t="shared" si="6"/>
        <v>2035</v>
      </c>
      <c r="AI23" s="701">
        <f t="shared" si="6"/>
        <v>2036</v>
      </c>
      <c r="AJ23" s="701">
        <f t="shared" si="6"/>
        <v>2037</v>
      </c>
      <c r="AK23" s="701">
        <f t="shared" si="6"/>
        <v>2038</v>
      </c>
      <c r="AL23" s="701">
        <f t="shared" si="6"/>
        <v>2039</v>
      </c>
      <c r="AM23" s="701">
        <f t="shared" si="6"/>
        <v>2040</v>
      </c>
      <c r="AN23" s="701">
        <f t="shared" si="6"/>
        <v>2041</v>
      </c>
      <c r="AO23" s="701">
        <f t="shared" si="6"/>
        <v>2042</v>
      </c>
      <c r="AP23" s="701">
        <f t="shared" si="6"/>
        <v>2043</v>
      </c>
      <c r="AQ23" s="701">
        <f t="shared" si="6"/>
        <v>2044</v>
      </c>
      <c r="AR23" s="701">
        <f t="shared" si="6"/>
        <v>2045</v>
      </c>
      <c r="AS23" s="701">
        <f t="shared" si="6"/>
        <v>2046</v>
      </c>
      <c r="AT23" s="701">
        <f t="shared" si="6"/>
        <v>2047</v>
      </c>
      <c r="AU23" s="701">
        <f t="shared" si="6"/>
        <v>2048</v>
      </c>
    </row>
    <row r="24" spans="2:47" x14ac:dyDescent="0.2">
      <c r="B24" s="691">
        <v>1</v>
      </c>
      <c r="C24" s="681" t="s">
        <v>220</v>
      </c>
      <c r="D24" s="740">
        <f t="shared" si="5"/>
        <v>65000</v>
      </c>
      <c r="F24" s="741">
        <v>65000</v>
      </c>
      <c r="G24" s="749" t="s">
        <v>996</v>
      </c>
      <c r="H24" s="749" t="s">
        <v>1000</v>
      </c>
      <c r="I24" s="729" t="str">
        <f>IF('Data Sources'!$C$27="N","N","Y")</f>
        <v>N</v>
      </c>
      <c r="J24" s="737">
        <v>0.5</v>
      </c>
      <c r="K24" s="738">
        <v>0.4</v>
      </c>
      <c r="L24" s="738">
        <v>0.1</v>
      </c>
      <c r="M24" s="692">
        <v>8</v>
      </c>
      <c r="N24" s="693">
        <v>14</v>
      </c>
      <c r="O24" s="702"/>
      <c r="P24" s="694">
        <f>SUM($O$11:O24)</f>
        <v>0.99999999999999978</v>
      </c>
      <c r="R24" s="690" t="s">
        <v>144</v>
      </c>
      <c r="S24" s="690" t="s">
        <v>159</v>
      </c>
      <c r="T24" s="690" t="s">
        <v>65</v>
      </c>
      <c r="U24" s="690" t="s">
        <v>160</v>
      </c>
      <c r="V24" s="690" t="s">
        <v>159</v>
      </c>
      <c r="W24" s="690" t="s">
        <v>65</v>
      </c>
      <c r="Y24" s="703">
        <f t="shared" ref="Y24:Y46" si="7">_xlfn.IFS(Y$23&lt;$R25,0,Y$23&gt;=($R25+$U25),0,Y$23&gt;=$R25,$V25)</f>
        <v>0</v>
      </c>
      <c r="Z24" s="703">
        <f t="shared" ref="Z24:Z46" si="8">_xlfn.IFS(Z$23&lt;$R25,0,Z$23&gt;=($R25+$U25),0,Z$23&gt;=$R25,$V25)</f>
        <v>0</v>
      </c>
      <c r="AA24" s="703">
        <f t="shared" ref="AA24:AA46" si="9">_xlfn.IFS(AA$23&lt;$R25,0,AA$23&gt;=($R25+$U25),0,AA$23&gt;=$R25,$V25)</f>
        <v>0</v>
      </c>
      <c r="AB24" s="703">
        <f t="shared" ref="AB24:AB46" si="10">_xlfn.IFS(AB$23&lt;$R25,0,AB$23&gt;=($R25+$U25),0,AB$23&gt;=$R25,$V25)</f>
        <v>0</v>
      </c>
      <c r="AC24" s="703">
        <f t="shared" ref="AC24:AC46" si="11">_xlfn.IFS(AC$23&lt;$R25,0,AC$23&gt;=($R25+$U25),0,AC$23&gt;=$R25,$V25)</f>
        <v>0</v>
      </c>
      <c r="AD24" s="703">
        <f t="shared" ref="AD24:AD46" si="12">_xlfn.IFS(AD$23&lt;$R25,0,AD$23&gt;=($R25+$U25),0,AD$23&gt;=$R25,$V25)</f>
        <v>0</v>
      </c>
      <c r="AE24" s="703">
        <f t="shared" ref="AE24:AE46" si="13">_xlfn.IFS(AE$23&lt;$R25,0,AE$23&gt;=($R25+$U25),0,AE$23&gt;=$R25,$V25)</f>
        <v>0</v>
      </c>
      <c r="AF24" s="703">
        <f t="shared" ref="AF24:AF46" si="14">_xlfn.IFS(AF$23&lt;$R25,0,AF$23&gt;=($R25+$U25),0,AF$23&gt;=$R25,$V25)</f>
        <v>0</v>
      </c>
      <c r="AG24" s="703">
        <f t="shared" ref="AG24:AG46" si="15">_xlfn.IFS(AG$23&lt;$R25,0,AG$23&gt;=($R25+$U25),0,AG$23&gt;=$R25,$V25)</f>
        <v>0</v>
      </c>
      <c r="AH24" s="703">
        <f t="shared" ref="AH24:AH46" si="16">_xlfn.IFS(AH$23&lt;$R25,0,AH$23&gt;=($R25+$U25),0,AH$23&gt;=$R25,$V25)</f>
        <v>0</v>
      </c>
      <c r="AI24" s="703">
        <f t="shared" ref="AI24:AI46" si="17">_xlfn.IFS(AI$23&lt;$R25,0,AI$23&gt;=($R25+$U25),0,AI$23&gt;=$R25,$V25)</f>
        <v>0</v>
      </c>
      <c r="AJ24" s="703">
        <f t="shared" ref="AJ24:AJ46" si="18">_xlfn.IFS(AJ$23&lt;$R25,0,AJ$23&gt;=($R25+$U25),0,AJ$23&gt;=$R25,$V25)</f>
        <v>0</v>
      </c>
      <c r="AK24" s="703">
        <f t="shared" ref="AK24:AK46" si="19">_xlfn.IFS(AK$23&lt;$R25,0,AK$23&gt;=($R25+$U25),0,AK$23&gt;=$R25,$V25)</f>
        <v>0</v>
      </c>
      <c r="AL24" s="703">
        <f t="shared" ref="AL24:AL46" si="20">_xlfn.IFS(AL$23&lt;$R25,0,AL$23&gt;=($R25+$U25),0,AL$23&gt;=$R25,$V25)</f>
        <v>0</v>
      </c>
      <c r="AM24" s="703">
        <f t="shared" ref="AM24:AM46" si="21">_xlfn.IFS(AM$23&lt;$R25,0,AM$23&gt;=($R25+$U25),0,AM$23&gt;=$R25,$V25)</f>
        <v>0</v>
      </c>
      <c r="AN24" s="703">
        <f t="shared" ref="AN24:AN46" si="22">_xlfn.IFS(AN$23&lt;$R25,0,AN$23&gt;=($R25+$U25),0,AN$23&gt;=$R25,$V25)</f>
        <v>0</v>
      </c>
      <c r="AO24" s="703">
        <f t="shared" ref="AO24:AO46" si="23">_xlfn.IFS(AO$23&lt;$R25,0,AO$23&gt;=($R25+$U25),0,AO$23&gt;=$R25,$V25)</f>
        <v>0</v>
      </c>
      <c r="AP24" s="703">
        <f t="shared" ref="AP24:AP46" si="24">_xlfn.IFS(AP$23&lt;$R25,0,AP$23&gt;=($R25+$U25),0,AP$23&gt;=$R25,$V25)</f>
        <v>0</v>
      </c>
      <c r="AQ24" s="703">
        <f t="shared" ref="AQ24:AQ46" si="25">_xlfn.IFS(AQ$23&lt;$R25,0,AQ$23&gt;=($R25+$U25),0,AQ$23&gt;=$R25,$V25)</f>
        <v>0</v>
      </c>
      <c r="AR24" s="703">
        <f t="shared" ref="AR24:AR46" si="26">_xlfn.IFS(AR$23&lt;$R25,0,AR$23&gt;=($R25+$U25),0,AR$23&gt;=$R25,$V25)</f>
        <v>0</v>
      </c>
      <c r="AS24" s="703">
        <f t="shared" ref="AS24:AS46" si="27">_xlfn.IFS(AS$23&lt;$R25,0,AS$23&gt;=($R25+$U25),0,AS$23&gt;=$R25,$V25)</f>
        <v>0</v>
      </c>
      <c r="AT24" s="703">
        <f t="shared" ref="AT24:AT46" si="28">_xlfn.IFS(AT$23&lt;$R25,0,AT$23&gt;=($R25+$U25),0,AT$23&gt;=$R25,$V25)</f>
        <v>0</v>
      </c>
      <c r="AU24" s="703">
        <f t="shared" ref="AU24:AU46" si="29">_xlfn.IFS(AU$23&lt;$R25,0,AU$23&gt;=($R25+$U25),0,AU$23&gt;=$R25,$V25)</f>
        <v>0</v>
      </c>
    </row>
    <row r="25" spans="2:47" x14ac:dyDescent="0.2">
      <c r="B25" s="691">
        <v>1</v>
      </c>
      <c r="C25" s="681" t="s">
        <v>221</v>
      </c>
      <c r="D25" s="740">
        <f t="shared" si="5"/>
        <v>117497.75</v>
      </c>
      <c r="F25" s="741">
        <v>117497.75</v>
      </c>
      <c r="G25" s="749" t="s">
        <v>996</v>
      </c>
      <c r="H25" s="749" t="s">
        <v>1000</v>
      </c>
      <c r="I25" s="729" t="str">
        <f>IF('Data Sources'!$C$27="N","N","Y")</f>
        <v>N</v>
      </c>
      <c r="J25" s="737">
        <v>0.5</v>
      </c>
      <c r="K25" s="738">
        <v>0.4</v>
      </c>
      <c r="L25" s="738">
        <v>0.1</v>
      </c>
      <c r="M25" s="692">
        <v>8</v>
      </c>
      <c r="N25" s="693">
        <v>15</v>
      </c>
      <c r="O25" s="700"/>
      <c r="P25" s="694">
        <f>SUM($O$11:O25)</f>
        <v>0.99999999999999978</v>
      </c>
      <c r="R25" s="704">
        <f>Y23</f>
        <v>2026</v>
      </c>
      <c r="S25" s="705">
        <v>0</v>
      </c>
      <c r="T25" s="706">
        <f t="shared" ref="T25:T31" si="30">S25/12</f>
        <v>0</v>
      </c>
      <c r="U25" s="707">
        <v>7</v>
      </c>
      <c r="V25" s="703">
        <f t="shared" ref="V25:V31" si="31">S25/U25</f>
        <v>0</v>
      </c>
      <c r="W25" s="703">
        <f t="shared" ref="W25:W31" si="32">V25/12</f>
        <v>0</v>
      </c>
      <c r="Y25" s="703">
        <f t="shared" si="7"/>
        <v>0</v>
      </c>
      <c r="Z25" s="703">
        <f t="shared" si="8"/>
        <v>0</v>
      </c>
      <c r="AA25" s="703">
        <f t="shared" si="9"/>
        <v>0</v>
      </c>
      <c r="AB25" s="703">
        <f t="shared" si="10"/>
        <v>0</v>
      </c>
      <c r="AC25" s="703">
        <f t="shared" si="11"/>
        <v>0</v>
      </c>
      <c r="AD25" s="703">
        <f t="shared" si="12"/>
        <v>0</v>
      </c>
      <c r="AE25" s="703">
        <f t="shared" si="13"/>
        <v>0</v>
      </c>
      <c r="AF25" s="703">
        <f t="shared" si="14"/>
        <v>0</v>
      </c>
      <c r="AG25" s="703">
        <f t="shared" si="15"/>
        <v>0</v>
      </c>
      <c r="AH25" s="703">
        <f t="shared" si="16"/>
        <v>0</v>
      </c>
      <c r="AI25" s="703">
        <f t="shared" si="17"/>
        <v>0</v>
      </c>
      <c r="AJ25" s="703">
        <f t="shared" si="18"/>
        <v>0</v>
      </c>
      <c r="AK25" s="703">
        <f t="shared" si="19"/>
        <v>0</v>
      </c>
      <c r="AL25" s="703">
        <f t="shared" si="20"/>
        <v>0</v>
      </c>
      <c r="AM25" s="703">
        <f t="shared" si="21"/>
        <v>0</v>
      </c>
      <c r="AN25" s="703">
        <f t="shared" si="22"/>
        <v>0</v>
      </c>
      <c r="AO25" s="703">
        <f t="shared" si="23"/>
        <v>0</v>
      </c>
      <c r="AP25" s="703">
        <f t="shared" si="24"/>
        <v>0</v>
      </c>
      <c r="AQ25" s="703">
        <f t="shared" si="25"/>
        <v>0</v>
      </c>
      <c r="AR25" s="703">
        <f t="shared" si="26"/>
        <v>0</v>
      </c>
      <c r="AS25" s="703">
        <f t="shared" si="27"/>
        <v>0</v>
      </c>
      <c r="AT25" s="703">
        <f t="shared" si="28"/>
        <v>0</v>
      </c>
      <c r="AU25" s="703">
        <f t="shared" si="29"/>
        <v>0</v>
      </c>
    </row>
    <row r="26" spans="2:47" x14ac:dyDescent="0.2">
      <c r="B26" s="691">
        <v>1</v>
      </c>
      <c r="C26" s="681" t="s">
        <v>222</v>
      </c>
      <c r="D26" s="740">
        <f t="shared" si="5"/>
        <v>340082.6</v>
      </c>
      <c r="F26" s="741">
        <v>340082.6</v>
      </c>
      <c r="G26" s="749" t="s">
        <v>996</v>
      </c>
      <c r="H26" s="749" t="s">
        <v>1000</v>
      </c>
      <c r="I26" s="729" t="str">
        <f>IF('Data Sources'!$C$27="N","N","Y")</f>
        <v>N</v>
      </c>
      <c r="J26" s="737">
        <v>0.5</v>
      </c>
      <c r="K26" s="738">
        <v>0.4</v>
      </c>
      <c r="L26" s="738">
        <v>0.1</v>
      </c>
      <c r="M26" s="692">
        <v>8</v>
      </c>
      <c r="N26" s="693">
        <v>16</v>
      </c>
      <c r="O26" s="702"/>
      <c r="P26" s="694">
        <f>SUM($O$11:O26)</f>
        <v>0.99999999999999978</v>
      </c>
      <c r="R26" s="693">
        <f>R25+1</f>
        <v>2027</v>
      </c>
      <c r="S26" s="705">
        <v>0</v>
      </c>
      <c r="T26" s="706">
        <f t="shared" si="30"/>
        <v>0</v>
      </c>
      <c r="U26" s="707">
        <v>7</v>
      </c>
      <c r="V26" s="703">
        <f t="shared" si="31"/>
        <v>0</v>
      </c>
      <c r="W26" s="703">
        <f t="shared" si="32"/>
        <v>0</v>
      </c>
      <c r="Y26" s="703">
        <f t="shared" si="7"/>
        <v>0</v>
      </c>
      <c r="Z26" s="703">
        <f t="shared" si="8"/>
        <v>0</v>
      </c>
      <c r="AA26" s="703">
        <f t="shared" si="9"/>
        <v>0</v>
      </c>
      <c r="AB26" s="703">
        <f t="shared" si="10"/>
        <v>0</v>
      </c>
      <c r="AC26" s="703">
        <f t="shared" si="11"/>
        <v>0</v>
      </c>
      <c r="AD26" s="703">
        <f t="shared" si="12"/>
        <v>0</v>
      </c>
      <c r="AE26" s="703">
        <f t="shared" si="13"/>
        <v>0</v>
      </c>
      <c r="AF26" s="703">
        <f t="shared" si="14"/>
        <v>0</v>
      </c>
      <c r="AG26" s="703">
        <f t="shared" si="15"/>
        <v>0</v>
      </c>
      <c r="AH26" s="703">
        <f t="shared" si="16"/>
        <v>0</v>
      </c>
      <c r="AI26" s="703">
        <f t="shared" si="17"/>
        <v>0</v>
      </c>
      <c r="AJ26" s="703">
        <f t="shared" si="18"/>
        <v>0</v>
      </c>
      <c r="AK26" s="703">
        <f t="shared" si="19"/>
        <v>0</v>
      </c>
      <c r="AL26" s="703">
        <f t="shared" si="20"/>
        <v>0</v>
      </c>
      <c r="AM26" s="703">
        <f t="shared" si="21"/>
        <v>0</v>
      </c>
      <c r="AN26" s="703">
        <f t="shared" si="22"/>
        <v>0</v>
      </c>
      <c r="AO26" s="703">
        <f t="shared" si="23"/>
        <v>0</v>
      </c>
      <c r="AP26" s="703">
        <f t="shared" si="24"/>
        <v>0</v>
      </c>
      <c r="AQ26" s="703">
        <f t="shared" si="25"/>
        <v>0</v>
      </c>
      <c r="AR26" s="703">
        <f t="shared" si="26"/>
        <v>0</v>
      </c>
      <c r="AS26" s="703">
        <f t="shared" si="27"/>
        <v>0</v>
      </c>
      <c r="AT26" s="703">
        <f t="shared" si="28"/>
        <v>0</v>
      </c>
      <c r="AU26" s="703">
        <f t="shared" si="29"/>
        <v>0</v>
      </c>
    </row>
    <row r="27" spans="2:47" x14ac:dyDescent="0.2">
      <c r="B27" s="691">
        <v>1</v>
      </c>
      <c r="C27" s="681" t="s">
        <v>203</v>
      </c>
      <c r="D27" s="740">
        <f t="shared" si="5"/>
        <v>40819.25</v>
      </c>
      <c r="F27" s="741">
        <v>40819.25</v>
      </c>
      <c r="G27" s="749" t="s">
        <v>996</v>
      </c>
      <c r="H27" s="749" t="s">
        <v>1000</v>
      </c>
      <c r="I27" s="729" t="str">
        <f>IF('Data Sources'!$C$27="N","N","Y")</f>
        <v>N</v>
      </c>
      <c r="J27" s="737">
        <v>0.5</v>
      </c>
      <c r="K27" s="738">
        <v>0.4</v>
      </c>
      <c r="L27" s="738">
        <v>0.1</v>
      </c>
      <c r="M27" s="692">
        <v>8</v>
      </c>
      <c r="N27" s="693">
        <v>17</v>
      </c>
      <c r="O27" s="700"/>
      <c r="P27" s="694">
        <f>SUM($O$11:O27)</f>
        <v>0.99999999999999978</v>
      </c>
      <c r="R27" s="693">
        <f t="shared" ref="R27:R47" si="33">R26+1</f>
        <v>2028</v>
      </c>
      <c r="S27" s="705">
        <v>0</v>
      </c>
      <c r="T27" s="706">
        <f t="shared" si="30"/>
        <v>0</v>
      </c>
      <c r="U27" s="707">
        <v>7</v>
      </c>
      <c r="V27" s="703">
        <f t="shared" si="31"/>
        <v>0</v>
      </c>
      <c r="W27" s="703">
        <f t="shared" si="32"/>
        <v>0</v>
      </c>
      <c r="Y27" s="703">
        <f t="shared" si="7"/>
        <v>0</v>
      </c>
      <c r="Z27" s="703">
        <f t="shared" si="8"/>
        <v>0</v>
      </c>
      <c r="AA27" s="703">
        <f t="shared" si="9"/>
        <v>0</v>
      </c>
      <c r="AB27" s="703">
        <f t="shared" si="10"/>
        <v>0</v>
      </c>
      <c r="AC27" s="703">
        <f t="shared" si="11"/>
        <v>0</v>
      </c>
      <c r="AD27" s="703">
        <f t="shared" si="12"/>
        <v>0</v>
      </c>
      <c r="AE27" s="703">
        <f t="shared" si="13"/>
        <v>0</v>
      </c>
      <c r="AF27" s="703">
        <f t="shared" si="14"/>
        <v>0</v>
      </c>
      <c r="AG27" s="703">
        <f t="shared" si="15"/>
        <v>0</v>
      </c>
      <c r="AH27" s="703">
        <f t="shared" si="16"/>
        <v>0</v>
      </c>
      <c r="AI27" s="703">
        <f t="shared" si="17"/>
        <v>0</v>
      </c>
      <c r="AJ27" s="703">
        <f t="shared" si="18"/>
        <v>0</v>
      </c>
      <c r="AK27" s="703">
        <f t="shared" si="19"/>
        <v>0</v>
      </c>
      <c r="AL27" s="703">
        <f t="shared" si="20"/>
        <v>0</v>
      </c>
      <c r="AM27" s="703">
        <f t="shared" si="21"/>
        <v>0</v>
      </c>
      <c r="AN27" s="703">
        <f t="shared" si="22"/>
        <v>0</v>
      </c>
      <c r="AO27" s="703">
        <f t="shared" si="23"/>
        <v>0</v>
      </c>
      <c r="AP27" s="703">
        <f t="shared" si="24"/>
        <v>0</v>
      </c>
      <c r="AQ27" s="703">
        <f t="shared" si="25"/>
        <v>0</v>
      </c>
      <c r="AR27" s="703">
        <f t="shared" si="26"/>
        <v>0</v>
      </c>
      <c r="AS27" s="703">
        <f t="shared" si="27"/>
        <v>0</v>
      </c>
      <c r="AT27" s="703">
        <f t="shared" si="28"/>
        <v>0</v>
      </c>
      <c r="AU27" s="703">
        <f t="shared" si="29"/>
        <v>0</v>
      </c>
    </row>
    <row r="28" spans="2:47" x14ac:dyDescent="0.2">
      <c r="B28" s="691">
        <v>1</v>
      </c>
      <c r="C28" s="681" t="s">
        <v>204</v>
      </c>
      <c r="D28" s="740">
        <f t="shared" si="5"/>
        <v>240975.19</v>
      </c>
      <c r="F28" s="741">
        <v>240975.19</v>
      </c>
      <c r="G28" s="749" t="s">
        <v>996</v>
      </c>
      <c r="H28" s="749" t="s">
        <v>1000</v>
      </c>
      <c r="I28" s="729" t="str">
        <f>IF('Data Sources'!$C$27="N","N","Y")</f>
        <v>N</v>
      </c>
      <c r="J28" s="737">
        <v>0.5</v>
      </c>
      <c r="K28" s="738">
        <v>0.4</v>
      </c>
      <c r="L28" s="738">
        <v>0.1</v>
      </c>
      <c r="M28" s="692">
        <v>8</v>
      </c>
      <c r="N28" s="693">
        <v>18</v>
      </c>
      <c r="O28" s="702"/>
      <c r="P28" s="694">
        <f>SUM($O$11:O28)</f>
        <v>0.99999999999999978</v>
      </c>
      <c r="R28" s="693">
        <f t="shared" si="33"/>
        <v>2029</v>
      </c>
      <c r="S28" s="705">
        <v>0</v>
      </c>
      <c r="T28" s="706">
        <f t="shared" si="30"/>
        <v>0</v>
      </c>
      <c r="U28" s="707">
        <v>7</v>
      </c>
      <c r="V28" s="703">
        <f t="shared" si="31"/>
        <v>0</v>
      </c>
      <c r="W28" s="703">
        <f t="shared" si="32"/>
        <v>0</v>
      </c>
      <c r="Y28" s="703">
        <f t="shared" si="7"/>
        <v>0</v>
      </c>
      <c r="Z28" s="703">
        <f t="shared" si="8"/>
        <v>0</v>
      </c>
      <c r="AA28" s="703">
        <f t="shared" si="9"/>
        <v>0</v>
      </c>
      <c r="AB28" s="703">
        <f t="shared" si="10"/>
        <v>0</v>
      </c>
      <c r="AC28" s="703">
        <f t="shared" si="11"/>
        <v>0</v>
      </c>
      <c r="AD28" s="703">
        <f t="shared" si="12"/>
        <v>0</v>
      </c>
      <c r="AE28" s="703">
        <f t="shared" si="13"/>
        <v>0</v>
      </c>
      <c r="AF28" s="703">
        <f t="shared" si="14"/>
        <v>0</v>
      </c>
      <c r="AG28" s="703">
        <f t="shared" si="15"/>
        <v>0</v>
      </c>
      <c r="AH28" s="703">
        <f t="shared" si="16"/>
        <v>0</v>
      </c>
      <c r="AI28" s="703">
        <f t="shared" si="17"/>
        <v>0</v>
      </c>
      <c r="AJ28" s="703">
        <f t="shared" si="18"/>
        <v>0</v>
      </c>
      <c r="AK28" s="703">
        <f t="shared" si="19"/>
        <v>0</v>
      </c>
      <c r="AL28" s="703">
        <f t="shared" si="20"/>
        <v>0</v>
      </c>
      <c r="AM28" s="703">
        <f t="shared" si="21"/>
        <v>0</v>
      </c>
      <c r="AN28" s="703">
        <f t="shared" si="22"/>
        <v>0</v>
      </c>
      <c r="AO28" s="703">
        <f t="shared" si="23"/>
        <v>0</v>
      </c>
      <c r="AP28" s="703">
        <f t="shared" si="24"/>
        <v>0</v>
      </c>
      <c r="AQ28" s="703">
        <f t="shared" si="25"/>
        <v>0</v>
      </c>
      <c r="AR28" s="703">
        <f t="shared" si="26"/>
        <v>0</v>
      </c>
      <c r="AS28" s="703">
        <f t="shared" si="27"/>
        <v>0</v>
      </c>
      <c r="AT28" s="703">
        <f t="shared" si="28"/>
        <v>0</v>
      </c>
      <c r="AU28" s="703">
        <f t="shared" si="29"/>
        <v>0</v>
      </c>
    </row>
    <row r="29" spans="2:47" x14ac:dyDescent="0.2">
      <c r="B29" s="691">
        <v>1</v>
      </c>
      <c r="C29" s="681" t="s">
        <v>205</v>
      </c>
      <c r="D29" s="740">
        <f t="shared" si="5"/>
        <v>36990.75</v>
      </c>
      <c r="F29" s="741">
        <v>36990.75</v>
      </c>
      <c r="G29" s="749" t="s">
        <v>996</v>
      </c>
      <c r="H29" s="749" t="s">
        <v>1000</v>
      </c>
      <c r="I29" s="729" t="str">
        <f>IF('Data Sources'!$C$27="N","N","Y")</f>
        <v>N</v>
      </c>
      <c r="J29" s="737">
        <v>0.5</v>
      </c>
      <c r="K29" s="738">
        <v>0.4</v>
      </c>
      <c r="L29" s="738">
        <v>0.1</v>
      </c>
      <c r="M29" s="692">
        <v>8</v>
      </c>
      <c r="N29" s="693">
        <v>19</v>
      </c>
      <c r="O29" s="700"/>
      <c r="P29" s="694">
        <f>SUM($O$11:O29)</f>
        <v>0.99999999999999978</v>
      </c>
      <c r="R29" s="693">
        <f t="shared" si="33"/>
        <v>2030</v>
      </c>
      <c r="S29" s="705">
        <v>0</v>
      </c>
      <c r="T29" s="706">
        <f t="shared" si="30"/>
        <v>0</v>
      </c>
      <c r="U29" s="707">
        <v>7</v>
      </c>
      <c r="V29" s="703">
        <f t="shared" si="31"/>
        <v>0</v>
      </c>
      <c r="W29" s="703">
        <f t="shared" si="32"/>
        <v>0</v>
      </c>
      <c r="Y29" s="703">
        <f t="shared" si="7"/>
        <v>0</v>
      </c>
      <c r="Z29" s="703">
        <f t="shared" si="8"/>
        <v>0</v>
      </c>
      <c r="AA29" s="703">
        <f t="shared" si="9"/>
        <v>0</v>
      </c>
      <c r="AB29" s="703">
        <f t="shared" si="10"/>
        <v>0</v>
      </c>
      <c r="AC29" s="703">
        <f t="shared" si="11"/>
        <v>0</v>
      </c>
      <c r="AD29" s="703">
        <f t="shared" si="12"/>
        <v>0</v>
      </c>
      <c r="AE29" s="703">
        <f t="shared" si="13"/>
        <v>0</v>
      </c>
      <c r="AF29" s="703">
        <f t="shared" si="14"/>
        <v>0</v>
      </c>
      <c r="AG29" s="703">
        <f t="shared" si="15"/>
        <v>0</v>
      </c>
      <c r="AH29" s="703">
        <f t="shared" si="16"/>
        <v>0</v>
      </c>
      <c r="AI29" s="703">
        <f t="shared" si="17"/>
        <v>0</v>
      </c>
      <c r="AJ29" s="703">
        <f t="shared" si="18"/>
        <v>0</v>
      </c>
      <c r="AK29" s="703">
        <f t="shared" si="19"/>
        <v>0</v>
      </c>
      <c r="AL29" s="703">
        <f t="shared" si="20"/>
        <v>0</v>
      </c>
      <c r="AM29" s="703">
        <f t="shared" si="21"/>
        <v>0</v>
      </c>
      <c r="AN29" s="703">
        <f t="shared" si="22"/>
        <v>0</v>
      </c>
      <c r="AO29" s="703">
        <f t="shared" si="23"/>
        <v>0</v>
      </c>
      <c r="AP29" s="703">
        <f t="shared" si="24"/>
        <v>0</v>
      </c>
      <c r="AQ29" s="703">
        <f t="shared" si="25"/>
        <v>0</v>
      </c>
      <c r="AR29" s="703">
        <f t="shared" si="26"/>
        <v>0</v>
      </c>
      <c r="AS29" s="703">
        <f t="shared" si="27"/>
        <v>0</v>
      </c>
      <c r="AT29" s="703">
        <f t="shared" si="28"/>
        <v>0</v>
      </c>
      <c r="AU29" s="703">
        <f t="shared" si="29"/>
        <v>0</v>
      </c>
    </row>
    <row r="30" spans="2:47" x14ac:dyDescent="0.2">
      <c r="B30" s="691">
        <v>1</v>
      </c>
      <c r="C30" s="681" t="s">
        <v>202</v>
      </c>
      <c r="D30" s="740">
        <f t="shared" si="5"/>
        <v>229153.55</v>
      </c>
      <c r="F30" s="741">
        <v>229153.55</v>
      </c>
      <c r="G30" s="749" t="s">
        <v>996</v>
      </c>
      <c r="H30" s="749" t="s">
        <v>1000</v>
      </c>
      <c r="I30" s="729" t="str">
        <f>IF('Data Sources'!$C$27="N","N","Y")</f>
        <v>N</v>
      </c>
      <c r="J30" s="737">
        <v>0.5</v>
      </c>
      <c r="K30" s="738">
        <v>0.4</v>
      </c>
      <c r="L30" s="738">
        <v>0.1</v>
      </c>
      <c r="M30" s="692">
        <v>8</v>
      </c>
      <c r="N30" s="693">
        <v>20</v>
      </c>
      <c r="O30" s="702"/>
      <c r="P30" s="694">
        <f>SUM($O$11:O30)</f>
        <v>0.99999999999999978</v>
      </c>
      <c r="R30" s="693">
        <f t="shared" si="33"/>
        <v>2031</v>
      </c>
      <c r="S30" s="705">
        <v>0</v>
      </c>
      <c r="T30" s="706">
        <f t="shared" si="30"/>
        <v>0</v>
      </c>
      <c r="U30" s="707">
        <v>7</v>
      </c>
      <c r="V30" s="703">
        <f t="shared" si="31"/>
        <v>0</v>
      </c>
      <c r="W30" s="703">
        <f t="shared" si="32"/>
        <v>0</v>
      </c>
      <c r="Y30" s="703">
        <f t="shared" si="7"/>
        <v>0</v>
      </c>
      <c r="Z30" s="703">
        <f t="shared" si="8"/>
        <v>0</v>
      </c>
      <c r="AA30" s="703">
        <f t="shared" si="9"/>
        <v>0</v>
      </c>
      <c r="AB30" s="703">
        <f t="shared" si="10"/>
        <v>0</v>
      </c>
      <c r="AC30" s="703">
        <f t="shared" si="11"/>
        <v>0</v>
      </c>
      <c r="AD30" s="703">
        <f t="shared" si="12"/>
        <v>0</v>
      </c>
      <c r="AE30" s="703">
        <f t="shared" si="13"/>
        <v>0</v>
      </c>
      <c r="AF30" s="703">
        <f t="shared" si="14"/>
        <v>0</v>
      </c>
      <c r="AG30" s="703">
        <f t="shared" si="15"/>
        <v>0</v>
      </c>
      <c r="AH30" s="703">
        <f t="shared" si="16"/>
        <v>0</v>
      </c>
      <c r="AI30" s="703">
        <f t="shared" si="17"/>
        <v>0</v>
      </c>
      <c r="AJ30" s="703">
        <f t="shared" si="18"/>
        <v>0</v>
      </c>
      <c r="AK30" s="703">
        <f t="shared" si="19"/>
        <v>0</v>
      </c>
      <c r="AL30" s="703">
        <f t="shared" si="20"/>
        <v>0</v>
      </c>
      <c r="AM30" s="703">
        <f t="shared" si="21"/>
        <v>0</v>
      </c>
      <c r="AN30" s="703">
        <f t="shared" si="22"/>
        <v>0</v>
      </c>
      <c r="AO30" s="703">
        <f t="shared" si="23"/>
        <v>0</v>
      </c>
      <c r="AP30" s="703">
        <f t="shared" si="24"/>
        <v>0</v>
      </c>
      <c r="AQ30" s="703">
        <f t="shared" si="25"/>
        <v>0</v>
      </c>
      <c r="AR30" s="703">
        <f t="shared" si="26"/>
        <v>0</v>
      </c>
      <c r="AS30" s="703">
        <f t="shared" si="27"/>
        <v>0</v>
      </c>
      <c r="AT30" s="703">
        <f t="shared" si="28"/>
        <v>0</v>
      </c>
      <c r="AU30" s="703">
        <f t="shared" si="29"/>
        <v>0</v>
      </c>
    </row>
    <row r="31" spans="2:47" x14ac:dyDescent="0.2">
      <c r="B31" s="691">
        <v>1</v>
      </c>
      <c r="C31" s="681" t="s">
        <v>1016</v>
      </c>
      <c r="D31" s="740">
        <f t="shared" si="5"/>
        <v>65000</v>
      </c>
      <c r="F31" s="741">
        <v>65000</v>
      </c>
      <c r="G31" s="749" t="s">
        <v>996</v>
      </c>
      <c r="H31" s="749" t="s">
        <v>1000</v>
      </c>
      <c r="I31" s="729" t="str">
        <f>IF('Data Sources'!$C$27="N","N","Y")</f>
        <v>N</v>
      </c>
      <c r="J31" s="737">
        <v>0.5</v>
      </c>
      <c r="K31" s="738">
        <v>0.4</v>
      </c>
      <c r="L31" s="738">
        <v>0.1</v>
      </c>
      <c r="M31" s="692">
        <v>8</v>
      </c>
      <c r="N31" s="693">
        <v>21</v>
      </c>
      <c r="O31" s="700"/>
      <c r="P31" s="694">
        <f>SUM($O$11:O31)</f>
        <v>0.99999999999999978</v>
      </c>
      <c r="R31" s="693">
        <f t="shared" si="33"/>
        <v>2032</v>
      </c>
      <c r="S31" s="705">
        <v>0</v>
      </c>
      <c r="T31" s="706">
        <f t="shared" si="30"/>
        <v>0</v>
      </c>
      <c r="U31" s="707">
        <v>7</v>
      </c>
      <c r="V31" s="703">
        <f t="shared" si="31"/>
        <v>0</v>
      </c>
      <c r="W31" s="703">
        <f t="shared" si="32"/>
        <v>0</v>
      </c>
      <c r="Y31" s="703">
        <f t="shared" si="7"/>
        <v>0</v>
      </c>
      <c r="Z31" s="703">
        <f t="shared" si="8"/>
        <v>0</v>
      </c>
      <c r="AA31" s="703">
        <f t="shared" si="9"/>
        <v>0</v>
      </c>
      <c r="AB31" s="703">
        <f t="shared" si="10"/>
        <v>0</v>
      </c>
      <c r="AC31" s="703">
        <f t="shared" si="11"/>
        <v>0</v>
      </c>
      <c r="AD31" s="703">
        <f t="shared" si="12"/>
        <v>0</v>
      </c>
      <c r="AE31" s="703">
        <f t="shared" si="13"/>
        <v>0</v>
      </c>
      <c r="AF31" s="703">
        <f t="shared" si="14"/>
        <v>142857.14285714287</v>
      </c>
      <c r="AG31" s="703">
        <f t="shared" si="15"/>
        <v>142857.14285714287</v>
      </c>
      <c r="AH31" s="703">
        <f t="shared" si="16"/>
        <v>142857.14285714287</v>
      </c>
      <c r="AI31" s="703">
        <f t="shared" si="17"/>
        <v>142857.14285714287</v>
      </c>
      <c r="AJ31" s="703">
        <f t="shared" si="18"/>
        <v>142857.14285714287</v>
      </c>
      <c r="AK31" s="703">
        <f t="shared" si="19"/>
        <v>142857.14285714287</v>
      </c>
      <c r="AL31" s="703">
        <f t="shared" si="20"/>
        <v>142857.14285714287</v>
      </c>
      <c r="AM31" s="703">
        <f t="shared" si="21"/>
        <v>0</v>
      </c>
      <c r="AN31" s="703">
        <f t="shared" si="22"/>
        <v>0</v>
      </c>
      <c r="AO31" s="703">
        <f t="shared" si="23"/>
        <v>0</v>
      </c>
      <c r="AP31" s="703">
        <f t="shared" si="24"/>
        <v>0</v>
      </c>
      <c r="AQ31" s="703">
        <f t="shared" si="25"/>
        <v>0</v>
      </c>
      <c r="AR31" s="703">
        <f t="shared" si="26"/>
        <v>0</v>
      </c>
      <c r="AS31" s="703">
        <f t="shared" si="27"/>
        <v>0</v>
      </c>
      <c r="AT31" s="703">
        <f t="shared" si="28"/>
        <v>0</v>
      </c>
      <c r="AU31" s="703">
        <f t="shared" si="29"/>
        <v>0</v>
      </c>
    </row>
    <row r="32" spans="2:47" x14ac:dyDescent="0.2">
      <c r="B32" s="691">
        <v>1</v>
      </c>
      <c r="C32" s="681" t="s">
        <v>206</v>
      </c>
      <c r="D32" s="740">
        <f t="shared" si="5"/>
        <v>95123.75</v>
      </c>
      <c r="F32" s="741">
        <v>95123.75</v>
      </c>
      <c r="G32" s="749" t="s">
        <v>996</v>
      </c>
      <c r="H32" s="749" t="s">
        <v>1000</v>
      </c>
      <c r="I32" s="729" t="str">
        <f>IF('Data Sources'!$C$27="N","N","Y")</f>
        <v>N</v>
      </c>
      <c r="J32" s="737">
        <v>0.5</v>
      </c>
      <c r="K32" s="738">
        <v>0.4</v>
      </c>
      <c r="L32" s="738">
        <v>0.1</v>
      </c>
      <c r="M32" s="692">
        <v>8</v>
      </c>
      <c r="N32" s="693">
        <v>22</v>
      </c>
      <c r="O32" s="702"/>
      <c r="P32" s="694">
        <f>SUM($O$11:O32)</f>
        <v>0.99999999999999978</v>
      </c>
      <c r="R32" s="693">
        <f t="shared" si="33"/>
        <v>2033</v>
      </c>
      <c r="S32" s="705">
        <v>1000000</v>
      </c>
      <c r="T32" s="706">
        <f>S32/12</f>
        <v>83333.333333333328</v>
      </c>
      <c r="U32" s="707">
        <v>7</v>
      </c>
      <c r="V32" s="703">
        <f>S32/U32</f>
        <v>142857.14285714287</v>
      </c>
      <c r="W32" s="703">
        <f>V32/12</f>
        <v>11904.761904761906</v>
      </c>
      <c r="Y32" s="703">
        <f t="shared" si="7"/>
        <v>0</v>
      </c>
      <c r="Z32" s="703">
        <f t="shared" si="8"/>
        <v>0</v>
      </c>
      <c r="AA32" s="703">
        <f t="shared" si="9"/>
        <v>0</v>
      </c>
      <c r="AB32" s="703">
        <f t="shared" si="10"/>
        <v>0</v>
      </c>
      <c r="AC32" s="703">
        <f t="shared" si="11"/>
        <v>0</v>
      </c>
      <c r="AD32" s="703">
        <f t="shared" si="12"/>
        <v>0</v>
      </c>
      <c r="AE32" s="703">
        <f t="shared" si="13"/>
        <v>0</v>
      </c>
      <c r="AF32" s="703">
        <f t="shared" si="14"/>
        <v>0</v>
      </c>
      <c r="AG32" s="703">
        <f t="shared" si="15"/>
        <v>142857.14285714287</v>
      </c>
      <c r="AH32" s="703">
        <f t="shared" si="16"/>
        <v>142857.14285714287</v>
      </c>
      <c r="AI32" s="703">
        <f t="shared" si="17"/>
        <v>142857.14285714287</v>
      </c>
      <c r="AJ32" s="703">
        <f t="shared" si="18"/>
        <v>142857.14285714287</v>
      </c>
      <c r="AK32" s="703">
        <f t="shared" si="19"/>
        <v>142857.14285714287</v>
      </c>
      <c r="AL32" s="703">
        <f t="shared" si="20"/>
        <v>142857.14285714287</v>
      </c>
      <c r="AM32" s="703">
        <f t="shared" si="21"/>
        <v>142857.14285714287</v>
      </c>
      <c r="AN32" s="703">
        <f t="shared" si="22"/>
        <v>0</v>
      </c>
      <c r="AO32" s="703">
        <f t="shared" si="23"/>
        <v>0</v>
      </c>
      <c r="AP32" s="703">
        <f t="shared" si="24"/>
        <v>0</v>
      </c>
      <c r="AQ32" s="703">
        <f t="shared" si="25"/>
        <v>0</v>
      </c>
      <c r="AR32" s="703">
        <f t="shared" si="26"/>
        <v>0</v>
      </c>
      <c r="AS32" s="703">
        <f t="shared" si="27"/>
        <v>0</v>
      </c>
      <c r="AT32" s="703">
        <f t="shared" si="28"/>
        <v>0</v>
      </c>
      <c r="AU32" s="703">
        <f t="shared" si="29"/>
        <v>0</v>
      </c>
    </row>
    <row r="33" spans="2:47" x14ac:dyDescent="0.2">
      <c r="B33" s="691">
        <v>1</v>
      </c>
      <c r="C33" s="681" t="s">
        <v>223</v>
      </c>
      <c r="D33" s="740">
        <f t="shared" si="5"/>
        <v>905560.6</v>
      </c>
      <c r="F33" s="741">
        <v>905560.6</v>
      </c>
      <c r="G33" s="749" t="s">
        <v>996</v>
      </c>
      <c r="H33" s="749" t="s">
        <v>1000</v>
      </c>
      <c r="I33" s="729" t="str">
        <f>IF('Data Sources'!$C$27="N","N","Y")</f>
        <v>N</v>
      </c>
      <c r="J33" s="737">
        <v>0.5</v>
      </c>
      <c r="K33" s="738">
        <v>0.4</v>
      </c>
      <c r="L33" s="738">
        <v>0.1</v>
      </c>
      <c r="M33" s="692">
        <v>8</v>
      </c>
      <c r="N33" s="693">
        <v>23</v>
      </c>
      <c r="O33" s="700"/>
      <c r="P33" s="694">
        <f>SUM($O$11:O33)</f>
        <v>0.99999999999999978</v>
      </c>
      <c r="R33" s="693">
        <f t="shared" si="33"/>
        <v>2034</v>
      </c>
      <c r="S33" s="705">
        <v>1000000</v>
      </c>
      <c r="T33" s="706">
        <f t="shared" ref="T33:T47" si="34">S33/12</f>
        <v>83333.333333333328</v>
      </c>
      <c r="U33" s="707">
        <v>7</v>
      </c>
      <c r="V33" s="703">
        <f t="shared" ref="V33:V47" si="35">S33/U33</f>
        <v>142857.14285714287</v>
      </c>
      <c r="W33" s="703">
        <f t="shared" ref="W33:W47" si="36">V33/12</f>
        <v>11904.761904761906</v>
      </c>
      <c r="Y33" s="703">
        <f t="shared" si="7"/>
        <v>0</v>
      </c>
      <c r="Z33" s="703">
        <f t="shared" si="8"/>
        <v>0</v>
      </c>
      <c r="AA33" s="703">
        <f t="shared" si="9"/>
        <v>0</v>
      </c>
      <c r="AB33" s="703">
        <f t="shared" si="10"/>
        <v>0</v>
      </c>
      <c r="AC33" s="703">
        <f t="shared" si="11"/>
        <v>0</v>
      </c>
      <c r="AD33" s="703">
        <f t="shared" si="12"/>
        <v>0</v>
      </c>
      <c r="AE33" s="703">
        <f t="shared" si="13"/>
        <v>0</v>
      </c>
      <c r="AF33" s="703">
        <f t="shared" si="14"/>
        <v>0</v>
      </c>
      <c r="AG33" s="703">
        <f t="shared" si="15"/>
        <v>0</v>
      </c>
      <c r="AH33" s="703">
        <f t="shared" si="16"/>
        <v>142857.14285714287</v>
      </c>
      <c r="AI33" s="703">
        <f t="shared" si="17"/>
        <v>142857.14285714287</v>
      </c>
      <c r="AJ33" s="703">
        <f t="shared" si="18"/>
        <v>142857.14285714287</v>
      </c>
      <c r="AK33" s="703">
        <f t="shared" si="19"/>
        <v>142857.14285714287</v>
      </c>
      <c r="AL33" s="703">
        <f t="shared" si="20"/>
        <v>142857.14285714287</v>
      </c>
      <c r="AM33" s="703">
        <f t="shared" si="21"/>
        <v>142857.14285714287</v>
      </c>
      <c r="AN33" s="703">
        <f t="shared" si="22"/>
        <v>142857.14285714287</v>
      </c>
      <c r="AO33" s="703">
        <f t="shared" si="23"/>
        <v>0</v>
      </c>
      <c r="AP33" s="703">
        <f t="shared" si="24"/>
        <v>0</v>
      </c>
      <c r="AQ33" s="703">
        <f t="shared" si="25"/>
        <v>0</v>
      </c>
      <c r="AR33" s="703">
        <f t="shared" si="26"/>
        <v>0</v>
      </c>
      <c r="AS33" s="703">
        <f t="shared" si="27"/>
        <v>0</v>
      </c>
      <c r="AT33" s="703">
        <f t="shared" si="28"/>
        <v>0</v>
      </c>
      <c r="AU33" s="703">
        <f t="shared" si="29"/>
        <v>0</v>
      </c>
    </row>
    <row r="34" spans="2:47" x14ac:dyDescent="0.2">
      <c r="B34" s="691">
        <v>1</v>
      </c>
      <c r="C34" s="681" t="s">
        <v>207</v>
      </c>
      <c r="D34" s="740">
        <f t="shared" si="5"/>
        <v>111297.75</v>
      </c>
      <c r="F34" s="741">
        <v>111297.75</v>
      </c>
      <c r="G34" s="749" t="s">
        <v>996</v>
      </c>
      <c r="H34" s="749" t="s">
        <v>1000</v>
      </c>
      <c r="I34" s="729" t="str">
        <f>IF('Data Sources'!$C$27="N","N","Y")</f>
        <v>N</v>
      </c>
      <c r="J34" s="737">
        <v>0.5</v>
      </c>
      <c r="K34" s="738">
        <v>0.4</v>
      </c>
      <c r="L34" s="738">
        <v>0.1</v>
      </c>
      <c r="M34" s="692">
        <v>8</v>
      </c>
      <c r="N34" s="693">
        <v>24</v>
      </c>
      <c r="O34" s="702"/>
      <c r="P34" s="694">
        <f>SUM($O$11:O34)</f>
        <v>0.99999999999999978</v>
      </c>
      <c r="R34" s="693">
        <f t="shared" si="33"/>
        <v>2035</v>
      </c>
      <c r="S34" s="705">
        <v>1000000</v>
      </c>
      <c r="T34" s="706">
        <f t="shared" si="34"/>
        <v>83333.333333333328</v>
      </c>
      <c r="U34" s="707">
        <v>7</v>
      </c>
      <c r="V34" s="703">
        <f t="shared" si="35"/>
        <v>142857.14285714287</v>
      </c>
      <c r="W34" s="703">
        <f t="shared" si="36"/>
        <v>11904.761904761906</v>
      </c>
      <c r="Y34" s="703">
        <f t="shared" si="7"/>
        <v>0</v>
      </c>
      <c r="Z34" s="703">
        <f t="shared" si="8"/>
        <v>0</v>
      </c>
      <c r="AA34" s="703">
        <f t="shared" si="9"/>
        <v>0</v>
      </c>
      <c r="AB34" s="703">
        <f t="shared" si="10"/>
        <v>0</v>
      </c>
      <c r="AC34" s="703">
        <f t="shared" si="11"/>
        <v>0</v>
      </c>
      <c r="AD34" s="703">
        <f t="shared" si="12"/>
        <v>0</v>
      </c>
      <c r="AE34" s="703">
        <f t="shared" si="13"/>
        <v>0</v>
      </c>
      <c r="AF34" s="703">
        <f t="shared" si="14"/>
        <v>0</v>
      </c>
      <c r="AG34" s="703">
        <f t="shared" si="15"/>
        <v>0</v>
      </c>
      <c r="AH34" s="703">
        <f t="shared" si="16"/>
        <v>0</v>
      </c>
      <c r="AI34" s="703">
        <f t="shared" si="17"/>
        <v>142857.14285714287</v>
      </c>
      <c r="AJ34" s="703">
        <f t="shared" si="18"/>
        <v>142857.14285714287</v>
      </c>
      <c r="AK34" s="703">
        <f t="shared" si="19"/>
        <v>142857.14285714287</v>
      </c>
      <c r="AL34" s="703">
        <f t="shared" si="20"/>
        <v>142857.14285714287</v>
      </c>
      <c r="AM34" s="703">
        <f t="shared" si="21"/>
        <v>142857.14285714287</v>
      </c>
      <c r="AN34" s="703">
        <f t="shared" si="22"/>
        <v>142857.14285714287</v>
      </c>
      <c r="AO34" s="703">
        <f t="shared" si="23"/>
        <v>142857.14285714287</v>
      </c>
      <c r="AP34" s="703">
        <f t="shared" si="24"/>
        <v>0</v>
      </c>
      <c r="AQ34" s="703">
        <f t="shared" si="25"/>
        <v>0</v>
      </c>
      <c r="AR34" s="703">
        <f t="shared" si="26"/>
        <v>0</v>
      </c>
      <c r="AS34" s="703">
        <f t="shared" si="27"/>
        <v>0</v>
      </c>
      <c r="AT34" s="703">
        <f t="shared" si="28"/>
        <v>0</v>
      </c>
      <c r="AU34" s="703">
        <f t="shared" si="29"/>
        <v>0</v>
      </c>
    </row>
    <row r="35" spans="2:47" x14ac:dyDescent="0.2">
      <c r="B35" s="691">
        <v>1</v>
      </c>
      <c r="C35" s="681" t="s">
        <v>224</v>
      </c>
      <c r="D35" s="740">
        <f t="shared" si="5"/>
        <v>1059553.56</v>
      </c>
      <c r="F35" s="741">
        <v>1059553.56</v>
      </c>
      <c r="G35" s="749" t="s">
        <v>996</v>
      </c>
      <c r="H35" s="749" t="s">
        <v>1000</v>
      </c>
      <c r="I35" s="729" t="str">
        <f>IF('Data Sources'!$C$27="N","N","Y")</f>
        <v>N</v>
      </c>
      <c r="J35" s="737">
        <v>0.5</v>
      </c>
      <c r="K35" s="738">
        <v>0.4</v>
      </c>
      <c r="L35" s="738">
        <v>0.1</v>
      </c>
      <c r="M35" s="692">
        <v>8</v>
      </c>
      <c r="R35" s="693">
        <f t="shared" si="33"/>
        <v>2036</v>
      </c>
      <c r="S35" s="705">
        <v>1000000</v>
      </c>
      <c r="T35" s="706">
        <f t="shared" si="34"/>
        <v>83333.333333333328</v>
      </c>
      <c r="U35" s="707">
        <v>7</v>
      </c>
      <c r="V35" s="703">
        <f t="shared" si="35"/>
        <v>142857.14285714287</v>
      </c>
      <c r="W35" s="703">
        <f t="shared" si="36"/>
        <v>11904.761904761906</v>
      </c>
      <c r="Y35" s="703">
        <f t="shared" si="7"/>
        <v>0</v>
      </c>
      <c r="Z35" s="703">
        <f t="shared" si="8"/>
        <v>0</v>
      </c>
      <c r="AA35" s="703">
        <f t="shared" si="9"/>
        <v>0</v>
      </c>
      <c r="AB35" s="703">
        <f t="shared" si="10"/>
        <v>0</v>
      </c>
      <c r="AC35" s="703">
        <f t="shared" si="11"/>
        <v>0</v>
      </c>
      <c r="AD35" s="703">
        <f t="shared" si="12"/>
        <v>0</v>
      </c>
      <c r="AE35" s="703">
        <f t="shared" si="13"/>
        <v>0</v>
      </c>
      <c r="AF35" s="703">
        <f t="shared" si="14"/>
        <v>0</v>
      </c>
      <c r="AG35" s="703">
        <f t="shared" si="15"/>
        <v>0</v>
      </c>
      <c r="AH35" s="703">
        <f t="shared" si="16"/>
        <v>0</v>
      </c>
      <c r="AI35" s="703">
        <f t="shared" si="17"/>
        <v>0</v>
      </c>
      <c r="AJ35" s="703">
        <f t="shared" si="18"/>
        <v>142857.14285714287</v>
      </c>
      <c r="AK35" s="703">
        <f t="shared" si="19"/>
        <v>142857.14285714287</v>
      </c>
      <c r="AL35" s="703">
        <f t="shared" si="20"/>
        <v>142857.14285714287</v>
      </c>
      <c r="AM35" s="703">
        <f t="shared" si="21"/>
        <v>142857.14285714287</v>
      </c>
      <c r="AN35" s="703">
        <f t="shared" si="22"/>
        <v>142857.14285714287</v>
      </c>
      <c r="AO35" s="703">
        <f t="shared" si="23"/>
        <v>142857.14285714287</v>
      </c>
      <c r="AP35" s="703">
        <f t="shared" si="24"/>
        <v>142857.14285714287</v>
      </c>
      <c r="AQ35" s="703">
        <f t="shared" si="25"/>
        <v>0</v>
      </c>
      <c r="AR35" s="703">
        <f t="shared" si="26"/>
        <v>0</v>
      </c>
      <c r="AS35" s="703">
        <f t="shared" si="27"/>
        <v>0</v>
      </c>
      <c r="AT35" s="703">
        <f t="shared" si="28"/>
        <v>0</v>
      </c>
      <c r="AU35" s="703">
        <f t="shared" si="29"/>
        <v>0</v>
      </c>
    </row>
    <row r="36" spans="2:47" x14ac:dyDescent="0.2">
      <c r="B36" s="691">
        <v>1</v>
      </c>
      <c r="C36" s="681" t="s">
        <v>810</v>
      </c>
      <c r="D36" s="740">
        <f t="shared" si="5"/>
        <v>46244.25</v>
      </c>
      <c r="F36" s="741">
        <v>46244.25</v>
      </c>
      <c r="G36" s="749" t="s">
        <v>996</v>
      </c>
      <c r="H36" s="749" t="s">
        <v>1000</v>
      </c>
      <c r="I36" s="729" t="str">
        <f>IF('Data Sources'!$C$27="N","N","Y")</f>
        <v>N</v>
      </c>
      <c r="J36" s="737">
        <v>0.5</v>
      </c>
      <c r="K36" s="738">
        <v>0.4</v>
      </c>
      <c r="L36" s="738">
        <v>0.1</v>
      </c>
      <c r="M36" s="692">
        <v>8</v>
      </c>
      <c r="R36" s="693">
        <f t="shared" si="33"/>
        <v>2037</v>
      </c>
      <c r="S36" s="705">
        <v>1000000</v>
      </c>
      <c r="T36" s="706">
        <f t="shared" si="34"/>
        <v>83333.333333333328</v>
      </c>
      <c r="U36" s="707">
        <v>7</v>
      </c>
      <c r="V36" s="703">
        <f t="shared" si="35"/>
        <v>142857.14285714287</v>
      </c>
      <c r="W36" s="703">
        <f t="shared" si="36"/>
        <v>11904.761904761906</v>
      </c>
      <c r="Y36" s="703">
        <f t="shared" si="7"/>
        <v>0</v>
      </c>
      <c r="Z36" s="703">
        <f t="shared" si="8"/>
        <v>0</v>
      </c>
      <c r="AA36" s="703">
        <f t="shared" si="9"/>
        <v>0</v>
      </c>
      <c r="AB36" s="703">
        <f t="shared" si="10"/>
        <v>0</v>
      </c>
      <c r="AC36" s="703">
        <f t="shared" si="11"/>
        <v>0</v>
      </c>
      <c r="AD36" s="703">
        <f t="shared" si="12"/>
        <v>0</v>
      </c>
      <c r="AE36" s="703">
        <f t="shared" si="13"/>
        <v>0</v>
      </c>
      <c r="AF36" s="703">
        <f t="shared" si="14"/>
        <v>0</v>
      </c>
      <c r="AG36" s="703">
        <f t="shared" si="15"/>
        <v>0</v>
      </c>
      <c r="AH36" s="703">
        <f t="shared" si="16"/>
        <v>0</v>
      </c>
      <c r="AI36" s="703">
        <f t="shared" si="17"/>
        <v>0</v>
      </c>
      <c r="AJ36" s="703">
        <f t="shared" si="18"/>
        <v>0</v>
      </c>
      <c r="AK36" s="703">
        <f t="shared" si="19"/>
        <v>142857.14285714287</v>
      </c>
      <c r="AL36" s="703">
        <f t="shared" si="20"/>
        <v>142857.14285714287</v>
      </c>
      <c r="AM36" s="703">
        <f t="shared" si="21"/>
        <v>142857.14285714287</v>
      </c>
      <c r="AN36" s="703">
        <f t="shared" si="22"/>
        <v>142857.14285714287</v>
      </c>
      <c r="AO36" s="703">
        <f t="shared" si="23"/>
        <v>142857.14285714287</v>
      </c>
      <c r="AP36" s="703">
        <f t="shared" si="24"/>
        <v>142857.14285714287</v>
      </c>
      <c r="AQ36" s="703">
        <f t="shared" si="25"/>
        <v>142857.14285714287</v>
      </c>
      <c r="AR36" s="703">
        <f t="shared" si="26"/>
        <v>0</v>
      </c>
      <c r="AS36" s="703">
        <f t="shared" si="27"/>
        <v>0</v>
      </c>
      <c r="AT36" s="703">
        <f t="shared" si="28"/>
        <v>0</v>
      </c>
      <c r="AU36" s="703">
        <f t="shared" si="29"/>
        <v>0</v>
      </c>
    </row>
    <row r="37" spans="2:47" x14ac:dyDescent="0.2">
      <c r="B37" s="691">
        <v>1</v>
      </c>
      <c r="C37" s="681" t="s">
        <v>225</v>
      </c>
      <c r="D37" s="740">
        <f t="shared" si="5"/>
        <v>274394.95</v>
      </c>
      <c r="F37" s="741">
        <v>274394.95</v>
      </c>
      <c r="G37" s="749" t="s">
        <v>996</v>
      </c>
      <c r="H37" s="749" t="s">
        <v>1000</v>
      </c>
      <c r="I37" s="729" t="str">
        <f>IF('Data Sources'!$C$27="N","N","Y")</f>
        <v>N</v>
      </c>
      <c r="J37" s="737">
        <v>0.5</v>
      </c>
      <c r="K37" s="738">
        <v>0.4</v>
      </c>
      <c r="L37" s="738">
        <v>0.1</v>
      </c>
      <c r="M37" s="692">
        <v>8</v>
      </c>
      <c r="R37" s="693">
        <f t="shared" si="33"/>
        <v>2038</v>
      </c>
      <c r="S37" s="705">
        <v>1000000</v>
      </c>
      <c r="T37" s="706">
        <f t="shared" si="34"/>
        <v>83333.333333333328</v>
      </c>
      <c r="U37" s="707">
        <v>7</v>
      </c>
      <c r="V37" s="703">
        <f t="shared" si="35"/>
        <v>142857.14285714287</v>
      </c>
      <c r="W37" s="703">
        <f t="shared" si="36"/>
        <v>11904.761904761906</v>
      </c>
      <c r="Y37" s="703">
        <f t="shared" si="7"/>
        <v>0</v>
      </c>
      <c r="Z37" s="703">
        <f t="shared" si="8"/>
        <v>0</v>
      </c>
      <c r="AA37" s="703">
        <f t="shared" si="9"/>
        <v>0</v>
      </c>
      <c r="AB37" s="703">
        <f t="shared" si="10"/>
        <v>0</v>
      </c>
      <c r="AC37" s="703">
        <f t="shared" si="11"/>
        <v>0</v>
      </c>
      <c r="AD37" s="703">
        <f t="shared" si="12"/>
        <v>0</v>
      </c>
      <c r="AE37" s="703">
        <f t="shared" si="13"/>
        <v>0</v>
      </c>
      <c r="AF37" s="703">
        <f t="shared" si="14"/>
        <v>0</v>
      </c>
      <c r="AG37" s="703">
        <f t="shared" si="15"/>
        <v>0</v>
      </c>
      <c r="AH37" s="703">
        <f t="shared" si="16"/>
        <v>0</v>
      </c>
      <c r="AI37" s="703">
        <f t="shared" si="17"/>
        <v>0</v>
      </c>
      <c r="AJ37" s="703">
        <f t="shared" si="18"/>
        <v>0</v>
      </c>
      <c r="AK37" s="703">
        <f t="shared" si="19"/>
        <v>0</v>
      </c>
      <c r="AL37" s="703">
        <f t="shared" si="20"/>
        <v>142857.14285714287</v>
      </c>
      <c r="AM37" s="703">
        <f t="shared" si="21"/>
        <v>142857.14285714287</v>
      </c>
      <c r="AN37" s="703">
        <f t="shared" si="22"/>
        <v>142857.14285714287</v>
      </c>
      <c r="AO37" s="703">
        <f t="shared" si="23"/>
        <v>142857.14285714287</v>
      </c>
      <c r="AP37" s="703">
        <f t="shared" si="24"/>
        <v>142857.14285714287</v>
      </c>
      <c r="AQ37" s="703">
        <f t="shared" si="25"/>
        <v>142857.14285714287</v>
      </c>
      <c r="AR37" s="703">
        <f t="shared" si="26"/>
        <v>142857.14285714287</v>
      </c>
      <c r="AS37" s="703">
        <f t="shared" si="27"/>
        <v>0</v>
      </c>
      <c r="AT37" s="703">
        <f t="shared" si="28"/>
        <v>0</v>
      </c>
      <c r="AU37" s="703">
        <f t="shared" si="29"/>
        <v>0</v>
      </c>
    </row>
    <row r="38" spans="2:47" x14ac:dyDescent="0.2">
      <c r="B38" s="691">
        <v>1</v>
      </c>
      <c r="C38" s="681" t="s">
        <v>226</v>
      </c>
      <c r="D38" s="740">
        <f t="shared" si="5"/>
        <v>184247.59</v>
      </c>
      <c r="F38" s="741">
        <v>184247.59</v>
      </c>
      <c r="G38" s="749" t="s">
        <v>996</v>
      </c>
      <c r="H38" s="749" t="s">
        <v>1000</v>
      </c>
      <c r="I38" s="729" t="str">
        <f>IF('Data Sources'!$C$27="N","N","Y")</f>
        <v>N</v>
      </c>
      <c r="J38" s="737">
        <v>0.5</v>
      </c>
      <c r="K38" s="738">
        <v>0.4</v>
      </c>
      <c r="L38" s="738">
        <v>0.1</v>
      </c>
      <c r="M38" s="692">
        <v>8</v>
      </c>
      <c r="R38" s="693">
        <f t="shared" si="33"/>
        <v>2039</v>
      </c>
      <c r="S38" s="705">
        <v>1000000</v>
      </c>
      <c r="T38" s="706">
        <f t="shared" si="34"/>
        <v>83333.333333333328</v>
      </c>
      <c r="U38" s="707">
        <v>7</v>
      </c>
      <c r="V38" s="703">
        <f t="shared" si="35"/>
        <v>142857.14285714287</v>
      </c>
      <c r="W38" s="703">
        <f t="shared" si="36"/>
        <v>11904.761904761906</v>
      </c>
      <c r="Y38" s="703">
        <f t="shared" si="7"/>
        <v>0</v>
      </c>
      <c r="Z38" s="703">
        <f t="shared" si="8"/>
        <v>0</v>
      </c>
      <c r="AA38" s="703">
        <f t="shared" si="9"/>
        <v>0</v>
      </c>
      <c r="AB38" s="703">
        <f t="shared" si="10"/>
        <v>0</v>
      </c>
      <c r="AC38" s="703">
        <f t="shared" si="11"/>
        <v>0</v>
      </c>
      <c r="AD38" s="703">
        <f t="shared" si="12"/>
        <v>0</v>
      </c>
      <c r="AE38" s="703">
        <f t="shared" si="13"/>
        <v>0</v>
      </c>
      <c r="AF38" s="703">
        <f t="shared" si="14"/>
        <v>0</v>
      </c>
      <c r="AG38" s="703">
        <f t="shared" si="15"/>
        <v>0</v>
      </c>
      <c r="AH38" s="703">
        <f t="shared" si="16"/>
        <v>0</v>
      </c>
      <c r="AI38" s="703">
        <f t="shared" si="17"/>
        <v>0</v>
      </c>
      <c r="AJ38" s="703">
        <f t="shared" si="18"/>
        <v>0</v>
      </c>
      <c r="AK38" s="703">
        <f t="shared" si="19"/>
        <v>0</v>
      </c>
      <c r="AL38" s="703">
        <f t="shared" si="20"/>
        <v>0</v>
      </c>
      <c r="AM38" s="703">
        <f t="shared" si="21"/>
        <v>142857.14285714287</v>
      </c>
      <c r="AN38" s="703">
        <f t="shared" si="22"/>
        <v>142857.14285714287</v>
      </c>
      <c r="AO38" s="703">
        <f t="shared" si="23"/>
        <v>142857.14285714287</v>
      </c>
      <c r="AP38" s="703">
        <f t="shared" si="24"/>
        <v>142857.14285714287</v>
      </c>
      <c r="AQ38" s="703">
        <f t="shared" si="25"/>
        <v>142857.14285714287</v>
      </c>
      <c r="AR38" s="703">
        <f t="shared" si="26"/>
        <v>142857.14285714287</v>
      </c>
      <c r="AS38" s="703">
        <f t="shared" si="27"/>
        <v>142857.14285714287</v>
      </c>
      <c r="AT38" s="703">
        <f t="shared" si="28"/>
        <v>0</v>
      </c>
      <c r="AU38" s="703">
        <f t="shared" si="29"/>
        <v>0</v>
      </c>
    </row>
    <row r="39" spans="2:47" x14ac:dyDescent="0.2">
      <c r="B39" s="691">
        <v>1</v>
      </c>
      <c r="C39" s="681" t="s">
        <v>811</v>
      </c>
      <c r="D39" s="740">
        <f t="shared" si="5"/>
        <v>942762.5</v>
      </c>
      <c r="F39" s="750">
        <v>942762.5</v>
      </c>
      <c r="G39" s="749" t="s">
        <v>996</v>
      </c>
      <c r="H39" s="749" t="s">
        <v>1000</v>
      </c>
      <c r="I39" s="729" t="str">
        <f>IF('Data Sources'!$C$27="N","N","Y")</f>
        <v>N</v>
      </c>
      <c r="J39" s="737">
        <v>0.5</v>
      </c>
      <c r="K39" s="738">
        <v>0.4</v>
      </c>
      <c r="L39" s="738">
        <v>0.1</v>
      </c>
      <c r="M39" s="692">
        <v>8</v>
      </c>
      <c r="R39" s="693">
        <f t="shared" si="33"/>
        <v>2040</v>
      </c>
      <c r="S39" s="705">
        <v>1000000</v>
      </c>
      <c r="T39" s="706">
        <f t="shared" si="34"/>
        <v>83333.333333333328</v>
      </c>
      <c r="U39" s="707">
        <v>7</v>
      </c>
      <c r="V39" s="703">
        <f t="shared" si="35"/>
        <v>142857.14285714287</v>
      </c>
      <c r="W39" s="703">
        <f t="shared" si="36"/>
        <v>11904.761904761906</v>
      </c>
      <c r="Y39" s="703">
        <f t="shared" si="7"/>
        <v>0</v>
      </c>
      <c r="Z39" s="703">
        <f t="shared" si="8"/>
        <v>0</v>
      </c>
      <c r="AA39" s="703">
        <f t="shared" si="9"/>
        <v>0</v>
      </c>
      <c r="AB39" s="703">
        <f t="shared" si="10"/>
        <v>0</v>
      </c>
      <c r="AC39" s="703">
        <f t="shared" si="11"/>
        <v>0</v>
      </c>
      <c r="AD39" s="703">
        <f t="shared" si="12"/>
        <v>0</v>
      </c>
      <c r="AE39" s="703">
        <f t="shared" si="13"/>
        <v>0</v>
      </c>
      <c r="AF39" s="703">
        <f t="shared" si="14"/>
        <v>0</v>
      </c>
      <c r="AG39" s="703">
        <f t="shared" si="15"/>
        <v>0</v>
      </c>
      <c r="AH39" s="703">
        <f t="shared" si="16"/>
        <v>0</v>
      </c>
      <c r="AI39" s="703">
        <f t="shared" si="17"/>
        <v>0</v>
      </c>
      <c r="AJ39" s="703">
        <f t="shared" si="18"/>
        <v>0</v>
      </c>
      <c r="AK39" s="703">
        <f t="shared" si="19"/>
        <v>0</v>
      </c>
      <c r="AL39" s="703">
        <f t="shared" si="20"/>
        <v>0</v>
      </c>
      <c r="AM39" s="703">
        <f t="shared" si="21"/>
        <v>0</v>
      </c>
      <c r="AN39" s="703">
        <f t="shared" si="22"/>
        <v>142857.14285714287</v>
      </c>
      <c r="AO39" s="703">
        <f t="shared" si="23"/>
        <v>142857.14285714287</v>
      </c>
      <c r="AP39" s="703">
        <f t="shared" si="24"/>
        <v>142857.14285714287</v>
      </c>
      <c r="AQ39" s="703">
        <f t="shared" si="25"/>
        <v>142857.14285714287</v>
      </c>
      <c r="AR39" s="703">
        <f t="shared" si="26"/>
        <v>142857.14285714287</v>
      </c>
      <c r="AS39" s="703">
        <f t="shared" si="27"/>
        <v>142857.14285714287</v>
      </c>
      <c r="AT39" s="703">
        <f t="shared" si="28"/>
        <v>142857.14285714287</v>
      </c>
      <c r="AU39" s="703">
        <f t="shared" si="29"/>
        <v>0</v>
      </c>
    </row>
    <row r="40" spans="2:47" x14ac:dyDescent="0.2">
      <c r="B40" s="691">
        <v>1</v>
      </c>
      <c r="C40" s="681" t="s">
        <v>227</v>
      </c>
      <c r="D40" s="740">
        <f t="shared" si="5"/>
        <v>400625</v>
      </c>
      <c r="F40" s="741">
        <v>400625</v>
      </c>
      <c r="G40" s="749" t="s">
        <v>996</v>
      </c>
      <c r="H40" s="749" t="s">
        <v>1000</v>
      </c>
      <c r="I40" s="729" t="str">
        <f>IF('Data Sources'!$C$27="N","N","Y")</f>
        <v>N</v>
      </c>
      <c r="J40" s="737">
        <v>0.5</v>
      </c>
      <c r="K40" s="738">
        <v>0.4</v>
      </c>
      <c r="L40" s="738">
        <v>0.1</v>
      </c>
      <c r="M40" s="692">
        <v>8</v>
      </c>
      <c r="R40" s="693">
        <f t="shared" si="33"/>
        <v>2041</v>
      </c>
      <c r="S40" s="705">
        <v>1000000</v>
      </c>
      <c r="T40" s="706">
        <f t="shared" si="34"/>
        <v>83333.333333333328</v>
      </c>
      <c r="U40" s="707">
        <v>7</v>
      </c>
      <c r="V40" s="703">
        <f t="shared" si="35"/>
        <v>142857.14285714287</v>
      </c>
      <c r="W40" s="703">
        <f t="shared" si="36"/>
        <v>11904.761904761906</v>
      </c>
      <c r="Y40" s="703">
        <f t="shared" si="7"/>
        <v>0</v>
      </c>
      <c r="Z40" s="703">
        <f t="shared" si="8"/>
        <v>0</v>
      </c>
      <c r="AA40" s="703">
        <f t="shared" si="9"/>
        <v>0</v>
      </c>
      <c r="AB40" s="703">
        <f t="shared" si="10"/>
        <v>0</v>
      </c>
      <c r="AC40" s="703">
        <f t="shared" si="11"/>
        <v>0</v>
      </c>
      <c r="AD40" s="703">
        <f t="shared" si="12"/>
        <v>0</v>
      </c>
      <c r="AE40" s="703">
        <f t="shared" si="13"/>
        <v>0</v>
      </c>
      <c r="AF40" s="703">
        <f t="shared" si="14"/>
        <v>0</v>
      </c>
      <c r="AG40" s="703">
        <f t="shared" si="15"/>
        <v>0</v>
      </c>
      <c r="AH40" s="703">
        <f t="shared" si="16"/>
        <v>0</v>
      </c>
      <c r="AI40" s="703">
        <f t="shared" si="17"/>
        <v>0</v>
      </c>
      <c r="AJ40" s="703">
        <f t="shared" si="18"/>
        <v>0</v>
      </c>
      <c r="AK40" s="703">
        <f t="shared" si="19"/>
        <v>0</v>
      </c>
      <c r="AL40" s="703">
        <f t="shared" si="20"/>
        <v>0</v>
      </c>
      <c r="AM40" s="703">
        <f t="shared" si="21"/>
        <v>0</v>
      </c>
      <c r="AN40" s="703">
        <f t="shared" si="22"/>
        <v>0</v>
      </c>
      <c r="AO40" s="703">
        <f t="shared" si="23"/>
        <v>142857.14285714287</v>
      </c>
      <c r="AP40" s="703">
        <f t="shared" si="24"/>
        <v>142857.14285714287</v>
      </c>
      <c r="AQ40" s="703">
        <f t="shared" si="25"/>
        <v>142857.14285714287</v>
      </c>
      <c r="AR40" s="703">
        <f t="shared" si="26"/>
        <v>142857.14285714287</v>
      </c>
      <c r="AS40" s="703">
        <f t="shared" si="27"/>
        <v>142857.14285714287</v>
      </c>
      <c r="AT40" s="703">
        <f t="shared" si="28"/>
        <v>142857.14285714287</v>
      </c>
      <c r="AU40" s="703">
        <f t="shared" si="29"/>
        <v>142857.14285714287</v>
      </c>
    </row>
    <row r="41" spans="2:47" x14ac:dyDescent="0.2">
      <c r="B41" s="691">
        <v>1</v>
      </c>
      <c r="C41" s="681" t="s">
        <v>208</v>
      </c>
      <c r="D41" s="740">
        <f t="shared" si="5"/>
        <v>112500</v>
      </c>
      <c r="F41" s="741">
        <v>112500</v>
      </c>
      <c r="G41" s="749" t="s">
        <v>996</v>
      </c>
      <c r="H41" s="749" t="s">
        <v>1000</v>
      </c>
      <c r="I41" s="729" t="str">
        <f>IF('Data Sources'!$C$27="N","N","Y")</f>
        <v>N</v>
      </c>
      <c r="J41" s="737">
        <v>0.5</v>
      </c>
      <c r="K41" s="738">
        <v>0.4</v>
      </c>
      <c r="L41" s="738">
        <v>0.1</v>
      </c>
      <c r="M41" s="692">
        <v>8</v>
      </c>
      <c r="R41" s="693">
        <f t="shared" si="33"/>
        <v>2042</v>
      </c>
      <c r="S41" s="705">
        <v>1000000</v>
      </c>
      <c r="T41" s="706">
        <f t="shared" si="34"/>
        <v>83333.333333333328</v>
      </c>
      <c r="U41" s="707">
        <v>7</v>
      </c>
      <c r="V41" s="703">
        <f t="shared" si="35"/>
        <v>142857.14285714287</v>
      </c>
      <c r="W41" s="703">
        <f t="shared" si="36"/>
        <v>11904.761904761906</v>
      </c>
      <c r="Y41" s="703">
        <f t="shared" si="7"/>
        <v>0</v>
      </c>
      <c r="Z41" s="703">
        <f t="shared" si="8"/>
        <v>0</v>
      </c>
      <c r="AA41" s="703">
        <f t="shared" si="9"/>
        <v>0</v>
      </c>
      <c r="AB41" s="703">
        <f t="shared" si="10"/>
        <v>0</v>
      </c>
      <c r="AC41" s="703">
        <f t="shared" si="11"/>
        <v>0</v>
      </c>
      <c r="AD41" s="703">
        <f t="shared" si="12"/>
        <v>0</v>
      </c>
      <c r="AE41" s="703">
        <f t="shared" si="13"/>
        <v>0</v>
      </c>
      <c r="AF41" s="703">
        <f t="shared" si="14"/>
        <v>0</v>
      </c>
      <c r="AG41" s="703">
        <f t="shared" si="15"/>
        <v>0</v>
      </c>
      <c r="AH41" s="703">
        <f t="shared" si="16"/>
        <v>0</v>
      </c>
      <c r="AI41" s="703">
        <f t="shared" si="17"/>
        <v>0</v>
      </c>
      <c r="AJ41" s="703">
        <f t="shared" si="18"/>
        <v>0</v>
      </c>
      <c r="AK41" s="703">
        <f t="shared" si="19"/>
        <v>0</v>
      </c>
      <c r="AL41" s="703">
        <f t="shared" si="20"/>
        <v>0</v>
      </c>
      <c r="AM41" s="703">
        <f t="shared" si="21"/>
        <v>0</v>
      </c>
      <c r="AN41" s="703">
        <f t="shared" si="22"/>
        <v>0</v>
      </c>
      <c r="AO41" s="703">
        <f t="shared" si="23"/>
        <v>0</v>
      </c>
      <c r="AP41" s="703">
        <f t="shared" si="24"/>
        <v>142857.14285714287</v>
      </c>
      <c r="AQ41" s="703">
        <f t="shared" si="25"/>
        <v>142857.14285714287</v>
      </c>
      <c r="AR41" s="703">
        <f t="shared" si="26"/>
        <v>142857.14285714287</v>
      </c>
      <c r="AS41" s="703">
        <f t="shared" si="27"/>
        <v>142857.14285714287</v>
      </c>
      <c r="AT41" s="703">
        <f t="shared" si="28"/>
        <v>142857.14285714287</v>
      </c>
      <c r="AU41" s="703">
        <f t="shared" si="29"/>
        <v>142857.14285714287</v>
      </c>
    </row>
    <row r="42" spans="2:47" x14ac:dyDescent="0.2">
      <c r="B42" s="691">
        <v>1</v>
      </c>
      <c r="C42" s="681" t="s">
        <v>1001</v>
      </c>
      <c r="D42" s="740">
        <f t="shared" si="5"/>
        <v>725000</v>
      </c>
      <c r="F42" s="741">
        <v>725000</v>
      </c>
      <c r="G42" s="749" t="s">
        <v>996</v>
      </c>
      <c r="H42" s="749" t="s">
        <v>1000</v>
      </c>
      <c r="I42" s="729" t="str">
        <f>IF('Data Sources'!$C$27="N","N","Y")</f>
        <v>N</v>
      </c>
      <c r="J42" s="737">
        <v>0.5</v>
      </c>
      <c r="K42" s="738">
        <v>0.4</v>
      </c>
      <c r="L42" s="738">
        <v>0.1</v>
      </c>
      <c r="M42" s="692">
        <v>8</v>
      </c>
      <c r="R42" s="693">
        <f t="shared" si="33"/>
        <v>2043</v>
      </c>
      <c r="S42" s="705">
        <v>1000000</v>
      </c>
      <c r="T42" s="706">
        <f t="shared" si="34"/>
        <v>83333.333333333328</v>
      </c>
      <c r="U42" s="707">
        <v>7</v>
      </c>
      <c r="V42" s="703">
        <f t="shared" si="35"/>
        <v>142857.14285714287</v>
      </c>
      <c r="W42" s="703">
        <f t="shared" si="36"/>
        <v>11904.761904761906</v>
      </c>
      <c r="Y42" s="703">
        <f t="shared" si="7"/>
        <v>0</v>
      </c>
      <c r="Z42" s="703">
        <f t="shared" si="8"/>
        <v>0</v>
      </c>
      <c r="AA42" s="703">
        <f t="shared" si="9"/>
        <v>0</v>
      </c>
      <c r="AB42" s="703">
        <f t="shared" si="10"/>
        <v>0</v>
      </c>
      <c r="AC42" s="703">
        <f t="shared" si="11"/>
        <v>0</v>
      </c>
      <c r="AD42" s="703">
        <f t="shared" si="12"/>
        <v>0</v>
      </c>
      <c r="AE42" s="703">
        <f t="shared" si="13"/>
        <v>0</v>
      </c>
      <c r="AF42" s="703">
        <f t="shared" si="14"/>
        <v>0</v>
      </c>
      <c r="AG42" s="703">
        <f t="shared" si="15"/>
        <v>0</v>
      </c>
      <c r="AH42" s="703">
        <f t="shared" si="16"/>
        <v>0</v>
      </c>
      <c r="AI42" s="703">
        <f t="shared" si="17"/>
        <v>0</v>
      </c>
      <c r="AJ42" s="703">
        <f t="shared" si="18"/>
        <v>0</v>
      </c>
      <c r="AK42" s="703">
        <f t="shared" si="19"/>
        <v>0</v>
      </c>
      <c r="AL42" s="703">
        <f t="shared" si="20"/>
        <v>0</v>
      </c>
      <c r="AM42" s="703">
        <f t="shared" si="21"/>
        <v>0</v>
      </c>
      <c r="AN42" s="703">
        <f t="shared" si="22"/>
        <v>0</v>
      </c>
      <c r="AO42" s="703">
        <f t="shared" si="23"/>
        <v>0</v>
      </c>
      <c r="AP42" s="703">
        <f t="shared" si="24"/>
        <v>0</v>
      </c>
      <c r="AQ42" s="703">
        <f t="shared" si="25"/>
        <v>142857.14285714287</v>
      </c>
      <c r="AR42" s="703">
        <f t="shared" si="26"/>
        <v>142857.14285714287</v>
      </c>
      <c r="AS42" s="703">
        <f t="shared" si="27"/>
        <v>142857.14285714287</v>
      </c>
      <c r="AT42" s="703">
        <f t="shared" si="28"/>
        <v>142857.14285714287</v>
      </c>
      <c r="AU42" s="703">
        <f t="shared" si="29"/>
        <v>142857.14285714287</v>
      </c>
    </row>
    <row r="43" spans="2:47" x14ac:dyDescent="0.2">
      <c r="B43" s="691">
        <v>1</v>
      </c>
      <c r="C43" s="681" t="s">
        <v>209</v>
      </c>
      <c r="D43" s="740">
        <f t="shared" si="5"/>
        <v>206250</v>
      </c>
      <c r="F43" s="741">
        <v>206250</v>
      </c>
      <c r="G43" s="749" t="s">
        <v>996</v>
      </c>
      <c r="H43" s="749" t="s">
        <v>1000</v>
      </c>
      <c r="I43" s="729" t="str">
        <f>IF('Data Sources'!$C$27="N","N","Y")</f>
        <v>N</v>
      </c>
      <c r="J43" s="737">
        <v>0.5</v>
      </c>
      <c r="K43" s="738">
        <v>0.4</v>
      </c>
      <c r="L43" s="738">
        <v>0.1</v>
      </c>
      <c r="M43" s="692">
        <v>8</v>
      </c>
      <c r="R43" s="693">
        <f t="shared" si="33"/>
        <v>2044</v>
      </c>
      <c r="S43" s="705">
        <v>1000000</v>
      </c>
      <c r="T43" s="706">
        <f t="shared" si="34"/>
        <v>83333.333333333328</v>
      </c>
      <c r="U43" s="707">
        <v>7</v>
      </c>
      <c r="V43" s="703">
        <f t="shared" si="35"/>
        <v>142857.14285714287</v>
      </c>
      <c r="W43" s="703">
        <f t="shared" si="36"/>
        <v>11904.761904761906</v>
      </c>
      <c r="Y43" s="703">
        <f t="shared" si="7"/>
        <v>0</v>
      </c>
      <c r="Z43" s="703">
        <f t="shared" si="8"/>
        <v>0</v>
      </c>
      <c r="AA43" s="703">
        <f t="shared" si="9"/>
        <v>0</v>
      </c>
      <c r="AB43" s="703">
        <f t="shared" si="10"/>
        <v>0</v>
      </c>
      <c r="AC43" s="703">
        <f t="shared" si="11"/>
        <v>0</v>
      </c>
      <c r="AD43" s="703">
        <f t="shared" si="12"/>
        <v>0</v>
      </c>
      <c r="AE43" s="703">
        <f t="shared" si="13"/>
        <v>0</v>
      </c>
      <c r="AF43" s="703">
        <f t="shared" si="14"/>
        <v>0</v>
      </c>
      <c r="AG43" s="703">
        <f t="shared" si="15"/>
        <v>0</v>
      </c>
      <c r="AH43" s="703">
        <f t="shared" si="16"/>
        <v>0</v>
      </c>
      <c r="AI43" s="703">
        <f t="shared" si="17"/>
        <v>0</v>
      </c>
      <c r="AJ43" s="703">
        <f t="shared" si="18"/>
        <v>0</v>
      </c>
      <c r="AK43" s="703">
        <f t="shared" si="19"/>
        <v>0</v>
      </c>
      <c r="AL43" s="703">
        <f t="shared" si="20"/>
        <v>0</v>
      </c>
      <c r="AM43" s="703">
        <f t="shared" si="21"/>
        <v>0</v>
      </c>
      <c r="AN43" s="703">
        <f t="shared" si="22"/>
        <v>0</v>
      </c>
      <c r="AO43" s="703">
        <f t="shared" si="23"/>
        <v>0</v>
      </c>
      <c r="AP43" s="703">
        <f t="shared" si="24"/>
        <v>0</v>
      </c>
      <c r="AQ43" s="703">
        <f t="shared" si="25"/>
        <v>0</v>
      </c>
      <c r="AR43" s="703">
        <f t="shared" si="26"/>
        <v>142857.14285714287</v>
      </c>
      <c r="AS43" s="703">
        <f t="shared" si="27"/>
        <v>142857.14285714287</v>
      </c>
      <c r="AT43" s="703">
        <f t="shared" si="28"/>
        <v>142857.14285714287</v>
      </c>
      <c r="AU43" s="703">
        <f t="shared" si="29"/>
        <v>142857.14285714287</v>
      </c>
    </row>
    <row r="44" spans="2:47" x14ac:dyDescent="0.2">
      <c r="B44" s="691">
        <v>1</v>
      </c>
      <c r="C44" s="681" t="s">
        <v>228</v>
      </c>
      <c r="D44" s="740">
        <f t="shared" si="5"/>
        <v>1400000</v>
      </c>
      <c r="F44" s="741">
        <v>1400000</v>
      </c>
      <c r="G44" s="749" t="s">
        <v>996</v>
      </c>
      <c r="H44" s="749" t="s">
        <v>1000</v>
      </c>
      <c r="I44" s="729" t="str">
        <f>IF('Data Sources'!$C$27="N","N","Y")</f>
        <v>N</v>
      </c>
      <c r="J44" s="737">
        <v>0.5</v>
      </c>
      <c r="K44" s="738">
        <v>0.4</v>
      </c>
      <c r="L44" s="738">
        <v>0.1</v>
      </c>
      <c r="M44" s="692">
        <v>8</v>
      </c>
      <c r="R44" s="693">
        <f t="shared" si="33"/>
        <v>2045</v>
      </c>
      <c r="S44" s="705">
        <v>1000000</v>
      </c>
      <c r="T44" s="706">
        <f t="shared" si="34"/>
        <v>83333.333333333328</v>
      </c>
      <c r="U44" s="707">
        <v>7</v>
      </c>
      <c r="V44" s="703">
        <f t="shared" si="35"/>
        <v>142857.14285714287</v>
      </c>
      <c r="W44" s="703">
        <f t="shared" si="36"/>
        <v>11904.761904761906</v>
      </c>
      <c r="Y44" s="703">
        <f t="shared" ref="Y44:AU44" si="37">_xlfn.IFS(Y$23&lt;$R45,0,Y$23&gt;=($R45+$U45),0,Y$23&gt;=$R45,$V45)</f>
        <v>0</v>
      </c>
      <c r="Z44" s="703">
        <f t="shared" si="37"/>
        <v>0</v>
      </c>
      <c r="AA44" s="703">
        <f t="shared" si="37"/>
        <v>0</v>
      </c>
      <c r="AB44" s="703">
        <f t="shared" si="37"/>
        <v>0</v>
      </c>
      <c r="AC44" s="703">
        <f t="shared" si="37"/>
        <v>0</v>
      </c>
      <c r="AD44" s="703">
        <f t="shared" si="37"/>
        <v>0</v>
      </c>
      <c r="AE44" s="703">
        <f t="shared" si="37"/>
        <v>0</v>
      </c>
      <c r="AF44" s="703">
        <f t="shared" si="37"/>
        <v>0</v>
      </c>
      <c r="AG44" s="703">
        <f t="shared" si="37"/>
        <v>0</v>
      </c>
      <c r="AH44" s="703">
        <f t="shared" si="37"/>
        <v>0</v>
      </c>
      <c r="AI44" s="703">
        <f t="shared" si="37"/>
        <v>0</v>
      </c>
      <c r="AJ44" s="703">
        <f t="shared" si="37"/>
        <v>0</v>
      </c>
      <c r="AK44" s="703">
        <f t="shared" si="37"/>
        <v>0</v>
      </c>
      <c r="AL44" s="703">
        <f t="shared" si="37"/>
        <v>0</v>
      </c>
      <c r="AM44" s="703">
        <f t="shared" si="37"/>
        <v>0</v>
      </c>
      <c r="AN44" s="703">
        <f t="shared" si="37"/>
        <v>0</v>
      </c>
      <c r="AO44" s="703">
        <f t="shared" si="37"/>
        <v>0</v>
      </c>
      <c r="AP44" s="703">
        <f t="shared" si="37"/>
        <v>0</v>
      </c>
      <c r="AQ44" s="703">
        <f t="shared" si="37"/>
        <v>0</v>
      </c>
      <c r="AR44" s="703">
        <f t="shared" si="37"/>
        <v>0</v>
      </c>
      <c r="AS44" s="703">
        <f t="shared" si="37"/>
        <v>142857.14285714287</v>
      </c>
      <c r="AT44" s="703">
        <f t="shared" si="37"/>
        <v>142857.14285714287</v>
      </c>
      <c r="AU44" s="703">
        <f t="shared" si="37"/>
        <v>142857.14285714287</v>
      </c>
    </row>
    <row r="45" spans="2:47" x14ac:dyDescent="0.2">
      <c r="B45" s="691">
        <v>1</v>
      </c>
      <c r="C45" s="681" t="s">
        <v>243</v>
      </c>
      <c r="D45" s="740">
        <f t="shared" si="5"/>
        <v>1148000</v>
      </c>
      <c r="F45" s="741">
        <v>1148000</v>
      </c>
      <c r="G45" s="749" t="s">
        <v>997</v>
      </c>
      <c r="H45" s="749" t="s">
        <v>1030</v>
      </c>
      <c r="I45" s="729" t="str">
        <f>IF('Data Sources'!$C$27="N","N","Y")</f>
        <v>N</v>
      </c>
      <c r="J45" s="737">
        <v>0.5</v>
      </c>
      <c r="K45" s="738">
        <v>0.4</v>
      </c>
      <c r="L45" s="738">
        <v>0.1</v>
      </c>
      <c r="M45" s="692">
        <v>8</v>
      </c>
      <c r="R45" s="693">
        <f>R44+1</f>
        <v>2046</v>
      </c>
      <c r="S45" s="705">
        <v>1000000</v>
      </c>
      <c r="T45" s="706">
        <f t="shared" si="34"/>
        <v>83333.333333333328</v>
      </c>
      <c r="U45" s="707">
        <v>7</v>
      </c>
      <c r="V45" s="703">
        <f t="shared" si="35"/>
        <v>142857.14285714287</v>
      </c>
      <c r="W45" s="703">
        <f t="shared" si="36"/>
        <v>11904.761904761906</v>
      </c>
      <c r="Y45" s="703">
        <f t="shared" si="7"/>
        <v>0</v>
      </c>
      <c r="Z45" s="703">
        <f t="shared" si="8"/>
        <v>0</v>
      </c>
      <c r="AA45" s="703">
        <f t="shared" si="9"/>
        <v>0</v>
      </c>
      <c r="AB45" s="703">
        <f t="shared" si="10"/>
        <v>0</v>
      </c>
      <c r="AC45" s="703">
        <f t="shared" si="11"/>
        <v>0</v>
      </c>
      <c r="AD45" s="703">
        <f t="shared" si="12"/>
        <v>0</v>
      </c>
      <c r="AE45" s="703">
        <f t="shared" si="13"/>
        <v>0</v>
      </c>
      <c r="AF45" s="703">
        <f t="shared" si="14"/>
        <v>0</v>
      </c>
      <c r="AG45" s="703">
        <f t="shared" si="15"/>
        <v>0</v>
      </c>
      <c r="AH45" s="703">
        <f t="shared" si="16"/>
        <v>0</v>
      </c>
      <c r="AI45" s="703">
        <f t="shared" si="17"/>
        <v>0</v>
      </c>
      <c r="AJ45" s="703">
        <f t="shared" si="18"/>
        <v>0</v>
      </c>
      <c r="AK45" s="703">
        <f t="shared" si="19"/>
        <v>0</v>
      </c>
      <c r="AL45" s="703">
        <f t="shared" si="20"/>
        <v>0</v>
      </c>
      <c r="AM45" s="703">
        <f t="shared" si="21"/>
        <v>0</v>
      </c>
      <c r="AN45" s="703">
        <f t="shared" si="22"/>
        <v>0</v>
      </c>
      <c r="AO45" s="703">
        <f t="shared" si="23"/>
        <v>0</v>
      </c>
      <c r="AP45" s="703">
        <f t="shared" si="24"/>
        <v>0</v>
      </c>
      <c r="AQ45" s="703">
        <f t="shared" si="25"/>
        <v>0</v>
      </c>
      <c r="AR45" s="703">
        <f t="shared" si="26"/>
        <v>0</v>
      </c>
      <c r="AS45" s="703">
        <f t="shared" si="27"/>
        <v>0</v>
      </c>
      <c r="AT45" s="703">
        <f t="shared" si="28"/>
        <v>142857.14285714287</v>
      </c>
      <c r="AU45" s="703">
        <f t="shared" si="29"/>
        <v>142857.14285714287</v>
      </c>
    </row>
    <row r="46" spans="2:47" x14ac:dyDescent="0.2">
      <c r="B46" s="691">
        <v>2</v>
      </c>
      <c r="C46" s="681" t="s">
        <v>84</v>
      </c>
      <c r="D46" s="740">
        <f>IF(I46="Y",F46,0)</f>
        <v>6200000</v>
      </c>
      <c r="F46" s="741">
        <v>6200000</v>
      </c>
      <c r="G46" s="749" t="s">
        <v>999</v>
      </c>
      <c r="H46" s="749" t="s">
        <v>1002</v>
      </c>
      <c r="I46" s="730" t="s">
        <v>983</v>
      </c>
      <c r="J46" s="737">
        <v>0.5</v>
      </c>
      <c r="K46" s="738">
        <v>0.4</v>
      </c>
      <c r="L46" s="738">
        <v>0.1</v>
      </c>
      <c r="M46" s="692">
        <v>9</v>
      </c>
      <c r="R46" s="693">
        <f t="shared" si="33"/>
        <v>2047</v>
      </c>
      <c r="S46" s="705">
        <v>1000000</v>
      </c>
      <c r="T46" s="706">
        <f t="shared" si="34"/>
        <v>83333.333333333328</v>
      </c>
      <c r="U46" s="707">
        <v>7</v>
      </c>
      <c r="V46" s="703">
        <f t="shared" si="35"/>
        <v>142857.14285714287</v>
      </c>
      <c r="W46" s="703">
        <f t="shared" si="36"/>
        <v>11904.761904761906</v>
      </c>
      <c r="Y46" s="703">
        <f t="shared" si="7"/>
        <v>0</v>
      </c>
      <c r="Z46" s="703">
        <f t="shared" si="8"/>
        <v>0</v>
      </c>
      <c r="AA46" s="703">
        <f t="shared" si="9"/>
        <v>0</v>
      </c>
      <c r="AB46" s="703">
        <f t="shared" si="10"/>
        <v>0</v>
      </c>
      <c r="AC46" s="703">
        <f t="shared" si="11"/>
        <v>0</v>
      </c>
      <c r="AD46" s="703">
        <f t="shared" si="12"/>
        <v>0</v>
      </c>
      <c r="AE46" s="703">
        <f t="shared" si="13"/>
        <v>0</v>
      </c>
      <c r="AF46" s="703">
        <f t="shared" si="14"/>
        <v>0</v>
      </c>
      <c r="AG46" s="703">
        <f t="shared" si="15"/>
        <v>0</v>
      </c>
      <c r="AH46" s="703">
        <f t="shared" si="16"/>
        <v>0</v>
      </c>
      <c r="AI46" s="703">
        <f t="shared" si="17"/>
        <v>0</v>
      </c>
      <c r="AJ46" s="703">
        <f t="shared" si="18"/>
        <v>0</v>
      </c>
      <c r="AK46" s="703">
        <f t="shared" si="19"/>
        <v>0</v>
      </c>
      <c r="AL46" s="703">
        <f t="shared" si="20"/>
        <v>0</v>
      </c>
      <c r="AM46" s="703">
        <f t="shared" si="21"/>
        <v>0</v>
      </c>
      <c r="AN46" s="703">
        <f t="shared" si="22"/>
        <v>0</v>
      </c>
      <c r="AO46" s="703">
        <f t="shared" si="23"/>
        <v>0</v>
      </c>
      <c r="AP46" s="703">
        <f t="shared" si="24"/>
        <v>0</v>
      </c>
      <c r="AQ46" s="703">
        <f t="shared" si="25"/>
        <v>0</v>
      </c>
      <c r="AR46" s="703">
        <f t="shared" si="26"/>
        <v>0</v>
      </c>
      <c r="AS46" s="703">
        <f t="shared" si="27"/>
        <v>0</v>
      </c>
      <c r="AT46" s="703">
        <f t="shared" si="28"/>
        <v>0</v>
      </c>
      <c r="AU46" s="703">
        <f t="shared" si="29"/>
        <v>142857.14285714287</v>
      </c>
    </row>
    <row r="47" spans="2:47" x14ac:dyDescent="0.2">
      <c r="B47" s="691">
        <v>2</v>
      </c>
      <c r="C47" s="681" t="s">
        <v>84</v>
      </c>
      <c r="D47" s="740">
        <f t="shared" ref="D47:D49" si="38">IF(I47="Y",F47,0)</f>
        <v>6200000</v>
      </c>
      <c r="F47" s="741">
        <v>6200000</v>
      </c>
      <c r="G47" s="749" t="s">
        <v>999</v>
      </c>
      <c r="H47" s="749" t="s">
        <v>1002</v>
      </c>
      <c r="I47" s="730" t="s">
        <v>983</v>
      </c>
      <c r="J47" s="737">
        <v>0.5</v>
      </c>
      <c r="K47" s="738">
        <v>0.4</v>
      </c>
      <c r="L47" s="738">
        <v>0.1</v>
      </c>
      <c r="M47" s="692">
        <v>9</v>
      </c>
      <c r="R47" s="693">
        <f t="shared" si="33"/>
        <v>2048</v>
      </c>
      <c r="S47" s="705">
        <v>1000000</v>
      </c>
      <c r="T47" s="706">
        <f t="shared" si="34"/>
        <v>83333.333333333328</v>
      </c>
      <c r="U47" s="707">
        <v>7</v>
      </c>
      <c r="V47" s="703">
        <f t="shared" si="35"/>
        <v>142857.14285714287</v>
      </c>
      <c r="W47" s="703">
        <f t="shared" si="36"/>
        <v>11904.761904761906</v>
      </c>
      <c r="Y47" s="708">
        <f t="shared" ref="Y47:AU47" si="39">SUM(Y24:Y46)</f>
        <v>0</v>
      </c>
      <c r="Z47" s="708">
        <f t="shared" si="39"/>
        <v>0</v>
      </c>
      <c r="AA47" s="708">
        <f t="shared" si="39"/>
        <v>0</v>
      </c>
      <c r="AB47" s="708">
        <f t="shared" si="39"/>
        <v>0</v>
      </c>
      <c r="AC47" s="708">
        <f t="shared" si="39"/>
        <v>0</v>
      </c>
      <c r="AD47" s="708">
        <f t="shared" si="39"/>
        <v>0</v>
      </c>
      <c r="AE47" s="708">
        <f t="shared" si="39"/>
        <v>0</v>
      </c>
      <c r="AF47" s="708">
        <f t="shared" si="39"/>
        <v>142857.14285714287</v>
      </c>
      <c r="AG47" s="708">
        <f t="shared" si="39"/>
        <v>285714.28571428574</v>
      </c>
      <c r="AH47" s="708">
        <f t="shared" si="39"/>
        <v>428571.42857142864</v>
      </c>
      <c r="AI47" s="708">
        <f t="shared" si="39"/>
        <v>571428.57142857148</v>
      </c>
      <c r="AJ47" s="708">
        <f t="shared" si="39"/>
        <v>714285.71428571432</v>
      </c>
      <c r="AK47" s="708">
        <f t="shared" si="39"/>
        <v>857142.85714285716</v>
      </c>
      <c r="AL47" s="708">
        <f t="shared" si="39"/>
        <v>1000000</v>
      </c>
      <c r="AM47" s="708">
        <f t="shared" si="39"/>
        <v>1000000</v>
      </c>
      <c r="AN47" s="708">
        <f t="shared" si="39"/>
        <v>1000000</v>
      </c>
      <c r="AO47" s="708">
        <f t="shared" si="39"/>
        <v>1000000</v>
      </c>
      <c r="AP47" s="708">
        <f t="shared" si="39"/>
        <v>1000000</v>
      </c>
      <c r="AQ47" s="708">
        <f t="shared" si="39"/>
        <v>1000000</v>
      </c>
      <c r="AR47" s="708">
        <f t="shared" si="39"/>
        <v>1000000</v>
      </c>
      <c r="AS47" s="708">
        <f t="shared" si="39"/>
        <v>1000000</v>
      </c>
      <c r="AT47" s="708">
        <f t="shared" si="39"/>
        <v>1000000</v>
      </c>
      <c r="AU47" s="708">
        <f t="shared" si="39"/>
        <v>1000000</v>
      </c>
    </row>
    <row r="48" spans="2:47" x14ac:dyDescent="0.2">
      <c r="B48" s="691">
        <v>2</v>
      </c>
      <c r="C48" s="681" t="s">
        <v>84</v>
      </c>
      <c r="D48" s="740">
        <f>IF(I48="Y",F48,0)</f>
        <v>6200000</v>
      </c>
      <c r="F48" s="741">
        <v>6200000</v>
      </c>
      <c r="G48" s="749" t="s">
        <v>999</v>
      </c>
      <c r="H48" s="749" t="s">
        <v>1002</v>
      </c>
      <c r="I48" s="730" t="s">
        <v>983</v>
      </c>
      <c r="J48" s="737">
        <v>0.5</v>
      </c>
      <c r="K48" s="738">
        <v>0.4</v>
      </c>
      <c r="L48" s="738">
        <v>0.1</v>
      </c>
      <c r="M48" s="692">
        <v>9</v>
      </c>
      <c r="R48" s="693"/>
      <c r="S48" s="705"/>
      <c r="T48" s="706"/>
      <c r="U48" s="707"/>
      <c r="V48" s="703"/>
      <c r="W48" s="703"/>
      <c r="Y48" s="708"/>
      <c r="Z48" s="708"/>
      <c r="AA48" s="708"/>
      <c r="AB48" s="708"/>
      <c r="AC48" s="708"/>
      <c r="AD48" s="708"/>
      <c r="AE48" s="708"/>
      <c r="AF48" s="708"/>
      <c r="AG48" s="708"/>
      <c r="AH48" s="708"/>
      <c r="AI48" s="708"/>
      <c r="AJ48" s="708"/>
      <c r="AK48" s="708"/>
      <c r="AL48" s="708"/>
      <c r="AM48" s="708"/>
      <c r="AN48" s="708"/>
      <c r="AO48" s="708"/>
      <c r="AP48" s="708"/>
      <c r="AQ48" s="708"/>
      <c r="AR48" s="708"/>
      <c r="AS48" s="708"/>
      <c r="AT48" s="708"/>
      <c r="AU48" s="708"/>
    </row>
    <row r="49" spans="2:47" x14ac:dyDescent="0.2">
      <c r="B49" s="691">
        <v>2</v>
      </c>
      <c r="C49" s="681" t="s">
        <v>84</v>
      </c>
      <c r="D49" s="740">
        <f t="shared" si="38"/>
        <v>0</v>
      </c>
      <c r="F49" s="741">
        <v>6200000</v>
      </c>
      <c r="G49" s="749" t="s">
        <v>999</v>
      </c>
      <c r="H49" s="749" t="s">
        <v>1002</v>
      </c>
      <c r="I49" s="730" t="s">
        <v>969</v>
      </c>
      <c r="J49" s="737">
        <v>0.5</v>
      </c>
      <c r="K49" s="738">
        <v>0.4</v>
      </c>
      <c r="L49" s="738">
        <v>0.1</v>
      </c>
      <c r="M49" s="692">
        <v>9</v>
      </c>
      <c r="R49" s="693"/>
      <c r="S49" s="705"/>
      <c r="T49" s="706"/>
      <c r="U49" s="707"/>
      <c r="V49" s="703"/>
      <c r="W49" s="703"/>
      <c r="Y49" s="708"/>
      <c r="Z49" s="708"/>
      <c r="AA49" s="708"/>
      <c r="AB49" s="708"/>
      <c r="AC49" s="708"/>
      <c r="AD49" s="708"/>
      <c r="AE49" s="708"/>
      <c r="AF49" s="708"/>
      <c r="AG49" s="708"/>
      <c r="AH49" s="708"/>
      <c r="AI49" s="708"/>
      <c r="AJ49" s="708"/>
      <c r="AK49" s="708"/>
      <c r="AL49" s="708"/>
      <c r="AM49" s="708"/>
      <c r="AN49" s="708"/>
      <c r="AO49" s="708"/>
      <c r="AP49" s="708"/>
      <c r="AQ49" s="708"/>
      <c r="AR49" s="708"/>
      <c r="AS49" s="708"/>
      <c r="AT49" s="708"/>
      <c r="AU49" s="708"/>
    </row>
    <row r="50" spans="2:47" x14ac:dyDescent="0.2">
      <c r="B50" s="691">
        <v>2</v>
      </c>
      <c r="C50" s="681" t="s">
        <v>86</v>
      </c>
      <c r="D50" s="740">
        <f>IF(I50="Y",F50,0)</f>
        <v>6200000</v>
      </c>
      <c r="F50" s="741">
        <v>6200000</v>
      </c>
      <c r="G50" s="749" t="s">
        <v>999</v>
      </c>
      <c r="H50" s="749" t="s">
        <v>1002</v>
      </c>
      <c r="I50" s="729" t="s">
        <v>983</v>
      </c>
      <c r="J50" s="737">
        <v>0.5</v>
      </c>
      <c r="K50" s="738">
        <v>0.4</v>
      </c>
      <c r="L50" s="738">
        <v>0.1</v>
      </c>
      <c r="M50" s="692">
        <v>9</v>
      </c>
      <c r="R50" s="693"/>
    </row>
    <row r="51" spans="2:47" x14ac:dyDescent="0.2">
      <c r="B51" s="691">
        <v>2</v>
      </c>
      <c r="C51" s="681" t="s">
        <v>85</v>
      </c>
      <c r="D51" s="740">
        <f t="shared" ref="D51:D60" si="40">IF(I51="Y",F51,0)</f>
        <v>6200000</v>
      </c>
      <c r="F51" s="741">
        <v>6200000</v>
      </c>
      <c r="G51" s="749" t="s">
        <v>999</v>
      </c>
      <c r="H51" s="749" t="s">
        <v>1002</v>
      </c>
      <c r="I51" s="729" t="s">
        <v>983</v>
      </c>
      <c r="J51" s="737">
        <v>0.5</v>
      </c>
      <c r="K51" s="738">
        <v>0.4</v>
      </c>
      <c r="L51" s="738">
        <v>0.1</v>
      </c>
      <c r="M51" s="692">
        <v>9</v>
      </c>
    </row>
    <row r="52" spans="2:47" x14ac:dyDescent="0.2">
      <c r="B52" s="691">
        <v>2</v>
      </c>
      <c r="C52" s="681" t="s">
        <v>86</v>
      </c>
      <c r="D52" s="740">
        <f t="shared" si="40"/>
        <v>6200000</v>
      </c>
      <c r="F52" s="741">
        <v>6200000</v>
      </c>
      <c r="G52" s="749" t="s">
        <v>999</v>
      </c>
      <c r="H52" s="749" t="s">
        <v>1002</v>
      </c>
      <c r="I52" s="729" t="s">
        <v>983</v>
      </c>
      <c r="J52" s="737">
        <v>0.5</v>
      </c>
      <c r="K52" s="738">
        <v>0.4</v>
      </c>
      <c r="L52" s="738">
        <v>0.1</v>
      </c>
      <c r="M52" s="692">
        <v>9</v>
      </c>
    </row>
    <row r="53" spans="2:47" x14ac:dyDescent="0.2">
      <c r="B53" s="691">
        <v>2</v>
      </c>
      <c r="C53" s="681" t="s">
        <v>86</v>
      </c>
      <c r="D53" s="740">
        <f t="shared" si="40"/>
        <v>6200000</v>
      </c>
      <c r="F53" s="741">
        <v>6200000</v>
      </c>
      <c r="G53" s="749" t="s">
        <v>999</v>
      </c>
      <c r="H53" s="749" t="s">
        <v>1002</v>
      </c>
      <c r="I53" s="729" t="s">
        <v>983</v>
      </c>
      <c r="J53" s="737">
        <v>0.5</v>
      </c>
      <c r="K53" s="738">
        <v>0.4</v>
      </c>
      <c r="L53" s="738">
        <v>0.1</v>
      </c>
      <c r="M53" s="692">
        <v>9</v>
      </c>
    </row>
    <row r="54" spans="2:47" x14ac:dyDescent="0.2">
      <c r="B54" s="691">
        <v>2</v>
      </c>
      <c r="C54" s="681" t="s">
        <v>86</v>
      </c>
      <c r="D54" s="740">
        <f t="shared" si="40"/>
        <v>6200000</v>
      </c>
      <c r="F54" s="741">
        <v>6200000</v>
      </c>
      <c r="G54" s="749" t="s">
        <v>999</v>
      </c>
      <c r="H54" s="749" t="s">
        <v>1002</v>
      </c>
      <c r="I54" s="729" t="s">
        <v>983</v>
      </c>
      <c r="J54" s="737">
        <v>0.5</v>
      </c>
      <c r="K54" s="738">
        <v>0.4</v>
      </c>
      <c r="L54" s="738">
        <v>0.1</v>
      </c>
      <c r="M54" s="692">
        <v>9</v>
      </c>
    </row>
    <row r="55" spans="2:47" x14ac:dyDescent="0.2">
      <c r="B55" s="691">
        <v>2</v>
      </c>
      <c r="C55" s="681" t="s">
        <v>86</v>
      </c>
      <c r="D55" s="740">
        <f t="shared" si="40"/>
        <v>6200000</v>
      </c>
      <c r="F55" s="741">
        <v>6200000</v>
      </c>
      <c r="G55" s="749" t="s">
        <v>999</v>
      </c>
      <c r="H55" s="749" t="s">
        <v>1002</v>
      </c>
      <c r="I55" s="729" t="s">
        <v>983</v>
      </c>
      <c r="J55" s="737">
        <v>0.5</v>
      </c>
      <c r="K55" s="738">
        <v>0.4</v>
      </c>
      <c r="L55" s="738">
        <v>0.1</v>
      </c>
      <c r="M55" s="692">
        <v>9</v>
      </c>
    </row>
    <row r="56" spans="2:47" x14ac:dyDescent="0.2">
      <c r="B56" s="691">
        <v>2</v>
      </c>
      <c r="C56" s="681" t="s">
        <v>86</v>
      </c>
      <c r="D56" s="740">
        <f t="shared" si="40"/>
        <v>6200000</v>
      </c>
      <c r="F56" s="741">
        <v>6200000</v>
      </c>
      <c r="G56" s="749" t="s">
        <v>999</v>
      </c>
      <c r="H56" s="749" t="s">
        <v>1002</v>
      </c>
      <c r="I56" s="729" t="s">
        <v>983</v>
      </c>
      <c r="J56" s="737">
        <v>0.5</v>
      </c>
      <c r="K56" s="738">
        <v>0.4</v>
      </c>
      <c r="L56" s="738">
        <v>0.1</v>
      </c>
      <c r="M56" s="692">
        <v>9</v>
      </c>
    </row>
    <row r="57" spans="2:47" x14ac:dyDescent="0.2">
      <c r="B57" s="691">
        <v>2</v>
      </c>
      <c r="C57" s="681" t="s">
        <v>86</v>
      </c>
      <c r="D57" s="740">
        <f t="shared" si="40"/>
        <v>6200000</v>
      </c>
      <c r="F57" s="741">
        <v>6200000</v>
      </c>
      <c r="G57" s="749" t="s">
        <v>999</v>
      </c>
      <c r="H57" s="749" t="s">
        <v>1002</v>
      </c>
      <c r="I57" s="729" t="s">
        <v>983</v>
      </c>
      <c r="J57" s="737">
        <v>0.5</v>
      </c>
      <c r="K57" s="738">
        <v>0.4</v>
      </c>
      <c r="L57" s="738">
        <v>0.1</v>
      </c>
      <c r="M57" s="692">
        <v>9</v>
      </c>
    </row>
    <row r="58" spans="2:47" x14ac:dyDescent="0.2">
      <c r="B58" s="691">
        <v>2</v>
      </c>
      <c r="C58" s="681" t="s">
        <v>86</v>
      </c>
      <c r="D58" s="740">
        <f t="shared" si="40"/>
        <v>6200000</v>
      </c>
      <c r="F58" s="741">
        <v>6200000</v>
      </c>
      <c r="G58" s="749" t="s">
        <v>999</v>
      </c>
      <c r="H58" s="749" t="s">
        <v>1002</v>
      </c>
      <c r="I58" s="729" t="s">
        <v>983</v>
      </c>
      <c r="J58" s="737">
        <v>0.5</v>
      </c>
      <c r="K58" s="738">
        <v>0.4</v>
      </c>
      <c r="L58" s="738">
        <v>0.1</v>
      </c>
      <c r="M58" s="692">
        <v>9</v>
      </c>
    </row>
    <row r="59" spans="2:47" x14ac:dyDescent="0.2">
      <c r="B59" s="691">
        <v>2</v>
      </c>
      <c r="C59" s="681" t="s">
        <v>86</v>
      </c>
      <c r="D59" s="740">
        <f t="shared" si="40"/>
        <v>6200000</v>
      </c>
      <c r="F59" s="741">
        <v>6200000</v>
      </c>
      <c r="G59" s="749" t="s">
        <v>999</v>
      </c>
      <c r="H59" s="749" t="s">
        <v>1002</v>
      </c>
      <c r="I59" s="729" t="s">
        <v>983</v>
      </c>
      <c r="J59" s="737">
        <v>0.5</v>
      </c>
      <c r="K59" s="738">
        <v>0.4</v>
      </c>
      <c r="L59" s="738">
        <v>0.1</v>
      </c>
      <c r="M59" s="692">
        <v>9</v>
      </c>
    </row>
    <row r="60" spans="2:47" x14ac:dyDescent="0.2">
      <c r="B60" s="691">
        <v>2</v>
      </c>
      <c r="C60" s="681" t="s">
        <v>86</v>
      </c>
      <c r="D60" s="740">
        <f t="shared" si="40"/>
        <v>0</v>
      </c>
      <c r="F60" s="741">
        <v>0</v>
      </c>
      <c r="G60" s="749" t="s">
        <v>999</v>
      </c>
      <c r="H60" s="749" t="s">
        <v>1002</v>
      </c>
      <c r="I60" s="729" t="str">
        <f>IF('Data Sources'!$C$27="N","N","Y")</f>
        <v>N</v>
      </c>
      <c r="J60" s="737">
        <v>0.5</v>
      </c>
      <c r="K60" s="738">
        <v>0.4</v>
      </c>
      <c r="L60" s="738">
        <v>0.1</v>
      </c>
      <c r="M60" s="692">
        <v>9</v>
      </c>
    </row>
    <row r="61" spans="2:47" ht="54.75" customHeight="1" x14ac:dyDescent="0.2">
      <c r="B61" s="692">
        <v>2</v>
      </c>
      <c r="C61" s="709" t="s">
        <v>297</v>
      </c>
      <c r="D61" s="740">
        <f t="shared" ref="D61:D96" si="41">IF(I61="Y",F61,0)</f>
        <v>0</v>
      </c>
      <c r="E61" s="710" t="s">
        <v>989</v>
      </c>
      <c r="F61" s="741">
        <v>0</v>
      </c>
      <c r="G61" s="749" t="s">
        <v>999</v>
      </c>
      <c r="H61" s="749" t="s">
        <v>1002</v>
      </c>
      <c r="I61" s="730" t="s">
        <v>983</v>
      </c>
      <c r="J61" s="737">
        <v>0.5</v>
      </c>
      <c r="K61" s="738">
        <v>0.4</v>
      </c>
      <c r="L61" s="738">
        <v>0.1</v>
      </c>
      <c r="M61" s="692">
        <v>9</v>
      </c>
      <c r="N61" s="709"/>
    </row>
    <row r="62" spans="2:47" ht="114.75" x14ac:dyDescent="0.2">
      <c r="B62" s="692">
        <v>2</v>
      </c>
      <c r="C62" s="709" t="s">
        <v>298</v>
      </c>
      <c r="D62" s="740">
        <f t="shared" si="41"/>
        <v>0</v>
      </c>
      <c r="E62" s="710" t="s">
        <v>990</v>
      </c>
      <c r="F62" s="741">
        <v>0</v>
      </c>
      <c r="G62" s="749" t="s">
        <v>999</v>
      </c>
      <c r="H62" s="751" t="s">
        <v>1003</v>
      </c>
      <c r="I62" s="730" t="s">
        <v>983</v>
      </c>
      <c r="J62" s="737">
        <v>0.5</v>
      </c>
      <c r="K62" s="738">
        <v>0.4</v>
      </c>
      <c r="L62" s="738">
        <v>0.1</v>
      </c>
      <c r="M62" s="692">
        <v>5</v>
      </c>
      <c r="N62" s="709"/>
    </row>
    <row r="63" spans="2:47" ht="89.25" x14ac:dyDescent="0.2">
      <c r="B63" s="692">
        <v>2</v>
      </c>
      <c r="C63" s="709" t="s">
        <v>299</v>
      </c>
      <c r="D63" s="740">
        <f t="shared" si="41"/>
        <v>0</v>
      </c>
      <c r="E63" s="710" t="s">
        <v>991</v>
      </c>
      <c r="F63" s="741">
        <v>0</v>
      </c>
      <c r="G63" s="749" t="s">
        <v>999</v>
      </c>
      <c r="H63" s="751" t="s">
        <v>1003</v>
      </c>
      <c r="I63" s="730" t="s">
        <v>983</v>
      </c>
      <c r="J63" s="737">
        <v>0.5</v>
      </c>
      <c r="K63" s="738">
        <v>0.4</v>
      </c>
      <c r="L63" s="738">
        <v>0.1</v>
      </c>
      <c r="M63" s="692">
        <v>5</v>
      </c>
      <c r="N63" s="709"/>
    </row>
    <row r="64" spans="2:47" ht="51" x14ac:dyDescent="0.2">
      <c r="B64" s="692">
        <v>2</v>
      </c>
      <c r="C64" s="709" t="s">
        <v>300</v>
      </c>
      <c r="D64" s="740">
        <f t="shared" si="41"/>
        <v>0</v>
      </c>
      <c r="E64" s="710" t="s">
        <v>992</v>
      </c>
      <c r="F64" s="741">
        <v>0</v>
      </c>
      <c r="G64" s="749" t="s">
        <v>999</v>
      </c>
      <c r="H64" s="749" t="s">
        <v>1002</v>
      </c>
      <c r="I64" s="730" t="s">
        <v>983</v>
      </c>
      <c r="J64" s="737">
        <v>0.5</v>
      </c>
      <c r="K64" s="738">
        <v>0.4</v>
      </c>
      <c r="L64" s="738">
        <v>0.1</v>
      </c>
      <c r="M64" s="692">
        <v>5</v>
      </c>
      <c r="N64" s="709"/>
    </row>
    <row r="65" spans="2:16" x14ac:dyDescent="0.2">
      <c r="B65" s="691">
        <v>3</v>
      </c>
      <c r="C65" s="681" t="s">
        <v>545</v>
      </c>
      <c r="D65" s="740">
        <f t="shared" si="41"/>
        <v>500000</v>
      </c>
      <c r="F65" s="741">
        <v>500000</v>
      </c>
      <c r="G65" s="749" t="s">
        <v>999</v>
      </c>
      <c r="H65" s="749" t="s">
        <v>1002</v>
      </c>
      <c r="I65" s="730" t="s">
        <v>983</v>
      </c>
      <c r="J65" s="737">
        <v>0.5</v>
      </c>
      <c r="K65" s="738">
        <v>0.4</v>
      </c>
      <c r="L65" s="738">
        <v>0.1</v>
      </c>
      <c r="M65" s="692">
        <v>5</v>
      </c>
    </row>
    <row r="66" spans="2:16" x14ac:dyDescent="0.2">
      <c r="B66" s="691">
        <v>3</v>
      </c>
      <c r="C66" s="681" t="s">
        <v>835</v>
      </c>
      <c r="D66" s="740">
        <f t="shared" si="41"/>
        <v>0</v>
      </c>
      <c r="E66" s="681" t="s">
        <v>836</v>
      </c>
      <c r="F66" s="741">
        <v>0</v>
      </c>
      <c r="G66" s="749" t="s">
        <v>999</v>
      </c>
      <c r="H66" s="749" t="s">
        <v>1002</v>
      </c>
      <c r="I66" s="730" t="s">
        <v>983</v>
      </c>
      <c r="J66" s="737">
        <v>0.5</v>
      </c>
      <c r="K66" s="738">
        <v>0.4</v>
      </c>
      <c r="L66" s="738">
        <v>0.1</v>
      </c>
      <c r="M66" s="692">
        <v>8</v>
      </c>
    </row>
    <row r="67" spans="2:16" x14ac:dyDescent="0.2">
      <c r="B67" s="691">
        <v>3</v>
      </c>
      <c r="C67" s="681" t="s">
        <v>210</v>
      </c>
      <c r="D67" s="740">
        <f t="shared" si="41"/>
        <v>2063400</v>
      </c>
      <c r="F67" s="741">
        <v>2063400</v>
      </c>
      <c r="G67" s="749" t="s">
        <v>1138</v>
      </c>
      <c r="H67" s="749" t="s">
        <v>1138</v>
      </c>
      <c r="I67" s="730" t="s">
        <v>983</v>
      </c>
      <c r="J67" s="737">
        <v>0.5</v>
      </c>
      <c r="K67" s="738">
        <v>0.4</v>
      </c>
      <c r="L67" s="738">
        <v>0.1</v>
      </c>
      <c r="M67" s="692">
        <v>11</v>
      </c>
    </row>
    <row r="68" spans="2:16" ht="15" x14ac:dyDescent="0.25">
      <c r="B68" s="691">
        <v>3</v>
      </c>
      <c r="C68" s="681" t="s">
        <v>211</v>
      </c>
      <c r="D68" s="740">
        <f t="shared" si="41"/>
        <v>305400</v>
      </c>
      <c r="F68" s="741">
        <v>305400</v>
      </c>
      <c r="G68" s="749" t="s">
        <v>1138</v>
      </c>
      <c r="H68" s="749" t="s">
        <v>1138</v>
      </c>
      <c r="I68" s="730" t="s">
        <v>983</v>
      </c>
      <c r="J68" s="737">
        <v>0.5</v>
      </c>
      <c r="K68" s="738">
        <v>0.4</v>
      </c>
      <c r="L68" s="738">
        <v>0.1</v>
      </c>
      <c r="M68" s="692">
        <v>8</v>
      </c>
      <c r="N68" s="837" t="s">
        <v>981</v>
      </c>
      <c r="O68" s="838"/>
      <c r="P68" s="838"/>
    </row>
    <row r="69" spans="2:16" ht="26.25" x14ac:dyDescent="0.25">
      <c r="B69" s="691">
        <v>3</v>
      </c>
      <c r="C69" s="681" t="s">
        <v>1117</v>
      </c>
      <c r="D69" s="740">
        <v>0</v>
      </c>
      <c r="E69" s="681" t="s">
        <v>1118</v>
      </c>
      <c r="F69" s="741">
        <v>3200000</v>
      </c>
      <c r="G69" s="749" t="s">
        <v>999</v>
      </c>
      <c r="H69" s="749" t="s">
        <v>999</v>
      </c>
      <c r="I69" s="730" t="s">
        <v>266</v>
      </c>
      <c r="J69" s="737">
        <v>0.5</v>
      </c>
      <c r="K69" s="738">
        <v>0.4</v>
      </c>
      <c r="L69" s="738">
        <v>0.1</v>
      </c>
      <c r="M69" s="692">
        <v>11</v>
      </c>
      <c r="N69" s="784"/>
      <c r="O69" s="491"/>
      <c r="P69" s="491"/>
    </row>
    <row r="70" spans="2:16" ht="15" x14ac:dyDescent="0.25">
      <c r="B70" s="691">
        <v>3</v>
      </c>
      <c r="C70" s="681" t="s">
        <v>1131</v>
      </c>
      <c r="D70" s="740">
        <v>11500000</v>
      </c>
      <c r="F70" s="741"/>
      <c r="G70" s="749" t="s">
        <v>1138</v>
      </c>
      <c r="H70" s="749" t="s">
        <v>1138</v>
      </c>
      <c r="I70" s="730"/>
      <c r="J70" s="737">
        <v>0.2</v>
      </c>
      <c r="K70" s="738">
        <v>0.7</v>
      </c>
      <c r="L70" s="738">
        <v>0.1</v>
      </c>
      <c r="M70" s="692">
        <v>11</v>
      </c>
      <c r="N70" s="784"/>
      <c r="O70" s="491"/>
      <c r="P70" s="491"/>
    </row>
    <row r="71" spans="2:16" ht="15" x14ac:dyDescent="0.25">
      <c r="B71" s="691">
        <v>3</v>
      </c>
      <c r="C71" s="681" t="s">
        <v>1131</v>
      </c>
      <c r="D71" s="740">
        <v>11500000</v>
      </c>
      <c r="F71" s="741"/>
      <c r="G71" s="749" t="s">
        <v>1138</v>
      </c>
      <c r="H71" s="749" t="s">
        <v>1138</v>
      </c>
      <c r="I71" s="730"/>
      <c r="J71" s="737">
        <v>0.2</v>
      </c>
      <c r="K71" s="738">
        <v>0.7</v>
      </c>
      <c r="L71" s="738">
        <v>0.1</v>
      </c>
      <c r="M71" s="692">
        <v>11</v>
      </c>
      <c r="N71" s="784"/>
      <c r="O71" s="491"/>
      <c r="P71" s="491"/>
    </row>
    <row r="72" spans="2:16" ht="15" x14ac:dyDescent="0.25">
      <c r="B72" s="691">
        <v>3</v>
      </c>
      <c r="C72" s="681" t="s">
        <v>1131</v>
      </c>
      <c r="D72" s="740">
        <v>11500000</v>
      </c>
      <c r="F72" s="741"/>
      <c r="G72" s="749" t="s">
        <v>1138</v>
      </c>
      <c r="H72" s="749" t="s">
        <v>1138</v>
      </c>
      <c r="I72" s="730"/>
      <c r="J72" s="737">
        <v>0.2</v>
      </c>
      <c r="K72" s="738">
        <v>0.7</v>
      </c>
      <c r="L72" s="738">
        <v>0.1</v>
      </c>
      <c r="M72" s="692">
        <v>11</v>
      </c>
      <c r="N72" s="784"/>
      <c r="O72" s="491"/>
      <c r="P72" s="491"/>
    </row>
    <row r="73" spans="2:16" ht="15" x14ac:dyDescent="0.25">
      <c r="B73" s="691">
        <v>3</v>
      </c>
      <c r="C73" s="681" t="s">
        <v>1117</v>
      </c>
      <c r="D73" s="740">
        <v>0</v>
      </c>
      <c r="F73" s="741"/>
      <c r="G73" s="749"/>
      <c r="H73" s="749"/>
      <c r="I73" s="730"/>
      <c r="J73" s="737">
        <v>0.5</v>
      </c>
      <c r="K73" s="738">
        <v>0.4</v>
      </c>
      <c r="L73" s="738">
        <v>0.1</v>
      </c>
      <c r="M73" s="692">
        <v>11</v>
      </c>
      <c r="N73" s="784"/>
      <c r="O73" s="491"/>
      <c r="P73" s="491"/>
    </row>
    <row r="74" spans="2:16" ht="15" x14ac:dyDescent="0.25">
      <c r="B74" s="691">
        <v>3</v>
      </c>
      <c r="C74" s="681" t="s">
        <v>1117</v>
      </c>
      <c r="D74" s="740">
        <v>0</v>
      </c>
      <c r="F74" s="741"/>
      <c r="G74" s="749"/>
      <c r="H74" s="749"/>
      <c r="I74" s="730"/>
      <c r="J74" s="737">
        <v>0.5</v>
      </c>
      <c r="K74" s="738">
        <v>0.4</v>
      </c>
      <c r="L74" s="738">
        <v>0.1</v>
      </c>
      <c r="M74" s="692">
        <v>11</v>
      </c>
      <c r="N74" s="784"/>
      <c r="O74" s="491"/>
      <c r="P74" s="491"/>
    </row>
    <row r="75" spans="2:16" ht="38.25" x14ac:dyDescent="0.2">
      <c r="B75" s="691">
        <v>3</v>
      </c>
      <c r="C75" s="681" t="s">
        <v>833</v>
      </c>
      <c r="D75" s="740">
        <v>0</v>
      </c>
      <c r="E75" s="788" t="s">
        <v>1116</v>
      </c>
      <c r="F75" s="741">
        <v>6900000</v>
      </c>
      <c r="G75" s="749" t="s">
        <v>999</v>
      </c>
      <c r="H75" s="749" t="s">
        <v>999</v>
      </c>
      <c r="I75" s="730" t="s">
        <v>983</v>
      </c>
      <c r="J75" s="737">
        <v>0.5</v>
      </c>
      <c r="K75" s="738">
        <v>0.4</v>
      </c>
      <c r="L75" s="738">
        <v>0.1</v>
      </c>
      <c r="M75" s="692">
        <v>11</v>
      </c>
      <c r="N75" s="681" t="s">
        <v>982</v>
      </c>
      <c r="O75" s="711">
        <v>6000000</v>
      </c>
      <c r="P75" s="681" t="s">
        <v>980</v>
      </c>
    </row>
    <row r="76" spans="2:16" ht="38.25" x14ac:dyDescent="0.2">
      <c r="B76" s="691">
        <v>3</v>
      </c>
      <c r="C76" s="681" t="s">
        <v>833</v>
      </c>
      <c r="D76" s="740">
        <v>0</v>
      </c>
      <c r="E76" s="788" t="s">
        <v>1116</v>
      </c>
      <c r="F76" s="741">
        <v>6900000</v>
      </c>
      <c r="G76" s="749" t="s">
        <v>999</v>
      </c>
      <c r="H76" s="749" t="s">
        <v>999</v>
      </c>
      <c r="I76" s="730" t="s">
        <v>983</v>
      </c>
      <c r="J76" s="737">
        <v>0.5</v>
      </c>
      <c r="K76" s="738">
        <v>0.4</v>
      </c>
      <c r="L76" s="738">
        <v>0.1</v>
      </c>
      <c r="M76" s="692">
        <v>11</v>
      </c>
      <c r="N76" s="681" t="s">
        <v>1017</v>
      </c>
      <c r="O76" s="711">
        <v>850000</v>
      </c>
      <c r="P76" s="681" t="s">
        <v>980</v>
      </c>
    </row>
    <row r="77" spans="2:16" x14ac:dyDescent="0.2">
      <c r="B77" s="691">
        <v>3</v>
      </c>
      <c r="C77" s="681" t="s">
        <v>212</v>
      </c>
      <c r="D77" s="740">
        <f t="shared" si="41"/>
        <v>1653700</v>
      </c>
      <c r="F77" s="741">
        <v>1653700</v>
      </c>
      <c r="G77" s="749" t="s">
        <v>1138</v>
      </c>
      <c r="H77" s="749" t="s">
        <v>1138</v>
      </c>
      <c r="I77" s="730" t="s">
        <v>983</v>
      </c>
      <c r="J77" s="737">
        <v>0.5</v>
      </c>
      <c r="K77" s="738">
        <v>0.4</v>
      </c>
      <c r="L77" s="738">
        <v>0.1</v>
      </c>
      <c r="M77" s="692">
        <v>11</v>
      </c>
      <c r="N77" s="712" t="s">
        <v>333</v>
      </c>
      <c r="O77" s="713">
        <f>SUM(O75:O76)</f>
        <v>6850000</v>
      </c>
    </row>
    <row r="78" spans="2:16" x14ac:dyDescent="0.2">
      <c r="B78" s="691">
        <v>3</v>
      </c>
      <c r="C78" s="681" t="s">
        <v>213</v>
      </c>
      <c r="D78" s="740">
        <f t="shared" si="41"/>
        <v>16000000</v>
      </c>
      <c r="F78" s="741">
        <v>16000000</v>
      </c>
      <c r="G78" s="749" t="s">
        <v>1138</v>
      </c>
      <c r="H78" s="749" t="s">
        <v>1138</v>
      </c>
      <c r="I78" s="730" t="s">
        <v>983</v>
      </c>
      <c r="J78" s="737">
        <v>0.5</v>
      </c>
      <c r="K78" s="738">
        <v>0.4</v>
      </c>
      <c r="L78" s="738">
        <v>0.1</v>
      </c>
      <c r="M78" s="692">
        <v>11</v>
      </c>
    </row>
    <row r="79" spans="2:16" x14ac:dyDescent="0.2">
      <c r="B79" s="691">
        <v>3</v>
      </c>
      <c r="C79" s="681" t="s">
        <v>87</v>
      </c>
      <c r="D79" s="740">
        <f t="shared" si="41"/>
        <v>750000</v>
      </c>
      <c r="F79" s="741">
        <v>750000</v>
      </c>
      <c r="G79" s="749" t="s">
        <v>1138</v>
      </c>
      <c r="H79" s="749" t="s">
        <v>1138</v>
      </c>
      <c r="I79" s="730" t="s">
        <v>983</v>
      </c>
      <c r="J79" s="737">
        <v>0.5</v>
      </c>
      <c r="K79" s="738">
        <v>0.4</v>
      </c>
      <c r="L79" s="738">
        <v>0.1</v>
      </c>
      <c r="M79" s="692">
        <v>11</v>
      </c>
    </row>
    <row r="80" spans="2:16" ht="15" x14ac:dyDescent="0.25">
      <c r="B80" s="691">
        <v>3</v>
      </c>
      <c r="C80" s="681" t="s">
        <v>214</v>
      </c>
      <c r="D80" s="740">
        <f t="shared" si="41"/>
        <v>3000000</v>
      </c>
      <c r="F80" s="741">
        <v>3000000</v>
      </c>
      <c r="G80" s="749" t="s">
        <v>1138</v>
      </c>
      <c r="H80" s="749" t="s">
        <v>1138</v>
      </c>
      <c r="I80" s="730" t="s">
        <v>983</v>
      </c>
      <c r="J80" s="737">
        <v>0.5</v>
      </c>
      <c r="K80" s="738">
        <v>0.4</v>
      </c>
      <c r="L80" s="738">
        <v>0.1</v>
      </c>
      <c r="M80" s="692">
        <v>11</v>
      </c>
      <c r="N80" s="837" t="s">
        <v>979</v>
      </c>
      <c r="O80" s="838"/>
      <c r="P80" s="838"/>
    </row>
    <row r="81" spans="2:16" x14ac:dyDescent="0.2">
      <c r="B81" s="691">
        <v>3</v>
      </c>
      <c r="C81" s="681" t="s">
        <v>806</v>
      </c>
      <c r="D81" s="740">
        <f t="shared" si="41"/>
        <v>166000</v>
      </c>
      <c r="F81" s="741">
        <v>166000</v>
      </c>
      <c r="G81" s="749" t="s">
        <v>995</v>
      </c>
      <c r="H81" s="749" t="s">
        <v>995</v>
      </c>
      <c r="I81" s="730" t="s">
        <v>983</v>
      </c>
      <c r="J81" s="737">
        <v>0.5</v>
      </c>
      <c r="K81" s="738">
        <v>0.4</v>
      </c>
      <c r="L81" s="738">
        <v>0.1</v>
      </c>
      <c r="M81" s="692">
        <v>8</v>
      </c>
      <c r="N81" s="681" t="s">
        <v>978</v>
      </c>
      <c r="O81" s="711">
        <v>6000000</v>
      </c>
      <c r="P81" s="681" t="s">
        <v>980</v>
      </c>
    </row>
    <row r="82" spans="2:16" x14ac:dyDescent="0.2">
      <c r="B82" s="691">
        <v>3</v>
      </c>
      <c r="C82" s="681" t="s">
        <v>807</v>
      </c>
      <c r="D82" s="740">
        <f t="shared" si="41"/>
        <v>8925000</v>
      </c>
      <c r="F82" s="741">
        <v>8925000</v>
      </c>
      <c r="G82" s="749" t="s">
        <v>1138</v>
      </c>
      <c r="H82" s="749" t="s">
        <v>1138</v>
      </c>
      <c r="I82" s="730" t="s">
        <v>983</v>
      </c>
      <c r="J82" s="737">
        <v>0.5</v>
      </c>
      <c r="K82" s="738">
        <v>0.4</v>
      </c>
      <c r="L82" s="738">
        <v>0.1</v>
      </c>
      <c r="M82" s="692">
        <v>3</v>
      </c>
      <c r="N82" s="681" t="s">
        <v>77</v>
      </c>
      <c r="O82" s="711">
        <v>9000000</v>
      </c>
      <c r="P82" s="681" t="s">
        <v>980</v>
      </c>
    </row>
    <row r="83" spans="2:16" x14ac:dyDescent="0.2">
      <c r="B83" s="691">
        <v>3</v>
      </c>
      <c r="C83" s="681" t="s">
        <v>176</v>
      </c>
      <c r="D83" s="740">
        <f t="shared" si="41"/>
        <v>3000000</v>
      </c>
      <c r="F83" s="741">
        <v>3000000</v>
      </c>
      <c r="G83" s="749" t="s">
        <v>1138</v>
      </c>
      <c r="H83" s="749" t="s">
        <v>1138</v>
      </c>
      <c r="I83" s="730" t="s">
        <v>983</v>
      </c>
      <c r="J83" s="737">
        <v>0.5</v>
      </c>
      <c r="K83" s="738">
        <v>0.4</v>
      </c>
      <c r="L83" s="738">
        <v>0.1</v>
      </c>
      <c r="M83" s="692">
        <v>3</v>
      </c>
      <c r="N83" s="712" t="s">
        <v>333</v>
      </c>
      <c r="O83" s="713">
        <f>SUM(O81:O82)</f>
        <v>15000000</v>
      </c>
    </row>
    <row r="84" spans="2:16" x14ac:dyDescent="0.2">
      <c r="B84" s="691">
        <v>3</v>
      </c>
      <c r="C84" s="681" t="s">
        <v>245</v>
      </c>
      <c r="D84" s="740">
        <v>0</v>
      </c>
      <c r="F84" s="741">
        <v>600000</v>
      </c>
      <c r="G84" s="749" t="s">
        <v>999</v>
      </c>
      <c r="H84" s="749" t="s">
        <v>999</v>
      </c>
      <c r="I84" s="730" t="s">
        <v>983</v>
      </c>
      <c r="J84" s="737">
        <v>0.5</v>
      </c>
      <c r="K84" s="738">
        <v>0.4</v>
      </c>
      <c r="L84" s="738">
        <v>0.1</v>
      </c>
      <c r="M84" s="692">
        <v>8</v>
      </c>
    </row>
    <row r="85" spans="2:16" ht="18.75" x14ac:dyDescent="0.2">
      <c r="B85" s="691">
        <v>3</v>
      </c>
      <c r="C85" s="681" t="s">
        <v>834</v>
      </c>
      <c r="D85" s="740">
        <f t="shared" si="41"/>
        <v>0</v>
      </c>
      <c r="F85" s="745"/>
      <c r="G85" s="749" t="s">
        <v>999</v>
      </c>
      <c r="H85" s="749" t="s">
        <v>999</v>
      </c>
      <c r="I85" s="730" t="s">
        <v>983</v>
      </c>
      <c r="J85" s="737">
        <v>0.5</v>
      </c>
      <c r="K85" s="738">
        <v>0.4</v>
      </c>
      <c r="L85" s="738">
        <v>0.1</v>
      </c>
      <c r="M85" s="692">
        <v>8</v>
      </c>
      <c r="N85" s="836" t="s">
        <v>860</v>
      </c>
      <c r="O85" s="836"/>
      <c r="P85" s="836"/>
    </row>
    <row r="86" spans="2:16" ht="15" x14ac:dyDescent="0.2">
      <c r="B86" s="691">
        <v>3</v>
      </c>
      <c r="C86" s="681" t="s">
        <v>808</v>
      </c>
      <c r="D86" s="740">
        <f t="shared" si="41"/>
        <v>0</v>
      </c>
      <c r="F86" s="745"/>
      <c r="G86" s="749" t="s">
        <v>999</v>
      </c>
      <c r="H86" s="749" t="s">
        <v>999</v>
      </c>
      <c r="I86" s="730" t="s">
        <v>983</v>
      </c>
      <c r="J86" s="737">
        <v>0.5</v>
      </c>
      <c r="K86" s="738">
        <v>0.4</v>
      </c>
      <c r="L86" s="738">
        <v>0.1</v>
      </c>
      <c r="M86" s="692">
        <v>8</v>
      </c>
      <c r="N86" s="714" t="s">
        <v>306</v>
      </c>
      <c r="O86" s="714" t="s">
        <v>861</v>
      </c>
      <c r="P86" s="714" t="s">
        <v>862</v>
      </c>
    </row>
    <row r="87" spans="2:16" ht="15" x14ac:dyDescent="0.2">
      <c r="B87" s="691">
        <v>3</v>
      </c>
      <c r="C87" s="681" t="s">
        <v>1004</v>
      </c>
      <c r="D87" s="740">
        <f>IF('Data Sources'!C24="Y",CapEx!O83, 0)</f>
        <v>15000000</v>
      </c>
      <c r="F87" s="745"/>
      <c r="G87" s="749" t="s">
        <v>999</v>
      </c>
      <c r="H87" s="749" t="s">
        <v>999</v>
      </c>
      <c r="I87" s="730" t="s">
        <v>983</v>
      </c>
      <c r="J87" s="737">
        <v>0.5</v>
      </c>
      <c r="K87" s="738">
        <v>0.4</v>
      </c>
      <c r="L87" s="738">
        <v>0.1</v>
      </c>
      <c r="M87" s="692">
        <v>9</v>
      </c>
      <c r="N87" s="715" t="s">
        <v>863</v>
      </c>
      <c r="O87" s="716">
        <v>25000</v>
      </c>
      <c r="P87" s="715" t="s">
        <v>864</v>
      </c>
    </row>
    <row r="88" spans="2:16" ht="15" x14ac:dyDescent="0.2">
      <c r="B88" s="691">
        <v>4</v>
      </c>
      <c r="C88" s="681" t="s">
        <v>1112</v>
      </c>
      <c r="D88" s="785">
        <f>F88</f>
        <v>0</v>
      </c>
      <c r="F88" s="786">
        <v>0</v>
      </c>
      <c r="G88" s="749" t="s">
        <v>999</v>
      </c>
      <c r="H88" s="749" t="s">
        <v>999</v>
      </c>
      <c r="I88" s="730"/>
      <c r="J88" s="737">
        <v>0.5</v>
      </c>
      <c r="K88" s="738">
        <v>0.4</v>
      </c>
      <c r="L88" s="738">
        <v>0.1</v>
      </c>
      <c r="M88" s="692">
        <v>9</v>
      </c>
      <c r="N88" s="715"/>
      <c r="O88" s="716"/>
      <c r="P88" s="715"/>
    </row>
    <row r="89" spans="2:16" ht="15" x14ac:dyDescent="0.2">
      <c r="B89" s="691">
        <v>4</v>
      </c>
      <c r="C89" s="681" t="s">
        <v>88</v>
      </c>
      <c r="D89" s="740">
        <f t="shared" si="41"/>
        <v>50000</v>
      </c>
      <c r="F89" s="741">
        <v>50000</v>
      </c>
      <c r="G89" s="749" t="s">
        <v>1140</v>
      </c>
      <c r="H89" s="749" t="s">
        <v>1140</v>
      </c>
      <c r="I89" s="730" t="s">
        <v>983</v>
      </c>
      <c r="J89" s="737">
        <v>0.5</v>
      </c>
      <c r="K89" s="738">
        <v>0.4</v>
      </c>
      <c r="L89" s="738">
        <v>0.1</v>
      </c>
      <c r="M89" s="692">
        <v>3</v>
      </c>
      <c r="N89" s="715" t="s">
        <v>865</v>
      </c>
      <c r="O89" s="716">
        <v>50000</v>
      </c>
      <c r="P89" s="715" t="s">
        <v>866</v>
      </c>
    </row>
    <row r="90" spans="2:16" ht="30" x14ac:dyDescent="0.2">
      <c r="B90" s="691">
        <v>4</v>
      </c>
      <c r="C90" s="681" t="s">
        <v>88</v>
      </c>
      <c r="D90" s="740">
        <f t="shared" si="41"/>
        <v>50000</v>
      </c>
      <c r="F90" s="741">
        <v>50000</v>
      </c>
      <c r="G90" s="749" t="s">
        <v>1140</v>
      </c>
      <c r="H90" s="749" t="s">
        <v>1140</v>
      </c>
      <c r="I90" s="730" t="s">
        <v>983</v>
      </c>
      <c r="J90" s="737">
        <v>0.5</v>
      </c>
      <c r="K90" s="738">
        <v>0.4</v>
      </c>
      <c r="L90" s="738">
        <v>0.1</v>
      </c>
      <c r="M90" s="692">
        <v>8</v>
      </c>
      <c r="N90" s="715" t="s">
        <v>867</v>
      </c>
      <c r="O90" s="716">
        <v>15000</v>
      </c>
      <c r="P90" s="715" t="s">
        <v>868</v>
      </c>
    </row>
    <row r="91" spans="2:16" ht="30" x14ac:dyDescent="0.2">
      <c r="B91" s="691">
        <v>4</v>
      </c>
      <c r="C91" s="681" t="s">
        <v>1111</v>
      </c>
      <c r="D91" s="740">
        <f>IF(I91="Y",F91,0)</f>
        <v>1500000</v>
      </c>
      <c r="F91" s="741">
        <v>1500000</v>
      </c>
      <c r="G91" s="749" t="s">
        <v>1140</v>
      </c>
      <c r="H91" s="749" t="s">
        <v>1140</v>
      </c>
      <c r="I91" s="730" t="s">
        <v>983</v>
      </c>
      <c r="J91" s="737">
        <v>0.5</v>
      </c>
      <c r="K91" s="738">
        <v>0.4</v>
      </c>
      <c r="L91" s="738">
        <v>0.1</v>
      </c>
      <c r="M91" s="692">
        <v>8</v>
      </c>
      <c r="N91" s="715" t="s">
        <v>869</v>
      </c>
      <c r="O91" s="717">
        <v>60692.85</v>
      </c>
      <c r="P91" s="715" t="s">
        <v>881</v>
      </c>
    </row>
    <row r="92" spans="2:16" ht="15" x14ac:dyDescent="0.2">
      <c r="B92" s="691">
        <v>4</v>
      </c>
      <c r="C92" s="681" t="s">
        <v>89</v>
      </c>
      <c r="D92" s="740">
        <f t="shared" si="41"/>
        <v>100000</v>
      </c>
      <c r="F92" s="741">
        <v>100000</v>
      </c>
      <c r="G92" s="749" t="s">
        <v>1140</v>
      </c>
      <c r="H92" s="749" t="s">
        <v>1140</v>
      </c>
      <c r="I92" s="730" t="s">
        <v>983</v>
      </c>
      <c r="J92" s="737">
        <v>0.5</v>
      </c>
      <c r="K92" s="738">
        <v>0.4</v>
      </c>
      <c r="L92" s="738">
        <v>0.1</v>
      </c>
      <c r="M92" s="692">
        <v>8</v>
      </c>
      <c r="N92" s="715" t="s">
        <v>870</v>
      </c>
      <c r="O92" s="716">
        <v>45000</v>
      </c>
      <c r="P92" s="715" t="s">
        <v>871</v>
      </c>
    </row>
    <row r="93" spans="2:16" ht="15" x14ac:dyDescent="0.2">
      <c r="B93" s="691">
        <v>4</v>
      </c>
      <c r="C93" s="681" t="s">
        <v>215</v>
      </c>
      <c r="D93" s="740">
        <f t="shared" si="41"/>
        <v>380000</v>
      </c>
      <c r="F93" s="741">
        <v>380000</v>
      </c>
      <c r="G93" s="749" t="s">
        <v>1140</v>
      </c>
      <c r="H93" s="749" t="s">
        <v>1140</v>
      </c>
      <c r="I93" s="730" t="s">
        <v>983</v>
      </c>
      <c r="J93" s="737">
        <v>0.5</v>
      </c>
      <c r="K93" s="738">
        <v>0.4</v>
      </c>
      <c r="L93" s="738">
        <v>0.1</v>
      </c>
      <c r="M93" s="692">
        <v>5</v>
      </c>
      <c r="N93" s="715" t="s">
        <v>879</v>
      </c>
      <c r="O93" s="716">
        <v>125000</v>
      </c>
      <c r="P93" s="715" t="s">
        <v>880</v>
      </c>
    </row>
    <row r="94" spans="2:16" ht="18" customHeight="1" x14ac:dyDescent="0.2">
      <c r="B94" s="691">
        <v>4</v>
      </c>
      <c r="C94" s="681" t="s">
        <v>90</v>
      </c>
      <c r="D94" s="740">
        <f t="shared" si="41"/>
        <v>160000</v>
      </c>
      <c r="F94" s="741">
        <v>160000</v>
      </c>
      <c r="G94" s="749" t="s">
        <v>1140</v>
      </c>
      <c r="H94" s="749" t="s">
        <v>1140</v>
      </c>
      <c r="I94" s="730" t="s">
        <v>983</v>
      </c>
      <c r="J94" s="737">
        <v>0.5</v>
      </c>
      <c r="K94" s="738">
        <v>0.4</v>
      </c>
      <c r="L94" s="738">
        <v>0.1</v>
      </c>
      <c r="M94" s="692">
        <v>3</v>
      </c>
      <c r="N94" s="715" t="s">
        <v>882</v>
      </c>
      <c r="O94" s="716">
        <v>125000</v>
      </c>
      <c r="P94" s="715" t="s">
        <v>883</v>
      </c>
    </row>
    <row r="95" spans="2:16" ht="28.5" customHeight="1" x14ac:dyDescent="0.2">
      <c r="B95" s="691">
        <v>5</v>
      </c>
      <c r="C95" s="681" t="s">
        <v>427</v>
      </c>
      <c r="D95" s="740">
        <f t="shared" si="41"/>
        <v>150000</v>
      </c>
      <c r="F95" s="741">
        <v>150000</v>
      </c>
      <c r="G95" s="749" t="s">
        <v>1138</v>
      </c>
      <c r="H95" s="749" t="s">
        <v>1138</v>
      </c>
      <c r="I95" s="730" t="s">
        <v>983</v>
      </c>
      <c r="J95" s="737">
        <v>0.5</v>
      </c>
      <c r="K95" s="738">
        <v>0.4</v>
      </c>
      <c r="L95" s="738">
        <v>0.1</v>
      </c>
      <c r="M95" s="692">
        <v>8</v>
      </c>
      <c r="N95" s="715" t="s">
        <v>872</v>
      </c>
      <c r="O95" s="716">
        <v>400000</v>
      </c>
      <c r="P95" s="715" t="s">
        <v>873</v>
      </c>
    </row>
    <row r="96" spans="2:16" ht="15" x14ac:dyDescent="0.2">
      <c r="B96" s="691">
        <v>5</v>
      </c>
      <c r="C96" s="681" t="s">
        <v>301</v>
      </c>
      <c r="D96" s="740">
        <f t="shared" si="41"/>
        <v>300000</v>
      </c>
      <c r="F96" s="741">
        <v>300000</v>
      </c>
      <c r="G96" s="749" t="s">
        <v>1138</v>
      </c>
      <c r="H96" s="749" t="s">
        <v>1138</v>
      </c>
      <c r="I96" s="730" t="s">
        <v>983</v>
      </c>
      <c r="J96" s="737">
        <v>0.5</v>
      </c>
      <c r="K96" s="738">
        <v>0.4</v>
      </c>
      <c r="L96" s="738">
        <v>0.1</v>
      </c>
      <c r="M96" s="692">
        <v>5</v>
      </c>
      <c r="N96" s="718" t="s">
        <v>874</v>
      </c>
      <c r="O96" s="719">
        <f>SUM(O87:O95)</f>
        <v>845692.85</v>
      </c>
      <c r="P96" s="720"/>
    </row>
    <row r="97" spans="2:13" x14ac:dyDescent="0.2">
      <c r="B97" s="691">
        <v>5</v>
      </c>
      <c r="C97" s="681" t="s">
        <v>91</v>
      </c>
      <c r="D97" s="740">
        <f t="shared" ref="D97:D98" si="42">IF(I97="N",F97,0)</f>
        <v>300000</v>
      </c>
      <c r="F97" s="741">
        <v>300000</v>
      </c>
      <c r="G97" s="749" t="s">
        <v>1138</v>
      </c>
      <c r="H97" s="749" t="s">
        <v>1138</v>
      </c>
      <c r="I97" s="729" t="s">
        <v>969</v>
      </c>
      <c r="J97" s="737">
        <v>0.5</v>
      </c>
      <c r="K97" s="738">
        <v>0.4</v>
      </c>
      <c r="L97" s="738">
        <v>0.1</v>
      </c>
      <c r="M97" s="692">
        <v>5</v>
      </c>
    </row>
    <row r="98" spans="2:13" x14ac:dyDescent="0.2">
      <c r="B98" s="691">
        <v>5</v>
      </c>
      <c r="C98" s="681" t="s">
        <v>302</v>
      </c>
      <c r="D98" s="740">
        <f t="shared" si="42"/>
        <v>418100</v>
      </c>
      <c r="F98" s="741">
        <v>418100</v>
      </c>
      <c r="G98" s="749" t="s">
        <v>995</v>
      </c>
      <c r="H98" s="749"/>
      <c r="I98" s="729" t="s">
        <v>969</v>
      </c>
      <c r="J98" s="737">
        <v>0.5</v>
      </c>
      <c r="K98" s="738">
        <v>0.4</v>
      </c>
      <c r="L98" s="738">
        <v>0.1</v>
      </c>
      <c r="M98" s="692">
        <v>5</v>
      </c>
    </row>
    <row r="99" spans="2:13" x14ac:dyDescent="0.2">
      <c r="B99" s="691">
        <v>5</v>
      </c>
      <c r="C99" s="681" t="s">
        <v>216</v>
      </c>
      <c r="D99" s="740">
        <f t="shared" ref="D99:D104" si="43">IF(I99="Y",F99,0)</f>
        <v>1200000</v>
      </c>
      <c r="F99" s="741">
        <v>1200000</v>
      </c>
      <c r="G99" s="749" t="s">
        <v>1138</v>
      </c>
      <c r="H99" s="749" t="s">
        <v>1138</v>
      </c>
      <c r="I99" s="730" t="s">
        <v>983</v>
      </c>
      <c r="J99" s="737">
        <v>0.5</v>
      </c>
      <c r="K99" s="738">
        <v>0.4</v>
      </c>
      <c r="L99" s="738">
        <v>0.1</v>
      </c>
      <c r="M99" s="692">
        <v>5</v>
      </c>
    </row>
    <row r="100" spans="2:13" x14ac:dyDescent="0.2">
      <c r="B100" s="691">
        <v>5</v>
      </c>
      <c r="C100" s="681" t="s">
        <v>217</v>
      </c>
      <c r="D100" s="740">
        <f t="shared" si="43"/>
        <v>300000</v>
      </c>
      <c r="F100" s="741">
        <v>300000</v>
      </c>
      <c r="G100" s="749" t="s">
        <v>1138</v>
      </c>
      <c r="H100" s="749" t="s">
        <v>1138</v>
      </c>
      <c r="I100" s="730" t="s">
        <v>983</v>
      </c>
      <c r="J100" s="737">
        <v>0.5</v>
      </c>
      <c r="K100" s="738">
        <v>0.4</v>
      </c>
      <c r="L100" s="738">
        <v>0.1</v>
      </c>
      <c r="M100" s="692">
        <v>5</v>
      </c>
    </row>
    <row r="101" spans="2:13" x14ac:dyDescent="0.2">
      <c r="B101" s="691">
        <v>5</v>
      </c>
      <c r="C101" s="681" t="s">
        <v>809</v>
      </c>
      <c r="D101" s="740">
        <f t="shared" si="43"/>
        <v>836200</v>
      </c>
      <c r="F101" s="741">
        <v>836200</v>
      </c>
      <c r="G101" s="749" t="s">
        <v>995</v>
      </c>
      <c r="H101" s="749"/>
      <c r="I101" s="730" t="s">
        <v>983</v>
      </c>
      <c r="J101" s="737">
        <v>0.5</v>
      </c>
      <c r="K101" s="738">
        <v>0.4</v>
      </c>
      <c r="L101" s="738">
        <v>0.1</v>
      </c>
      <c r="M101" s="692">
        <v>5</v>
      </c>
    </row>
    <row r="102" spans="2:13" x14ac:dyDescent="0.2">
      <c r="B102" s="691">
        <v>5</v>
      </c>
      <c r="C102" s="681" t="s">
        <v>534</v>
      </c>
      <c r="D102" s="740">
        <f t="shared" si="43"/>
        <v>15000000</v>
      </c>
      <c r="F102" s="741">
        <v>15000000</v>
      </c>
      <c r="G102" s="749" t="s">
        <v>999</v>
      </c>
      <c r="H102" s="749"/>
      <c r="I102" s="730" t="s">
        <v>983</v>
      </c>
      <c r="J102" s="737">
        <v>0.5</v>
      </c>
      <c r="K102" s="738">
        <v>0.4</v>
      </c>
      <c r="L102" s="738">
        <v>0.1</v>
      </c>
      <c r="M102" s="692">
        <v>5</v>
      </c>
    </row>
    <row r="103" spans="2:13" x14ac:dyDescent="0.2">
      <c r="B103" s="691">
        <v>5</v>
      </c>
      <c r="C103" s="681" t="s">
        <v>92</v>
      </c>
      <c r="D103" s="740">
        <f t="shared" si="43"/>
        <v>2500000</v>
      </c>
      <c r="F103" s="741">
        <v>2500000</v>
      </c>
      <c r="G103" s="749" t="s">
        <v>1005</v>
      </c>
      <c r="H103" s="749" t="s">
        <v>1005</v>
      </c>
      <c r="I103" s="730" t="s">
        <v>983</v>
      </c>
      <c r="J103" s="737">
        <v>0.5</v>
      </c>
      <c r="K103" s="738">
        <v>0.4</v>
      </c>
      <c r="L103" s="738">
        <v>0.1</v>
      </c>
      <c r="M103" s="692">
        <v>2</v>
      </c>
    </row>
    <row r="104" spans="2:13" ht="25.5" x14ac:dyDescent="0.2">
      <c r="B104" s="691">
        <v>5</v>
      </c>
      <c r="C104" s="681" t="s">
        <v>93</v>
      </c>
      <c r="D104" s="740">
        <f t="shared" si="43"/>
        <v>21000000</v>
      </c>
      <c r="E104" s="681" t="s">
        <v>875</v>
      </c>
      <c r="F104" s="741">
        <v>21000000</v>
      </c>
      <c r="G104" s="749" t="s">
        <v>1138</v>
      </c>
      <c r="H104" s="749" t="s">
        <v>1138</v>
      </c>
      <c r="I104" s="730" t="s">
        <v>983</v>
      </c>
      <c r="J104" s="737">
        <v>0.5</v>
      </c>
      <c r="K104" s="738">
        <v>0.4</v>
      </c>
      <c r="L104" s="738">
        <v>0.1</v>
      </c>
      <c r="M104" s="692">
        <v>8</v>
      </c>
    </row>
    <row r="105" spans="2:13" x14ac:dyDescent="0.2">
      <c r="B105" s="691">
        <v>5</v>
      </c>
      <c r="C105" s="681" t="s">
        <v>859</v>
      </c>
      <c r="D105" s="740">
        <f t="shared" ref="D105" si="44">IF(I105="N",F105,0)</f>
        <v>4228464.25</v>
      </c>
      <c r="F105" s="741">
        <f>SUM(5 *O96)</f>
        <v>4228464.25</v>
      </c>
      <c r="G105" s="749" t="s">
        <v>1138</v>
      </c>
      <c r="H105" s="749" t="s">
        <v>1138</v>
      </c>
      <c r="I105" s="729" t="s">
        <v>969</v>
      </c>
      <c r="J105" s="737">
        <v>0.5</v>
      </c>
      <c r="K105" s="738">
        <v>0.4</v>
      </c>
      <c r="L105" s="738">
        <v>0.1</v>
      </c>
      <c r="M105" s="692">
        <v>8</v>
      </c>
    </row>
    <row r="106" spans="2:13" x14ac:dyDescent="0.2">
      <c r="B106" s="721"/>
      <c r="C106" s="721" t="s">
        <v>95</v>
      </c>
      <c r="D106" s="743">
        <f>SUM(D10:D105)</f>
        <v>232325588.32999998</v>
      </c>
      <c r="F106" s="745"/>
      <c r="G106" s="749" t="s">
        <v>266</v>
      </c>
      <c r="H106" s="749"/>
      <c r="I106" s="729"/>
      <c r="J106" s="734"/>
    </row>
    <row r="107" spans="2:13" x14ac:dyDescent="0.2">
      <c r="B107" s="691"/>
      <c r="D107" s="744"/>
      <c r="F107" s="745"/>
      <c r="G107" s="749" t="s">
        <v>266</v>
      </c>
      <c r="H107" s="749"/>
      <c r="I107" s="729"/>
      <c r="J107" s="734"/>
    </row>
    <row r="108" spans="2:13" x14ac:dyDescent="0.2">
      <c r="B108" s="691">
        <v>6</v>
      </c>
      <c r="C108" s="681" t="s">
        <v>265</v>
      </c>
      <c r="D108" s="744">
        <f>D106*E108</f>
        <v>9293023.5331999995</v>
      </c>
      <c r="E108" s="722">
        <v>0.04</v>
      </c>
      <c r="F108" s="752"/>
      <c r="G108" s="749" t="s">
        <v>995</v>
      </c>
      <c r="H108" s="753"/>
      <c r="I108" s="731"/>
      <c r="J108" s="735"/>
      <c r="K108" s="723"/>
      <c r="L108" s="723"/>
      <c r="M108" s="723"/>
    </row>
    <row r="109" spans="2:13" x14ac:dyDescent="0.2">
      <c r="B109" s="691">
        <v>6</v>
      </c>
      <c r="C109" s="681" t="s">
        <v>264</v>
      </c>
      <c r="D109" s="744">
        <f>D106*E109</f>
        <v>6969767.6498999996</v>
      </c>
      <c r="E109" s="722">
        <v>0.03</v>
      </c>
      <c r="F109" s="752"/>
      <c r="G109" s="749" t="s">
        <v>1006</v>
      </c>
      <c r="H109" s="749" t="s">
        <v>1006</v>
      </c>
      <c r="I109" s="731"/>
      <c r="J109" s="735"/>
      <c r="K109" s="723"/>
      <c r="L109" s="723"/>
      <c r="M109" s="723"/>
    </row>
    <row r="110" spans="2:13" x14ac:dyDescent="0.2">
      <c r="B110" s="691">
        <v>6</v>
      </c>
      <c r="C110" s="681" t="s">
        <v>407</v>
      </c>
      <c r="D110" s="744">
        <f>SUM((D105 + D96+D97+D99) * E110)</f>
        <v>361707.85499999998</v>
      </c>
      <c r="E110" s="722">
        <v>0.06</v>
      </c>
      <c r="F110" s="752"/>
      <c r="G110" s="749" t="s">
        <v>995</v>
      </c>
      <c r="H110" s="753"/>
      <c r="I110" s="731"/>
      <c r="J110" s="735"/>
      <c r="K110" s="723"/>
      <c r="L110" s="723"/>
      <c r="M110" s="723"/>
    </row>
    <row r="111" spans="2:13" x14ac:dyDescent="0.2">
      <c r="B111" s="691">
        <v>6</v>
      </c>
      <c r="C111" s="681" t="s">
        <v>1071</v>
      </c>
      <c r="D111" s="744">
        <f>SUM((D106 - D105 - D99- D96-D97) * E111)</f>
        <v>1131485.6203999999</v>
      </c>
      <c r="E111" s="722">
        <v>5.0000000000000001E-3</v>
      </c>
      <c r="F111" s="752"/>
      <c r="G111" s="749" t="s">
        <v>1006</v>
      </c>
      <c r="H111" s="749" t="s">
        <v>1006</v>
      </c>
      <c r="I111" s="731"/>
      <c r="J111" s="735"/>
      <c r="K111" s="723"/>
      <c r="L111" s="723"/>
      <c r="M111" s="723"/>
    </row>
    <row r="112" spans="2:13" x14ac:dyDescent="0.2">
      <c r="B112" s="691">
        <v>6</v>
      </c>
      <c r="C112" s="681" t="s">
        <v>244</v>
      </c>
      <c r="D112" s="744">
        <f>D106*E112</f>
        <v>4646511.7665999997</v>
      </c>
      <c r="E112" s="722">
        <v>0.02</v>
      </c>
      <c r="F112" s="752"/>
      <c r="G112" s="749" t="s">
        <v>995</v>
      </c>
      <c r="H112" s="753" t="s">
        <v>1005</v>
      </c>
      <c r="I112" s="731"/>
      <c r="J112" s="735"/>
      <c r="K112" s="723"/>
      <c r="L112" s="723"/>
      <c r="M112" s="723"/>
    </row>
    <row r="113" spans="2:13" x14ac:dyDescent="0.2">
      <c r="B113" s="721"/>
      <c r="C113" s="721" t="s">
        <v>95</v>
      </c>
      <c r="D113" s="743">
        <f>SUM(D106:D112)</f>
        <v>254728084.75509998</v>
      </c>
      <c r="F113" s="745"/>
      <c r="G113" s="745"/>
      <c r="H113" s="745"/>
      <c r="I113" s="729"/>
      <c r="J113" s="734"/>
    </row>
    <row r="114" spans="2:13" x14ac:dyDescent="0.2">
      <c r="D114" s="745"/>
      <c r="F114" s="745"/>
      <c r="G114" s="745"/>
      <c r="H114" s="745"/>
      <c r="I114" s="729"/>
      <c r="J114" s="734"/>
    </row>
    <row r="115" spans="2:13" x14ac:dyDescent="0.2">
      <c r="C115" s="683" t="s">
        <v>15</v>
      </c>
      <c r="D115" s="742" t="s">
        <v>182</v>
      </c>
      <c r="F115" s="745"/>
      <c r="G115" s="745"/>
      <c r="H115" s="745"/>
      <c r="I115" s="729"/>
      <c r="J115" s="734"/>
    </row>
    <row r="116" spans="2:13" x14ac:dyDescent="0.2">
      <c r="C116" s="681" t="s">
        <v>79</v>
      </c>
      <c r="D116" s="744">
        <f>D11</f>
        <v>1203500</v>
      </c>
      <c r="F116" s="745"/>
      <c r="G116" s="745"/>
      <c r="H116" s="745"/>
      <c r="I116" s="729"/>
      <c r="J116" s="734"/>
    </row>
    <row r="117" spans="2:13" x14ac:dyDescent="0.2">
      <c r="C117" s="681" t="s">
        <v>183</v>
      </c>
      <c r="D117" s="744">
        <f>D16</f>
        <v>2685974</v>
      </c>
      <c r="F117" s="745"/>
      <c r="G117" s="745"/>
      <c r="H117" s="745"/>
      <c r="I117" s="729"/>
      <c r="J117" s="734"/>
    </row>
    <row r="118" spans="2:13" x14ac:dyDescent="0.2">
      <c r="C118" s="681" t="s">
        <v>184</v>
      </c>
      <c r="D118" s="744">
        <f>D10+D18+D19+D35</f>
        <v>2537129.0099999998</v>
      </c>
      <c r="F118" s="745"/>
      <c r="G118" s="745"/>
      <c r="H118" s="745"/>
      <c r="I118" s="729"/>
      <c r="J118" s="734"/>
    </row>
    <row r="119" spans="2:13" x14ac:dyDescent="0.2">
      <c r="C119" s="681" t="s">
        <v>185</v>
      </c>
      <c r="D119" s="744">
        <f>D26+D33</f>
        <v>1245643.2</v>
      </c>
      <c r="F119" s="745"/>
      <c r="G119" s="745"/>
      <c r="H119" s="745"/>
      <c r="I119" s="729"/>
      <c r="J119" s="734"/>
    </row>
    <row r="120" spans="2:13" x14ac:dyDescent="0.2">
      <c r="C120" s="681" t="s">
        <v>186</v>
      </c>
      <c r="D120" s="744">
        <f>D45</f>
        <v>1148000</v>
      </c>
      <c r="F120" s="745"/>
      <c r="G120" s="745"/>
      <c r="H120" s="745"/>
      <c r="I120" s="729"/>
      <c r="J120" s="734"/>
    </row>
    <row r="121" spans="2:13" x14ac:dyDescent="0.2">
      <c r="C121" s="681" t="s">
        <v>187</v>
      </c>
      <c r="D121" s="744">
        <f>SUM(D46:D60)</f>
        <v>80600000</v>
      </c>
      <c r="F121" s="745"/>
      <c r="G121" s="745"/>
      <c r="H121" s="745"/>
      <c r="I121" s="729"/>
      <c r="J121" s="734"/>
    </row>
    <row r="122" spans="2:13" x14ac:dyDescent="0.2">
      <c r="C122" s="681" t="s">
        <v>196</v>
      </c>
      <c r="D122" s="744">
        <f>SUM(D65+D66+D68+D77+D79+D80+D81+D82+D83)</f>
        <v>18300100</v>
      </c>
      <c r="F122" s="745"/>
      <c r="G122" s="745"/>
      <c r="H122" s="745"/>
      <c r="I122" s="729"/>
      <c r="J122" s="734"/>
    </row>
    <row r="123" spans="2:13" x14ac:dyDescent="0.2">
      <c r="C123" s="681" t="s">
        <v>188</v>
      </c>
      <c r="D123" s="744">
        <f>D67</f>
        <v>2063400</v>
      </c>
      <c r="F123" s="745"/>
      <c r="G123" s="745"/>
      <c r="H123" s="745"/>
      <c r="I123" s="729"/>
      <c r="J123" s="734"/>
    </row>
    <row r="124" spans="2:13" x14ac:dyDescent="0.2">
      <c r="C124" s="681" t="s">
        <v>175</v>
      </c>
      <c r="D124" s="744">
        <f>D78</f>
        <v>16000000</v>
      </c>
      <c r="F124" s="745"/>
      <c r="G124" s="745"/>
      <c r="H124" s="745"/>
      <c r="I124" s="729"/>
      <c r="J124" s="734"/>
    </row>
    <row r="125" spans="2:13" x14ac:dyDescent="0.2">
      <c r="C125" s="681" t="s">
        <v>189</v>
      </c>
      <c r="D125" s="744">
        <f>SUM(D96:D105)</f>
        <v>46082764.25</v>
      </c>
      <c r="F125" s="745"/>
      <c r="G125" s="745"/>
      <c r="H125" s="745"/>
      <c r="I125" s="729"/>
      <c r="J125" s="734"/>
    </row>
    <row r="126" spans="2:13" x14ac:dyDescent="0.2">
      <c r="C126" s="681" t="s">
        <v>190</v>
      </c>
      <c r="D126" s="744">
        <f>SUM(D89:D94)</f>
        <v>2240000</v>
      </c>
      <c r="F126" s="745"/>
      <c r="G126" s="745"/>
      <c r="H126" s="745"/>
      <c r="I126" s="729"/>
      <c r="J126" s="734"/>
    </row>
    <row r="127" spans="2:13" x14ac:dyDescent="0.2">
      <c r="C127" s="681" t="s">
        <v>27</v>
      </c>
      <c r="D127" s="744">
        <f>SUM(D128-E127)</f>
        <v>58219077.869999975</v>
      </c>
      <c r="E127" s="706">
        <f>SUM(D116:D126)</f>
        <v>174106510.46000001</v>
      </c>
      <c r="F127" s="744"/>
      <c r="G127" s="744"/>
      <c r="H127" s="744"/>
      <c r="I127" s="732"/>
      <c r="J127" s="736"/>
      <c r="K127" s="725"/>
      <c r="L127" s="725"/>
      <c r="M127" s="725"/>
    </row>
    <row r="128" spans="2:13" x14ac:dyDescent="0.2">
      <c r="C128" s="726" t="s">
        <v>95</v>
      </c>
      <c r="D128" s="746">
        <f>D106</f>
        <v>232325588.32999998</v>
      </c>
      <c r="F128" s="745"/>
      <c r="G128" s="745"/>
      <c r="H128" s="745"/>
      <c r="I128" s="729"/>
      <c r="J128" s="734"/>
    </row>
    <row r="129" spans="3:10" x14ac:dyDescent="0.2">
      <c r="D129" s="745"/>
      <c r="F129" s="745"/>
      <c r="G129" s="745"/>
      <c r="H129" s="745"/>
      <c r="I129" s="729"/>
      <c r="J129" s="734"/>
    </row>
    <row r="130" spans="3:10" x14ac:dyDescent="0.2">
      <c r="C130" s="681" t="str">
        <f>C108</f>
        <v>Engineering Expense</v>
      </c>
      <c r="D130" s="747">
        <f>D108</f>
        <v>9293023.5331999995</v>
      </c>
      <c r="F130" s="745"/>
      <c r="G130" s="745"/>
      <c r="H130" s="745"/>
      <c r="I130" s="729"/>
      <c r="J130" s="734"/>
    </row>
    <row r="131" spans="3:10" x14ac:dyDescent="0.2">
      <c r="C131" s="681" t="str">
        <f>C109</f>
        <v>Contingency</v>
      </c>
      <c r="D131" s="747">
        <f>D109</f>
        <v>6969767.6498999996</v>
      </c>
      <c r="F131" s="745"/>
      <c r="G131" s="745"/>
      <c r="H131" s="745"/>
      <c r="I131" s="729"/>
      <c r="J131" s="734"/>
    </row>
    <row r="132" spans="3:10" x14ac:dyDescent="0.2">
      <c r="C132" s="681" t="str">
        <f t="shared" ref="C132:D134" si="45">C111</f>
        <v xml:space="preserve">CREC Top-CO Procurement Fee </v>
      </c>
      <c r="D132" s="747">
        <f t="shared" si="45"/>
        <v>1131485.6203999999</v>
      </c>
      <c r="F132" s="745"/>
      <c r="G132" s="745"/>
      <c r="H132" s="745"/>
      <c r="I132" s="729"/>
      <c r="J132" s="734"/>
    </row>
    <row r="133" spans="3:10" x14ac:dyDescent="0.2">
      <c r="C133" s="681" t="str">
        <f t="shared" si="45"/>
        <v xml:space="preserve">Installation cost not quoted </v>
      </c>
      <c r="D133" s="747">
        <f t="shared" si="45"/>
        <v>4646511.7665999997</v>
      </c>
      <c r="F133" s="745"/>
      <c r="G133" s="745"/>
      <c r="H133" s="745"/>
      <c r="I133" s="729"/>
      <c r="J133" s="734"/>
    </row>
    <row r="134" spans="3:10" x14ac:dyDescent="0.2">
      <c r="C134" s="727" t="str">
        <f t="shared" si="45"/>
        <v>Total Capital Expenditures</v>
      </c>
      <c r="D134" s="748">
        <f t="shared" si="45"/>
        <v>254728084.75509998</v>
      </c>
      <c r="F134" s="745"/>
      <c r="G134" s="745"/>
      <c r="H134" s="745"/>
      <c r="I134" s="729"/>
      <c r="J134" s="734"/>
    </row>
    <row r="135" spans="3:10" x14ac:dyDescent="0.2">
      <c r="F135" s="745"/>
      <c r="G135" s="745"/>
      <c r="H135" s="745"/>
      <c r="I135" s="745"/>
    </row>
    <row r="136" spans="3:10" x14ac:dyDescent="0.2">
      <c r="E136" s="681">
        <f>SUM(60/245)</f>
        <v>0.24489795918367346</v>
      </c>
      <c r="F136" s="745"/>
      <c r="G136" s="745"/>
      <c r="H136" s="745"/>
      <c r="I136" s="745"/>
    </row>
  </sheetData>
  <mergeCells count="10">
    <mergeCell ref="A1:B7"/>
    <mergeCell ref="F5:I8"/>
    <mergeCell ref="J8:L8"/>
    <mergeCell ref="N9:P9"/>
    <mergeCell ref="R9:V9"/>
    <mergeCell ref="R23:T23"/>
    <mergeCell ref="U23:W23"/>
    <mergeCell ref="N85:P85"/>
    <mergeCell ref="N80:P80"/>
    <mergeCell ref="N68:P6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B2BC-FC88-4F2A-A303-8B2BD56EC1BE}">
  <sheetPr>
    <tabColor rgb="FF00B050"/>
  </sheetPr>
  <dimension ref="B2:AA99"/>
  <sheetViews>
    <sheetView topLeftCell="B1" zoomScaleNormal="100" workbookViewId="0">
      <pane xSplit="6990" ySplit="810" topLeftCell="B75" activePane="bottomRight"/>
      <selection activeCell="Z89" sqref="Z89"/>
      <selection pane="topRight" activeCell="C2" sqref="C2"/>
      <selection pane="bottomLeft" activeCell="D41" sqref="D41"/>
      <selection pane="bottomRight" activeCell="B113" sqref="B113"/>
    </sheetView>
  </sheetViews>
  <sheetFormatPr defaultColWidth="9.140625" defaultRowHeight="12.75" x14ac:dyDescent="0.2"/>
  <cols>
    <col min="1" max="1" width="0" style="1" hidden="1" customWidth="1"/>
    <col min="2" max="2" width="36.7109375" style="1" bestFit="1" customWidth="1"/>
    <col min="3" max="3" width="12.28515625" style="1" customWidth="1"/>
    <col min="4" max="4" width="13.85546875" style="1" customWidth="1"/>
    <col min="5" max="5" width="14" style="1" customWidth="1"/>
    <col min="6" max="6" width="13.42578125" style="1" bestFit="1" customWidth="1"/>
    <col min="7" max="7" width="14" style="1" customWidth="1"/>
    <col min="8" max="8" width="13" style="1" customWidth="1"/>
    <col min="9" max="9" width="14.28515625" style="1" customWidth="1"/>
    <col min="10" max="10" width="14.140625" style="1" customWidth="1"/>
    <col min="11" max="11" width="13.28515625" style="1" customWidth="1"/>
    <col min="12" max="12" width="13.85546875" style="1" customWidth="1"/>
    <col min="13" max="13" width="14.140625" style="1" customWidth="1"/>
    <col min="14" max="14" width="12.5703125" style="1" customWidth="1"/>
    <col min="15" max="15" width="13" style="1" customWidth="1"/>
    <col min="16" max="16" width="12.28515625" style="1" customWidth="1"/>
    <col min="17" max="17" width="12.42578125" style="1" customWidth="1"/>
    <col min="18" max="18" width="13.5703125" style="1" customWidth="1"/>
    <col min="19" max="19" width="14.28515625" style="1" customWidth="1"/>
    <col min="20" max="20" width="13.85546875" style="1" customWidth="1"/>
    <col min="21" max="21" width="12.85546875" style="1" customWidth="1"/>
    <col min="22" max="22" width="11.7109375" style="1" customWidth="1"/>
    <col min="23" max="23" width="13.28515625" style="1" customWidth="1"/>
    <col min="24" max="24" width="14.140625" style="1" customWidth="1"/>
    <col min="25" max="25" width="12" style="1" customWidth="1"/>
    <col min="26" max="26" width="15.7109375" style="1" customWidth="1"/>
    <col min="27" max="27" width="14.42578125" style="1" bestFit="1" customWidth="1"/>
    <col min="28" max="16384" width="9.140625" style="1"/>
  </cols>
  <sheetData>
    <row r="2" spans="2:25" s="130" customFormat="1" x14ac:dyDescent="0.25">
      <c r="C2" s="131">
        <f>Financials!C5</f>
        <v>2026</v>
      </c>
      <c r="D2" s="131">
        <f>SUM(C2+1)</f>
        <v>2027</v>
      </c>
      <c r="E2" s="131">
        <f t="shared" ref="E2:G2" si="0">SUM(D2+1)</f>
        <v>2028</v>
      </c>
      <c r="F2" s="131">
        <f t="shared" si="0"/>
        <v>2029</v>
      </c>
      <c r="G2" s="131">
        <f t="shared" si="0"/>
        <v>2030</v>
      </c>
      <c r="H2" s="131">
        <f t="shared" ref="H2:I2" si="1">SUM(G2+1)</f>
        <v>2031</v>
      </c>
      <c r="I2" s="131">
        <f t="shared" si="1"/>
        <v>2032</v>
      </c>
      <c r="J2" s="131">
        <f t="shared" ref="J2:K2" si="2">SUM(I2+1)</f>
        <v>2033</v>
      </c>
      <c r="K2" s="131">
        <f t="shared" si="2"/>
        <v>2034</v>
      </c>
      <c r="L2" s="131">
        <f t="shared" ref="L2:M2" si="3">SUM(K2+1)</f>
        <v>2035</v>
      </c>
      <c r="M2" s="131">
        <f t="shared" si="3"/>
        <v>2036</v>
      </c>
      <c r="N2" s="131">
        <f t="shared" ref="N2:O2" si="4">SUM(M2+1)</f>
        <v>2037</v>
      </c>
      <c r="O2" s="131">
        <f t="shared" si="4"/>
        <v>2038</v>
      </c>
      <c r="P2" s="131">
        <f t="shared" ref="P2:Q2" si="5">SUM(O2+1)</f>
        <v>2039</v>
      </c>
      <c r="Q2" s="131">
        <f t="shared" si="5"/>
        <v>2040</v>
      </c>
      <c r="R2" s="131">
        <f t="shared" ref="R2:S2" si="6">SUM(Q2+1)</f>
        <v>2041</v>
      </c>
      <c r="S2" s="131">
        <f t="shared" si="6"/>
        <v>2042</v>
      </c>
      <c r="T2" s="131">
        <f t="shared" ref="T2:U2" si="7">SUM(S2+1)</f>
        <v>2043</v>
      </c>
      <c r="U2" s="131">
        <f t="shared" si="7"/>
        <v>2044</v>
      </c>
      <c r="V2" s="131">
        <f t="shared" ref="V2:W2" si="8">SUM(U2+1)</f>
        <v>2045</v>
      </c>
      <c r="W2" s="131">
        <f t="shared" si="8"/>
        <v>2046</v>
      </c>
      <c r="X2" s="131">
        <f t="shared" ref="X2:Y2" si="9">SUM(W2+1)</f>
        <v>2047</v>
      </c>
      <c r="Y2" s="131">
        <f t="shared" si="9"/>
        <v>2048</v>
      </c>
    </row>
    <row r="3" spans="2:25" x14ac:dyDescent="0.2">
      <c r="C3" s="16"/>
      <c r="D3" s="16"/>
      <c r="E3" s="16"/>
      <c r="F3" s="16"/>
      <c r="G3" s="16"/>
      <c r="H3" s="16"/>
      <c r="I3" s="16"/>
      <c r="J3" s="16"/>
      <c r="K3" s="16"/>
      <c r="L3" s="16"/>
      <c r="M3" s="16"/>
      <c r="N3" s="16"/>
      <c r="O3" s="16"/>
      <c r="P3" s="16"/>
      <c r="Q3" s="16"/>
      <c r="R3" s="16"/>
      <c r="S3" s="16"/>
      <c r="T3" s="16"/>
      <c r="U3" s="16"/>
      <c r="V3" s="16"/>
      <c r="W3" s="16"/>
      <c r="X3" s="16"/>
      <c r="Y3" s="16"/>
    </row>
    <row r="4" spans="2:25" x14ac:dyDescent="0.2">
      <c r="B4" s="3" t="s">
        <v>72</v>
      </c>
    </row>
    <row r="5" spans="2:25" x14ac:dyDescent="0.2">
      <c r="B5" s="22" t="str">
        <f>Financials!B12</f>
        <v>Income Power</v>
      </c>
      <c r="C5" s="18">
        <f>SUM(Financials!C12:N12)</f>
        <v>0</v>
      </c>
      <c r="D5" s="18">
        <f>SUM(Financials!O12:Z12)</f>
        <v>0</v>
      </c>
      <c r="E5" s="18">
        <f>SUM(Financials!AA12:AL12)</f>
        <v>16398976.114098672</v>
      </c>
      <c r="F5" s="18">
        <f>SUM(Financials!AM12:AX12)</f>
        <v>21765913.751440059</v>
      </c>
      <c r="G5" s="18">
        <f>SUM(Financials!AY12:BJ12)</f>
        <v>21825546.391854964</v>
      </c>
      <c r="H5" s="18">
        <f>SUM(Financials!BK12:BV12)</f>
        <v>21765913.751440059</v>
      </c>
      <c r="I5" s="18">
        <f>SUM(Financials!BW12:CH12)</f>
        <v>21765913.751440059</v>
      </c>
      <c r="J5" s="18">
        <f>SUM(Financials!CI12:CT12)</f>
        <v>21765913.751440059</v>
      </c>
      <c r="K5" s="18">
        <f>SUM(Financials!CU12:DF12)</f>
        <v>21765913.751440059</v>
      </c>
      <c r="L5" s="18">
        <f>SUM(Financials!DG12:DR12)</f>
        <v>21765913.751440059</v>
      </c>
      <c r="M5" s="18">
        <f>SUM(Financials!DS12:ED12)</f>
        <v>21765913.751440059</v>
      </c>
      <c r="N5" s="18">
        <f>SUM(Financials!EE12:EP12)</f>
        <v>21765913.751440059</v>
      </c>
      <c r="O5" s="18">
        <f>SUM(Financials!EQ12:FB12)</f>
        <v>21765913.751440059</v>
      </c>
      <c r="P5" s="18">
        <f>SUM(Financials!FC12:FN12)</f>
        <v>21765913.751440059</v>
      </c>
      <c r="Q5" s="18">
        <f>SUM(Financials!FO12:FZ12)</f>
        <v>21765913.751440059</v>
      </c>
      <c r="R5" s="18">
        <f>SUM(Financials!GA12:GL12)</f>
        <v>21765913.751440059</v>
      </c>
      <c r="S5" s="18">
        <f>SUM(Financials!GM12:GX12)</f>
        <v>21765913.751440059</v>
      </c>
      <c r="T5" s="18">
        <f>SUM(Financials!GY12:HJ12)</f>
        <v>21765913.751440059</v>
      </c>
      <c r="U5" s="18">
        <f>SUM(Financials!HK12:HV12)</f>
        <v>21765913.751440059</v>
      </c>
      <c r="V5" s="18">
        <f>SUM(Financials!HW12:IH12)</f>
        <v>21765913.751440059</v>
      </c>
      <c r="W5" s="18">
        <f>SUM(Financials!II12:IT12)</f>
        <v>21765913.751440059</v>
      </c>
      <c r="X5" s="18">
        <f>SUM(Financials!IU12:JF12)</f>
        <v>21765913.751440059</v>
      </c>
      <c r="Y5" s="18">
        <f>SUM(Financials!JG12:JR12)</f>
        <v>21765913.751440059</v>
      </c>
    </row>
    <row r="6" spans="2:25" x14ac:dyDescent="0.2">
      <c r="B6" s="22" t="str">
        <f>Financials!B13</f>
        <v>RNG Sale price</v>
      </c>
      <c r="C6" s="18">
        <f>SUM(Financials!C13:N13)</f>
        <v>0</v>
      </c>
      <c r="D6" s="18">
        <f>SUM(Financials!O13:Z13)</f>
        <v>0</v>
      </c>
      <c r="E6" s="18">
        <f>SUM(Financials!AA13:AL13)</f>
        <v>0</v>
      </c>
      <c r="F6" s="18">
        <f>SUM(Financials!AM13:AX13)</f>
        <v>0</v>
      </c>
      <c r="G6" s="18">
        <f>SUM(Financials!AY13:BJ13)</f>
        <v>0</v>
      </c>
      <c r="H6" s="18">
        <f>SUM(Financials!BK13:BV13)</f>
        <v>0</v>
      </c>
      <c r="I6" s="18">
        <f>SUM(Financials!BW13:CH13)</f>
        <v>0</v>
      </c>
      <c r="J6" s="18">
        <f>SUM(Financials!CI13:CT13)</f>
        <v>0</v>
      </c>
      <c r="K6" s="18">
        <f>SUM(Financials!CU13:DF13)</f>
        <v>0</v>
      </c>
      <c r="L6" s="18">
        <f>SUM(Financials!DG13:DR13)</f>
        <v>0</v>
      </c>
      <c r="M6" s="18">
        <f>SUM(Financials!DS13:ED13)</f>
        <v>0</v>
      </c>
      <c r="N6" s="18">
        <f>SUM(Financials!EE13:EP13)</f>
        <v>0</v>
      </c>
      <c r="O6" s="18">
        <f>SUM(Financials!EQ13:FB13)</f>
        <v>0</v>
      </c>
      <c r="P6" s="18">
        <f>SUM(Financials!FC13:FN13)</f>
        <v>0</v>
      </c>
      <c r="Q6" s="18">
        <f>SUM(Financials!FO13:FZ13)</f>
        <v>0</v>
      </c>
      <c r="R6" s="18">
        <f>SUM(Financials!GA13:GL13)</f>
        <v>0</v>
      </c>
      <c r="S6" s="18">
        <f>SUM(Financials!GM13:GX13)</f>
        <v>0</v>
      </c>
      <c r="T6" s="18">
        <f>SUM(Financials!GY13:HJ13)</f>
        <v>0</v>
      </c>
      <c r="U6" s="18">
        <f>SUM(Financials!HK13:HV13)</f>
        <v>0</v>
      </c>
      <c r="V6" s="18">
        <f>SUM(Financials!HW13:IH13)</f>
        <v>0</v>
      </c>
      <c r="W6" s="18">
        <f>SUM(Financials!II13:IT13)</f>
        <v>0</v>
      </c>
      <c r="X6" s="18">
        <f>SUM(Financials!IU13:JF13)</f>
        <v>0</v>
      </c>
      <c r="Y6" s="18">
        <f>SUM(Financials!JG13:JR13)</f>
        <v>0</v>
      </c>
    </row>
    <row r="7" spans="2:25" x14ac:dyDescent="0.2">
      <c r="B7" s="22" t="str">
        <f>Financials!B14</f>
        <v xml:space="preserve">Activated Carbon Ash </v>
      </c>
      <c r="C7" s="18">
        <f>SUM(Financials!C14:N14)</f>
        <v>0</v>
      </c>
      <c r="D7" s="18">
        <f>SUM(Financials!O14:Z14)</f>
        <v>11780568.4423823</v>
      </c>
      <c r="E7" s="18">
        <f>SUM(Financials!AA14:AL14)</f>
        <v>15912446.604378657</v>
      </c>
      <c r="F7" s="18">
        <f>SUM(Financials!AM14:AX14)</f>
        <v>16233629.086404346</v>
      </c>
      <c r="G7" s="18">
        <f>SUM(Financials!AY14:BJ14)</f>
        <v>16606326.398659352</v>
      </c>
      <c r="H7" s="18">
        <f>SUM(Financials!BK14:BV14)</f>
        <v>16895573.487204812</v>
      </c>
      <c r="I7" s="18">
        <f>SUM(Financials!BW14:CH14)</f>
        <v>17236599.75191351</v>
      </c>
      <c r="J7" s="18">
        <f>SUM(Financials!CI14:CT14)</f>
        <v>17584509.412045822</v>
      </c>
      <c r="K7" s="18">
        <f>SUM(Financials!CU14:DF14)</f>
        <v>17939441.404503275</v>
      </c>
      <c r="L7" s="18">
        <f>SUM(Financials!DG14:DR14)</f>
        <v>18301537.470539238</v>
      </c>
      <c r="M7" s="18">
        <f>SUM(Financials!DS14:ED14)</f>
        <v>18670942.212362941</v>
      </c>
      <c r="N7" s="18">
        <f>SUM(Financials!EE14:EP14)</f>
        <v>19047803.150886051</v>
      </c>
      <c r="O7" s="18">
        <f>SUM(Financials!EQ14:FB14)</f>
        <v>19432270.784634773</v>
      </c>
      <c r="P7" s="18">
        <f>SUM(Financials!FC14:FN14)</f>
        <v>19824498.649851102</v>
      </c>
      <c r="Q7" s="18">
        <f>SUM(Financials!FO14:FZ14)</f>
        <v>20224643.381807156</v>
      </c>
      <c r="R7" s="18">
        <f>SUM(Financials!GA14:GL14)</f>
        <v>20632864.777357087</v>
      </c>
      <c r="S7" s="18">
        <f>SUM(Financials!GM14:GX14)</f>
        <v>21049325.858751602</v>
      </c>
      <c r="T7" s="18">
        <f>SUM(Financials!GY14:HJ14)</f>
        <v>21474192.938740484</v>
      </c>
      <c r="U7" s="18">
        <f>SUM(Financials!HK14:HV14)</f>
        <v>21907635.686989229</v>
      </c>
      <c r="V7" s="18">
        <f>SUM(Financials!HW14:IH14)</f>
        <v>22349827.19783619</v>
      </c>
      <c r="W7" s="18">
        <f>SUM(Financials!II14:IT14)</f>
        <v>22800944.059417423</v>
      </c>
      <c r="X7" s="18">
        <f>SUM(Financials!IU14:JF14)</f>
        <v>23261166.42418674</v>
      </c>
      <c r="Y7" s="18">
        <f>SUM(Financials!JG14:JR14)</f>
        <v>23730678.080859147</v>
      </c>
    </row>
    <row r="8" spans="2:25" x14ac:dyDescent="0.2">
      <c r="B8" s="22" t="str">
        <f>Financials!B15</f>
        <v>Aluminum</v>
      </c>
      <c r="C8" s="18">
        <f>SUM(Financials!C15:N15)</f>
        <v>0</v>
      </c>
      <c r="D8" s="18">
        <f>SUM(Financials!O15:Z15)</f>
        <v>2627012.6201069355</v>
      </c>
      <c r="E8" s="18">
        <f>SUM(Financials!AA15:AL15)</f>
        <v>3548402.4604526744</v>
      </c>
      <c r="F8" s="18">
        <f>SUM(Financials!AM15:AX15)</f>
        <v>3620024.6778155691</v>
      </c>
      <c r="G8" s="18">
        <f>SUM(Financials!AY15:BJ15)</f>
        <v>3703134.4655615888</v>
      </c>
      <c r="H8" s="18">
        <f>SUM(Financials!BK15:BV15)</f>
        <v>3767635.2369508874</v>
      </c>
      <c r="I8" s="18">
        <f>SUM(Financials!BW15:CH15)</f>
        <v>3843682.5266516646</v>
      </c>
      <c r="J8" s="18">
        <f>SUM(Financials!CI15:CT15)</f>
        <v>3921264.781896377</v>
      </c>
      <c r="K8" s="18">
        <f>SUM(Financials!CU15:DF15)</f>
        <v>4000412.9849755215</v>
      </c>
      <c r="L8" s="18">
        <f>SUM(Financials!DG15:DR15)</f>
        <v>4081158.7435371676</v>
      </c>
      <c r="M8" s="18">
        <f>SUM(Financials!DS15:ED15)</f>
        <v>4163534.3032093938</v>
      </c>
      <c r="N8" s="18">
        <f>SUM(Financials!EE15:EP15)</f>
        <v>4247572.5604775073</v>
      </c>
      <c r="O8" s="18">
        <f>SUM(Financials!EQ15:FB15)</f>
        <v>4333307.0758211743</v>
      </c>
      <c r="P8" s="18">
        <f>SUM(Financials!FC15:FN15)</f>
        <v>4420772.0871167192</v>
      </c>
      <c r="Q8" s="18">
        <f>SUM(Financials!FO15:FZ15)</f>
        <v>4510002.5233099395</v>
      </c>
      <c r="R8" s="18">
        <f>SUM(Financials!GA15:GL15)</f>
        <v>4601034.0183648998</v>
      </c>
      <c r="S8" s="18">
        <f>SUM(Financials!GM15:GX15)</f>
        <v>4693902.9254942685</v>
      </c>
      <c r="T8" s="18">
        <f>SUM(Financials!GY15:HJ15)</f>
        <v>4788646.3316768873</v>
      </c>
      <c r="U8" s="18">
        <f>SUM(Financials!HK15:HV15)</f>
        <v>4885302.0724683739</v>
      </c>
      <c r="V8" s="18">
        <f>SUM(Financials!HW15:IH15)</f>
        <v>4983908.7471106555</v>
      </c>
      <c r="W8" s="18">
        <f>SUM(Financials!II15:IT15)</f>
        <v>5084505.7339464882</v>
      </c>
      <c r="X8" s="18">
        <f>SUM(Financials!IU15:JF15)</f>
        <v>5187133.2061451003</v>
      </c>
      <c r="Y8" s="18">
        <f>SUM(Financials!JG15:JR15)</f>
        <v>5291832.1477452628</v>
      </c>
    </row>
    <row r="9" spans="2:25" x14ac:dyDescent="0.2">
      <c r="B9" s="22" t="str">
        <f>Financials!B16</f>
        <v>Ferrous Metals</v>
      </c>
      <c r="C9" s="18">
        <f>SUM(Financials!C16:N16)</f>
        <v>0</v>
      </c>
      <c r="D9" s="18">
        <f>SUM(Financials!O16:Z16)</f>
        <v>339853.48450001108</v>
      </c>
      <c r="E9" s="18">
        <f>SUM(Financials!AA16:AL16)</f>
        <v>459052.5874764031</v>
      </c>
      <c r="F9" s="18">
        <f>SUM(Financials!AM16:AX16)</f>
        <v>468318.26817854075</v>
      </c>
      <c r="G9" s="18">
        <f>SUM(Financials!AY16:BJ16)</f>
        <v>479070.0821383805</v>
      </c>
      <c r="H9" s="18">
        <f>SUM(Financials!BK16:BV16)</f>
        <v>487414.46988201432</v>
      </c>
      <c r="I9" s="18">
        <f>SUM(Financials!BW16:CH16)</f>
        <v>497252.61690642382</v>
      </c>
      <c r="J9" s="18">
        <f>SUM(Financials!CI16:CT16)</f>
        <v>507289.3405896207</v>
      </c>
      <c r="K9" s="18">
        <f>SUM(Financials!CU16:DF16)</f>
        <v>517528.64907351631</v>
      </c>
      <c r="L9" s="18">
        <f>SUM(Financials!DG16:DR16)</f>
        <v>527974.63140178355</v>
      </c>
      <c r="M9" s="18">
        <f>SUM(Financials!DS16:ED16)</f>
        <v>538631.45915280713</v>
      </c>
      <c r="N9" s="18">
        <f>SUM(Financials!EE16:EP16)</f>
        <v>549503.38810559385</v>
      </c>
      <c r="O9" s="18">
        <f>SUM(Financials!EQ16:FB16)</f>
        <v>560594.7599393077</v>
      </c>
      <c r="P9" s="18">
        <f>SUM(Financials!FC16:FN16)</f>
        <v>571910.00396710902</v>
      </c>
      <c r="Q9" s="18">
        <f>SUM(Financials!FO16:FZ16)</f>
        <v>583453.6389049904</v>
      </c>
      <c r="R9" s="18">
        <f>SUM(Financials!GA16:GL16)</f>
        <v>595230.27467631572</v>
      </c>
      <c r="S9" s="18">
        <f>SUM(Financials!GM16:GX16)</f>
        <v>607244.61425278045</v>
      </c>
      <c r="T9" s="18">
        <f>SUM(Financials!GY16:HJ16)</f>
        <v>619501.4555325351</v>
      </c>
      <c r="U9" s="18">
        <f>SUM(Financials!HK16:HV16)</f>
        <v>632005.69325621217</v>
      </c>
      <c r="V9" s="18">
        <f>SUM(Financials!HW16:IH16)</f>
        <v>644762.32096162986</v>
      </c>
      <c r="W9" s="18">
        <f>SUM(Financials!II16:IT16)</f>
        <v>657776.43297795032</v>
      </c>
      <c r="X9" s="18">
        <f>SUM(Financials!IU16:JF16)</f>
        <v>671053.22646008711</v>
      </c>
      <c r="Y9" s="18">
        <f>SUM(Financials!JG16:JR16)</f>
        <v>684598.00346417702</v>
      </c>
    </row>
    <row r="10" spans="2:25" x14ac:dyDescent="0.2">
      <c r="B10" s="22" t="str">
        <f>Financials!B17</f>
        <v>Non-Ferrous Metals</v>
      </c>
      <c r="C10" s="18">
        <f>SUM(Financials!C17:N17)</f>
        <v>0</v>
      </c>
      <c r="D10" s="18">
        <f>SUM(Financials!O17:Z17)</f>
        <v>7030033.7721171537</v>
      </c>
      <c r="E10" s="18">
        <f>SUM(Financials!AA17:AL17)</f>
        <v>9495724.8941691313</v>
      </c>
      <c r="F10" s="18">
        <f>SUM(Financials!AM17:AX17)</f>
        <v>9687389.9828867353</v>
      </c>
      <c r="G10" s="18">
        <f>SUM(Financials!AY17:BJ17)</f>
        <v>9909796.4571366441</v>
      </c>
      <c r="H10" s="18">
        <f>SUM(Financials!BK17:BV17)</f>
        <v>10082404.155220687</v>
      </c>
      <c r="I10" s="18">
        <f>SUM(Financials!BW17:CH17)</f>
        <v>10285910.986814314</v>
      </c>
      <c r="J10" s="18">
        <f>SUM(Financials!CI17:CT17)</f>
        <v>10493525.472680444</v>
      </c>
      <c r="K10" s="18">
        <f>SUM(Financials!CU17:DF17)</f>
        <v>10705330.523173932</v>
      </c>
      <c r="L10" s="18">
        <f>SUM(Financials!DG17:DR17)</f>
        <v>10921410.722141715</v>
      </c>
      <c r="M10" s="18">
        <f>SUM(Financials!DS17:ED17)</f>
        <v>11141852.360701198</v>
      </c>
      <c r="N10" s="18">
        <f>SUM(Financials!EE17:EP17)</f>
        <v>11366743.471700374</v>
      </c>
      <c r="O10" s="18">
        <f>SUM(Financials!EQ17:FB17)</f>
        <v>11596173.864873566</v>
      </c>
      <c r="P10" s="18">
        <f>SUM(Financials!FC17:FN17)</f>
        <v>11830235.162706712</v>
      </c>
      <c r="Q10" s="18">
        <f>SUM(Financials!FO17:FZ17)</f>
        <v>12069020.8370266</v>
      </c>
      <c r="R10" s="18">
        <f>SUM(Financials!GA17:GL17)</f>
        <v>12312626.246328603</v>
      </c>
      <c r="S10" s="18">
        <f>SUM(Financials!GM17:GX17)</f>
        <v>12561148.673857899</v>
      </c>
      <c r="T10" s="18">
        <f>SUM(Financials!GY17:HJ17)</f>
        <v>12814687.366459275</v>
      </c>
      <c r="U10" s="18">
        <f>SUM(Financials!HK17:HV17)</f>
        <v>13073343.574211143</v>
      </c>
      <c r="V10" s="18">
        <f>SUM(Financials!HW17:IH17)</f>
        <v>13337220.590859501</v>
      </c>
      <c r="W10" s="18">
        <f>SUM(Financials!II17:IT17)</f>
        <v>13606423.795068065</v>
      </c>
      <c r="X10" s="18">
        <f>SUM(Financials!IU17:JF17)</f>
        <v>13881060.692500975</v>
      </c>
      <c r="Y10" s="18">
        <f>SUM(Financials!JG17:JR17)</f>
        <v>14161240.958754933</v>
      </c>
    </row>
    <row r="11" spans="2:25" x14ac:dyDescent="0.2">
      <c r="B11" s="22" t="str">
        <f>Financials!B18</f>
        <v>Steel from Tires</v>
      </c>
      <c r="C11" s="18">
        <f>SUM(Financials!C18:N18)</f>
        <v>0</v>
      </c>
      <c r="D11" s="18">
        <f>SUM(Financials!O18:Z18)</f>
        <v>986671.40661293361</v>
      </c>
      <c r="E11" s="18">
        <f>SUM(Financials!AA18:AL18)</f>
        <v>1332733.3184798779</v>
      </c>
      <c r="F11" s="18">
        <f>SUM(Financials!AM18:AX18)</f>
        <v>1359633.6818086645</v>
      </c>
      <c r="G11" s="18">
        <f>SUM(Financials!AY18:BJ18)</f>
        <v>1390848.6255630376</v>
      </c>
      <c r="H11" s="18">
        <f>SUM(Financials!BK18:BV18)</f>
        <v>1415074.2673993944</v>
      </c>
      <c r="I11" s="18">
        <f>SUM(Financials!BW18:CH18)</f>
        <v>1443636.6297283247</v>
      </c>
      <c r="J11" s="18">
        <f>SUM(Financials!CI18:CT18)</f>
        <v>1472775.5049376062</v>
      </c>
      <c r="K11" s="18">
        <f>SUM(Financials!CU18:DF18)</f>
        <v>1502502.5295682708</v>
      </c>
      <c r="L11" s="18">
        <f>SUM(Financials!DG18:DR18)</f>
        <v>1532829.5750374338</v>
      </c>
      <c r="M11" s="18">
        <f>SUM(Financials!DS18:ED18)</f>
        <v>1563768.752379115</v>
      </c>
      <c r="N11" s="18">
        <f>SUM(Financials!EE18:EP18)</f>
        <v>1595332.4170807537</v>
      </c>
      <c r="O11" s="18">
        <f>SUM(Financials!EQ18:FB18)</f>
        <v>1627533.1740173423</v>
      </c>
      <c r="P11" s="18">
        <f>SUM(Financials!FC18:FN18)</f>
        <v>1660383.8824851525</v>
      </c>
      <c r="Q11" s="18">
        <f>SUM(Financials!FO18:FZ18)</f>
        <v>1693897.6613370662</v>
      </c>
      <c r="R11" s="18">
        <f>SUM(Financials!GA18:GL18)</f>
        <v>1728087.8942215585</v>
      </c>
      <c r="S11" s="18">
        <f>SUM(Financials!GM18:GX18)</f>
        <v>1762968.2349274245</v>
      </c>
      <c r="T11" s="18">
        <f>SUM(Financials!GY18:HJ18)</f>
        <v>1798552.6128363898</v>
      </c>
      <c r="U11" s="18">
        <f>SUM(Financials!HK18:HV18)</f>
        <v>1834855.238485774</v>
      </c>
      <c r="V11" s="18">
        <f>SUM(Financials!HW18:IH18)</f>
        <v>1871890.6092434388</v>
      </c>
      <c r="W11" s="18">
        <f>SUM(Financials!II18:IT18)</f>
        <v>1909673.5150972721</v>
      </c>
      <c r="X11" s="18">
        <f>SUM(Financials!IU18:JF18)</f>
        <v>1948219.0445615402</v>
      </c>
      <c r="Y11" s="18">
        <f>SUM(Financials!JG18:JR18)</f>
        <v>1987542.5907024464</v>
      </c>
    </row>
    <row r="12" spans="2:25" x14ac:dyDescent="0.2">
      <c r="B12" s="22" t="str">
        <f>Financials!B19</f>
        <v>Steel, OTR Tires</v>
      </c>
      <c r="C12" s="18">
        <f>SUM(Financials!C19:N19)</f>
        <v>0</v>
      </c>
      <c r="D12" s="18">
        <f>SUM(Financials!O19:Z19)</f>
        <v>0</v>
      </c>
      <c r="E12" s="18">
        <f>SUM(Financials!AA19:AL19)</f>
        <v>0</v>
      </c>
      <c r="F12" s="18">
        <f>SUM(Financials!AM19:AX19)</f>
        <v>0</v>
      </c>
      <c r="G12" s="18">
        <f>SUM(Financials!AY19:BJ19)</f>
        <v>0</v>
      </c>
      <c r="H12" s="18">
        <f>SUM(Financials!BK19:BV19)</f>
        <v>0</v>
      </c>
      <c r="I12" s="18">
        <f>SUM(Financials!BW19:CH19)</f>
        <v>0</v>
      </c>
      <c r="J12" s="18">
        <f>SUM(Financials!CI19:CT19)</f>
        <v>0</v>
      </c>
      <c r="K12" s="18">
        <f>SUM(Financials!CU19:DF19)</f>
        <v>0</v>
      </c>
      <c r="L12" s="18">
        <f>SUM(Financials!DG19:DR19)</f>
        <v>0</v>
      </c>
      <c r="M12" s="18">
        <f>SUM(Financials!DS19:ED19)</f>
        <v>0</v>
      </c>
      <c r="N12" s="18">
        <f>SUM(Financials!EE19:EP19)</f>
        <v>0</v>
      </c>
      <c r="O12" s="18">
        <f>SUM(Financials!EQ19:FB19)</f>
        <v>0</v>
      </c>
      <c r="P12" s="18">
        <f>SUM(Financials!FC19:FN19)</f>
        <v>0</v>
      </c>
      <c r="Q12" s="18">
        <f>SUM(Financials!FO19:FZ19)</f>
        <v>0</v>
      </c>
      <c r="R12" s="18">
        <f>SUM(Financials!GA19:GL19)</f>
        <v>0</v>
      </c>
      <c r="S12" s="18">
        <f>SUM(Financials!GM19:GX19)</f>
        <v>0</v>
      </c>
      <c r="T12" s="18">
        <f>SUM(Financials!GY19:HJ19)</f>
        <v>0</v>
      </c>
      <c r="U12" s="18">
        <f>SUM(Financials!HK19:HV19)</f>
        <v>0</v>
      </c>
      <c r="V12" s="18">
        <f>SUM(Financials!HW19:IH19)</f>
        <v>0</v>
      </c>
      <c r="W12" s="18">
        <f>SUM(Financials!II19:IT19)</f>
        <v>0</v>
      </c>
      <c r="X12" s="18">
        <f>SUM(Financials!IU19:JF19)</f>
        <v>0</v>
      </c>
      <c r="Y12" s="18">
        <f>SUM(Financials!JG19:JR19)</f>
        <v>0</v>
      </c>
    </row>
    <row r="13" spans="2:25" x14ac:dyDescent="0.2">
      <c r="B13" s="22" t="str">
        <f>Financials!B20</f>
        <v xml:space="preserve">Carbon Black </v>
      </c>
      <c r="C13" s="18">
        <f>SUM(Financials!C20:N20)</f>
        <v>0</v>
      </c>
      <c r="D13" s="18">
        <f>SUM(Financials!O20:Z20)</f>
        <v>6268851.6642377293</v>
      </c>
      <c r="E13" s="18">
        <f>SUM(Financials!AA20:AL20)</f>
        <v>8467568.2557963952</v>
      </c>
      <c r="F13" s="18">
        <f>SUM(Financials!AM20:AX20)</f>
        <v>8638480.6652287878</v>
      </c>
      <c r="G13" s="18">
        <f>SUM(Financials!AY20:BJ20)</f>
        <v>8836805.9139308166</v>
      </c>
      <c r="H13" s="18">
        <f>SUM(Financials!BK20:BV20)</f>
        <v>8990724.3858001921</v>
      </c>
      <c r="I13" s="18">
        <f>SUM(Financials!BW20:CH20)</f>
        <v>9172196.3646375388</v>
      </c>
      <c r="J13" s="18">
        <f>SUM(Financials!CI20:CT20)</f>
        <v>9357331.2384419646</v>
      </c>
      <c r="K13" s="18">
        <f>SUM(Financials!CU20:DF20)</f>
        <v>9546202.940388307</v>
      </c>
      <c r="L13" s="18">
        <f>SUM(Financials!DG20:DR20)</f>
        <v>9738886.8959449064</v>
      </c>
      <c r="M13" s="18">
        <f>SUM(Financials!DS20:ED20)</f>
        <v>9935460.0529945791</v>
      </c>
      <c r="N13" s="18">
        <f>SUM(Financials!EE20:EP20)</f>
        <v>10136000.912563577</v>
      </c>
      <c r="O13" s="18">
        <f>SUM(Financials!EQ20:FB20)</f>
        <v>10340589.56017079</v>
      </c>
      <c r="P13" s="18">
        <f>SUM(Financials!FC20:FN20)</f>
        <v>10549307.697809707</v>
      </c>
      <c r="Q13" s="18">
        <f>SUM(Financials!FO20:FZ20)</f>
        <v>10762238.676575907</v>
      </c>
      <c r="R13" s="18">
        <f>SUM(Financials!GA20:GL20)</f>
        <v>10979467.529953133</v>
      </c>
      <c r="S13" s="18">
        <f>SUM(Financials!GM20:GX20)</f>
        <v>11201081.007771213</v>
      </c>
      <c r="T13" s="18">
        <f>SUM(Financials!GY20:HJ20)</f>
        <v>11427167.610849384</v>
      </c>
      <c r="U13" s="18">
        <f>SUM(Financials!HK20:HV20)</f>
        <v>11657817.626338907</v>
      </c>
      <c r="V13" s="18">
        <f>SUM(Financials!HW20:IH20)</f>
        <v>11893123.163779017</v>
      </c>
      <c r="W13" s="18">
        <f>SUM(Financials!II20:IT20)</f>
        <v>12133178.191880647</v>
      </c>
      <c r="X13" s="18">
        <f>SUM(Financials!IU20:JF20)</f>
        <v>12378078.576052614</v>
      </c>
      <c r="Y13" s="18">
        <f>SUM(Financials!JG20:JR20)</f>
        <v>12627922.11668524</v>
      </c>
    </row>
    <row r="14" spans="2:25" x14ac:dyDescent="0.2">
      <c r="B14" s="22" t="str">
        <f>Financials!B21</f>
        <v>Graphene</v>
      </c>
      <c r="C14" s="18">
        <f>SUM(Financials!C21:N21)</f>
        <v>0</v>
      </c>
      <c r="D14" s="18">
        <f>SUM(Financials!O21:Z21)</f>
        <v>14104916.244534891</v>
      </c>
      <c r="E14" s="18">
        <f>SUM(Financials!AA21:AL21)</f>
        <v>19052028.575541887</v>
      </c>
      <c r="F14" s="18">
        <f>SUM(Financials!AM21:AX21)</f>
        <v>19436581.496764768</v>
      </c>
      <c r="G14" s="18">
        <f>SUM(Financials!AY21:BJ21)</f>
        <v>19882813.30634433</v>
      </c>
      <c r="H14" s="18">
        <f>SUM(Financials!BK21:BV21)</f>
        <v>20229129.868050434</v>
      </c>
      <c r="I14" s="18">
        <f>SUM(Financials!BW21:CH21)</f>
        <v>20637441.820434462</v>
      </c>
      <c r="J14" s="18">
        <f>SUM(Financials!CI21:CT21)</f>
        <v>21053995.286494412</v>
      </c>
      <c r="K14" s="18">
        <f>SUM(Financials!CU21:DF21)</f>
        <v>21478956.615873687</v>
      </c>
      <c r="L14" s="18">
        <f>SUM(Financials!DG21:DR21)</f>
        <v>21912495.51587604</v>
      </c>
      <c r="M14" s="18">
        <f>SUM(Financials!DS21:ED21)</f>
        <v>22354785.119237799</v>
      </c>
      <c r="N14" s="18">
        <f>SUM(Financials!EE21:EP21)</f>
        <v>22806002.053268049</v>
      </c>
      <c r="O14" s="18">
        <f>SUM(Financials!EQ21:FB21)</f>
        <v>23266326.510384284</v>
      </c>
      <c r="P14" s="18">
        <f>SUM(Financials!FC21:FN21)</f>
        <v>23735942.320071843</v>
      </c>
      <c r="Q14" s="18">
        <f>SUM(Financials!FO21:FZ21)</f>
        <v>24215037.022295792</v>
      </c>
      <c r="R14" s="18">
        <f>SUM(Financials!GA21:GL21)</f>
        <v>24703801.942394547</v>
      </c>
      <c r="S14" s="18">
        <f>SUM(Financials!GM21:GX21)</f>
        <v>25202432.267485224</v>
      </c>
      <c r="T14" s="18">
        <f>SUM(Financials!GY21:HJ21)</f>
        <v>25711127.12441111</v>
      </c>
      <c r="U14" s="18">
        <f>SUM(Financials!HK21:HV21)</f>
        <v>26230089.659262542</v>
      </c>
      <c r="V14" s="18">
        <f>SUM(Financials!HW21:IH21)</f>
        <v>26759527.118502788</v>
      </c>
      <c r="W14" s="18">
        <f>SUM(Financials!II21:IT21)</f>
        <v>27299650.931731451</v>
      </c>
      <c r="X14" s="18">
        <f>SUM(Financials!IU21:JF21)</f>
        <v>27850676.796118371</v>
      </c>
      <c r="Y14" s="18">
        <f>SUM(Financials!JG21:JR21)</f>
        <v>28412824.762541786</v>
      </c>
    </row>
    <row r="15" spans="2:25" x14ac:dyDescent="0.2">
      <c r="B15" s="22" t="str">
        <f>Financials!B22</f>
        <v>Light Oil Sale</v>
      </c>
      <c r="C15" s="18">
        <f>SUM(Financials!C22:N22)</f>
        <v>0</v>
      </c>
      <c r="D15" s="18">
        <f>SUM(Financials!O22:Z22)</f>
        <v>0</v>
      </c>
      <c r="E15" s="18">
        <f>SUM(Financials!AA22:AL22)</f>
        <v>0</v>
      </c>
      <c r="F15" s="18">
        <f>SUM(Financials!AM22:AX22)</f>
        <v>0</v>
      </c>
      <c r="G15" s="18">
        <f>SUM(Financials!AY22:BJ22)</f>
        <v>0</v>
      </c>
      <c r="H15" s="18">
        <f>SUM(Financials!BK22:BV22)</f>
        <v>0</v>
      </c>
      <c r="I15" s="18">
        <f>SUM(Financials!BW22:CH22)</f>
        <v>0</v>
      </c>
      <c r="J15" s="18">
        <f>SUM(Financials!CI22:CT22)</f>
        <v>0</v>
      </c>
      <c r="K15" s="18">
        <f>SUM(Financials!CU22:DF22)</f>
        <v>0</v>
      </c>
      <c r="L15" s="18">
        <f>SUM(Financials!DG22:DR22)</f>
        <v>0</v>
      </c>
      <c r="M15" s="18">
        <f>SUM(Financials!DS22:ED22)</f>
        <v>0</v>
      </c>
      <c r="N15" s="18">
        <f>SUM(Financials!EE22:EP22)</f>
        <v>0</v>
      </c>
      <c r="O15" s="18">
        <f>SUM(Financials!EQ22:FB22)</f>
        <v>0</v>
      </c>
      <c r="P15" s="18">
        <f>SUM(Financials!FC22:FN22)</f>
        <v>0</v>
      </c>
      <c r="Q15" s="18">
        <f>SUM(Financials!FO22:FZ22)</f>
        <v>0</v>
      </c>
      <c r="R15" s="18">
        <f>SUM(Financials!GA22:GL22)</f>
        <v>0</v>
      </c>
      <c r="S15" s="18">
        <f>SUM(Financials!GM22:GX22)</f>
        <v>0</v>
      </c>
      <c r="T15" s="18">
        <f>SUM(Financials!GY22:HJ22)</f>
        <v>0</v>
      </c>
      <c r="U15" s="18">
        <f>SUM(Financials!HK22:HV22)</f>
        <v>0</v>
      </c>
      <c r="V15" s="18">
        <f>SUM(Financials!HW22:IH22)</f>
        <v>0</v>
      </c>
      <c r="W15" s="18">
        <f>SUM(Financials!II22:IT22)</f>
        <v>0</v>
      </c>
      <c r="X15" s="18">
        <f>SUM(Financials!IU22:JF22)</f>
        <v>0</v>
      </c>
      <c r="Y15" s="18">
        <f>SUM(Financials!JG22:JR22)</f>
        <v>0</v>
      </c>
    </row>
    <row r="16" spans="2:25" x14ac:dyDescent="0.2">
      <c r="B16" s="22" t="str">
        <f>Financials!B23</f>
        <v>Diesel</v>
      </c>
      <c r="C16" s="18">
        <f>SUM(Financials!C23:N23)</f>
        <v>0</v>
      </c>
      <c r="D16" s="18">
        <f>SUM(Financials!O23:Z23)</f>
        <v>0</v>
      </c>
      <c r="E16" s="18">
        <f>SUM(Financials!AA23:AL23)</f>
        <v>0</v>
      </c>
      <c r="F16" s="18">
        <f>SUM(Financials!AM23:AX23)</f>
        <v>0</v>
      </c>
      <c r="G16" s="18">
        <f>SUM(Financials!AY23:BJ23)</f>
        <v>0</v>
      </c>
      <c r="H16" s="18">
        <f>SUM(Financials!BK23:BV23)</f>
        <v>0</v>
      </c>
      <c r="I16" s="18">
        <f>SUM(Financials!BW23:CH23)</f>
        <v>0</v>
      </c>
      <c r="J16" s="18">
        <f>SUM(Financials!CI23:CT23)</f>
        <v>0</v>
      </c>
      <c r="K16" s="18">
        <f>SUM(Financials!CU23:DF23)</f>
        <v>0</v>
      </c>
      <c r="L16" s="18">
        <f>SUM(Financials!DG23:DR23)</f>
        <v>0</v>
      </c>
      <c r="M16" s="18">
        <f>SUM(Financials!DS23:ED23)</f>
        <v>0</v>
      </c>
      <c r="N16" s="18">
        <f>SUM(Financials!EE23:EP23)</f>
        <v>0</v>
      </c>
      <c r="O16" s="18">
        <f>SUM(Financials!EQ23:FB23)</f>
        <v>0</v>
      </c>
      <c r="P16" s="18">
        <f>SUM(Financials!FC23:FN23)</f>
        <v>0</v>
      </c>
      <c r="Q16" s="18">
        <f>SUM(Financials!FO23:FZ23)</f>
        <v>0</v>
      </c>
      <c r="R16" s="18">
        <f>SUM(Financials!GA23:GL23)</f>
        <v>0</v>
      </c>
      <c r="S16" s="18">
        <f>SUM(Financials!GM23:GX23)</f>
        <v>0</v>
      </c>
      <c r="T16" s="18">
        <f>SUM(Financials!GY23:HJ23)</f>
        <v>0</v>
      </c>
      <c r="U16" s="18">
        <f>SUM(Financials!HK23:HV23)</f>
        <v>0</v>
      </c>
      <c r="V16" s="18">
        <f>SUM(Financials!HW23:IH23)</f>
        <v>0</v>
      </c>
      <c r="W16" s="18">
        <f>SUM(Financials!II23:IT23)</f>
        <v>0</v>
      </c>
      <c r="X16" s="18">
        <f>SUM(Financials!IU23:JF23)</f>
        <v>0</v>
      </c>
      <c r="Y16" s="18">
        <f>SUM(Financials!JG23:JR23)</f>
        <v>0</v>
      </c>
    </row>
    <row r="17" spans="2:25" x14ac:dyDescent="0.2">
      <c r="B17" s="22" t="str">
        <f>Financials!B24</f>
        <v xml:space="preserve">JP </v>
      </c>
      <c r="C17" s="18">
        <f>SUM(Financials!C24:N24)</f>
        <v>0</v>
      </c>
      <c r="D17" s="18">
        <f>SUM(Financials!O24:Z24)</f>
        <v>0</v>
      </c>
      <c r="E17" s="18">
        <f>SUM(Financials!AA24:AL24)</f>
        <v>0</v>
      </c>
      <c r="F17" s="18">
        <f>SUM(Financials!AM24:AX24)</f>
        <v>0</v>
      </c>
      <c r="G17" s="18">
        <f>SUM(Financials!AY24:BJ24)</f>
        <v>0</v>
      </c>
      <c r="H17" s="18">
        <f>SUM(Financials!BK24:BV24)</f>
        <v>0</v>
      </c>
      <c r="I17" s="18">
        <f>SUM(Financials!BW24:CH24)</f>
        <v>0</v>
      </c>
      <c r="J17" s="18">
        <f>SUM(Financials!CI24:CT24)</f>
        <v>0</v>
      </c>
      <c r="K17" s="18">
        <f>SUM(Financials!CU24:DF24)</f>
        <v>0</v>
      </c>
      <c r="L17" s="18">
        <f>SUM(Financials!DG24:DR24)</f>
        <v>0</v>
      </c>
      <c r="M17" s="18">
        <f>SUM(Financials!DS24:ED24)</f>
        <v>0</v>
      </c>
      <c r="N17" s="18">
        <f>SUM(Financials!EE24:EP24)</f>
        <v>0</v>
      </c>
      <c r="O17" s="18">
        <f>SUM(Financials!EQ24:FB24)</f>
        <v>0</v>
      </c>
      <c r="P17" s="18">
        <f>SUM(Financials!FC24:FN24)</f>
        <v>0</v>
      </c>
      <c r="Q17" s="18">
        <f>SUM(Financials!FO24:FZ24)</f>
        <v>0</v>
      </c>
      <c r="R17" s="18">
        <f>SUM(Financials!GA24:GL24)</f>
        <v>0</v>
      </c>
      <c r="S17" s="18">
        <f>SUM(Financials!GM24:GX24)</f>
        <v>0</v>
      </c>
      <c r="T17" s="18">
        <f>SUM(Financials!GY24:HJ24)</f>
        <v>0</v>
      </c>
      <c r="U17" s="18">
        <f>SUM(Financials!HK24:HV24)</f>
        <v>0</v>
      </c>
      <c r="V17" s="18">
        <f>SUM(Financials!HW24:IH24)</f>
        <v>0</v>
      </c>
      <c r="W17" s="18">
        <f>SUM(Financials!II24:IT24)</f>
        <v>0</v>
      </c>
      <c r="X17" s="18">
        <f>SUM(Financials!IU24:JF24)</f>
        <v>0</v>
      </c>
      <c r="Y17" s="18">
        <f>SUM(Financials!JG24:JR24)</f>
        <v>0</v>
      </c>
    </row>
    <row r="18" spans="2:25" x14ac:dyDescent="0.2">
      <c r="B18" s="22" t="str">
        <f>Financials!B25</f>
        <v>Gas</v>
      </c>
      <c r="C18" s="18">
        <f>SUM(Financials!C25:N25)</f>
        <v>0</v>
      </c>
      <c r="D18" s="18">
        <f>SUM(Financials!O25:Z25)</f>
        <v>0</v>
      </c>
      <c r="E18" s="18">
        <f>SUM(Financials!AA25:AL25)</f>
        <v>0</v>
      </c>
      <c r="F18" s="18">
        <f>SUM(Financials!AM25:AX25)</f>
        <v>0</v>
      </c>
      <c r="G18" s="18">
        <f>SUM(Financials!AY25:BJ25)</f>
        <v>0</v>
      </c>
      <c r="H18" s="18">
        <f>SUM(Financials!BK25:BV25)</f>
        <v>0</v>
      </c>
      <c r="I18" s="18">
        <f>SUM(Financials!BW25:CH25)</f>
        <v>0</v>
      </c>
      <c r="J18" s="18">
        <f>SUM(Financials!CI25:CT25)</f>
        <v>0</v>
      </c>
      <c r="K18" s="18">
        <f>SUM(Financials!CU25:DF25)</f>
        <v>0</v>
      </c>
      <c r="L18" s="18">
        <f>SUM(Financials!DG25:DR25)</f>
        <v>0</v>
      </c>
      <c r="M18" s="18">
        <f>SUM(Financials!DS25:ED25)</f>
        <v>0</v>
      </c>
      <c r="N18" s="18">
        <f>SUM(Financials!EE25:EP25)</f>
        <v>0</v>
      </c>
      <c r="O18" s="18">
        <f>SUM(Financials!EQ25:FB25)</f>
        <v>0</v>
      </c>
      <c r="P18" s="18">
        <f>SUM(Financials!FC25:FN25)</f>
        <v>0</v>
      </c>
      <c r="Q18" s="18">
        <f>SUM(Financials!FO25:FZ25)</f>
        <v>0</v>
      </c>
      <c r="R18" s="18">
        <f>SUM(Financials!GA25:GL25)</f>
        <v>0</v>
      </c>
      <c r="S18" s="18">
        <f>SUM(Financials!GM25:GX25)</f>
        <v>0</v>
      </c>
      <c r="T18" s="18">
        <f>SUM(Financials!GY25:HJ25)</f>
        <v>0</v>
      </c>
      <c r="U18" s="18">
        <f>SUM(Financials!HK25:HV25)</f>
        <v>0</v>
      </c>
      <c r="V18" s="18">
        <f>SUM(Financials!HW25:IH25)</f>
        <v>0</v>
      </c>
      <c r="W18" s="18">
        <f>SUM(Financials!II25:IT25)</f>
        <v>0</v>
      </c>
      <c r="X18" s="18">
        <f>SUM(Financials!IU25:JF25)</f>
        <v>0</v>
      </c>
      <c r="Y18" s="18">
        <f>SUM(Financials!JG25:JR25)</f>
        <v>0</v>
      </c>
    </row>
    <row r="19" spans="2:25" x14ac:dyDescent="0.2">
      <c r="B19" s="22" t="str">
        <f>Financials!B26</f>
        <v>Lube oil</v>
      </c>
      <c r="C19" s="18">
        <f>SUM(Financials!C26:N26)</f>
        <v>0</v>
      </c>
      <c r="D19" s="18">
        <f>SUM(Financials!O26:Z26)</f>
        <v>0</v>
      </c>
      <c r="E19" s="18">
        <f>SUM(Financials!AA26:AL26)</f>
        <v>0</v>
      </c>
      <c r="F19" s="18">
        <f>SUM(Financials!AM26:AX26)</f>
        <v>0</v>
      </c>
      <c r="G19" s="18">
        <f>SUM(Financials!AY26:BJ26)</f>
        <v>0</v>
      </c>
      <c r="H19" s="18">
        <f>SUM(Financials!BK26:BV26)</f>
        <v>0</v>
      </c>
      <c r="I19" s="18">
        <f>SUM(Financials!BW26:CH26)</f>
        <v>0</v>
      </c>
      <c r="J19" s="18">
        <f>SUM(Financials!CI26:CT26)</f>
        <v>0</v>
      </c>
      <c r="K19" s="18">
        <f>SUM(Financials!CU26:DF26)</f>
        <v>0</v>
      </c>
      <c r="L19" s="18">
        <f>SUM(Financials!DG26:DR26)</f>
        <v>0</v>
      </c>
      <c r="M19" s="18">
        <f>SUM(Financials!DS26:ED26)</f>
        <v>0</v>
      </c>
      <c r="N19" s="18">
        <f>SUM(Financials!EE26:EP26)</f>
        <v>0</v>
      </c>
      <c r="O19" s="18">
        <f>SUM(Financials!EQ26:FB26)</f>
        <v>0</v>
      </c>
      <c r="P19" s="18">
        <f>SUM(Financials!FC26:FN26)</f>
        <v>0</v>
      </c>
      <c r="Q19" s="18">
        <f>SUM(Financials!FO26:FZ26)</f>
        <v>0</v>
      </c>
      <c r="R19" s="18">
        <f>SUM(Financials!GA26:GL26)</f>
        <v>0</v>
      </c>
      <c r="S19" s="18">
        <f>SUM(Financials!GM26:GX26)</f>
        <v>0</v>
      </c>
      <c r="T19" s="18">
        <f>SUM(Financials!GY26:HJ26)</f>
        <v>0</v>
      </c>
      <c r="U19" s="18">
        <f>SUM(Financials!HK26:HV26)</f>
        <v>0</v>
      </c>
      <c r="V19" s="18">
        <f>SUM(Financials!HW26:IH26)</f>
        <v>0</v>
      </c>
      <c r="W19" s="18">
        <f>SUM(Financials!II26:IT26)</f>
        <v>0</v>
      </c>
      <c r="X19" s="18">
        <f>SUM(Financials!IU26:JF26)</f>
        <v>0</v>
      </c>
      <c r="Y19" s="18">
        <f>SUM(Financials!JG26:JR26)</f>
        <v>0</v>
      </c>
    </row>
    <row r="20" spans="2:25" x14ac:dyDescent="0.2">
      <c r="B20" s="22" t="str">
        <f>Financials!B27</f>
        <v>Petroleum Coke</v>
      </c>
      <c r="C20" s="18">
        <f>SUM(Financials!C27:N27)</f>
        <v>0</v>
      </c>
      <c r="D20" s="18">
        <f>SUM(Financials!O27:Z27)</f>
        <v>0</v>
      </c>
      <c r="E20" s="18">
        <f>SUM(Financials!AA27:AL27)</f>
        <v>0</v>
      </c>
      <c r="F20" s="18">
        <f>SUM(Financials!AM27:AX27)</f>
        <v>0</v>
      </c>
      <c r="G20" s="18">
        <f>SUM(Financials!AY27:BJ27)</f>
        <v>0</v>
      </c>
      <c r="H20" s="18">
        <f>SUM(Financials!BK27:BV27)</f>
        <v>0</v>
      </c>
      <c r="I20" s="18">
        <f>SUM(Financials!BW27:CH27)</f>
        <v>0</v>
      </c>
      <c r="J20" s="18">
        <f>SUM(Financials!CI27:CT27)</f>
        <v>0</v>
      </c>
      <c r="K20" s="18">
        <f>SUM(Financials!CU27:DF27)</f>
        <v>0</v>
      </c>
      <c r="L20" s="18">
        <f>SUM(Financials!DG27:DR27)</f>
        <v>0</v>
      </c>
      <c r="M20" s="18">
        <f>SUM(Financials!DS27:ED27)</f>
        <v>0</v>
      </c>
      <c r="N20" s="18">
        <f>SUM(Financials!EE27:EP27)</f>
        <v>0</v>
      </c>
      <c r="O20" s="18">
        <f>SUM(Financials!EQ27:FB27)</f>
        <v>0</v>
      </c>
      <c r="P20" s="18">
        <f>SUM(Financials!FC27:FN27)</f>
        <v>0</v>
      </c>
      <c r="Q20" s="18">
        <f>SUM(Financials!FO27:FZ27)</f>
        <v>0</v>
      </c>
      <c r="R20" s="18">
        <f>SUM(Financials!GA27:GL27)</f>
        <v>0</v>
      </c>
      <c r="S20" s="18">
        <f>SUM(Financials!GM27:GX27)</f>
        <v>0</v>
      </c>
      <c r="T20" s="18">
        <f>SUM(Financials!GY27:HJ27)</f>
        <v>0</v>
      </c>
      <c r="U20" s="18">
        <f>SUM(Financials!HK27:HV27)</f>
        <v>0</v>
      </c>
      <c r="V20" s="18">
        <f>SUM(Financials!HW27:IH27)</f>
        <v>0</v>
      </c>
      <c r="W20" s="18">
        <f>SUM(Financials!II27:IT27)</f>
        <v>0</v>
      </c>
      <c r="X20" s="18">
        <f>SUM(Financials!IU27:JF27)</f>
        <v>0</v>
      </c>
      <c r="Y20" s="18">
        <f>SUM(Financials!JG27:JR27)</f>
        <v>0</v>
      </c>
    </row>
    <row r="21" spans="2:25" x14ac:dyDescent="0.2">
      <c r="B21" s="54" t="s">
        <v>73</v>
      </c>
      <c r="C21" s="55">
        <f t="shared" ref="C21:Y21" si="10">SUM(C5:C20)</f>
        <v>0</v>
      </c>
      <c r="D21" s="55">
        <f t="shared" si="10"/>
        <v>43137907.63449195</v>
      </c>
      <c r="E21" s="55">
        <f t="shared" si="10"/>
        <v>74666932.810393706</v>
      </c>
      <c r="F21" s="55">
        <f t="shared" si="10"/>
        <v>81209971.610527456</v>
      </c>
      <c r="G21" s="55">
        <f t="shared" si="10"/>
        <v>82634341.641189128</v>
      </c>
      <c r="H21" s="55">
        <f t="shared" si="10"/>
        <v>83633869.621948481</v>
      </c>
      <c r="I21" s="55">
        <f t="shared" si="10"/>
        <v>84882634.448526293</v>
      </c>
      <c r="J21" s="55">
        <f t="shared" si="10"/>
        <v>86156604.788526297</v>
      </c>
      <c r="K21" s="55">
        <f t="shared" si="10"/>
        <v>87456289.398996562</v>
      </c>
      <c r="L21" s="55">
        <f t="shared" si="10"/>
        <v>88782207.305918336</v>
      </c>
      <c r="M21" s="55">
        <f t="shared" si="10"/>
        <v>90134888.011477888</v>
      </c>
      <c r="N21" s="55">
        <f t="shared" si="10"/>
        <v>91514871.705521971</v>
      </c>
      <c r="O21" s="55">
        <f t="shared" si="10"/>
        <v>92922709.481281281</v>
      </c>
      <c r="P21" s="55">
        <f t="shared" si="10"/>
        <v>94358963.555448398</v>
      </c>
      <c r="Q21" s="55">
        <f t="shared" si="10"/>
        <v>95824207.492697492</v>
      </c>
      <c r="R21" s="55">
        <f t="shared" si="10"/>
        <v>97319026.434736222</v>
      </c>
      <c r="S21" s="55">
        <f t="shared" si="10"/>
        <v>98844017.333980471</v>
      </c>
      <c r="T21" s="55">
        <f t="shared" si="10"/>
        <v>100399789.19194612</v>
      </c>
      <c r="U21" s="55">
        <f t="shared" si="10"/>
        <v>101986963.30245224</v>
      </c>
      <c r="V21" s="55">
        <f t="shared" si="10"/>
        <v>103606173.4997333</v>
      </c>
      <c r="W21" s="55">
        <f t="shared" si="10"/>
        <v>105258066.41155936</v>
      </c>
      <c r="X21" s="55">
        <f t="shared" si="10"/>
        <v>106943301.71746549</v>
      </c>
      <c r="Y21" s="55">
        <f t="shared" si="10"/>
        <v>108662552.41219306</v>
      </c>
    </row>
    <row r="23" spans="2:25" x14ac:dyDescent="0.2">
      <c r="B23" s="17" t="s">
        <v>71</v>
      </c>
    </row>
    <row r="24" spans="2:25" x14ac:dyDescent="0.2">
      <c r="B24" s="22" t="s">
        <v>7</v>
      </c>
      <c r="C24" s="18">
        <f>SUM(Financials!C31:N31)</f>
        <v>0</v>
      </c>
      <c r="D24" s="18">
        <f>SUM(Financials!O31:Z31)</f>
        <v>-1058750</v>
      </c>
      <c r="E24" s="18">
        <f>SUM(Financials!AA31:AL31)</f>
        <v>-1405250</v>
      </c>
      <c r="F24" s="18">
        <f>SUM(Financials!AM31:AX31)</f>
        <v>-1405250</v>
      </c>
      <c r="G24" s="18">
        <f>SUM(Financials!AY31:BJ31)</f>
        <v>-1409100</v>
      </c>
      <c r="H24" s="18">
        <f>SUM(Financials!BK31:BV31)</f>
        <v>-1405250</v>
      </c>
      <c r="I24" s="18">
        <f>SUM(Financials!BW31:CH31)</f>
        <v>-1405250</v>
      </c>
      <c r="J24" s="18">
        <f>SUM(Financials!CI31:CT31)</f>
        <v>-1405250</v>
      </c>
      <c r="K24" s="18">
        <f>SUM(Financials!CU31:DF31)</f>
        <v>-1405250</v>
      </c>
      <c r="L24" s="18">
        <f>SUM(Financials!DG31:DR31)</f>
        <v>-1405250</v>
      </c>
      <c r="M24" s="18">
        <f>SUM(Financials!DS31:ED31)</f>
        <v>-1405250</v>
      </c>
      <c r="N24" s="18">
        <f>SUM(Financials!EE31:EP31)</f>
        <v>-1405250</v>
      </c>
      <c r="O24" s="18">
        <f>SUM(Financials!EQ31:FB31)</f>
        <v>-1405250</v>
      </c>
      <c r="P24" s="18">
        <f>SUM(Financials!FC31:FN31)</f>
        <v>-1405250</v>
      </c>
      <c r="Q24" s="18">
        <f>SUM(Financials!FO31:FZ31)</f>
        <v>-1405250</v>
      </c>
      <c r="R24" s="18">
        <f>SUM(Financials!GA31:GL31)</f>
        <v>-1405250</v>
      </c>
      <c r="S24" s="18">
        <f>SUM(Financials!GM31:GX31)</f>
        <v>-1405250</v>
      </c>
      <c r="T24" s="18">
        <f>SUM(Financials!GY31:HJ31)</f>
        <v>-1405250</v>
      </c>
      <c r="U24" s="18">
        <f>SUM(Financials!HK31:HV31)</f>
        <v>-1405250</v>
      </c>
      <c r="V24" s="18">
        <f>SUM(Financials!HW31:IH31)</f>
        <v>-1405250</v>
      </c>
      <c r="W24" s="18">
        <f>SUM(Financials!II31:IT31)</f>
        <v>-1405250</v>
      </c>
      <c r="X24" s="18">
        <f>SUM(Financials!IU31:JF31)</f>
        <v>-1405250</v>
      </c>
      <c r="Y24" s="18">
        <f>SUM(Financials!JG31:JR31)</f>
        <v>-1405250</v>
      </c>
    </row>
    <row r="25" spans="2:25" x14ac:dyDescent="0.2">
      <c r="B25" s="22" t="s">
        <v>8</v>
      </c>
      <c r="C25" s="18">
        <f>SUM(Financials!C32:N32)</f>
        <v>0</v>
      </c>
      <c r="D25" s="18">
        <f>SUM(Financials!O32:Z32)</f>
        <v>0</v>
      </c>
      <c r="E25" s="18">
        <f>SUM(Financials!AA32:AL32)</f>
        <v>0</v>
      </c>
      <c r="F25" s="18">
        <f>SUM(Financials!AM32:AX32)</f>
        <v>0</v>
      </c>
      <c r="G25" s="18">
        <f>SUM(Financials!AY32:BJ32)</f>
        <v>0</v>
      </c>
      <c r="H25" s="18">
        <f>SUM(Financials!BK32:BV32)</f>
        <v>0</v>
      </c>
      <c r="I25" s="18">
        <f>SUM(Financials!BW32:CH32)</f>
        <v>0</v>
      </c>
      <c r="J25" s="18">
        <f>SUM(Financials!CI32:CT32)</f>
        <v>0</v>
      </c>
      <c r="K25" s="18">
        <f>SUM(Financials!CU32:DF32)</f>
        <v>0</v>
      </c>
      <c r="L25" s="18">
        <f>SUM(Financials!DG32:DR32)</f>
        <v>0</v>
      </c>
      <c r="M25" s="18">
        <f>SUM(Financials!DS32:ED32)</f>
        <v>0</v>
      </c>
      <c r="N25" s="18">
        <f>SUM(Financials!EE32:EP32)</f>
        <v>0</v>
      </c>
      <c r="O25" s="18">
        <f>SUM(Financials!EQ32:FB32)</f>
        <v>0</v>
      </c>
      <c r="P25" s="18">
        <f>SUM(Financials!FC32:FN32)</f>
        <v>0</v>
      </c>
      <c r="Q25" s="18">
        <f>SUM(Financials!FO32:FZ32)</f>
        <v>0</v>
      </c>
      <c r="R25" s="18">
        <f>SUM(Financials!GA32:GL32)</f>
        <v>0</v>
      </c>
      <c r="S25" s="18">
        <f>SUM(Financials!GM32:GX32)</f>
        <v>0</v>
      </c>
      <c r="T25" s="18">
        <f>SUM(Financials!GY32:HJ32)</f>
        <v>0</v>
      </c>
      <c r="U25" s="18">
        <f>SUM(Financials!HK32:HV32)</f>
        <v>0</v>
      </c>
      <c r="V25" s="18">
        <f>SUM(Financials!HW32:IH32)</f>
        <v>0</v>
      </c>
      <c r="W25" s="18">
        <f>SUM(Financials!II32:IT32)</f>
        <v>0</v>
      </c>
      <c r="X25" s="18">
        <f>SUM(Financials!IU32:JF32)</f>
        <v>0</v>
      </c>
      <c r="Y25" s="18">
        <f>SUM(Financials!JG32:JR32)</f>
        <v>0</v>
      </c>
    </row>
    <row r="26" spans="2:25" x14ac:dyDescent="0.2">
      <c r="B26" s="22" t="s">
        <v>55</v>
      </c>
      <c r="C26" s="18">
        <f>SUM(Financials!C33:N33)</f>
        <v>0</v>
      </c>
      <c r="D26" s="18">
        <f>SUM(Financials!O33:Z33)</f>
        <v>0</v>
      </c>
      <c r="E26" s="18">
        <f>SUM(Financials!AA33:AL33)</f>
        <v>0</v>
      </c>
      <c r="F26" s="18">
        <f>SUM(Financials!AM33:AX33)</f>
        <v>0</v>
      </c>
      <c r="G26" s="18">
        <f>SUM(Financials!AY33:BJ33)</f>
        <v>0</v>
      </c>
      <c r="H26" s="18">
        <f>SUM(Financials!BK33:BV33)</f>
        <v>0</v>
      </c>
      <c r="I26" s="18">
        <f>SUM(Financials!BW33:CH33)</f>
        <v>0</v>
      </c>
      <c r="J26" s="18">
        <f>SUM(Financials!CI33:CT33)</f>
        <v>0</v>
      </c>
      <c r="K26" s="18">
        <f>SUM(Financials!CU33:DF33)</f>
        <v>0</v>
      </c>
      <c r="L26" s="18">
        <f>SUM(Financials!DG33:DR33)</f>
        <v>0</v>
      </c>
      <c r="M26" s="18">
        <f>SUM(Financials!DS33:ED33)</f>
        <v>0</v>
      </c>
      <c r="N26" s="18">
        <f>SUM(Financials!EE33:EP33)</f>
        <v>0</v>
      </c>
      <c r="O26" s="18">
        <f>SUM(Financials!EQ33:FB33)</f>
        <v>0</v>
      </c>
      <c r="P26" s="18">
        <f>SUM(Financials!FC33:FN33)</f>
        <v>0</v>
      </c>
      <c r="Q26" s="18">
        <f>SUM(Financials!FO33:FZ33)</f>
        <v>0</v>
      </c>
      <c r="R26" s="18">
        <f>SUM(Financials!GA33:GL33)</f>
        <v>0</v>
      </c>
      <c r="S26" s="18">
        <f>SUM(Financials!GM33:GX33)</f>
        <v>0</v>
      </c>
      <c r="T26" s="18">
        <f>SUM(Financials!GY33:HJ33)</f>
        <v>0</v>
      </c>
      <c r="U26" s="18">
        <f>SUM(Financials!HK33:HV33)</f>
        <v>0</v>
      </c>
      <c r="V26" s="18">
        <f>SUM(Financials!HW33:IH33)</f>
        <v>0</v>
      </c>
      <c r="W26" s="18">
        <f>SUM(Financials!II33:IT33)</f>
        <v>0</v>
      </c>
      <c r="X26" s="18">
        <f>SUM(Financials!IU33:JF33)</f>
        <v>0</v>
      </c>
      <c r="Y26" s="18">
        <f>SUM(Financials!JG33:JR33)</f>
        <v>0</v>
      </c>
    </row>
    <row r="27" spans="2:25" x14ac:dyDescent="0.2">
      <c r="B27" s="22" t="s">
        <v>56</v>
      </c>
      <c r="C27" s="18">
        <f>SUM(Financials!C34:N34)</f>
        <v>0</v>
      </c>
      <c r="D27" s="18">
        <f>SUM(Financials!O34:Z34)</f>
        <v>0</v>
      </c>
      <c r="E27" s="18">
        <f>SUM(Financials!AA34:AL34)</f>
        <v>0</v>
      </c>
      <c r="F27" s="18">
        <f>SUM(Financials!AM34:AX34)</f>
        <v>0</v>
      </c>
      <c r="G27" s="18">
        <f>SUM(Financials!AY34:BJ34)</f>
        <v>0</v>
      </c>
      <c r="H27" s="18">
        <f>SUM(Financials!BK34:BV34)</f>
        <v>0</v>
      </c>
      <c r="I27" s="18">
        <f>SUM(Financials!BW34:CH34)</f>
        <v>0</v>
      </c>
      <c r="J27" s="18">
        <f>SUM(Financials!CI34:CT34)</f>
        <v>0</v>
      </c>
      <c r="K27" s="18">
        <f>SUM(Financials!CU34:DF34)</f>
        <v>0</v>
      </c>
      <c r="L27" s="18">
        <f>SUM(Financials!DG34:DR34)</f>
        <v>0</v>
      </c>
      <c r="M27" s="18">
        <f>SUM(Financials!DS34:ED34)</f>
        <v>0</v>
      </c>
      <c r="N27" s="18">
        <f>SUM(Financials!EE34:EP34)</f>
        <v>0</v>
      </c>
      <c r="O27" s="18">
        <f>SUM(Financials!EQ34:FB34)</f>
        <v>0</v>
      </c>
      <c r="P27" s="18">
        <f>SUM(Financials!FC34:FN34)</f>
        <v>0</v>
      </c>
      <c r="Q27" s="18">
        <f>SUM(Financials!FO34:FZ34)</f>
        <v>0</v>
      </c>
      <c r="R27" s="18">
        <f>SUM(Financials!GA34:GL34)</f>
        <v>0</v>
      </c>
      <c r="S27" s="18">
        <f>SUM(Financials!GM34:GX34)</f>
        <v>0</v>
      </c>
      <c r="T27" s="18">
        <f>SUM(Financials!GY34:HJ34)</f>
        <v>0</v>
      </c>
      <c r="U27" s="18">
        <f>SUM(Financials!HK34:HV34)</f>
        <v>0</v>
      </c>
      <c r="V27" s="18">
        <f>SUM(Financials!HW34:IH34)</f>
        <v>0</v>
      </c>
      <c r="W27" s="18">
        <f>SUM(Financials!II34:IT34)</f>
        <v>0</v>
      </c>
      <c r="X27" s="18">
        <f>SUM(Financials!IU34:JF34)</f>
        <v>0</v>
      </c>
      <c r="Y27" s="18">
        <f>SUM(Financials!JG34:JR34)</f>
        <v>0</v>
      </c>
    </row>
    <row r="28" spans="2:25" x14ac:dyDescent="0.2">
      <c r="B28" s="54" t="s">
        <v>74</v>
      </c>
      <c r="C28" s="55">
        <f t="shared" ref="C28:G28" si="11">SUM(C24:C27)</f>
        <v>0</v>
      </c>
      <c r="D28" s="55">
        <f t="shared" si="11"/>
        <v>-1058750</v>
      </c>
      <c r="E28" s="55">
        <f t="shared" si="11"/>
        <v>-1405250</v>
      </c>
      <c r="F28" s="55">
        <f t="shared" si="11"/>
        <v>-1405250</v>
      </c>
      <c r="G28" s="55">
        <f t="shared" si="11"/>
        <v>-1409100</v>
      </c>
      <c r="H28" s="55">
        <f t="shared" ref="H28:I28" si="12">SUM(H24:H27)</f>
        <v>-1405250</v>
      </c>
      <c r="I28" s="55">
        <f t="shared" si="12"/>
        <v>-1405250</v>
      </c>
      <c r="J28" s="55">
        <f t="shared" ref="J28:K28" si="13">SUM(J24:J27)</f>
        <v>-1405250</v>
      </c>
      <c r="K28" s="55">
        <f t="shared" si="13"/>
        <v>-1405250</v>
      </c>
      <c r="L28" s="55">
        <f t="shared" ref="L28:M28" si="14">SUM(L24:L27)</f>
        <v>-1405250</v>
      </c>
      <c r="M28" s="55">
        <f t="shared" si="14"/>
        <v>-1405250</v>
      </c>
      <c r="N28" s="55">
        <f t="shared" ref="N28:O28" si="15">SUM(N24:N27)</f>
        <v>-1405250</v>
      </c>
      <c r="O28" s="55">
        <f t="shared" si="15"/>
        <v>-1405250</v>
      </c>
      <c r="P28" s="55">
        <f t="shared" ref="P28:Q28" si="16">SUM(P24:P27)</f>
        <v>-1405250</v>
      </c>
      <c r="Q28" s="55">
        <f t="shared" si="16"/>
        <v>-1405250</v>
      </c>
      <c r="R28" s="55">
        <f t="shared" ref="R28:S28" si="17">SUM(R24:R27)</f>
        <v>-1405250</v>
      </c>
      <c r="S28" s="55">
        <f t="shared" si="17"/>
        <v>-1405250</v>
      </c>
      <c r="T28" s="55">
        <f t="shared" ref="T28:U28" si="18">SUM(T24:T27)</f>
        <v>-1405250</v>
      </c>
      <c r="U28" s="55">
        <f t="shared" si="18"/>
        <v>-1405250</v>
      </c>
      <c r="V28" s="55">
        <f t="shared" ref="V28:W28" si="19">SUM(V24:V27)</f>
        <v>-1405250</v>
      </c>
      <c r="W28" s="55">
        <f t="shared" si="19"/>
        <v>-1405250</v>
      </c>
      <c r="X28" s="55">
        <f t="shared" ref="X28:Y28" si="20">SUM(X24:X27)</f>
        <v>-1405250</v>
      </c>
      <c r="Y28" s="55">
        <f t="shared" si="20"/>
        <v>-1405250</v>
      </c>
    </row>
    <row r="29" spans="2:25" x14ac:dyDescent="0.2">
      <c r="B29" s="31"/>
      <c r="C29" s="30"/>
      <c r="D29" s="30"/>
      <c r="E29" s="30"/>
      <c r="F29" s="30"/>
      <c r="G29" s="30"/>
      <c r="H29" s="30"/>
      <c r="I29" s="30"/>
      <c r="J29" s="30"/>
      <c r="K29" s="30"/>
      <c r="L29" s="30"/>
      <c r="M29" s="30"/>
      <c r="N29" s="30"/>
      <c r="O29" s="30"/>
      <c r="P29" s="30"/>
      <c r="Q29" s="30"/>
      <c r="R29" s="30"/>
      <c r="S29" s="30"/>
      <c r="T29" s="30"/>
      <c r="U29" s="30"/>
      <c r="V29" s="30"/>
      <c r="W29" s="30"/>
      <c r="X29" s="30"/>
      <c r="Y29" s="30"/>
    </row>
    <row r="30" spans="2:25" x14ac:dyDescent="0.2">
      <c r="B30" s="56" t="s">
        <v>70</v>
      </c>
      <c r="C30" s="57">
        <f t="shared" ref="C30:G30" si="21">C21+C28</f>
        <v>0</v>
      </c>
      <c r="D30" s="57">
        <f t="shared" si="21"/>
        <v>42079157.63449195</v>
      </c>
      <c r="E30" s="57">
        <f t="shared" si="21"/>
        <v>73261682.810393706</v>
      </c>
      <c r="F30" s="57">
        <f t="shared" si="21"/>
        <v>79804721.610527456</v>
      </c>
      <c r="G30" s="57">
        <f t="shared" si="21"/>
        <v>81225241.641189128</v>
      </c>
      <c r="H30" s="57">
        <f t="shared" ref="H30:I30" si="22">H21+H28</f>
        <v>82228619.621948481</v>
      </c>
      <c r="I30" s="57">
        <f t="shared" si="22"/>
        <v>83477384.448526293</v>
      </c>
      <c r="J30" s="57">
        <f t="shared" ref="J30:K30" si="23">J21+J28</f>
        <v>84751354.788526297</v>
      </c>
      <c r="K30" s="57">
        <f t="shared" si="23"/>
        <v>86051039.398996562</v>
      </c>
      <c r="L30" s="57">
        <f t="shared" ref="L30:M30" si="24">L21+L28</f>
        <v>87376957.305918336</v>
      </c>
      <c r="M30" s="57">
        <f t="shared" si="24"/>
        <v>88729638.011477888</v>
      </c>
      <c r="N30" s="57">
        <f t="shared" ref="N30:O30" si="25">N21+N28</f>
        <v>90109621.705521971</v>
      </c>
      <c r="O30" s="57">
        <f t="shared" si="25"/>
        <v>91517459.481281281</v>
      </c>
      <c r="P30" s="57">
        <f t="shared" ref="P30:Q30" si="26">P21+P28</f>
        <v>92953713.555448398</v>
      </c>
      <c r="Q30" s="57">
        <f t="shared" si="26"/>
        <v>94418957.492697492</v>
      </c>
      <c r="R30" s="57">
        <f t="shared" ref="R30:S30" si="27">R21+R28</f>
        <v>95913776.434736222</v>
      </c>
      <c r="S30" s="57">
        <f t="shared" si="27"/>
        <v>97438767.333980471</v>
      </c>
      <c r="T30" s="57">
        <f t="shared" ref="T30:U30" si="28">T21+T28</f>
        <v>98994539.191946119</v>
      </c>
      <c r="U30" s="57">
        <f t="shared" si="28"/>
        <v>100581713.30245224</v>
      </c>
      <c r="V30" s="57">
        <f t="shared" ref="V30:W30" si="29">V21+V28</f>
        <v>102200923.4997333</v>
      </c>
      <c r="W30" s="57">
        <f t="shared" si="29"/>
        <v>103852816.41155936</v>
      </c>
      <c r="X30" s="57">
        <f t="shared" ref="X30:Y30" si="30">X21+X28</f>
        <v>105538051.71746549</v>
      </c>
      <c r="Y30" s="57">
        <f t="shared" si="30"/>
        <v>107257302.41219306</v>
      </c>
    </row>
    <row r="31" spans="2:25" x14ac:dyDescent="0.2">
      <c r="B31" s="3"/>
    </row>
    <row r="32" spans="2:25" x14ac:dyDescent="0.2">
      <c r="B32" s="3" t="s">
        <v>49</v>
      </c>
    </row>
    <row r="33" spans="2:25" x14ac:dyDescent="0.2">
      <c r="B33" s="21" t="str">
        <f>Financials!B40</f>
        <v>Employee Cost</v>
      </c>
      <c r="C33" s="18">
        <f>SUM(Financials!C40:C55)</f>
        <v>601983.14987559081</v>
      </c>
      <c r="D33" s="18">
        <f>SUM(Financials!O40:Z40)</f>
        <v>3603546.064866703</v>
      </c>
      <c r="E33" s="18">
        <f>SUM(Financials!AA40:AL40)</f>
        <v>4846945.0927410424</v>
      </c>
      <c r="F33" s="18">
        <f>SUM(Financials!AM40:AX40)</f>
        <v>4895637.3135650316</v>
      </c>
      <c r="G33" s="18">
        <f>SUM(Financials!AY40:BJ40)</f>
        <v>4944818.6945349295</v>
      </c>
      <c r="H33" s="18">
        <f>SUM(Financials!BK40:BV40)</f>
        <v>4994494.1497344263</v>
      </c>
      <c r="I33" s="18">
        <f>SUM(Financials!BW40:CH40)</f>
        <v>5044668.6426139101</v>
      </c>
      <c r="J33" s="18">
        <f>SUM(Financials!CI40:CT40)</f>
        <v>5095347.1864863969</v>
      </c>
      <c r="K33" s="18">
        <f>SUM(Financials!CU40:DF40)</f>
        <v>5146534.8450284442</v>
      </c>
      <c r="L33" s="18">
        <f>SUM(Financials!DG40:DR40)</f>
        <v>5198236.7327861134</v>
      </c>
      <c r="M33" s="18">
        <f>SUM(Financials!DS40:ED40)</f>
        <v>5250458.0156859886</v>
      </c>
      <c r="N33" s="18">
        <f>SUM(Financials!EE40:EP40)</f>
        <v>5303203.9115513535</v>
      </c>
      <c r="O33" s="18">
        <f>SUM(Financials!EQ40:FB40)</f>
        <v>5356479.6906235432</v>
      </c>
      <c r="P33" s="18">
        <f>SUM(Financials!FC40:FN40)</f>
        <v>5410290.676088525</v>
      </c>
      <c r="Q33" s="18">
        <f>SUM(Financials!FO40:FZ40)</f>
        <v>5464642.2446087878</v>
      </c>
      <c r="R33" s="18">
        <f>SUM(Financials!GA40:GL40)</f>
        <v>5519539.8268605629</v>
      </c>
      <c r="S33" s="18">
        <f>SUM(Financials!GM40:GX40)</f>
        <v>5574988.90807644</v>
      </c>
      <c r="T33" s="18">
        <f>SUM(Financials!GY40:HJ40)</f>
        <v>5630995.0285934424</v>
      </c>
      <c r="U33" s="18">
        <f>SUM(Financials!HK40:HV40)</f>
        <v>5687563.7844066005</v>
      </c>
      <c r="V33" s="18">
        <f>SUM(Financials!HW40:IH40)</f>
        <v>5744700.8277280945</v>
      </c>
      <c r="W33" s="18">
        <f>SUM(Financials!II40:IT40)</f>
        <v>5802411.8675520048</v>
      </c>
      <c r="X33" s="18">
        <f>SUM(Financials!IU40:JF40)</f>
        <v>5860702.6702247448</v>
      </c>
      <c r="Y33" s="18">
        <f>SUM(Financials!JG40:JR40)</f>
        <v>5919579.0600212188</v>
      </c>
    </row>
    <row r="34" spans="2:25" x14ac:dyDescent="0.2">
      <c r="B34" s="21" t="str">
        <f>Financials!B41</f>
        <v>Turbine LTMA Cost 5 year term</v>
      </c>
      <c r="C34" s="18">
        <f>SUM(Financials!C41:C56)</f>
        <v>1203966.2997511816</v>
      </c>
      <c r="D34" s="18">
        <f>SUM(Financials!O41:Z41)</f>
        <v>1630842.105175195</v>
      </c>
      <c r="E34" s="18">
        <f>SUM(Financials!AA41:AL41)</f>
        <v>2212827.9107133681</v>
      </c>
      <c r="F34" s="18">
        <f>SUM(Financials!AM41:AX41)</f>
        <v>560150.89845767792</v>
      </c>
      <c r="G34" s="18">
        <f>SUM(Financials!AY41:BJ41)</f>
        <v>0</v>
      </c>
      <c r="H34" s="18">
        <f>SUM(Financials!BK41:BV41)</f>
        <v>0</v>
      </c>
      <c r="I34" s="18">
        <f>SUM(Financials!BW41:CH41)</f>
        <v>0</v>
      </c>
      <c r="J34" s="18">
        <f>SUM(Financials!CI41:CT41)</f>
        <v>0</v>
      </c>
      <c r="K34" s="18">
        <f>SUM(Financials!CU41:DF41)</f>
        <v>0</v>
      </c>
      <c r="L34" s="18">
        <f>SUM(Financials!DG41:DR41)</f>
        <v>0</v>
      </c>
      <c r="M34" s="18">
        <f>SUM(Financials!DS41:ED41)</f>
        <v>0</v>
      </c>
      <c r="N34" s="18">
        <f>SUM(Financials!EE41:EP41)</f>
        <v>0</v>
      </c>
      <c r="O34" s="18">
        <f>SUM(Financials!EQ41:FB41)</f>
        <v>0</v>
      </c>
      <c r="P34" s="18">
        <f>SUM(Financials!FC41:FN41)</f>
        <v>0</v>
      </c>
      <c r="Q34" s="18">
        <f>SUM(Financials!FO41:FZ41)</f>
        <v>0</v>
      </c>
      <c r="R34" s="18">
        <f>SUM(Financials!GA41:GL41)</f>
        <v>0</v>
      </c>
      <c r="S34" s="18">
        <f>SUM(Financials!GM41:GX41)</f>
        <v>0</v>
      </c>
      <c r="T34" s="18">
        <f>SUM(Financials!GY41:HJ41)</f>
        <v>0</v>
      </c>
      <c r="U34" s="18">
        <f>SUM(Financials!HK41:HV41)</f>
        <v>0</v>
      </c>
      <c r="V34" s="18">
        <f>SUM(Financials!HW41:IH41)</f>
        <v>0</v>
      </c>
      <c r="W34" s="18">
        <f>SUM(Financials!II41:IT41)</f>
        <v>0</v>
      </c>
      <c r="X34" s="18">
        <f>SUM(Financials!IU41:JF41)</f>
        <v>0</v>
      </c>
      <c r="Y34" s="18">
        <f>SUM(Financials!JG41:JR41)</f>
        <v>0</v>
      </c>
    </row>
    <row r="35" spans="2:25" x14ac:dyDescent="0.2">
      <c r="B35" s="21" t="str">
        <f>Financials!B42</f>
        <v>Pyrolysis LTMA Cost yrs. 3+</v>
      </c>
      <c r="C35" s="18">
        <f>SUM(Financials!C42:C57)</f>
        <v>1203966.2997511816</v>
      </c>
      <c r="D35" s="18">
        <f>SUM(Financials!O42:Z42)</f>
        <v>0</v>
      </c>
      <c r="E35" s="18">
        <f>SUM(Financials!AA42:AL42)</f>
        <v>0</v>
      </c>
      <c r="F35" s="18">
        <f>SUM(Financials!AM42:AX42)</f>
        <v>174768.72874346914</v>
      </c>
      <c r="G35" s="18">
        <f>SUM(Financials!AY42:BJ42)</f>
        <v>266557.69053293555</v>
      </c>
      <c r="H35" s="18">
        <f>SUM(Financials!BK42:BV42)</f>
        <v>271937.9857682921</v>
      </c>
      <c r="I35" s="18">
        <f>SUM(Financials!BW42:CH42)</f>
        <v>277426.87879635056</v>
      </c>
      <c r="J35" s="18">
        <f>SUM(Financials!CI42:CT42)</f>
        <v>283026.56159358507</v>
      </c>
      <c r="K35" s="18">
        <f>SUM(Financials!CU42:DF42)</f>
        <v>288739.27038010256</v>
      </c>
      <c r="L35" s="18">
        <f>SUM(Financials!DG42:DR42)</f>
        <v>294567.28651267209</v>
      </c>
      <c r="M35" s="18">
        <f>SUM(Financials!DS42:ED42)</f>
        <v>300512.93739577878</v>
      </c>
      <c r="N35" s="18">
        <f>SUM(Financials!EE42:EP42)</f>
        <v>306578.5974110681</v>
      </c>
      <c r="O35" s="18">
        <f>SUM(Financials!EQ42:FB42)</f>
        <v>312766.68886554916</v>
      </c>
      <c r="P35" s="18">
        <f>SUM(Financials!FC42:FN42)</f>
        <v>319079.68295893713</v>
      </c>
      <c r="Q35" s="18">
        <f>SUM(Financials!FO42:FZ42)</f>
        <v>325520.10077052127</v>
      </c>
      <c r="R35" s="18">
        <f>SUM(Financials!GA42:GL42)</f>
        <v>332090.51426595199</v>
      </c>
      <c r="S35" s="18">
        <f>SUM(Financials!GM42:GX42)</f>
        <v>338793.54732434888</v>
      </c>
      <c r="T35" s="18">
        <f>SUM(Financials!GY42:HJ42)</f>
        <v>345631.87678614137</v>
      </c>
      <c r="U35" s="18">
        <f>SUM(Financials!HK42:HV42)</f>
        <v>352608.233522058</v>
      </c>
      <c r="V35" s="18">
        <f>SUM(Financials!HW42:IH42)</f>
        <v>359725.40352369333</v>
      </c>
      <c r="W35" s="18">
        <f>SUM(Financials!II42:IT42)</f>
        <v>366986.22901608743</v>
      </c>
      <c r="X35" s="18">
        <f>SUM(Financials!IU42:JF42)</f>
        <v>374393.60959276138</v>
      </c>
      <c r="Y35" s="18">
        <f>SUM(Financials!JG42:JR42)</f>
        <v>381950.50337366312</v>
      </c>
    </row>
    <row r="36" spans="2:25" x14ac:dyDescent="0.2">
      <c r="B36" s="21" t="str">
        <f>Financials!B43</f>
        <v>Total O&amp;M</v>
      </c>
      <c r="C36" s="18">
        <f>SUM(Financials!C43:C58)</f>
        <v>601983.14987559081</v>
      </c>
      <c r="D36" s="18">
        <f>SUM(Financials!O43:Z43)</f>
        <v>1160464.9609510531</v>
      </c>
      <c r="E36" s="18">
        <f>SUM(Financials!AA43:AL43)</f>
        <v>1574590.9716511331</v>
      </c>
      <c r="F36" s="18">
        <f>SUM(Financials!AM43:AX43)</f>
        <v>1606373.0758758215</v>
      </c>
      <c r="G36" s="18">
        <f>SUM(Financials!AY43:BJ43)</f>
        <v>1638796.6813964879</v>
      </c>
      <c r="H36" s="18">
        <f>SUM(Financials!BK43:BV43)</f>
        <v>1671874.73650346</v>
      </c>
      <c r="I36" s="18">
        <f>SUM(Financials!BW43:CH43)</f>
        <v>1705620.4508399637</v>
      </c>
      <c r="J36" s="18">
        <f>SUM(Financials!CI43:CT43)</f>
        <v>1740047.3006773612</v>
      </c>
      <c r="K36" s="18">
        <f>SUM(Financials!CU43:DF43)</f>
        <v>1775169.0342968707</v>
      </c>
      <c r="L36" s="18">
        <f>SUM(Financials!DG43:DR43)</f>
        <v>1810999.6774799076</v>
      </c>
      <c r="M36" s="18">
        <f>SUM(Financials!DS43:ED43)</f>
        <v>1847553.5391092477</v>
      </c>
      <c r="N36" s="18">
        <f>SUM(Financials!EE43:EP43)</f>
        <v>1884845.216883247</v>
      </c>
      <c r="O36" s="18">
        <f>SUM(Financials!EQ43:FB43)</f>
        <v>1922889.6031453966</v>
      </c>
      <c r="P36" s="18">
        <f>SUM(Financials!FC43:FN43)</f>
        <v>1961701.8908315459</v>
      </c>
      <c r="Q36" s="18">
        <f>SUM(Financials!FO43:FZ43)</f>
        <v>2001297.5795371649</v>
      </c>
      <c r="R36" s="18">
        <f>SUM(Financials!GA43:GL43)</f>
        <v>2041692.4817070724</v>
      </c>
      <c r="S36" s="18">
        <f>SUM(Financials!GM43:GX43)</f>
        <v>2082902.728950097</v>
      </c>
      <c r="T36" s="18">
        <f>SUM(Financials!GY43:HJ43)</f>
        <v>2124944.7784811966</v>
      </c>
      <c r="U36" s="18">
        <f>SUM(Financials!HK43:HV43)</f>
        <v>2167835.419693612</v>
      </c>
      <c r="V36" s="18">
        <f>SUM(Financials!HW43:IH43)</f>
        <v>2211591.7808636669</v>
      </c>
      <c r="W36" s="18">
        <f>SUM(Financials!II43:IT43)</f>
        <v>2256231.3359909053</v>
      </c>
      <c r="X36" s="18">
        <f>SUM(Financials!IU43:JF43)</f>
        <v>2301771.9117762973</v>
      </c>
      <c r="Y36" s="18">
        <f>SUM(Financials!JG43:JR43)</f>
        <v>2348231.6947412807</v>
      </c>
    </row>
    <row r="37" spans="2:25" x14ac:dyDescent="0.2">
      <c r="B37" s="21" t="str">
        <f>Financials!B44</f>
        <v>All insurance for the plant and risks</v>
      </c>
      <c r="C37" s="18">
        <f>SUM(Financials!C44:C59)</f>
        <v>601983.14987559081</v>
      </c>
      <c r="D37" s="18">
        <f>SUM(Financials!O44:Z44)</f>
        <v>7511416.2775470056</v>
      </c>
      <c r="E37" s="18">
        <f>SUM(Financials!AA44:AL44)</f>
        <v>7147871.1544609787</v>
      </c>
      <c r="F37" s="18">
        <f>SUM(Financials!AM44:AX44)</f>
        <v>6758045.3250321718</v>
      </c>
      <c r="G37" s="18">
        <f>SUM(Financials!AY44:BJ44)</f>
        <v>6340038.9548741085</v>
      </c>
      <c r="H37" s="18">
        <f>SUM(Financials!BK44:BV44)</f>
        <v>5891814.8704188941</v>
      </c>
      <c r="I37" s="18">
        <f>SUM(Financials!BW44:CH44)</f>
        <v>5411188.6306567034</v>
      </c>
      <c r="J37" s="18">
        <f>SUM(Financials!CI44:CT44)</f>
        <v>4895817.8811604725</v>
      </c>
      <c r="K37" s="18">
        <f>SUM(Financials!CU44:DF44)</f>
        <v>4343190.9385122219</v>
      </c>
      <c r="L37" s="18">
        <f>SUM(Financials!DG44:DR44)</f>
        <v>3750614.5494965934</v>
      </c>
      <c r="M37" s="18">
        <f>SUM(Financials!DS44:ED44)</f>
        <v>3115200.7654055306</v>
      </c>
      <c r="N37" s="18">
        <f>SUM(Financials!EE44:EP44)</f>
        <v>2734927.1046112161</v>
      </c>
      <c r="O37" s="18">
        <f>SUM(Financials!EQ44:FB44)</f>
        <v>2483036.2381580365</v>
      </c>
      <c r="P37" s="18">
        <f>SUM(Financials!FC44:FN44)</f>
        <v>2212936.1606020108</v>
      </c>
      <c r="Q37" s="18">
        <f>SUM(Financials!FO44:FZ44)</f>
        <v>1923310.5266001842</v>
      </c>
      <c r="R37" s="18">
        <f>SUM(Financials!GA44:GL44)</f>
        <v>1612747.8320983264</v>
      </c>
      <c r="S37" s="18">
        <f>SUM(Financials!GM44:GX44)</f>
        <v>1504315.7322510108</v>
      </c>
      <c r="T37" s="18">
        <f>SUM(Financials!GY44:HJ44)</f>
        <v>1504315.7322510108</v>
      </c>
      <c r="U37" s="18">
        <f>SUM(Financials!HK44:HV44)</f>
        <v>1504315.7322510108</v>
      </c>
      <c r="V37" s="18">
        <f>SUM(Financials!HW44:IH44)</f>
        <v>1504315.7322510108</v>
      </c>
      <c r="W37" s="18">
        <f>SUM(Financials!II44:IT44)</f>
        <v>1504315.7322510108</v>
      </c>
      <c r="X37" s="18">
        <f>SUM(Financials!IU44:JF44)</f>
        <v>1504315.7322510108</v>
      </c>
      <c r="Y37" s="18">
        <f>SUM(Financials!JG44:JR44)</f>
        <v>1504315.7322510108</v>
      </c>
    </row>
    <row r="38" spans="2:25" x14ac:dyDescent="0.2">
      <c r="B38" s="21" t="str">
        <f>Financials!B45</f>
        <v xml:space="preserve">Land Rental </v>
      </c>
      <c r="C38" s="18">
        <f>SUM(Financials!C45:C60)</f>
        <v>0</v>
      </c>
      <c r="D38" s="18">
        <f>SUM(Financials!O45:Z45)</f>
        <v>75501.949313666424</v>
      </c>
      <c r="E38" s="18">
        <f>SUM(Financials!AA45:AL45)</f>
        <v>102445.73660710039</v>
      </c>
      <c r="F38" s="18">
        <f>SUM(Financials!AM45:AX45)</f>
        <v>104513.53779283159</v>
      </c>
      <c r="G38" s="18">
        <f>SUM(Financials!AY45:BJ45)</f>
        <v>106623.07621317422</v>
      </c>
      <c r="H38" s="18">
        <f>SUM(Financials!BK45:BV45)</f>
        <v>108775.19430731685</v>
      </c>
      <c r="I38" s="18">
        <f>SUM(Financials!BW45:CH45)</f>
        <v>110970.75151854024</v>
      </c>
      <c r="J38" s="18">
        <f>SUM(Financials!CI45:CT45)</f>
        <v>113210.62463743403</v>
      </c>
      <c r="K38" s="18">
        <f>SUM(Financials!CU45:DF45)</f>
        <v>115495.70815204106</v>
      </c>
      <c r="L38" s="18">
        <f>SUM(Financials!DG45:DR45)</f>
        <v>117826.91460506881</v>
      </c>
      <c r="M38" s="18">
        <f>SUM(Financials!DS45:ED45)</f>
        <v>120205.1749583115</v>
      </c>
      <c r="N38" s="18">
        <f>SUM(Financials!EE45:EP45)</f>
        <v>122631.43896442727</v>
      </c>
      <c r="O38" s="18">
        <f>SUM(Financials!EQ45:FB45)</f>
        <v>125106.67554621969</v>
      </c>
      <c r="P38" s="18">
        <f>SUM(Financials!FC45:FN45)</f>
        <v>127631.87318357488</v>
      </c>
      <c r="Q38" s="18">
        <f>SUM(Financials!FO45:FZ45)</f>
        <v>130208.04030820854</v>
      </c>
      <c r="R38" s="18">
        <f>SUM(Financials!GA45:GL45)</f>
        <v>132836.2057063808</v>
      </c>
      <c r="S38" s="18">
        <f>SUM(Financials!GM45:GX45)</f>
        <v>135517.41892973954</v>
      </c>
      <c r="T38" s="18">
        <f>SUM(Financials!GY45:HJ45)</f>
        <v>138252.75071445655</v>
      </c>
      <c r="U38" s="18">
        <f>SUM(Financials!HK45:HV45)</f>
        <v>141043.29340882317</v>
      </c>
      <c r="V38" s="18">
        <f>SUM(Financials!HW45:IH45)</f>
        <v>143890.16140947735</v>
      </c>
      <c r="W38" s="18">
        <f>SUM(Financials!II45:IT45)</f>
        <v>146794.49160643498</v>
      </c>
      <c r="X38" s="18">
        <f>SUM(Financials!IU45:JF45)</f>
        <v>149757.44383710457</v>
      </c>
      <c r="Y38" s="18">
        <f>SUM(Financials!JG45:JR45)</f>
        <v>152780.20134946526</v>
      </c>
    </row>
    <row r="39" spans="2:25" x14ac:dyDescent="0.2">
      <c r="B39" s="21" t="str">
        <f>Financials!B46</f>
        <v>IT  outsourced</v>
      </c>
      <c r="C39" s="18">
        <f>SUM(Financials!C46:C60)</f>
        <v>0</v>
      </c>
      <c r="D39" s="18">
        <f>SUM(Financials!O46:Z46)</f>
        <v>53701.503864513397</v>
      </c>
      <c r="E39" s="18">
        <f>SUM(Financials!AA46:AL46)</f>
        <v>81956.589285680326</v>
      </c>
      <c r="F39" s="18">
        <f>SUM(Financials!AM46:AX46)</f>
        <v>83610.830234265275</v>
      </c>
      <c r="G39" s="18">
        <f>SUM(Financials!AY46:BJ46)</f>
        <v>85298.460970539381</v>
      </c>
      <c r="H39" s="18">
        <f>SUM(Financials!BK46:BV46)</f>
        <v>87020.155445853496</v>
      </c>
      <c r="I39" s="18">
        <f>SUM(Financials!BW46:CH46)</f>
        <v>88776.601214832204</v>
      </c>
      <c r="J39" s="18">
        <f>SUM(Financials!CI46:CT46)</f>
        <v>90568.499709947238</v>
      </c>
      <c r="K39" s="18">
        <f>SUM(Financials!CU46:DF46)</f>
        <v>92396.566521632834</v>
      </c>
      <c r="L39" s="18">
        <f>SUM(Financials!DG46:DR46)</f>
        <v>94261.531684055051</v>
      </c>
      <c r="M39" s="18">
        <f>SUM(Financials!DS46:ED46)</f>
        <v>96164.139966649207</v>
      </c>
      <c r="N39" s="18">
        <f>SUM(Financials!EE46:EP46)</f>
        <v>98105.151171541816</v>
      </c>
      <c r="O39" s="18">
        <f>SUM(Financials!EQ46:FB46)</f>
        <v>100085.34043697573</v>
      </c>
      <c r="P39" s="18">
        <f>SUM(Financials!FC46:FN46)</f>
        <v>102105.49854685989</v>
      </c>
      <c r="Q39" s="18">
        <f>SUM(Financials!FO46:FZ46)</f>
        <v>104166.43224656682</v>
      </c>
      <c r="R39" s="18">
        <f>SUM(Financials!GA46:GL46)</f>
        <v>106268.96456510464</v>
      </c>
      <c r="S39" s="18">
        <f>SUM(Financials!GM46:GX46)</f>
        <v>108413.93514379165</v>
      </c>
      <c r="T39" s="18">
        <f>SUM(Financials!GY46:HJ46)</f>
        <v>110602.20057156525</v>
      </c>
      <c r="U39" s="18">
        <f>SUM(Financials!HK46:HV46)</f>
        <v>112834.63472705855</v>
      </c>
      <c r="V39" s="18">
        <f>SUM(Financials!HW46:IH46)</f>
        <v>115112.12912758188</v>
      </c>
      <c r="W39" s="18">
        <f>SUM(Financials!II46:IT46)</f>
        <v>117435.59328514802</v>
      </c>
      <c r="X39" s="18">
        <f>SUM(Financials!IU46:JF46)</f>
        <v>119805.95506968367</v>
      </c>
      <c r="Y39" s="18">
        <f>SUM(Financials!JG46:JR46)</f>
        <v>122224.16107957224</v>
      </c>
    </row>
    <row r="40" spans="2:25" x14ac:dyDescent="0.2">
      <c r="B40" s="21" t="str">
        <f>Financials!B47</f>
        <v>Utilities</v>
      </c>
      <c r="C40" s="18">
        <f>SUM(Financials!C47:C61)</f>
        <v>0</v>
      </c>
      <c r="D40" s="18">
        <f>SUM(Financials!O47:Z47)</f>
        <v>151003.89862733285</v>
      </c>
      <c r="E40" s="18">
        <f>SUM(Financials!AA47:AL47)</f>
        <v>204891.47321420079</v>
      </c>
      <c r="F40" s="18">
        <f>SUM(Financials!AM47:AX47)</f>
        <v>209027.07558566317</v>
      </c>
      <c r="G40" s="18">
        <f>SUM(Financials!AY47:BJ47)</f>
        <v>213246.15242634845</v>
      </c>
      <c r="H40" s="18">
        <f>SUM(Financials!BK47:BV47)</f>
        <v>217550.3886146337</v>
      </c>
      <c r="I40" s="18">
        <f>SUM(Financials!BW47:CH47)</f>
        <v>221941.50303708049</v>
      </c>
      <c r="J40" s="18">
        <f>SUM(Financials!CI47:CT47)</f>
        <v>226421.24927486805</v>
      </c>
      <c r="K40" s="18">
        <f>SUM(Financials!CU47:DF47)</f>
        <v>230991.41630408211</v>
      </c>
      <c r="L40" s="18">
        <f>SUM(Financials!DG47:DR47)</f>
        <v>235653.82921013763</v>
      </c>
      <c r="M40" s="18">
        <f>SUM(Financials!DS47:ED47)</f>
        <v>240410.349916623</v>
      </c>
      <c r="N40" s="18">
        <f>SUM(Financials!EE47:EP47)</f>
        <v>245262.87792885455</v>
      </c>
      <c r="O40" s="18">
        <f>SUM(Financials!EQ47:FB47)</f>
        <v>250213.35109243938</v>
      </c>
      <c r="P40" s="18">
        <f>SUM(Financials!FC47:FN47)</f>
        <v>255263.74636714975</v>
      </c>
      <c r="Q40" s="18">
        <f>SUM(Financials!FO47:FZ47)</f>
        <v>260416.08061641708</v>
      </c>
      <c r="R40" s="18">
        <f>SUM(Financials!GA47:GL47)</f>
        <v>265672.4114127616</v>
      </c>
      <c r="S40" s="18">
        <f>SUM(Financials!GM47:GX47)</f>
        <v>271034.83785947907</v>
      </c>
      <c r="T40" s="18">
        <f>SUM(Financials!GY47:HJ47)</f>
        <v>276505.50142891309</v>
      </c>
      <c r="U40" s="18">
        <f>SUM(Financials!HK47:HV47)</f>
        <v>282086.58681764634</v>
      </c>
      <c r="V40" s="18">
        <f>SUM(Financials!HW47:IH47)</f>
        <v>287780.32281895471</v>
      </c>
      <c r="W40" s="18">
        <f>SUM(Financials!II47:IT47)</f>
        <v>293588.98321286996</v>
      </c>
      <c r="X40" s="18">
        <f>SUM(Financials!IU47:JF47)</f>
        <v>299514.88767420914</v>
      </c>
      <c r="Y40" s="18">
        <f>SUM(Financials!JG47:JR47)</f>
        <v>305560.40269893053</v>
      </c>
    </row>
    <row r="41" spans="2:25" x14ac:dyDescent="0.2">
      <c r="B41" s="21" t="str">
        <f>Financials!B48</f>
        <v>OVD Fee for exporting</v>
      </c>
      <c r="C41" s="18">
        <f>SUM(Financials!C48:C62)</f>
        <v>0</v>
      </c>
      <c r="D41" s="18">
        <f>SUM(Financials!O48:Z48)</f>
        <v>0</v>
      </c>
      <c r="E41" s="18">
        <f>SUM(Financials!AA48:AL48)</f>
        <v>0</v>
      </c>
      <c r="F41" s="18">
        <f>SUM(Financials!AM48:AX48)</f>
        <v>0</v>
      </c>
      <c r="G41" s="18">
        <f>SUM(Financials!AY48:BJ48)</f>
        <v>0</v>
      </c>
      <c r="H41" s="18">
        <f>SUM(Financials!BK48:BV48)</f>
        <v>0</v>
      </c>
      <c r="I41" s="18">
        <f>SUM(Financials!BW48:CH48)</f>
        <v>0</v>
      </c>
      <c r="J41" s="18">
        <f>SUM(Financials!CI48:CT48)</f>
        <v>0</v>
      </c>
      <c r="K41" s="18">
        <f>SUM(Financials!CU48:DF48)</f>
        <v>0</v>
      </c>
      <c r="L41" s="18">
        <f>SUM(Financials!DG48:DR48)</f>
        <v>0</v>
      </c>
      <c r="M41" s="18">
        <f>SUM(Financials!DS48:ED48)</f>
        <v>0</v>
      </c>
      <c r="N41" s="18">
        <f>SUM(Financials!EE48:EP48)</f>
        <v>0</v>
      </c>
      <c r="O41" s="18">
        <f>SUM(Financials!EQ48:FB48)</f>
        <v>0</v>
      </c>
      <c r="P41" s="18">
        <f>SUM(Financials!FC48:FN48)</f>
        <v>0</v>
      </c>
      <c r="Q41" s="18">
        <f>SUM(Financials!FO48:FZ48)</f>
        <v>0</v>
      </c>
      <c r="R41" s="18">
        <f>SUM(Financials!GA48:GL48)</f>
        <v>0</v>
      </c>
      <c r="S41" s="18">
        <f>SUM(Financials!GM48:GX48)</f>
        <v>0</v>
      </c>
      <c r="T41" s="18">
        <f>SUM(Financials!GY48:HJ48)</f>
        <v>0</v>
      </c>
      <c r="U41" s="18">
        <f>SUM(Financials!HK48:HV48)</f>
        <v>0</v>
      </c>
      <c r="V41" s="18">
        <f>SUM(Financials!HW48:IH48)</f>
        <v>0</v>
      </c>
      <c r="W41" s="18">
        <f>SUM(Financials!II48:IT48)</f>
        <v>0</v>
      </c>
      <c r="X41" s="18">
        <f>SUM(Financials!IU48:JF48)</f>
        <v>0</v>
      </c>
      <c r="Y41" s="18">
        <f>SUM(Financials!JG48:JR48)</f>
        <v>0</v>
      </c>
    </row>
    <row r="42" spans="2:25" x14ac:dyDescent="0.2">
      <c r="B42" s="21" t="str">
        <f>Financials!B49</f>
        <v>Electricity</v>
      </c>
      <c r="C42" s="18">
        <f>SUM(Financials!C49:C62)</f>
        <v>0</v>
      </c>
      <c r="D42" s="18">
        <f>SUM(Financials!O49:Z49)</f>
        <v>0</v>
      </c>
      <c r="E42" s="18">
        <f>SUM(Financials!AA49:AL49)</f>
        <v>0</v>
      </c>
      <c r="F42" s="18">
        <f>SUM(Financials!AM49:AX49)</f>
        <v>0</v>
      </c>
      <c r="G42" s="18">
        <f>SUM(Financials!AY49:BJ49)</f>
        <v>0</v>
      </c>
      <c r="H42" s="18">
        <f>SUM(Financials!BK49:BV49)</f>
        <v>0</v>
      </c>
      <c r="I42" s="18">
        <f>SUM(Financials!BW49:CH49)</f>
        <v>0</v>
      </c>
      <c r="J42" s="18">
        <f>SUM(Financials!CI49:CT49)</f>
        <v>0</v>
      </c>
      <c r="K42" s="18">
        <f>SUM(Financials!CU49:DF49)</f>
        <v>0</v>
      </c>
      <c r="L42" s="18">
        <f>SUM(Financials!DG49:DR49)</f>
        <v>0</v>
      </c>
      <c r="M42" s="18">
        <f>SUM(Financials!DS49:ED49)</f>
        <v>0</v>
      </c>
      <c r="N42" s="18">
        <f>SUM(Financials!EE49:EP49)</f>
        <v>0</v>
      </c>
      <c r="O42" s="18">
        <f>SUM(Financials!EQ49:FB49)</f>
        <v>0</v>
      </c>
      <c r="P42" s="18">
        <f>SUM(Financials!FC49:FN49)</f>
        <v>0</v>
      </c>
      <c r="Q42" s="18">
        <f>SUM(Financials!FO49:FZ49)</f>
        <v>0</v>
      </c>
      <c r="R42" s="18">
        <f>SUM(Financials!GA49:GL49)</f>
        <v>0</v>
      </c>
      <c r="S42" s="18">
        <f>SUM(Financials!GM49:GX49)</f>
        <v>0</v>
      </c>
      <c r="T42" s="18">
        <f>SUM(Financials!GY49:HJ49)</f>
        <v>0</v>
      </c>
      <c r="U42" s="18">
        <f>SUM(Financials!HK49:HV49)</f>
        <v>0</v>
      </c>
      <c r="V42" s="18">
        <f>SUM(Financials!HW49:IH49)</f>
        <v>0</v>
      </c>
      <c r="W42" s="18">
        <f>SUM(Financials!II49:IT49)</f>
        <v>0</v>
      </c>
      <c r="X42" s="18">
        <f>SUM(Financials!IU49:JF49)</f>
        <v>0</v>
      </c>
      <c r="Y42" s="18">
        <f>SUM(Financials!JG49:JR49)</f>
        <v>0</v>
      </c>
    </row>
    <row r="43" spans="2:25" x14ac:dyDescent="0.2">
      <c r="B43" s="21" t="str">
        <f>Financials!B50</f>
        <v>Accounting &amp; Auditing</v>
      </c>
      <c r="C43" s="18">
        <f>SUM(Financials!C50:C62)</f>
        <v>0</v>
      </c>
      <c r="D43" s="18">
        <f>SUM(Financials!O50:Z50)</f>
        <v>64176.656916616463</v>
      </c>
      <c r="E43" s="18">
        <f>SUM(Financials!AA50:AL50)</f>
        <v>87078.876116035332</v>
      </c>
      <c r="F43" s="18">
        <f>SUM(Financials!AM50:AX50)</f>
        <v>88836.507123906835</v>
      </c>
      <c r="G43" s="18">
        <f>SUM(Financials!AY50:BJ50)</f>
        <v>90629.614781198077</v>
      </c>
      <c r="H43" s="18">
        <f>SUM(Financials!BK50:BV50)</f>
        <v>92458.915161219309</v>
      </c>
      <c r="I43" s="18">
        <f>SUM(Financials!BW50:CH50)</f>
        <v>94325.1387907592</v>
      </c>
      <c r="J43" s="18">
        <f>SUM(Financials!CI50:CT50)</f>
        <v>96229.030941818943</v>
      </c>
      <c r="K43" s="18">
        <f>SUM(Financials!CU50:DF50)</f>
        <v>98171.351929234894</v>
      </c>
      <c r="L43" s="18">
        <f>SUM(Financials!DG50:DR50)</f>
        <v>100152.87741430847</v>
      </c>
      <c r="M43" s="18">
        <f>SUM(Financials!DS50:ED50)</f>
        <v>102174.39871456477</v>
      </c>
      <c r="N43" s="18">
        <f>SUM(Financials!EE50:EP50)</f>
        <v>104236.72311976316</v>
      </c>
      <c r="O43" s="18">
        <f>SUM(Financials!EQ50:FB50)</f>
        <v>106340.67421428673</v>
      </c>
      <c r="P43" s="18">
        <f>SUM(Financials!FC50:FN50)</f>
        <v>108487.09220603864</v>
      </c>
      <c r="Q43" s="18">
        <f>SUM(Financials!FO50:FZ50)</f>
        <v>110676.83426197723</v>
      </c>
      <c r="R43" s="18">
        <f>SUM(Financials!GA50:GL50)</f>
        <v>112910.77485042365</v>
      </c>
      <c r="S43" s="18">
        <f>SUM(Financials!GM50:GX50)</f>
        <v>115189.80609027861</v>
      </c>
      <c r="T43" s="18">
        <f>SUM(Financials!GY50:HJ50)</f>
        <v>117514.83810728804</v>
      </c>
      <c r="U43" s="18">
        <f>SUM(Financials!HK50:HV50)</f>
        <v>119886.79939749969</v>
      </c>
      <c r="V43" s="18">
        <f>SUM(Financials!HW50:IH50)</f>
        <v>122306.63719805575</v>
      </c>
      <c r="W43" s="18">
        <f>SUM(Financials!II50:IT50)</f>
        <v>124775.31786546974</v>
      </c>
      <c r="X43" s="18">
        <f>SUM(Financials!IU50:JF50)</f>
        <v>127293.82726153887</v>
      </c>
      <c r="Y43" s="18">
        <f>SUM(Financials!JG50:JR50)</f>
        <v>129863.17114704546</v>
      </c>
    </row>
    <row r="44" spans="2:25" x14ac:dyDescent="0.2">
      <c r="B44" s="21" t="str">
        <f>Financials!B51</f>
        <v>Office Supplies</v>
      </c>
      <c r="C44" s="18">
        <f>SUM(Financials!C51:C63)</f>
        <v>0</v>
      </c>
      <c r="D44" s="18">
        <f>SUM(Financials!O51:Z51)</f>
        <v>56626.461985249829</v>
      </c>
      <c r="E44" s="18">
        <f>SUM(Financials!AA51:AL51)</f>
        <v>76834.302455325291</v>
      </c>
      <c r="F44" s="18">
        <f>SUM(Financials!AM51:AX51)</f>
        <v>78385.153344623686</v>
      </c>
      <c r="G44" s="18">
        <f>SUM(Financials!AY51:BJ51)</f>
        <v>79967.307159880686</v>
      </c>
      <c r="H44" s="18">
        <f>SUM(Financials!BK51:BV51)</f>
        <v>81581.395730487653</v>
      </c>
      <c r="I44" s="18">
        <f>SUM(Financials!BW51:CH51)</f>
        <v>83228.06363890518</v>
      </c>
      <c r="J44" s="18">
        <f>SUM(Financials!CI51:CT51)</f>
        <v>84907.968478075534</v>
      </c>
      <c r="K44" s="18">
        <f>SUM(Financials!CU51:DF51)</f>
        <v>86621.781114030789</v>
      </c>
      <c r="L44" s="18">
        <f>SUM(Financials!DG51:DR51)</f>
        <v>88370.1859538016</v>
      </c>
      <c r="M44" s="18">
        <f>SUM(Financials!DS51:ED51)</f>
        <v>90153.88121873363</v>
      </c>
      <c r="N44" s="18">
        <f>SUM(Financials!EE51:EP51)</f>
        <v>91973.579223320456</v>
      </c>
      <c r="O44" s="18">
        <f>SUM(Financials!EQ51:FB51)</f>
        <v>93830.006659664767</v>
      </c>
      <c r="P44" s="18">
        <f>SUM(Financials!FC51:FN51)</f>
        <v>95723.904887681143</v>
      </c>
      <c r="Q44" s="18">
        <f>SUM(Financials!FO51:FZ51)</f>
        <v>97656.030231156386</v>
      </c>
      <c r="R44" s="18">
        <f>SUM(Financials!GA51:GL51)</f>
        <v>99627.15427978558</v>
      </c>
      <c r="S44" s="18">
        <f>SUM(Financials!GM51:GX51)</f>
        <v>101638.06419730466</v>
      </c>
      <c r="T44" s="18">
        <f>SUM(Financials!GY51:HJ51)</f>
        <v>103689.56303584242</v>
      </c>
      <c r="U44" s="18">
        <f>SUM(Financials!HK51:HV51)</f>
        <v>105782.4700566174</v>
      </c>
      <c r="V44" s="18">
        <f>SUM(Financials!HW51:IH51)</f>
        <v>107917.62105710803</v>
      </c>
      <c r="W44" s="18">
        <f>SUM(Financials!II51:IT51)</f>
        <v>110095.86870482625</v>
      </c>
      <c r="X44" s="18">
        <f>SUM(Financials!IU51:JF51)</f>
        <v>112318.08287782843</v>
      </c>
      <c r="Y44" s="18">
        <f>SUM(Financials!JG51:JR51)</f>
        <v>114585.15101209894</v>
      </c>
    </row>
    <row r="45" spans="2:25" x14ac:dyDescent="0.2">
      <c r="B45" s="21" t="str">
        <f>Financials!B52</f>
        <v>Gas Transmission Costs</v>
      </c>
      <c r="C45" s="18">
        <f>SUM(Financials!C52:C64)</f>
        <v>0</v>
      </c>
      <c r="D45" s="18">
        <f>SUM(Financials!O52:Z52)</f>
        <v>0</v>
      </c>
      <c r="E45" s="18">
        <f>SUM(Financials!AA52:AL52)</f>
        <v>0</v>
      </c>
      <c r="F45" s="18">
        <f>SUM(Financials!AM52:AX52)</f>
        <v>0</v>
      </c>
      <c r="G45" s="18">
        <f>SUM(Financials!AY52:BJ52)</f>
        <v>0</v>
      </c>
      <c r="H45" s="18">
        <f>SUM(Financials!BK52:BV52)</f>
        <v>0</v>
      </c>
      <c r="I45" s="18">
        <f>SUM(Financials!BW52:CH52)</f>
        <v>0</v>
      </c>
      <c r="J45" s="18">
        <f>SUM(Financials!CI52:CT52)</f>
        <v>0</v>
      </c>
      <c r="K45" s="18">
        <f>SUM(Financials!CU52:DF52)</f>
        <v>0</v>
      </c>
      <c r="L45" s="18">
        <f>SUM(Financials!DG52:DR52)</f>
        <v>0</v>
      </c>
      <c r="M45" s="18">
        <f>SUM(Financials!DS52:ED52)</f>
        <v>0</v>
      </c>
      <c r="N45" s="18">
        <f>SUM(Financials!EE52:EP52)</f>
        <v>0</v>
      </c>
      <c r="O45" s="18">
        <f>SUM(Financials!EQ52:FB52)</f>
        <v>0</v>
      </c>
      <c r="P45" s="18">
        <f>SUM(Financials!FC52:FN52)</f>
        <v>0</v>
      </c>
      <c r="Q45" s="18">
        <f>SUM(Financials!FO52:FZ52)</f>
        <v>0</v>
      </c>
      <c r="R45" s="18">
        <f>SUM(Financials!GA52:GL52)</f>
        <v>0</v>
      </c>
      <c r="S45" s="18">
        <f>SUM(Financials!GM52:GX52)</f>
        <v>0</v>
      </c>
      <c r="T45" s="18">
        <f>SUM(Financials!GY52:HJ52)</f>
        <v>0</v>
      </c>
      <c r="U45" s="18">
        <f>SUM(Financials!HK52:HV52)</f>
        <v>0</v>
      </c>
      <c r="V45" s="18">
        <f>SUM(Financials!HW52:IH52)</f>
        <v>0</v>
      </c>
      <c r="W45" s="18">
        <f>SUM(Financials!II52:IT52)</f>
        <v>0</v>
      </c>
      <c r="X45" s="18">
        <f>SUM(Financials!IU52:JF52)</f>
        <v>0</v>
      </c>
      <c r="Y45" s="18">
        <f>SUM(Financials!JG52:JR52)</f>
        <v>0</v>
      </c>
    </row>
    <row r="46" spans="2:25" x14ac:dyDescent="0.2">
      <c r="B46" s="21" t="str">
        <f>Financials!B53</f>
        <v>Permit  Renewals</v>
      </c>
      <c r="C46" s="18">
        <f>SUM(Financials!C53:C65)</f>
        <v>0</v>
      </c>
      <c r="D46" s="18">
        <f>SUM(Financials!O53:Z53)</f>
        <v>56626.461985249829</v>
      </c>
      <c r="E46" s="18">
        <f>SUM(Financials!AA53:AL53)</f>
        <v>76834.302455325291</v>
      </c>
      <c r="F46" s="18">
        <f>SUM(Financials!AM53:AX53)</f>
        <v>78385.153344623686</v>
      </c>
      <c r="G46" s="18">
        <f>SUM(Financials!AY53:BJ53)</f>
        <v>79967.307159880686</v>
      </c>
      <c r="H46" s="18">
        <f>SUM(Financials!BK53:BV53)</f>
        <v>81581.395730487653</v>
      </c>
      <c r="I46" s="18">
        <f>SUM(Financials!BW53:CH53)</f>
        <v>83228.06363890518</v>
      </c>
      <c r="J46" s="18">
        <f>SUM(Financials!CI53:CT53)</f>
        <v>84907.968478075534</v>
      </c>
      <c r="K46" s="18">
        <f>SUM(Financials!CU53:DF53)</f>
        <v>86621.781114030789</v>
      </c>
      <c r="L46" s="18">
        <f>SUM(Financials!DG53:DR53)</f>
        <v>88370.1859538016</v>
      </c>
      <c r="M46" s="18">
        <f>SUM(Financials!DS53:ED53)</f>
        <v>90153.88121873363</v>
      </c>
      <c r="N46" s="18">
        <f>SUM(Financials!EE53:EP53)</f>
        <v>91973.579223320456</v>
      </c>
      <c r="O46" s="18">
        <f>SUM(Financials!EQ53:FB53)</f>
        <v>93830.006659664767</v>
      </c>
      <c r="P46" s="18">
        <f>SUM(Financials!FC53:FN53)</f>
        <v>95723.904887681143</v>
      </c>
      <c r="Q46" s="18">
        <f>SUM(Financials!FO53:FZ53)</f>
        <v>97656.030231156386</v>
      </c>
      <c r="R46" s="18">
        <f>SUM(Financials!GA53:GL53)</f>
        <v>99627.15427978558</v>
      </c>
      <c r="S46" s="18">
        <f>SUM(Financials!GM53:GX53)</f>
        <v>101638.06419730466</v>
      </c>
      <c r="T46" s="18">
        <f>SUM(Financials!GY53:HJ53)</f>
        <v>103689.56303584242</v>
      </c>
      <c r="U46" s="18">
        <f>SUM(Financials!HK53:HV53)</f>
        <v>105782.4700566174</v>
      </c>
      <c r="V46" s="18">
        <f>SUM(Financials!HW53:IH53)</f>
        <v>107917.62105710803</v>
      </c>
      <c r="W46" s="18">
        <f>SUM(Financials!II53:IT53)</f>
        <v>110095.86870482625</v>
      </c>
      <c r="X46" s="18">
        <f>SUM(Financials!IU53:JF53)</f>
        <v>112318.08287782843</v>
      </c>
      <c r="Y46" s="18">
        <f>SUM(Financials!JG53:JR53)</f>
        <v>114585.15101209894</v>
      </c>
    </row>
    <row r="47" spans="2:25" x14ac:dyDescent="0.2">
      <c r="B47" s="21" t="str">
        <f>Financials!B54</f>
        <v>Property Taxes</v>
      </c>
      <c r="C47" s="18">
        <f>SUM(Financials!C54:C66)</f>
        <v>0</v>
      </c>
      <c r="D47" s="18">
        <f>SUM(Financials!O54:Z54)</f>
        <v>64176.656916616463</v>
      </c>
      <c r="E47" s="18">
        <f>SUM(Financials!AA54:AL54)</f>
        <v>87078.876116035332</v>
      </c>
      <c r="F47" s="18">
        <f>SUM(Financials!AM54:AX54)</f>
        <v>88836.507123906835</v>
      </c>
      <c r="G47" s="18">
        <f>SUM(Financials!AY54:BJ54)</f>
        <v>90629.614781198077</v>
      </c>
      <c r="H47" s="18">
        <f>SUM(Financials!BK54:BV54)</f>
        <v>92458.915161219309</v>
      </c>
      <c r="I47" s="18">
        <f>SUM(Financials!BW54:CH54)</f>
        <v>94325.1387907592</v>
      </c>
      <c r="J47" s="18">
        <f>SUM(Financials!CI54:CT54)</f>
        <v>96229.030941818943</v>
      </c>
      <c r="K47" s="18">
        <f>SUM(Financials!CU54:DF54)</f>
        <v>98171.351929234894</v>
      </c>
      <c r="L47" s="18">
        <f>SUM(Financials!DG54:DR54)</f>
        <v>100152.87741430847</v>
      </c>
      <c r="M47" s="18">
        <f>SUM(Financials!DS54:ED54)</f>
        <v>102174.39871456477</v>
      </c>
      <c r="N47" s="18">
        <f>SUM(Financials!EE54:EP54)</f>
        <v>104236.72311976316</v>
      </c>
      <c r="O47" s="18">
        <f>SUM(Financials!EQ54:FB54)</f>
        <v>106340.67421428673</v>
      </c>
      <c r="P47" s="18">
        <f>SUM(Financials!FC54:FN54)</f>
        <v>108487.09220603864</v>
      </c>
      <c r="Q47" s="18">
        <f>SUM(Financials!FO54:FZ54)</f>
        <v>110676.83426197723</v>
      </c>
      <c r="R47" s="18">
        <f>SUM(Financials!GA54:GL54)</f>
        <v>112910.77485042365</v>
      </c>
      <c r="S47" s="18">
        <f>SUM(Financials!GM54:GX54)</f>
        <v>115189.80609027861</v>
      </c>
      <c r="T47" s="18">
        <f>SUM(Financials!GY54:HJ54)</f>
        <v>117514.83810728804</v>
      </c>
      <c r="U47" s="18">
        <f>SUM(Financials!HK54:HV54)</f>
        <v>119886.79939749969</v>
      </c>
      <c r="V47" s="18">
        <f>SUM(Financials!HW54:IH54)</f>
        <v>122306.63719805575</v>
      </c>
      <c r="W47" s="18">
        <f>SUM(Financials!II54:IT54)</f>
        <v>124775.31786546974</v>
      </c>
      <c r="X47" s="18">
        <f>SUM(Financials!IU54:JF54)</f>
        <v>127293.82726153887</v>
      </c>
      <c r="Y47" s="18">
        <f>SUM(Financials!JG54:JR54)</f>
        <v>129863.17114704546</v>
      </c>
    </row>
    <row r="48" spans="2:25" x14ac:dyDescent="0.2">
      <c r="B48" s="21" t="str">
        <f>Financials!B55</f>
        <v>Miscellaneous</v>
      </c>
      <c r="C48" s="18">
        <f>SUM(Financials!C55:C67)</f>
        <v>0</v>
      </c>
      <c r="D48" s="18">
        <f>SUM(Financials!O55:Z55)</f>
        <v>75501.949313666424</v>
      </c>
      <c r="E48" s="18">
        <f>SUM(Financials!AA55:AL55)</f>
        <v>102445.73660710039</v>
      </c>
      <c r="F48" s="18">
        <f>SUM(Financials!AM55:AX55)</f>
        <v>104513.53779283159</v>
      </c>
      <c r="G48" s="18">
        <f>SUM(Financials!AY55:BJ55)</f>
        <v>106623.07621317422</v>
      </c>
      <c r="H48" s="18">
        <f>SUM(Financials!BK55:BV55)</f>
        <v>108775.19430731685</v>
      </c>
      <c r="I48" s="18">
        <f>SUM(Financials!BW55:CH55)</f>
        <v>110970.75151854024</v>
      </c>
      <c r="J48" s="18">
        <f>SUM(Financials!CI55:CT55)</f>
        <v>113210.62463743403</v>
      </c>
      <c r="K48" s="18">
        <f>SUM(Financials!CU55:DF55)</f>
        <v>115495.70815204106</v>
      </c>
      <c r="L48" s="18">
        <f>SUM(Financials!DG55:DR55)</f>
        <v>117826.91460506881</v>
      </c>
      <c r="M48" s="18">
        <f>SUM(Financials!DS55:ED55)</f>
        <v>120205.1749583115</v>
      </c>
      <c r="N48" s="18">
        <f>SUM(Financials!EE55:EP55)</f>
        <v>122631.43896442727</v>
      </c>
      <c r="O48" s="18">
        <f>SUM(Financials!EQ55:FB55)</f>
        <v>125106.67554621969</v>
      </c>
      <c r="P48" s="18">
        <f>SUM(Financials!FC55:FN55)</f>
        <v>127631.87318357488</v>
      </c>
      <c r="Q48" s="18">
        <f>SUM(Financials!FO55:FZ55)</f>
        <v>130208.04030820854</v>
      </c>
      <c r="R48" s="18">
        <f>SUM(Financials!GA55:GL55)</f>
        <v>132836.2057063808</v>
      </c>
      <c r="S48" s="18">
        <f>SUM(Financials!GM55:GX55)</f>
        <v>135517.41892973954</v>
      </c>
      <c r="T48" s="18">
        <f>SUM(Financials!GY55:HJ55)</f>
        <v>138252.75071445655</v>
      </c>
      <c r="U48" s="18">
        <f>SUM(Financials!HK55:HV55)</f>
        <v>141043.29340882317</v>
      </c>
      <c r="V48" s="18">
        <f>SUM(Financials!HW55:IH55)</f>
        <v>143890.16140947735</v>
      </c>
      <c r="W48" s="18">
        <f>SUM(Financials!II55:IT55)</f>
        <v>146794.49160643498</v>
      </c>
      <c r="X48" s="18">
        <f>SUM(Financials!IU55:JF55)</f>
        <v>149757.44383710457</v>
      </c>
      <c r="Y48" s="18">
        <f>SUM(Financials!JG55:JR55)</f>
        <v>152780.20134946526</v>
      </c>
    </row>
    <row r="49" spans="2:25" x14ac:dyDescent="0.2">
      <c r="B49" s="58" t="s">
        <v>75</v>
      </c>
      <c r="C49" s="55">
        <f t="shared" ref="C49:G49" si="31">SUM(C33:C48)</f>
        <v>4213882.049129135</v>
      </c>
      <c r="D49" s="55">
        <f t="shared" si="31"/>
        <v>14503584.947462868</v>
      </c>
      <c r="E49" s="55">
        <f t="shared" si="31"/>
        <v>16601801.022423325</v>
      </c>
      <c r="F49" s="55">
        <f t="shared" si="31"/>
        <v>14831083.644016823</v>
      </c>
      <c r="G49" s="55">
        <f t="shared" si="31"/>
        <v>14043196.631043853</v>
      </c>
      <c r="H49" s="55">
        <f t="shared" ref="H49:I49" si="32">SUM(H33:H48)</f>
        <v>13700323.296883605</v>
      </c>
      <c r="I49" s="55">
        <f t="shared" si="32"/>
        <v>13326670.615055246</v>
      </c>
      <c r="J49" s="55">
        <f t="shared" ref="J49:K49" si="33">SUM(J33:J48)</f>
        <v>12919923.927017292</v>
      </c>
      <c r="K49" s="55">
        <f t="shared" si="33"/>
        <v>12477599.753433965</v>
      </c>
      <c r="L49" s="55">
        <f t="shared" ref="L49:M49" si="34">SUM(L33:L48)</f>
        <v>11997033.563115837</v>
      </c>
      <c r="M49" s="55">
        <f t="shared" si="34"/>
        <v>11475366.657263037</v>
      </c>
      <c r="N49" s="55">
        <f t="shared" ref="N49:O49" si="35">SUM(N33:N48)</f>
        <v>11210606.342172302</v>
      </c>
      <c r="O49" s="55">
        <f t="shared" si="35"/>
        <v>11076025.625162281</v>
      </c>
      <c r="P49" s="55">
        <f t="shared" ref="P49:Q49" si="36">SUM(P33:P48)</f>
        <v>10925063.395949617</v>
      </c>
      <c r="Q49" s="55">
        <f t="shared" si="36"/>
        <v>10756434.773982327</v>
      </c>
      <c r="R49" s="55">
        <f t="shared" ref="R49:S49" si="37">SUM(R33:R48)</f>
        <v>10568760.300582958</v>
      </c>
      <c r="S49" s="55">
        <f t="shared" si="37"/>
        <v>10585140.268039811</v>
      </c>
      <c r="T49" s="55">
        <f t="shared" ref="T49:U49" si="38">SUM(T33:T48)</f>
        <v>10711909.421827443</v>
      </c>
      <c r="U49" s="55">
        <f t="shared" si="38"/>
        <v>10840669.517143866</v>
      </c>
      <c r="V49" s="55">
        <f t="shared" ref="V49:W49" si="39">SUM(V33:V48)</f>
        <v>10971455.035642283</v>
      </c>
      <c r="W49" s="55">
        <f t="shared" si="39"/>
        <v>11104301.097661486</v>
      </c>
      <c r="X49" s="55">
        <f t="shared" ref="X49:Y49" si="40">SUM(X33:X48)</f>
        <v>11239243.474541649</v>
      </c>
      <c r="Y49" s="55">
        <f t="shared" si="40"/>
        <v>11376318.601182893</v>
      </c>
    </row>
    <row r="51" spans="2:25" x14ac:dyDescent="0.2">
      <c r="B51" s="59" t="s">
        <v>76</v>
      </c>
      <c r="C51" s="57">
        <f>C30-C49</f>
        <v>-4213882.049129135</v>
      </c>
      <c r="D51" s="57">
        <f t="shared" ref="D51:H51" si="41">D30-D49</f>
        <v>27575572.687029082</v>
      </c>
      <c r="E51" s="57">
        <f t="shared" si="41"/>
        <v>56659881.787970379</v>
      </c>
      <c r="F51" s="57">
        <f>F30-F49</f>
        <v>64973637.966510631</v>
      </c>
      <c r="G51" s="57">
        <f t="shared" si="41"/>
        <v>67182045.010145277</v>
      </c>
      <c r="H51" s="57">
        <f t="shared" si="41"/>
        <v>68528296.325064868</v>
      </c>
      <c r="I51" s="57">
        <f t="shared" ref="I51:J51" si="42">I30-I49</f>
        <v>70150713.833471045</v>
      </c>
      <c r="J51" s="57">
        <f t="shared" si="42"/>
        <v>71831430.86150901</v>
      </c>
      <c r="K51" s="57">
        <f t="shared" ref="K51:L51" si="43">K30-K49</f>
        <v>73573439.645562589</v>
      </c>
      <c r="L51" s="57">
        <f t="shared" si="43"/>
        <v>75379923.742802501</v>
      </c>
      <c r="M51" s="57">
        <f t="shared" ref="M51:N51" si="44">M30-M49</f>
        <v>77254271.354214847</v>
      </c>
      <c r="N51" s="57">
        <f t="shared" si="44"/>
        <v>78899015.363349676</v>
      </c>
      <c r="O51" s="57">
        <f t="shared" ref="O51:P51" si="45">O30-O49</f>
        <v>80441433.856119007</v>
      </c>
      <c r="P51" s="57">
        <f t="shared" si="45"/>
        <v>82028650.159498781</v>
      </c>
      <c r="Q51" s="57">
        <f t="shared" ref="Q51:R51" si="46">Q30-Q49</f>
        <v>83662522.718715161</v>
      </c>
      <c r="R51" s="57">
        <f t="shared" si="46"/>
        <v>85345016.134153262</v>
      </c>
      <c r="S51" s="57">
        <f t="shared" ref="S51:T51" si="47">S30-S49</f>
        <v>86853627.065940663</v>
      </c>
      <c r="T51" s="57">
        <f t="shared" si="47"/>
        <v>88282629.770118684</v>
      </c>
      <c r="U51" s="57">
        <f t="shared" ref="U51:V51" si="48">U30-U49</f>
        <v>89741043.785308376</v>
      </c>
      <c r="V51" s="57">
        <f t="shared" si="48"/>
        <v>91229468.464091018</v>
      </c>
      <c r="W51" s="57">
        <f t="shared" ref="W51:X51" si="49">W30-W49</f>
        <v>92748515.313897878</v>
      </c>
      <c r="X51" s="57">
        <f t="shared" si="49"/>
        <v>94298808.242923841</v>
      </c>
      <c r="Y51" s="57">
        <f t="shared" ref="Y51" si="50">Y30-Y49</f>
        <v>95880983.811010167</v>
      </c>
    </row>
    <row r="52" spans="2:25" x14ac:dyDescent="0.2">
      <c r="B52" s="3"/>
      <c r="C52" s="30"/>
      <c r="D52" s="30"/>
      <c r="E52" s="30"/>
      <c r="F52" s="30"/>
      <c r="G52" s="30"/>
    </row>
    <row r="53" spans="2:25" x14ac:dyDescent="0.2">
      <c r="B53" s="1" t="s">
        <v>15</v>
      </c>
      <c r="C53" s="18">
        <f>SUM(Financials!C60:N60)</f>
        <v>0</v>
      </c>
      <c r="D53" s="18">
        <f>SUM(Financials!O60:Z60)</f>
        <v>0</v>
      </c>
      <c r="E53" s="18">
        <f>SUM(Financials!AA60:AL60)</f>
        <v>0</v>
      </c>
      <c r="F53" s="18">
        <f>SUM(Financials!AM60:AX60)</f>
        <v>0</v>
      </c>
      <c r="G53" s="18">
        <f>SUM(Financials!AY60:BJ60)</f>
        <v>0</v>
      </c>
      <c r="H53" s="18">
        <f>SUM(Financials!BK60:BV60)</f>
        <v>0</v>
      </c>
      <c r="I53" s="18">
        <f>SUM(Financials!BW60:CH60)</f>
        <v>0</v>
      </c>
      <c r="J53" s="18">
        <f>SUM(Financials!CI60:CT60)</f>
        <v>1000000.0000000001</v>
      </c>
      <c r="K53" s="18">
        <f>SUM(Financials!CU60:DF60)</f>
        <v>1000000.0000000001</v>
      </c>
      <c r="L53" s="18">
        <f>SUM(Financials!DG60:DR60)</f>
        <v>1000000.0000000001</v>
      </c>
      <c r="M53" s="18">
        <f>SUM(Financials!DS60:ED60)</f>
        <v>1000000.0000000001</v>
      </c>
      <c r="N53" s="18">
        <f>SUM(Financials!EE60:EP60)</f>
        <v>1000000.0000000001</v>
      </c>
      <c r="O53" s="18">
        <f>SUM(Financials!EQ60:FB60)</f>
        <v>1000000.0000000001</v>
      </c>
      <c r="P53" s="18">
        <f>SUM(Financials!FC60:FN60)</f>
        <v>1000000.0000000001</v>
      </c>
      <c r="Q53" s="18">
        <f>SUM(Financials!FO60:FZ60)</f>
        <v>1000000.0000000001</v>
      </c>
      <c r="R53" s="18">
        <f>SUM(Financials!GA60:GL60)</f>
        <v>1000000.0000000001</v>
      </c>
      <c r="S53" s="18">
        <f>SUM(Financials!GM60:GX60)</f>
        <v>1000000.0000000001</v>
      </c>
      <c r="T53" s="18">
        <f>SUM(Financials!GY60:HJ60)</f>
        <v>1000000.0000000001</v>
      </c>
      <c r="U53" s="18">
        <f>SUM(Financials!HK60:HV60)</f>
        <v>1000000.0000000001</v>
      </c>
      <c r="V53" s="18">
        <f>SUM(Financials!HW60:IH60)</f>
        <v>1000000.0000000001</v>
      </c>
      <c r="W53" s="18">
        <f>SUM(Financials!II60:IT60)</f>
        <v>1000000.0000000001</v>
      </c>
      <c r="X53" s="18">
        <f>SUM(Financials!IU60:JF60)</f>
        <v>1000000.0000000001</v>
      </c>
      <c r="Y53" s="18">
        <f>SUM(Financials!JG60:JR60)</f>
        <v>1000000.0000000001</v>
      </c>
    </row>
    <row r="54" spans="2:25" x14ac:dyDescent="0.2">
      <c r="C54" s="18" t="s">
        <v>266</v>
      </c>
      <c r="D54" s="18" t="s">
        <v>266</v>
      </c>
      <c r="E54" s="18"/>
      <c r="F54" s="18" t="s">
        <v>266</v>
      </c>
      <c r="G54" s="18" t="s">
        <v>266</v>
      </c>
      <c r="H54" s="18" t="s">
        <v>266</v>
      </c>
      <c r="J54" s="18" t="s">
        <v>266</v>
      </c>
      <c r="O54" s="18" t="s">
        <v>266</v>
      </c>
      <c r="P54" s="18">
        <f>SUM(Financials!FC61:FN61)</f>
        <v>0</v>
      </c>
      <c r="Q54" s="18">
        <f>SUM(Financials!FO61:FZ61)</f>
        <v>0</v>
      </c>
      <c r="R54" s="18">
        <f>SUM(Financials!GA61:GL61)</f>
        <v>0</v>
      </c>
      <c r="S54" s="18">
        <f>SUM(Financials!GM61:GX61)</f>
        <v>0</v>
      </c>
      <c r="T54" s="18">
        <f>SUM(Financials!GY61:HJ61)</f>
        <v>0</v>
      </c>
      <c r="U54" s="18">
        <f>SUM(Financials!HK61:HV61)</f>
        <v>0</v>
      </c>
      <c r="V54" s="18">
        <f>SUM(Financials!HW61:IH61)</f>
        <v>0</v>
      </c>
      <c r="W54" s="18">
        <f>SUM(Financials!II61:IT61)</f>
        <v>0</v>
      </c>
      <c r="X54" s="18">
        <f>SUM(Financials!IU61:JF61)</f>
        <v>0</v>
      </c>
      <c r="Y54" s="18">
        <f>SUM(Financials!JG61:JR61)</f>
        <v>0</v>
      </c>
    </row>
    <row r="55" spans="2:25" x14ac:dyDescent="0.2">
      <c r="B55" s="1" t="s">
        <v>145</v>
      </c>
      <c r="C55" s="18">
        <f>SUM(Financials!C62:N62)</f>
        <v>0</v>
      </c>
      <c r="D55" s="18">
        <f>SUM(Financials!O62:Z62)</f>
        <v>9</v>
      </c>
      <c r="E55" s="18">
        <f>SUM(Financials!AA62:AL62)</f>
        <v>21</v>
      </c>
      <c r="F55" s="18">
        <f>SUM(Financials!AM62:AX62)</f>
        <v>33</v>
      </c>
      <c r="G55" s="18">
        <f>SUM(Financials!AY62:BJ62)</f>
        <v>45</v>
      </c>
      <c r="H55" s="18">
        <f>SUM(Financials!BK62:BV62)</f>
        <v>57</v>
      </c>
      <c r="I55" s="18">
        <f>SUM(Financials!BW62:CH62)</f>
        <v>69</v>
      </c>
      <c r="J55" s="18">
        <f>SUM(Financials!CI62:CT62)</f>
        <v>81</v>
      </c>
      <c r="K55" s="18">
        <f>SUM(Financials!CU62:DF62)</f>
        <v>93</v>
      </c>
      <c r="L55" s="18">
        <f>SUM(Financials!DG62:DR62)</f>
        <v>105</v>
      </c>
      <c r="M55" s="18">
        <f>SUM(Financials!DS62:ED62)</f>
        <v>117</v>
      </c>
      <c r="N55" s="18">
        <f>SUM(Financials!EE62:EP62)</f>
        <v>30</v>
      </c>
      <c r="O55" s="18">
        <f>SUM(Financials!EQ62:FB62)</f>
        <v>0</v>
      </c>
      <c r="P55" s="18">
        <f>SUM(Financials!FC62:FN62)</f>
        <v>0</v>
      </c>
      <c r="Q55" s="18">
        <f>SUM(Financials!FO62:FZ62)</f>
        <v>0</v>
      </c>
      <c r="R55" s="18">
        <f>SUM(Financials!GA62:GL62)</f>
        <v>0</v>
      </c>
      <c r="S55" s="18">
        <f>SUM(Financials!GM62:GX62)</f>
        <v>0</v>
      </c>
      <c r="T55" s="18">
        <f>SUM(Financials!GY62:HJ62)</f>
        <v>0</v>
      </c>
      <c r="U55" s="18">
        <f>SUM(Financials!HK62:HV62)</f>
        <v>0</v>
      </c>
      <c r="V55" s="18">
        <f>SUM(Financials!HW62:IH62)</f>
        <v>0</v>
      </c>
      <c r="W55" s="18">
        <f>SUM(Financials!II62:IT62)</f>
        <v>0</v>
      </c>
      <c r="X55" s="18">
        <f>SUM(Financials!IU62:JF62)</f>
        <v>0</v>
      </c>
      <c r="Y55" s="18">
        <f>SUM(Financials!JG62:JR62)</f>
        <v>0</v>
      </c>
    </row>
    <row r="56" spans="2:25" x14ac:dyDescent="0.2">
      <c r="B56" s="1" t="s">
        <v>161</v>
      </c>
      <c r="C56" s="18">
        <f>SUM(Financials!C63:N63)</f>
        <v>0</v>
      </c>
      <c r="D56" s="18">
        <f>SUM(Financials!O63:Z63)</f>
        <v>27292294.795189284</v>
      </c>
      <c r="E56" s="18">
        <f>SUM(Financials!AA63:AL63)</f>
        <v>36389726.393585712</v>
      </c>
      <c r="F56" s="18">
        <f>SUM(Financials!AM63:AX63)</f>
        <v>36389726.393585712</v>
      </c>
      <c r="G56" s="18">
        <f>SUM(Financials!AY63:BJ63)</f>
        <v>36389726.393585712</v>
      </c>
      <c r="H56" s="18">
        <f>SUM(Financials!BK63:BV63)</f>
        <v>36389726.393585712</v>
      </c>
      <c r="I56" s="18">
        <f>SUM(Financials!BW63:CH63)</f>
        <v>36389726.393585712</v>
      </c>
      <c r="J56" s="18">
        <f>SUM(Financials!CI63:CT63)</f>
        <v>36389726.393585712</v>
      </c>
      <c r="K56" s="18">
        <f>SUM(Financials!CU63:DF63)</f>
        <v>9097431.5983964279</v>
      </c>
      <c r="L56" s="18">
        <f>SUM(Financials!DG63:DR63)</f>
        <v>0</v>
      </c>
      <c r="M56" s="18">
        <f>SUM(Financials!DS63:ED63)</f>
        <v>0</v>
      </c>
      <c r="N56" s="18">
        <f>SUM(Financials!EE63:EP63)</f>
        <v>0</v>
      </c>
      <c r="O56" s="18">
        <f>SUM(Financials!EQ63:FB63)</f>
        <v>0</v>
      </c>
      <c r="P56" s="18">
        <f>SUM(Financials!FC63:FN63)</f>
        <v>0</v>
      </c>
      <c r="Q56" s="18">
        <f>SUM(Financials!FO63:FZ63)</f>
        <v>0</v>
      </c>
      <c r="R56" s="18">
        <f>SUM(Financials!GA63:GL63)</f>
        <v>0</v>
      </c>
      <c r="S56" s="18">
        <f>SUM(Financials!GM63:GX63)</f>
        <v>0</v>
      </c>
      <c r="T56" s="18">
        <f>SUM(Financials!GY63:HJ63)</f>
        <v>0</v>
      </c>
      <c r="U56" s="18">
        <f>SUM(Financials!HK63:HV63)</f>
        <v>0</v>
      </c>
      <c r="V56" s="18">
        <f>SUM(Financials!HW63:IH63)</f>
        <v>0</v>
      </c>
      <c r="W56" s="18">
        <f>SUM(Financials!II63:IT63)</f>
        <v>0</v>
      </c>
      <c r="X56" s="18">
        <f>SUM(Financials!IU63:JF63)</f>
        <v>0</v>
      </c>
      <c r="Y56" s="18">
        <f>SUM(Financials!JG63:JR63)</f>
        <v>0</v>
      </c>
    </row>
    <row r="57" spans="2:25" x14ac:dyDescent="0.2">
      <c r="B57" s="1" t="s">
        <v>162</v>
      </c>
      <c r="C57" s="18">
        <f>SUM(Financials!C64:N64)</f>
        <v>0</v>
      </c>
      <c r="D57" s="18">
        <f>SUM(Financials!O64:Z64)</f>
        <v>0</v>
      </c>
      <c r="E57" s="18">
        <f>SUM(Financials!AA64:AL64)</f>
        <v>0</v>
      </c>
      <c r="F57" s="18">
        <f>SUM(Financials!AM64:AX64)</f>
        <v>0</v>
      </c>
      <c r="G57" s="18">
        <f>SUM(Financials!AY64:BJ64)</f>
        <v>0</v>
      </c>
      <c r="H57" s="18">
        <f>SUM(Financials!BK64:BV64)</f>
        <v>0</v>
      </c>
      <c r="I57" s="18">
        <f>SUM(Financials!BW64:CH64)</f>
        <v>0</v>
      </c>
      <c r="J57" s="18">
        <f>SUM(Financials!CI64:CT64)</f>
        <v>142857.14285714287</v>
      </c>
      <c r="K57" s="18">
        <f>SUM(Financials!CU64:DF64)</f>
        <v>285714.28571428574</v>
      </c>
      <c r="L57" s="18">
        <f>SUM(Financials!DG64:DR64)</f>
        <v>428571.4285714287</v>
      </c>
      <c r="M57" s="18">
        <f>SUM(Financials!DS64:ED64)</f>
        <v>571428.57142857148</v>
      </c>
      <c r="N57" s="18">
        <f>SUM(Financials!EE64:EP64)</f>
        <v>714285.71428571409</v>
      </c>
      <c r="O57" s="18">
        <f>SUM(Financials!EQ64:FB64)</f>
        <v>857142.85714285739</v>
      </c>
      <c r="P57" s="18">
        <f>SUM(Financials!FC64:FN64)</f>
        <v>1000000.0000000001</v>
      </c>
      <c r="Q57" s="18">
        <f>SUM(Financials!FO64:FZ64)</f>
        <v>1000000.0000000001</v>
      </c>
      <c r="R57" s="18">
        <f>SUM(Financials!GA64:GL64)</f>
        <v>1000000.0000000001</v>
      </c>
      <c r="S57" s="18">
        <f>SUM(Financials!GM64:GX64)</f>
        <v>1000000.0000000001</v>
      </c>
      <c r="T57" s="18">
        <f>SUM(Financials!GY64:HJ64)</f>
        <v>1000000.0000000001</v>
      </c>
      <c r="U57" s="18">
        <f>SUM(Financials!HK64:HV64)</f>
        <v>1000000.0000000001</v>
      </c>
      <c r="V57" s="18">
        <f>SUM(Financials!HW64:IH64)</f>
        <v>1000000.0000000001</v>
      </c>
      <c r="W57" s="18">
        <f>SUM(Financials!II64:IT64)</f>
        <v>1000000.0000000001</v>
      </c>
      <c r="X57" s="18">
        <f>SUM(Financials!IU64:JF64)</f>
        <v>1000000.0000000001</v>
      </c>
      <c r="Y57" s="18">
        <f>SUM(Financials!JG64:JR64)</f>
        <v>1000000.0000000001</v>
      </c>
    </row>
    <row r="58" spans="2:25" x14ac:dyDescent="0.2">
      <c r="B58" s="1" t="s">
        <v>119</v>
      </c>
      <c r="C58" s="18">
        <f>SUM(Financials!C65:N65)</f>
        <v>0</v>
      </c>
      <c r="D58" s="18">
        <f>SUM(Financials!O65:Z65)</f>
        <v>1834042.2102367198</v>
      </c>
      <c r="E58" s="18">
        <f>SUM(Financials!AA65:AL65)</f>
        <v>203782.46780407999</v>
      </c>
      <c r="F58" s="18">
        <f>SUM(Financials!AM65:AX65)</f>
        <v>203782.46780407999</v>
      </c>
      <c r="G58" s="18">
        <f>SUM(Financials!AY65:BJ65)</f>
        <v>203782.46780407999</v>
      </c>
      <c r="H58" s="18">
        <f>SUM(Financials!BK65:BV65)</f>
        <v>203782.46780407999</v>
      </c>
      <c r="I58" s="18">
        <f>SUM(Financials!BW65:CH65)</f>
        <v>203782.46780407999</v>
      </c>
      <c r="J58" s="18">
        <f>SUM(Financials!CI65:CT65)</f>
        <v>203782.46780407999</v>
      </c>
      <c r="K58" s="18">
        <f>SUM(Financials!CU65:DF65)</f>
        <v>203782.46780407999</v>
      </c>
      <c r="L58" s="18">
        <f>SUM(Financials!DG65:DR65)</f>
        <v>203782.46780407999</v>
      </c>
      <c r="M58" s="18">
        <f>SUM(Financials!DS65:ED65)</f>
        <v>203782.46780407999</v>
      </c>
      <c r="N58" s="18">
        <f>SUM(Financials!EE65:EP65)</f>
        <v>203782.46780407999</v>
      </c>
      <c r="O58" s="18">
        <f>SUM(Financials!EQ65:FB65)</f>
        <v>203782.46780407999</v>
      </c>
      <c r="P58" s="18">
        <f>SUM(Financials!FC65:FN65)</f>
        <v>203782.46780407999</v>
      </c>
      <c r="Q58" s="18">
        <f>SUM(Financials!FO65:FZ65)</f>
        <v>203782.46780407999</v>
      </c>
      <c r="R58" s="18">
        <f>SUM(Financials!GA65:GL65)</f>
        <v>203782.46780407999</v>
      </c>
      <c r="S58" s="18">
        <f>SUM(Financials!GM65:GX65)</f>
        <v>203782.46780407999</v>
      </c>
      <c r="T58" s="18">
        <f>SUM(Financials!GY65:HJ65)</f>
        <v>203782.46780407999</v>
      </c>
      <c r="U58" s="18">
        <f>SUM(Financials!HK65:HV65)</f>
        <v>203782.46780407999</v>
      </c>
      <c r="V58" s="18">
        <f>SUM(Financials!HW65:IH65)</f>
        <v>203782.46780407999</v>
      </c>
      <c r="W58" s="18">
        <f>SUM(Financials!II65:IT65)</f>
        <v>203782.46780407999</v>
      </c>
      <c r="X58" s="18">
        <f>SUM(Financials!IU65:JF65)</f>
        <v>203782.46780407999</v>
      </c>
      <c r="Y58" s="18">
        <f>SUM(Financials!JG65:JR65)</f>
        <v>203782.46780407999</v>
      </c>
    </row>
    <row r="59" spans="2:25" x14ac:dyDescent="0.2">
      <c r="B59" s="53" t="s">
        <v>152</v>
      </c>
      <c r="C59" s="95">
        <f>SUM(C56:C58)</f>
        <v>0</v>
      </c>
      <c r="D59" s="95">
        <f t="shared" ref="D59:G59" si="51">SUM(D56:D58)</f>
        <v>29126337.005426005</v>
      </c>
      <c r="E59" s="95">
        <f t="shared" si="51"/>
        <v>36593508.861389793</v>
      </c>
      <c r="F59" s="95">
        <f t="shared" si="51"/>
        <v>36593508.861389793</v>
      </c>
      <c r="G59" s="95">
        <f t="shared" si="51"/>
        <v>36593508.861389793</v>
      </c>
      <c r="H59" s="95">
        <f t="shared" ref="H59:K59" si="52">SUM(H56:H58)</f>
        <v>36593508.861389793</v>
      </c>
      <c r="I59" s="95">
        <f t="shared" si="52"/>
        <v>36593508.861389793</v>
      </c>
      <c r="J59" s="95">
        <f t="shared" si="52"/>
        <v>36736366.004246935</v>
      </c>
      <c r="K59" s="95">
        <f t="shared" si="52"/>
        <v>9586928.3519147933</v>
      </c>
      <c r="L59" s="95">
        <f t="shared" ref="L59:M59" si="53">SUM(L56:L58)</f>
        <v>632353.89637550875</v>
      </c>
      <c r="M59" s="95">
        <f t="shared" si="53"/>
        <v>775211.03923265147</v>
      </c>
      <c r="N59" s="95">
        <f t="shared" ref="N59:O59" si="54">SUM(N56:N58)</f>
        <v>918068.18208979408</v>
      </c>
      <c r="O59" s="95">
        <f t="shared" si="54"/>
        <v>1060925.3249469374</v>
      </c>
      <c r="P59" s="95">
        <f t="shared" ref="P59:Q59" si="55">SUM(P56:P58)</f>
        <v>1203782.4678040801</v>
      </c>
      <c r="Q59" s="95">
        <f t="shared" si="55"/>
        <v>1203782.4678040801</v>
      </c>
      <c r="R59" s="95">
        <f t="shared" ref="R59:S59" si="56">SUM(R56:R58)</f>
        <v>1203782.4678040801</v>
      </c>
      <c r="S59" s="95">
        <f t="shared" si="56"/>
        <v>1203782.4678040801</v>
      </c>
      <c r="T59" s="95">
        <f t="shared" ref="T59:U59" si="57">SUM(T56:T58)</f>
        <v>1203782.4678040801</v>
      </c>
      <c r="U59" s="95">
        <f t="shared" si="57"/>
        <v>1203782.4678040801</v>
      </c>
      <c r="V59" s="95">
        <f t="shared" ref="V59:W59" si="58">SUM(V56:V58)</f>
        <v>1203782.4678040801</v>
      </c>
      <c r="W59" s="95">
        <f t="shared" si="58"/>
        <v>1203782.4678040801</v>
      </c>
      <c r="X59" s="95">
        <f t="shared" ref="X59:Y59" si="59">SUM(X56:X58)</f>
        <v>1203782.4678040801</v>
      </c>
      <c r="Y59" s="95">
        <f t="shared" si="59"/>
        <v>1203782.4678040801</v>
      </c>
    </row>
    <row r="61" spans="2:25" x14ac:dyDescent="0.2">
      <c r="B61" s="60" t="s">
        <v>124</v>
      </c>
      <c r="C61" s="61">
        <f>C51-C59</f>
        <v>-4213882.049129135</v>
      </c>
      <c r="D61" s="61">
        <f t="shared" ref="D61:H61" si="60">D51-D59</f>
        <v>-1550764.3183969222</v>
      </c>
      <c r="E61" s="61">
        <f t="shared" si="60"/>
        <v>20066372.926580586</v>
      </c>
      <c r="F61" s="61">
        <f t="shared" si="60"/>
        <v>28380129.105120838</v>
      </c>
      <c r="G61" s="61">
        <f t="shared" si="60"/>
        <v>30588536.148755483</v>
      </c>
      <c r="H61" s="61">
        <f t="shared" si="60"/>
        <v>31934787.463675074</v>
      </c>
      <c r="I61" s="61">
        <f t="shared" ref="I61:J61" si="61">I51-I59</f>
        <v>33557204.972081251</v>
      </c>
      <c r="J61" s="61">
        <f t="shared" si="61"/>
        <v>35095064.857262075</v>
      </c>
      <c r="K61" s="61">
        <f t="shared" ref="K61:L61" si="62">K51-K59</f>
        <v>63986511.293647796</v>
      </c>
      <c r="L61" s="61">
        <f t="shared" si="62"/>
        <v>74747569.846426994</v>
      </c>
      <c r="M61" s="61">
        <f t="shared" ref="M61:N61" si="63">M51-M59</f>
        <v>76479060.314982191</v>
      </c>
      <c r="N61" s="61">
        <f t="shared" si="63"/>
        <v>77980947.181259885</v>
      </c>
      <c r="O61" s="61">
        <f t="shared" ref="O61:P61" si="64">O51-O59</f>
        <v>79380508.531172067</v>
      </c>
      <c r="P61" s="61">
        <f t="shared" si="64"/>
        <v>80824867.691694707</v>
      </c>
      <c r="Q61" s="61">
        <f t="shared" ref="Q61:R61" si="65">Q51-Q59</f>
        <v>82458740.250911087</v>
      </c>
      <c r="R61" s="61">
        <f t="shared" si="65"/>
        <v>84141233.666349187</v>
      </c>
      <c r="S61" s="61">
        <f t="shared" ref="S61:T61" si="66">S51-S59</f>
        <v>85649844.598136589</v>
      </c>
      <c r="T61" s="61">
        <f t="shared" si="66"/>
        <v>87078847.302314609</v>
      </c>
      <c r="U61" s="61">
        <f t="shared" ref="U61:V61" si="67">U51-U59</f>
        <v>88537261.317504302</v>
      </c>
      <c r="V61" s="61">
        <f t="shared" si="67"/>
        <v>90025685.996286944</v>
      </c>
      <c r="W61" s="61">
        <f t="shared" ref="W61:X61" si="68">W51-W59</f>
        <v>91544732.846093804</v>
      </c>
      <c r="X61" s="61">
        <f t="shared" si="68"/>
        <v>93095025.775119767</v>
      </c>
      <c r="Y61" s="61">
        <f t="shared" ref="Y61" si="69">Y51-Y59</f>
        <v>94677201.343206093</v>
      </c>
    </row>
    <row r="63" spans="2:25" x14ac:dyDescent="0.2">
      <c r="B63" s="1" t="s">
        <v>120</v>
      </c>
      <c r="C63" s="7">
        <f>SUM('Capital Contributions'!E32:P32)</f>
        <v>9254241.349580016</v>
      </c>
      <c r="D63" s="7">
        <f>SUM('Capital Contributions'!O32:Z32)</f>
        <v>14539844.006718803</v>
      </c>
      <c r="E63" s="7">
        <f>SUM('Capital Contributions'!AA32:AL32)</f>
        <v>12846520.505936589</v>
      </c>
      <c r="F63" s="7">
        <f>SUM('Capital Contributions'!AO32:AZ32)</f>
        <v>11888299.526458202</v>
      </c>
      <c r="G63" s="7">
        <f>SUM('Capital Contributions'!BA32:BL32)</f>
        <v>11002520.550931798</v>
      </c>
      <c r="H63" s="7">
        <f>SUM('Capital Contributions'!BM32:BX32)</f>
        <v>10052708.541643836</v>
      </c>
      <c r="I63" s="7">
        <f>SUM('Capital Contributions'!BY32:CJ32)</f>
        <v>9034234.5454062242</v>
      </c>
      <c r="J63" s="7">
        <f>SUM('Capital Contributions'!CK32:CV32)</f>
        <v>7942134.9816306233</v>
      </c>
      <c r="K63" s="7">
        <f>SUM('Capital Contributions'!CW32:DH32)</f>
        <v>6771087.4520866219</v>
      </c>
      <c r="L63" s="7">
        <f>SUM('Capital Contributions'!DI32:DT32)</f>
        <v>5515384.8019453902</v>
      </c>
      <c r="M63" s="7">
        <f>SUM('Capital Contributions'!DU32:EF32)</f>
        <v>4168907.305694059</v>
      </c>
      <c r="N63" s="7">
        <f>SUM('Capital Contributions'!EG32:ER32)</f>
        <v>2970391.9454732942</v>
      </c>
      <c r="O63" s="7">
        <f>SUM('Capital Contributions'!ES32:FD32)</f>
        <v>2396680.3164087497</v>
      </c>
      <c r="P63" s="7">
        <f>SUM('Capital Contributions'!FE32:FP32)</f>
        <v>1824323.0820041397</v>
      </c>
      <c r="Q63" s="7">
        <f>SUM('Capital Contributions'!FQ32:GB32)</f>
        <v>1210590.0968457698</v>
      </c>
      <c r="R63" s="7">
        <f>SUM('Capital Contributions'!GC32:GN32)</f>
        <v>552490.30456616264</v>
      </c>
      <c r="S63" s="7">
        <f>SUM('Capital Contributions'!GO32:GZ32)</f>
        <v>29793.11121479913</v>
      </c>
      <c r="T63" s="7">
        <f>SUM('Capital Contributions'!HA32:HJ32)</f>
        <v>0</v>
      </c>
      <c r="U63" s="7">
        <f>SUM('Capital Contributions'!HM32:HX32)</f>
        <v>0</v>
      </c>
      <c r="V63" s="7">
        <f>SUM('Capital Contributions'!HY32:IJ32)</f>
        <v>0</v>
      </c>
      <c r="W63" s="7">
        <f>SUM('Capital Contributions'!IK32:IV32)</f>
        <v>0</v>
      </c>
      <c r="X63" s="7">
        <f>SUM('Capital Contributions'!IW2:JH2)</f>
        <v>0</v>
      </c>
      <c r="Y63" s="7">
        <f>SUM('Capital Contributions'!JI2:JT2)</f>
        <v>0</v>
      </c>
    </row>
    <row r="65" spans="2:25" x14ac:dyDescent="0.2">
      <c r="B65" s="60" t="s">
        <v>128</v>
      </c>
      <c r="C65" s="61">
        <f>C61-C63</f>
        <v>-13468123.398709152</v>
      </c>
      <c r="D65" s="61">
        <f t="shared" ref="D65:H65" si="70">D61-D63</f>
        <v>-16090608.325115725</v>
      </c>
      <c r="E65" s="61">
        <f t="shared" si="70"/>
        <v>7219852.4206439964</v>
      </c>
      <c r="F65" s="61">
        <f t="shared" si="70"/>
        <v>16491829.578662636</v>
      </c>
      <c r="G65" s="61">
        <f t="shared" si="70"/>
        <v>19586015.597823687</v>
      </c>
      <c r="H65" s="61">
        <f t="shared" si="70"/>
        <v>21882078.922031239</v>
      </c>
      <c r="I65" s="61">
        <f t="shared" ref="I65:J65" si="71">I61-I63</f>
        <v>24522970.426675029</v>
      </c>
      <c r="J65" s="61">
        <f t="shared" si="71"/>
        <v>27152929.875631452</v>
      </c>
      <c r="K65" s="61">
        <f t="shared" ref="K65:L65" si="72">K61-K63</f>
        <v>57215423.841561176</v>
      </c>
      <c r="L65" s="61">
        <f t="shared" si="72"/>
        <v>69232185.044481605</v>
      </c>
      <c r="M65" s="61">
        <f t="shared" ref="M65:N65" si="73">M61-M63</f>
        <v>72310153.009288132</v>
      </c>
      <c r="N65" s="61">
        <f t="shared" si="73"/>
        <v>75010555.235786587</v>
      </c>
      <c r="O65" s="61">
        <f t="shared" ref="O65:P65" si="74">O61-O63</f>
        <v>76983828.214763314</v>
      </c>
      <c r="P65" s="61">
        <f t="shared" si="74"/>
        <v>79000544.609690562</v>
      </c>
      <c r="Q65" s="61">
        <f t="shared" ref="Q65:R65" si="75">Q61-Q63</f>
        <v>81248150.154065311</v>
      </c>
      <c r="R65" s="61">
        <f t="shared" si="75"/>
        <v>83588743.361783028</v>
      </c>
      <c r="S65" s="61">
        <f t="shared" ref="S65:T65" si="76">S61-S63</f>
        <v>85620051.486921787</v>
      </c>
      <c r="T65" s="61">
        <f t="shared" si="76"/>
        <v>87078847.302314609</v>
      </c>
      <c r="U65" s="61">
        <f t="shared" ref="U65:V65" si="77">U61-U63</f>
        <v>88537261.317504302</v>
      </c>
      <c r="V65" s="61">
        <f t="shared" si="77"/>
        <v>90025685.996286944</v>
      </c>
      <c r="W65" s="61">
        <f t="shared" ref="W65:X65" si="78">W61-W63</f>
        <v>91544732.846093804</v>
      </c>
      <c r="X65" s="61">
        <f t="shared" si="78"/>
        <v>93095025.775119767</v>
      </c>
      <c r="Y65" s="61">
        <f t="shared" ref="Y65" si="79">Y61-Y63</f>
        <v>94677201.343206093</v>
      </c>
    </row>
    <row r="66" spans="2:25" x14ac:dyDescent="0.2">
      <c r="B66" s="3"/>
      <c r="C66" s="30"/>
      <c r="D66" s="30"/>
      <c r="E66" s="30"/>
      <c r="F66" s="30"/>
      <c r="G66" s="30"/>
    </row>
    <row r="67" spans="2:25" x14ac:dyDescent="0.2">
      <c r="B67" s="3" t="s">
        <v>129</v>
      </c>
    </row>
    <row r="68" spans="2:25" hidden="1" x14ac:dyDescent="0.2">
      <c r="B68" s="3" t="s">
        <v>130</v>
      </c>
    </row>
    <row r="69" spans="2:25" hidden="1" x14ac:dyDescent="0.2">
      <c r="B69" s="1" t="s">
        <v>132</v>
      </c>
      <c r="C69" s="7">
        <f>IF(C65&lt;0,0,C65*Inputs!$G$23)</f>
        <v>0</v>
      </c>
      <c r="D69" s="7">
        <f>IF(D65&lt;0,0,D65*Inputs!$G$23)</f>
        <v>0</v>
      </c>
      <c r="E69" s="7">
        <f>IF(E65&lt;0,0,E65*Inputs!$G$23)</f>
        <v>0</v>
      </c>
      <c r="F69" s="7">
        <f>IF(F65&lt;0,0,F65*Inputs!$G$23)</f>
        <v>0</v>
      </c>
      <c r="G69" s="7">
        <f>IF(G65&lt;0,0,G65*Inputs!$G$23)</f>
        <v>0</v>
      </c>
    </row>
    <row r="70" spans="2:25" hidden="1" x14ac:dyDescent="0.2">
      <c r="B70" s="53" t="s">
        <v>136</v>
      </c>
      <c r="C70" s="44">
        <f t="shared" ref="C70:G70" si="80">SUM(C69:C69)</f>
        <v>0</v>
      </c>
      <c r="D70" s="44">
        <f t="shared" si="80"/>
        <v>0</v>
      </c>
      <c r="E70" s="44">
        <f t="shared" si="80"/>
        <v>0</v>
      </c>
      <c r="F70" s="44">
        <f t="shared" si="80"/>
        <v>0</v>
      </c>
      <c r="G70" s="44">
        <f t="shared" si="80"/>
        <v>0</v>
      </c>
    </row>
    <row r="71" spans="2:25" hidden="1" x14ac:dyDescent="0.2">
      <c r="B71" s="3"/>
      <c r="C71" s="42"/>
      <c r="D71" s="42"/>
      <c r="E71" s="42"/>
      <c r="F71" s="42"/>
      <c r="G71" s="42"/>
    </row>
    <row r="72" spans="2:25" hidden="1" x14ac:dyDescent="0.2">
      <c r="B72" s="3" t="s">
        <v>139</v>
      </c>
      <c r="C72" s="42">
        <f>C65-C70</f>
        <v>-13468123.398709152</v>
      </c>
      <c r="D72" s="42">
        <f>D65-D70</f>
        <v>-16090608.325115725</v>
      </c>
      <c r="E72" s="42">
        <f t="shared" ref="E72:G72" si="81">E65-E70</f>
        <v>7219852.4206439964</v>
      </c>
      <c r="F72" s="42">
        <f t="shared" si="81"/>
        <v>16491829.578662636</v>
      </c>
      <c r="G72" s="42">
        <f t="shared" si="81"/>
        <v>19586015.597823687</v>
      </c>
    </row>
    <row r="73" spans="2:25" hidden="1" x14ac:dyDescent="0.2">
      <c r="B73" s="3"/>
      <c r="C73" s="42"/>
      <c r="D73" s="42"/>
      <c r="E73" s="42"/>
      <c r="F73" s="42"/>
      <c r="G73" s="42"/>
    </row>
    <row r="74" spans="2:25" x14ac:dyDescent="0.2">
      <c r="B74" s="1" t="s">
        <v>133</v>
      </c>
      <c r="C74" s="7">
        <f>SUM(Financials!C81:N81)</f>
        <v>-92145166.701583683</v>
      </c>
      <c r="D74" s="7">
        <f>SUM(Financials!O81:Z81)</f>
        <v>-313560977.63250583</v>
      </c>
      <c r="E74" s="7">
        <f>SUM(Financials!AA81:AL81)</f>
        <v>-384503833.4844262</v>
      </c>
      <c r="F74" s="7">
        <f>SUM(Financials!AM81:AX81)</f>
        <v>-254665941.7435635</v>
      </c>
      <c r="G74" s="7">
        <f>SUM(Financials!AY81:BJ81)</f>
        <v>-80835440.383522093</v>
      </c>
      <c r="H74" s="7">
        <f>SUM(Financials!BK81:BV81)</f>
        <v>0</v>
      </c>
      <c r="I74" s="7">
        <f>SUM(Financials!BW81:CH81)</f>
        <v>0</v>
      </c>
      <c r="J74" s="7">
        <f>SUM(Financials!CI81:CT81)</f>
        <v>0</v>
      </c>
      <c r="K74" s="7">
        <f>SUM(Financials!CU81:DF81)</f>
        <v>0</v>
      </c>
      <c r="L74" s="7">
        <f>SUM(Financials!DG81:DR81)</f>
        <v>0</v>
      </c>
      <c r="M74" s="7">
        <f>SUM(Financials!DS81:ED81)</f>
        <v>0</v>
      </c>
      <c r="N74" s="7">
        <f>SUM(Financials!EE81:EP81)</f>
        <v>0</v>
      </c>
      <c r="O74" s="7">
        <f>SUM(Financials!EQ81:FB81)</f>
        <v>0</v>
      </c>
      <c r="P74" s="7">
        <f>SUM(Financials!FC81:FN81)</f>
        <v>0</v>
      </c>
      <c r="Q74" s="7">
        <f>SUM(Financials!FO81:FZ81)</f>
        <v>0</v>
      </c>
      <c r="R74" s="7">
        <f>SUM(Financials!GA81:GL81)</f>
        <v>0</v>
      </c>
      <c r="S74" s="7">
        <f>SUM(Financials!GM81:GX81)</f>
        <v>0</v>
      </c>
      <c r="T74" s="7">
        <f>SUM(Financials!GY81:HJ81)</f>
        <v>0</v>
      </c>
      <c r="U74" s="7">
        <f>SUM(Financials!HK81:HV81)</f>
        <v>0</v>
      </c>
      <c r="V74" s="18">
        <f>SUM(Financials!HW81:IH81)</f>
        <v>0</v>
      </c>
      <c r="W74" s="18">
        <f>SUM(Financials!II81:IT81)</f>
        <v>0</v>
      </c>
      <c r="X74" s="18">
        <f>SUM(Financials!IU81:JF81)</f>
        <v>0</v>
      </c>
      <c r="Y74" s="18">
        <f>SUM(Financials!JG81:JR81)</f>
        <v>0</v>
      </c>
    </row>
    <row r="75" spans="2:25" x14ac:dyDescent="0.2">
      <c r="B75" s="1" t="s">
        <v>135</v>
      </c>
      <c r="C75" s="7">
        <f>SUM(Financials!C82:N82)</f>
        <v>0</v>
      </c>
      <c r="D75" s="7">
        <f>SUM(Financials!O82:Z82)</f>
        <v>0</v>
      </c>
      <c r="E75" s="7">
        <f>SUM(Financials!AA82:AL82)</f>
        <v>7982213.8221532367</v>
      </c>
      <c r="F75" s="7">
        <f>SUM(Financials!AM82:AX82)</f>
        <v>13193463.662930124</v>
      </c>
      <c r="G75" s="7">
        <f>SUM(Financials!AY82:BJ82)</f>
        <v>13664036.817670016</v>
      </c>
      <c r="H75" s="7">
        <f>SUM(Financials!BK82:BV82)</f>
        <v>0</v>
      </c>
      <c r="I75" s="7">
        <f>SUM(Financials!BW82:CH82)</f>
        <v>0</v>
      </c>
      <c r="J75" s="7">
        <f>SUM(Financials!CI82:CT82)</f>
        <v>0</v>
      </c>
      <c r="K75" s="7">
        <f>SUM(Financials!CU82:DF82)</f>
        <v>0</v>
      </c>
      <c r="L75" s="7">
        <f>SUM(Financials!DG82:DR82)</f>
        <v>0</v>
      </c>
      <c r="M75" s="7">
        <f>SUM(Financials!DS82:ED82)</f>
        <v>0</v>
      </c>
      <c r="N75" s="7">
        <f>SUM(Financials!EE82:EP82)</f>
        <v>0</v>
      </c>
      <c r="O75" s="7">
        <f>SUM(Financials!EQ82:FB82)</f>
        <v>0</v>
      </c>
      <c r="P75" s="7">
        <f>SUM(Financials!FC82:FN82)</f>
        <v>0</v>
      </c>
      <c r="Q75" s="7">
        <f>SUM(Financials!FO82:FZ82)</f>
        <v>0</v>
      </c>
      <c r="R75" s="7">
        <f>SUM(Financials!GA82:GL82)</f>
        <v>0</v>
      </c>
      <c r="S75" s="7">
        <f>SUM(Financials!GM82:GX82)</f>
        <v>0</v>
      </c>
      <c r="T75" s="7">
        <f>SUM(Financials!GY82:HJ82)</f>
        <v>0</v>
      </c>
      <c r="U75" s="7">
        <f>SUM(Financials!HK82:HV82)</f>
        <v>0</v>
      </c>
      <c r="V75" s="18">
        <f>SUM(Financials!HW82:IH82)</f>
        <v>0</v>
      </c>
      <c r="W75" s="18">
        <f>SUM(Financials!II82:IT82)</f>
        <v>0</v>
      </c>
      <c r="X75" s="18">
        <f>SUM(Financials!IU82:JF82)</f>
        <v>0</v>
      </c>
      <c r="Y75" s="18">
        <f>SUM(Financials!JG82:JR82)</f>
        <v>0</v>
      </c>
    </row>
    <row r="76" spans="2:25" x14ac:dyDescent="0.2">
      <c r="B76" s="43" t="s">
        <v>138</v>
      </c>
      <c r="C76" s="44">
        <f>SUM(Financials!C83:N83)</f>
        <v>0</v>
      </c>
      <c r="D76" s="44">
        <f>SUM(Financials!O83:Z83)</f>
        <v>0</v>
      </c>
      <c r="E76" s="44">
        <f>SUM(Financials!AA83:AL83)</f>
        <v>1995553.4555383085</v>
      </c>
      <c r="F76" s="44">
        <f>SUM(Financials!AM83:AX83)</f>
        <v>3298365.9157325295</v>
      </c>
      <c r="G76" s="44">
        <f>SUM(Financials!AY83:BJ83)</f>
        <v>5921978.7801536582</v>
      </c>
      <c r="H76" s="44">
        <f>SUM(Financials!BK83:BV83)</f>
        <v>21882078.922031227</v>
      </c>
      <c r="I76" s="44">
        <f>SUM(Financials!BW83:CH83)</f>
        <v>24522970.426675029</v>
      </c>
      <c r="J76" s="44">
        <f>SUM(Financials!CI83:CT83)</f>
        <v>27152929.875631459</v>
      </c>
      <c r="K76" s="44">
        <f>SUM(Financials!CU83:DF83)</f>
        <v>57215423.841561183</v>
      </c>
      <c r="L76" s="44">
        <f>SUM(Financials!DG83:DR83)</f>
        <v>69232185.044481605</v>
      </c>
      <c r="M76" s="44">
        <f>SUM(Financials!DS83:ED83)</f>
        <v>72310153.009288132</v>
      </c>
      <c r="N76" s="44">
        <f>SUM(Financials!EE83:EP83)</f>
        <v>75010555.235786572</v>
      </c>
      <c r="O76" s="44">
        <f>SUM(Financials!EQ83:FB83)</f>
        <v>76983828.214763328</v>
      </c>
      <c r="P76" s="44">
        <f>SUM(Financials!FC83:FN83)</f>
        <v>79000544.609690562</v>
      </c>
      <c r="Q76" s="44">
        <f>SUM(Financials!FO83:FZ83)</f>
        <v>81248150.154065326</v>
      </c>
      <c r="R76" s="44">
        <f>SUM(Financials!GA83:GL83)</f>
        <v>83588743.361783013</v>
      </c>
      <c r="S76" s="44">
        <f>SUM(Financials!GM83:GX83)</f>
        <v>85620051.486921787</v>
      </c>
      <c r="T76" s="44">
        <f>SUM(Financials!GY83:HJ83)</f>
        <v>87078847.302314609</v>
      </c>
      <c r="U76" s="44">
        <f>SUM(Financials!HK83:HV83)</f>
        <v>88537261.317504287</v>
      </c>
      <c r="V76" s="44">
        <f>SUM(Financials!HW83:IH83)</f>
        <v>90025685.996286929</v>
      </c>
      <c r="W76" s="44">
        <f>SUM(Financials!II83:IT83)</f>
        <v>91544732.846093789</v>
      </c>
      <c r="X76" s="44">
        <f>SUM(Financials!IU83:JF83)</f>
        <v>93095025.775119752</v>
      </c>
      <c r="Y76" s="44">
        <f>SUM(Financials!JG83:JR83)</f>
        <v>94677201.343206078</v>
      </c>
    </row>
    <row r="77" spans="2:25" x14ac:dyDescent="0.2">
      <c r="H77" s="7" t="s">
        <v>266</v>
      </c>
      <c r="I77" s="7" t="s">
        <v>266</v>
      </c>
      <c r="J77" s="7" t="s">
        <v>266</v>
      </c>
      <c r="K77" s="7" t="s">
        <v>266</v>
      </c>
      <c r="L77" s="7" t="s">
        <v>266</v>
      </c>
      <c r="M77" s="7" t="s">
        <v>266</v>
      </c>
      <c r="N77" s="7" t="s">
        <v>266</v>
      </c>
      <c r="O77" s="7" t="s">
        <v>266</v>
      </c>
      <c r="P77" s="7" t="s">
        <v>266</v>
      </c>
      <c r="Q77" s="7" t="s">
        <v>266</v>
      </c>
      <c r="R77" s="7" t="s">
        <v>266</v>
      </c>
      <c r="S77" s="7" t="s">
        <v>266</v>
      </c>
      <c r="T77" s="7" t="s">
        <v>266</v>
      </c>
      <c r="U77" s="7" t="s">
        <v>266</v>
      </c>
      <c r="V77" s="7" t="s">
        <v>266</v>
      </c>
      <c r="W77" s="7" t="s">
        <v>266</v>
      </c>
      <c r="X77" s="7" t="s">
        <v>266</v>
      </c>
      <c r="Y77" s="7" t="s">
        <v>266</v>
      </c>
    </row>
    <row r="78" spans="2:25" x14ac:dyDescent="0.2">
      <c r="B78" s="3" t="s">
        <v>131</v>
      </c>
      <c r="H78" s="7" t="s">
        <v>266</v>
      </c>
      <c r="I78" s="7" t="s">
        <v>266</v>
      </c>
      <c r="J78" s="7" t="s">
        <v>266</v>
      </c>
      <c r="K78" s="7" t="s">
        <v>266</v>
      </c>
      <c r="L78" s="7" t="s">
        <v>266</v>
      </c>
      <c r="M78" s="7" t="s">
        <v>266</v>
      </c>
      <c r="N78" s="7" t="s">
        <v>266</v>
      </c>
      <c r="O78" s="7" t="s">
        <v>266</v>
      </c>
      <c r="P78" s="7" t="s">
        <v>266</v>
      </c>
      <c r="Q78" s="7" t="s">
        <v>266</v>
      </c>
      <c r="R78" s="7" t="s">
        <v>266</v>
      </c>
      <c r="S78" s="7" t="s">
        <v>266</v>
      </c>
      <c r="T78" s="7" t="s">
        <v>266</v>
      </c>
      <c r="U78" s="7" t="s">
        <v>266</v>
      </c>
      <c r="V78" s="7" t="s">
        <v>266</v>
      </c>
      <c r="W78" s="7" t="s">
        <v>266</v>
      </c>
      <c r="X78" s="7" t="s">
        <v>266</v>
      </c>
      <c r="Y78" s="7" t="s">
        <v>266</v>
      </c>
    </row>
    <row r="79" spans="2:25" x14ac:dyDescent="0.2">
      <c r="B79" s="1" t="s">
        <v>132</v>
      </c>
      <c r="C79" s="7">
        <f>SUM(Financials!C86:N86)</f>
        <v>0</v>
      </c>
      <c r="D79" s="7">
        <f>SUM(Financials!O86:Z86)</f>
        <v>0</v>
      </c>
      <c r="E79" s="7">
        <f>SUM(Financials!AA86:AL86)</f>
        <v>399110.69110766175</v>
      </c>
      <c r="F79" s="7">
        <f>SUM(Financials!AM86:AX86)</f>
        <v>659673.18314650608</v>
      </c>
      <c r="G79" s="7">
        <f>SUM(Financials!AY86:BJ86)</f>
        <v>1184395.7560307316</v>
      </c>
      <c r="H79" s="7">
        <f>SUM(Financials!BK86:BV86)</f>
        <v>4376415.7844062466</v>
      </c>
      <c r="I79" s="7">
        <f>SUM(Financials!BW86:CH86)</f>
        <v>4904594.0853350051</v>
      </c>
      <c r="J79" s="7">
        <f>SUM(Financials!CI86:CT86)</f>
        <v>5430585.9751262907</v>
      </c>
      <c r="K79" s="7">
        <f>SUM(Financials!CU86:DF86)</f>
        <v>11443084.768312238</v>
      </c>
      <c r="L79" s="7">
        <f>SUM(Financials!DG86:DR86)</f>
        <v>13846437.008896321</v>
      </c>
      <c r="M79" s="7">
        <f>SUM(Financials!DS86:ED86)</f>
        <v>14462030.601857629</v>
      </c>
      <c r="N79" s="7">
        <f>SUM(Financials!EE86:EP86)</f>
        <v>15002111.047157314</v>
      </c>
      <c r="O79" s="7">
        <f>SUM(Financials!EQ86:FB86)</f>
        <v>15396765.642952664</v>
      </c>
      <c r="P79" s="7">
        <f>SUM(Financials!FC86:FN86)</f>
        <v>15800108.921938114</v>
      </c>
      <c r="Q79" s="7">
        <f>SUM(Financials!FO86:FZ86)</f>
        <v>16249630.030813068</v>
      </c>
      <c r="R79" s="7">
        <f>SUM(Financials!GA86:GL86)</f>
        <v>16717748.672356604</v>
      </c>
      <c r="S79" s="7">
        <f>SUM(Financials!GM86:GX86)</f>
        <v>17124010.297384359</v>
      </c>
      <c r="T79" s="7">
        <f>SUM(Financials!GY86:HJ86)</f>
        <v>17415769.460462924</v>
      </c>
      <c r="U79" s="7">
        <f>SUM(Financials!HK86:HV86)</f>
        <v>17707452.263500862</v>
      </c>
      <c r="V79" s="18">
        <f>SUM(Financials!HW86:IH86)</f>
        <v>18005137.199257385</v>
      </c>
      <c r="W79" s="18">
        <f>SUM(Financials!II86:IT86)</f>
        <v>18308946.569218758</v>
      </c>
      <c r="X79" s="18">
        <f>SUM(Financials!IU86:JF86)</f>
        <v>18619005.155023955</v>
      </c>
      <c r="Y79" s="18">
        <f>SUM(Financials!JG86:JR86)</f>
        <v>18935440.268641215</v>
      </c>
    </row>
    <row r="80" spans="2:25" x14ac:dyDescent="0.2">
      <c r="B80" s="43" t="s">
        <v>134</v>
      </c>
      <c r="C80" s="44">
        <f t="shared" ref="C80:H80" si="82">SUM(C79:C79)</f>
        <v>0</v>
      </c>
      <c r="D80" s="44">
        <f t="shared" si="82"/>
        <v>0</v>
      </c>
      <c r="E80" s="44">
        <f t="shared" si="82"/>
        <v>399110.69110766175</v>
      </c>
      <c r="F80" s="44">
        <f t="shared" ref="F80" si="83">SUM(F79:F79)</f>
        <v>659673.18314650608</v>
      </c>
      <c r="G80" s="44">
        <f t="shared" si="82"/>
        <v>1184395.7560307316</v>
      </c>
      <c r="H80" s="44">
        <f t="shared" si="82"/>
        <v>4376415.7844062466</v>
      </c>
      <c r="I80" s="44">
        <f t="shared" ref="I80:J80" si="84">SUM(I79:I79)</f>
        <v>4904594.0853350051</v>
      </c>
      <c r="J80" s="44">
        <f t="shared" si="84"/>
        <v>5430585.9751262907</v>
      </c>
      <c r="K80" s="44">
        <f t="shared" ref="K80:L80" si="85">SUM(K79:K79)</f>
        <v>11443084.768312238</v>
      </c>
      <c r="L80" s="44">
        <f t="shared" si="85"/>
        <v>13846437.008896321</v>
      </c>
      <c r="M80" s="44">
        <f t="shared" ref="M80:N80" si="86">SUM(M79:M79)</f>
        <v>14462030.601857629</v>
      </c>
      <c r="N80" s="44">
        <f t="shared" si="86"/>
        <v>15002111.047157314</v>
      </c>
      <c r="O80" s="44">
        <f t="shared" ref="O80:P80" si="87">SUM(O79:O79)</f>
        <v>15396765.642952664</v>
      </c>
      <c r="P80" s="44">
        <f t="shared" si="87"/>
        <v>15800108.921938114</v>
      </c>
      <c r="Q80" s="44">
        <f t="shared" ref="Q80:R80" si="88">SUM(Q79:Q79)</f>
        <v>16249630.030813068</v>
      </c>
      <c r="R80" s="44">
        <f t="shared" si="88"/>
        <v>16717748.672356604</v>
      </c>
      <c r="S80" s="44">
        <f t="shared" ref="S80:T80" si="89">SUM(S79:S79)</f>
        <v>17124010.297384359</v>
      </c>
      <c r="T80" s="44">
        <f t="shared" si="89"/>
        <v>17415769.460462924</v>
      </c>
      <c r="U80" s="44">
        <f t="shared" ref="U80:V80" si="90">SUM(U79:U79)</f>
        <v>17707452.263500862</v>
      </c>
      <c r="V80" s="44">
        <f t="shared" si="90"/>
        <v>18005137.199257385</v>
      </c>
      <c r="W80" s="44">
        <f t="shared" ref="W80:X80" si="91">SUM(W79:W79)</f>
        <v>18308946.569218758</v>
      </c>
      <c r="X80" s="44">
        <f t="shared" si="91"/>
        <v>18619005.155023955</v>
      </c>
      <c r="Y80" s="44">
        <f t="shared" ref="Y80" si="92">SUM(Y79:Y79)</f>
        <v>18935440.268641215</v>
      </c>
    </row>
    <row r="81" spans="2:25" x14ac:dyDescent="0.2">
      <c r="B81" s="3"/>
      <c r="C81" s="42"/>
      <c r="D81" s="42"/>
      <c r="E81" s="42"/>
      <c r="F81" s="42"/>
      <c r="G81" s="42"/>
      <c r="H81" s="7" t="s">
        <v>266</v>
      </c>
      <c r="I81" s="7" t="s">
        <v>266</v>
      </c>
      <c r="J81" s="7" t="s">
        <v>266</v>
      </c>
      <c r="K81" s="7" t="s">
        <v>266</v>
      </c>
      <c r="L81" s="7" t="s">
        <v>266</v>
      </c>
      <c r="M81" s="7" t="s">
        <v>266</v>
      </c>
      <c r="N81" s="7" t="s">
        <v>266</v>
      </c>
      <c r="O81" s="7" t="s">
        <v>266</v>
      </c>
      <c r="P81" s="7" t="s">
        <v>266</v>
      </c>
      <c r="Q81" s="7" t="s">
        <v>266</v>
      </c>
      <c r="R81" s="7" t="s">
        <v>266</v>
      </c>
      <c r="S81" s="7" t="s">
        <v>266</v>
      </c>
      <c r="T81" s="7" t="s">
        <v>266</v>
      </c>
      <c r="U81" s="7" t="s">
        <v>266</v>
      </c>
      <c r="V81" s="7" t="s">
        <v>266</v>
      </c>
      <c r="W81" s="7" t="s">
        <v>266</v>
      </c>
      <c r="X81" s="7" t="s">
        <v>266</v>
      </c>
      <c r="Y81" s="7" t="s">
        <v>266</v>
      </c>
    </row>
    <row r="82" spans="2:25" x14ac:dyDescent="0.2">
      <c r="B82" s="1" t="s">
        <v>151</v>
      </c>
      <c r="C82" s="7">
        <f>SUM(Financials!C89:N89)</f>
        <v>0</v>
      </c>
      <c r="D82" s="7">
        <f>SUM(Financials!O89:Z89)</f>
        <v>0</v>
      </c>
      <c r="E82" s="7">
        <f>SUM(Financials!AA89:AL89)</f>
        <v>0</v>
      </c>
      <c r="F82" s="7">
        <f>SUM(Financials!AM89:AX89)</f>
        <v>0</v>
      </c>
      <c r="G82" s="7">
        <f>SUM(Financials!AY89:BJ89)</f>
        <v>0</v>
      </c>
      <c r="H82" s="7">
        <f>SUM(Financials!BK89:BV89)</f>
        <v>0</v>
      </c>
      <c r="I82" s="7">
        <f>SUM(Financials!BW89:CH89)</f>
        <v>0</v>
      </c>
      <c r="J82" s="7">
        <f>SUM(Financials!CI89:CT89)</f>
        <v>0</v>
      </c>
      <c r="K82" s="7">
        <f>SUM(Financials!CU89:DF89)</f>
        <v>0</v>
      </c>
      <c r="L82" s="7">
        <f>SUM(Financials!DG89:DR89)</f>
        <v>1201366.5941631054</v>
      </c>
      <c r="M82" s="7">
        <f>SUM(Financials!DS89:ED89)</f>
        <v>14462030.601857629</v>
      </c>
      <c r="N82" s="7">
        <f>SUM(Financials!EE89:EP89)</f>
        <v>15002111.047157314</v>
      </c>
      <c r="O82" s="7">
        <f>SUM(Financials!EQ89:FB89)</f>
        <v>15396765.642952664</v>
      </c>
      <c r="P82" s="7">
        <f>SUM(Financials!FC89:FN89)</f>
        <v>15800108.921938114</v>
      </c>
      <c r="Q82" s="7">
        <f>SUM(Financials!FO89:FZ89)</f>
        <v>16249630.030813068</v>
      </c>
      <c r="R82" s="7">
        <f>SUM(Financials!GA89:GL89)</f>
        <v>16717748.672356604</v>
      </c>
      <c r="S82" s="7">
        <f>SUM(Financials!GM89:GX89)</f>
        <v>17124010.297384359</v>
      </c>
      <c r="T82" s="7">
        <f>SUM(Financials!GY89:HJ89)</f>
        <v>17415769.460462924</v>
      </c>
      <c r="U82" s="7">
        <f>SUM(Financials!HK89:HV89)</f>
        <v>17707452.263500862</v>
      </c>
      <c r="V82" s="18">
        <f>SUM(Financials!HW89:IH89)</f>
        <v>18005137.199257385</v>
      </c>
      <c r="W82" s="18">
        <f>SUM(Financials!II89:IT89)</f>
        <v>18308946.569218758</v>
      </c>
      <c r="X82" s="18">
        <f>SUM(Financials!IU89:JF89)</f>
        <v>18619005.155023955</v>
      </c>
      <c r="Y82" s="18">
        <f>SUM(Financials!JG89:JR89)</f>
        <v>18935440.268641215</v>
      </c>
    </row>
    <row r="84" spans="2:25" x14ac:dyDescent="0.2">
      <c r="B84" s="60" t="s">
        <v>123</v>
      </c>
      <c r="C84" s="61">
        <f t="shared" ref="C84:G84" si="93">C65-C82</f>
        <v>-13468123.398709152</v>
      </c>
      <c r="D84" s="61">
        <f t="shared" si="93"/>
        <v>-16090608.325115725</v>
      </c>
      <c r="E84" s="61">
        <f t="shared" si="93"/>
        <v>7219852.4206439964</v>
      </c>
      <c r="F84" s="61">
        <f t="shared" si="93"/>
        <v>16491829.578662636</v>
      </c>
      <c r="G84" s="61">
        <f t="shared" si="93"/>
        <v>19586015.597823687</v>
      </c>
      <c r="H84" s="61">
        <f t="shared" ref="H84:I84" si="94">H65-H82</f>
        <v>21882078.922031239</v>
      </c>
      <c r="I84" s="61">
        <f t="shared" si="94"/>
        <v>24522970.426675029</v>
      </c>
      <c r="J84" s="61">
        <f t="shared" ref="J84:K84" si="95">J65-J82</f>
        <v>27152929.875631452</v>
      </c>
      <c r="K84" s="61">
        <f t="shared" si="95"/>
        <v>57215423.841561176</v>
      </c>
      <c r="L84" s="61">
        <f t="shared" ref="L84:M84" si="96">L65-L82</f>
        <v>68030818.4503185</v>
      </c>
      <c r="M84" s="61">
        <f t="shared" si="96"/>
        <v>57848122.4074305</v>
      </c>
      <c r="N84" s="61">
        <f t="shared" ref="N84:O84" si="97">N65-N82</f>
        <v>60008444.18862927</v>
      </c>
      <c r="O84" s="61">
        <f t="shared" si="97"/>
        <v>61587062.571810648</v>
      </c>
      <c r="P84" s="61">
        <f t="shared" ref="P84:Q84" si="98">P65-P82</f>
        <v>63200435.687752448</v>
      </c>
      <c r="Q84" s="61">
        <f t="shared" si="98"/>
        <v>64998520.123252243</v>
      </c>
      <c r="R84" s="61">
        <f t="shared" ref="R84:S84" si="99">R65-R82</f>
        <v>66870994.689426422</v>
      </c>
      <c r="S84" s="61">
        <f t="shared" si="99"/>
        <v>68496041.189537436</v>
      </c>
      <c r="T84" s="61">
        <f t="shared" ref="T84:U84" si="100">T65-T82</f>
        <v>69663077.841851681</v>
      </c>
      <c r="U84" s="61">
        <f t="shared" si="100"/>
        <v>70829809.054003447</v>
      </c>
      <c r="V84" s="61">
        <f t="shared" ref="V84:W84" si="101">V65-V82</f>
        <v>72020548.797029555</v>
      </c>
      <c r="W84" s="61">
        <f t="shared" si="101"/>
        <v>73235786.276875049</v>
      </c>
      <c r="X84" s="61">
        <f t="shared" ref="X84:Y84" si="102">X65-X82</f>
        <v>74476020.620095819</v>
      </c>
      <c r="Y84" s="61">
        <f t="shared" si="102"/>
        <v>75741761.074564874</v>
      </c>
    </row>
    <row r="87" spans="2:25" x14ac:dyDescent="0.2">
      <c r="B87" s="3" t="s">
        <v>140</v>
      </c>
    </row>
    <row r="88" spans="2:25" x14ac:dyDescent="0.2">
      <c r="B88" s="1" t="s">
        <v>123</v>
      </c>
      <c r="C88" s="18">
        <f>C84</f>
        <v>-13468123.398709152</v>
      </c>
      <c r="D88" s="18">
        <f t="shared" ref="D88:G88" si="103">D84</f>
        <v>-16090608.325115725</v>
      </c>
      <c r="E88" s="18">
        <f t="shared" si="103"/>
        <v>7219852.4206439964</v>
      </c>
      <c r="F88" s="18">
        <f t="shared" si="103"/>
        <v>16491829.578662636</v>
      </c>
      <c r="G88" s="18">
        <f t="shared" si="103"/>
        <v>19586015.597823687</v>
      </c>
      <c r="H88" s="18">
        <f t="shared" ref="H88:I88" si="104">H84</f>
        <v>21882078.922031239</v>
      </c>
      <c r="I88" s="18">
        <f t="shared" si="104"/>
        <v>24522970.426675029</v>
      </c>
      <c r="J88" s="18">
        <f t="shared" ref="J88:K88" si="105">J84</f>
        <v>27152929.875631452</v>
      </c>
      <c r="K88" s="18">
        <f t="shared" si="105"/>
        <v>57215423.841561176</v>
      </c>
      <c r="L88" s="18">
        <f t="shared" ref="L88:M88" si="106">L84</f>
        <v>68030818.4503185</v>
      </c>
      <c r="M88" s="18">
        <f t="shared" si="106"/>
        <v>57848122.4074305</v>
      </c>
      <c r="N88" s="18">
        <f t="shared" ref="N88:O88" si="107">N84</f>
        <v>60008444.18862927</v>
      </c>
      <c r="O88" s="18">
        <f t="shared" si="107"/>
        <v>61587062.571810648</v>
      </c>
      <c r="P88" s="18">
        <f t="shared" ref="P88:Q88" si="108">P84</f>
        <v>63200435.687752448</v>
      </c>
      <c r="Q88" s="18">
        <f t="shared" si="108"/>
        <v>64998520.123252243</v>
      </c>
      <c r="R88" s="18">
        <f t="shared" ref="R88:S88" si="109">R84</f>
        <v>66870994.689426422</v>
      </c>
      <c r="S88" s="18">
        <f t="shared" si="109"/>
        <v>68496041.189537436</v>
      </c>
      <c r="T88" s="18">
        <f t="shared" ref="T88:U88" si="110">T84</f>
        <v>69663077.841851681</v>
      </c>
      <c r="U88" s="18">
        <f t="shared" si="110"/>
        <v>70829809.054003447</v>
      </c>
      <c r="V88" s="18">
        <f t="shared" ref="V88:W88" si="111">V84</f>
        <v>72020548.797029555</v>
      </c>
      <c r="W88" s="18">
        <f t="shared" si="111"/>
        <v>73235786.276875049</v>
      </c>
      <c r="X88" s="18">
        <f t="shared" ref="X88:Y88" si="112">X84</f>
        <v>74476020.620095819</v>
      </c>
      <c r="Y88" s="18">
        <f t="shared" si="112"/>
        <v>75741761.074564874</v>
      </c>
    </row>
    <row r="89" spans="2:25" x14ac:dyDescent="0.2">
      <c r="B89" s="1" t="s">
        <v>118</v>
      </c>
      <c r="C89" s="18">
        <f>SUM(C56:C57)</f>
        <v>0</v>
      </c>
      <c r="D89" s="18">
        <f t="shared" ref="D89:G89" si="113">SUM(D56:D57)</f>
        <v>27292294.795189284</v>
      </c>
      <c r="E89" s="18">
        <f t="shared" si="113"/>
        <v>36389726.393585712</v>
      </c>
      <c r="F89" s="18">
        <f t="shared" si="113"/>
        <v>36389726.393585712</v>
      </c>
      <c r="G89" s="18">
        <f t="shared" si="113"/>
        <v>36389726.393585712</v>
      </c>
      <c r="H89" s="18">
        <f t="shared" ref="H89:I89" si="114">SUM(H56:H57)</f>
        <v>36389726.393585712</v>
      </c>
      <c r="I89" s="18">
        <f t="shared" si="114"/>
        <v>36389726.393585712</v>
      </c>
      <c r="J89" s="18">
        <f t="shared" ref="J89:K89" si="115">SUM(J56:J57)</f>
        <v>36532583.536442854</v>
      </c>
      <c r="K89" s="18">
        <f t="shared" si="115"/>
        <v>9383145.8841107134</v>
      </c>
      <c r="L89" s="18">
        <f t="shared" ref="L89:M89" si="116">SUM(L56:L57)</f>
        <v>428571.4285714287</v>
      </c>
      <c r="M89" s="18">
        <f t="shared" si="116"/>
        <v>571428.57142857148</v>
      </c>
      <c r="N89" s="18">
        <f t="shared" ref="N89:O89" si="117">SUM(N56:N57)</f>
        <v>714285.71428571409</v>
      </c>
      <c r="O89" s="18">
        <f t="shared" si="117"/>
        <v>857142.85714285739</v>
      </c>
      <c r="P89" s="18">
        <f t="shared" ref="P89:Q89" si="118">SUM(P56:P57)</f>
        <v>1000000.0000000001</v>
      </c>
      <c r="Q89" s="18">
        <f t="shared" si="118"/>
        <v>1000000.0000000001</v>
      </c>
      <c r="R89" s="18">
        <f t="shared" ref="R89:S89" si="119">SUM(R56:R57)</f>
        <v>1000000.0000000001</v>
      </c>
      <c r="S89" s="18">
        <f t="shared" si="119"/>
        <v>1000000.0000000001</v>
      </c>
      <c r="T89" s="18">
        <f t="shared" ref="T89:U89" si="120">SUM(T56:T57)</f>
        <v>1000000.0000000001</v>
      </c>
      <c r="U89" s="18">
        <f t="shared" si="120"/>
        <v>1000000.0000000001</v>
      </c>
      <c r="V89" s="18">
        <f t="shared" ref="V89:W89" si="121">SUM(V56:V57)</f>
        <v>1000000.0000000001</v>
      </c>
      <c r="W89" s="18">
        <f t="shared" si="121"/>
        <v>1000000.0000000001</v>
      </c>
      <c r="X89" s="18">
        <f t="shared" ref="X89:Y89" si="122">SUM(X56:X57)</f>
        <v>1000000.0000000001</v>
      </c>
      <c r="Y89" s="18">
        <f t="shared" si="122"/>
        <v>1000000.0000000001</v>
      </c>
    </row>
    <row r="90" spans="2:25" x14ac:dyDescent="0.2">
      <c r="B90" s="1" t="s">
        <v>119</v>
      </c>
      <c r="C90" s="18">
        <f t="shared" ref="C90:G90" si="123">C58</f>
        <v>0</v>
      </c>
      <c r="D90" s="18">
        <f t="shared" si="123"/>
        <v>1834042.2102367198</v>
      </c>
      <c r="E90" s="18">
        <f t="shared" si="123"/>
        <v>203782.46780407999</v>
      </c>
      <c r="F90" s="18">
        <f t="shared" si="123"/>
        <v>203782.46780407999</v>
      </c>
      <c r="G90" s="18">
        <f t="shared" si="123"/>
        <v>203782.46780407999</v>
      </c>
      <c r="H90" s="18">
        <f t="shared" ref="H90:I90" si="124">H58</f>
        <v>203782.46780407999</v>
      </c>
      <c r="I90" s="18">
        <f t="shared" si="124"/>
        <v>203782.46780407999</v>
      </c>
      <c r="J90" s="18">
        <f t="shared" ref="J90:K90" si="125">J58</f>
        <v>203782.46780407999</v>
      </c>
      <c r="K90" s="18">
        <f t="shared" si="125"/>
        <v>203782.46780407999</v>
      </c>
      <c r="L90" s="18">
        <f t="shared" ref="L90:M90" si="126">L58</f>
        <v>203782.46780407999</v>
      </c>
      <c r="M90" s="18">
        <f t="shared" si="126"/>
        <v>203782.46780407999</v>
      </c>
      <c r="N90" s="18">
        <f t="shared" ref="N90:O90" si="127">N58</f>
        <v>203782.46780407999</v>
      </c>
      <c r="O90" s="18">
        <f t="shared" si="127"/>
        <v>203782.46780407999</v>
      </c>
      <c r="P90" s="18">
        <f t="shared" ref="P90:Q90" si="128">P58</f>
        <v>203782.46780407999</v>
      </c>
      <c r="Q90" s="18">
        <f t="shared" si="128"/>
        <v>203782.46780407999</v>
      </c>
      <c r="R90" s="18">
        <f t="shared" ref="R90:S90" si="129">R58</f>
        <v>203782.46780407999</v>
      </c>
      <c r="S90" s="18">
        <f t="shared" si="129"/>
        <v>203782.46780407999</v>
      </c>
      <c r="T90" s="18">
        <f t="shared" ref="T90:U90" si="130">T58</f>
        <v>203782.46780407999</v>
      </c>
      <c r="U90" s="18">
        <f t="shared" si="130"/>
        <v>203782.46780407999</v>
      </c>
      <c r="V90" s="18">
        <f t="shared" ref="V90:W90" si="131">V58</f>
        <v>203782.46780407999</v>
      </c>
      <c r="W90" s="18">
        <f t="shared" si="131"/>
        <v>203782.46780407999</v>
      </c>
      <c r="X90" s="18">
        <f t="shared" ref="X90:Y90" si="132">X58</f>
        <v>203782.46780407999</v>
      </c>
      <c r="Y90" s="18">
        <f t="shared" si="132"/>
        <v>203782.46780407999</v>
      </c>
    </row>
    <row r="91" spans="2:25" x14ac:dyDescent="0.2">
      <c r="B91" s="53" t="s">
        <v>141</v>
      </c>
      <c r="C91" s="62">
        <f>SUM(C88:C90)</f>
        <v>-13468123.398709152</v>
      </c>
      <c r="D91" s="62">
        <f>SUM(D88:D90)</f>
        <v>13035728.680310279</v>
      </c>
      <c r="E91" s="62">
        <f t="shared" ref="E91:G91" si="133">SUM(E88:E90)</f>
        <v>43813361.282033794</v>
      </c>
      <c r="F91" s="62">
        <f t="shared" si="133"/>
        <v>53085338.440052427</v>
      </c>
      <c r="G91" s="62">
        <f t="shared" si="133"/>
        <v>56179524.45921348</v>
      </c>
      <c r="H91" s="62">
        <f t="shared" ref="H91:I91" si="134">SUM(H88:H90)</f>
        <v>58475587.783421032</v>
      </c>
      <c r="I91" s="62">
        <f t="shared" si="134"/>
        <v>61116479.288064823</v>
      </c>
      <c r="J91" s="62">
        <f t="shared" ref="J91:K91" si="135">SUM(J88:J90)</f>
        <v>63889295.879878387</v>
      </c>
      <c r="K91" s="62">
        <f t="shared" si="135"/>
        <v>66802352.193475969</v>
      </c>
      <c r="L91" s="62">
        <f t="shared" ref="L91:M91" si="136">SUM(L88:L90)</f>
        <v>68663172.346694008</v>
      </c>
      <c r="M91" s="62">
        <f t="shared" si="136"/>
        <v>58623333.446663156</v>
      </c>
      <c r="N91" s="62">
        <f t="shared" ref="N91:O91" si="137">SUM(N88:N90)</f>
        <v>60926512.370719068</v>
      </c>
      <c r="O91" s="62">
        <f t="shared" si="137"/>
        <v>62647987.896757588</v>
      </c>
      <c r="P91" s="62">
        <f t="shared" ref="P91:Q91" si="138">SUM(P88:P90)</f>
        <v>64404218.15555653</v>
      </c>
      <c r="Q91" s="62">
        <f t="shared" si="138"/>
        <v>66202302.591056325</v>
      </c>
      <c r="R91" s="62">
        <f t="shared" ref="R91:S91" si="139">SUM(R88:R90)</f>
        <v>68074777.157230496</v>
      </c>
      <c r="S91" s="62">
        <f t="shared" si="139"/>
        <v>69699823.65734151</v>
      </c>
      <c r="T91" s="62">
        <f t="shared" ref="T91:U91" si="140">SUM(T88:T90)</f>
        <v>70866860.309655756</v>
      </c>
      <c r="U91" s="62">
        <f t="shared" si="140"/>
        <v>72033591.521807522</v>
      </c>
      <c r="V91" s="62">
        <f t="shared" ref="V91:W91" si="141">SUM(V88:V90)</f>
        <v>73224331.264833629</v>
      </c>
      <c r="W91" s="62">
        <f t="shared" si="141"/>
        <v>74439568.744679123</v>
      </c>
      <c r="X91" s="62">
        <f t="shared" ref="X91:Y91" si="142">SUM(X88:X90)</f>
        <v>75679803.087899894</v>
      </c>
      <c r="Y91" s="62">
        <f t="shared" si="142"/>
        <v>76945543.542368948</v>
      </c>
    </row>
    <row r="92" spans="2:25" x14ac:dyDescent="0.2">
      <c r="B92" s="3"/>
      <c r="C92" s="30"/>
      <c r="D92" s="30"/>
      <c r="E92" s="30"/>
      <c r="F92" s="30"/>
      <c r="G92" s="30"/>
    </row>
    <row r="93" spans="2:25" x14ac:dyDescent="0.2">
      <c r="B93" s="1" t="s">
        <v>15</v>
      </c>
      <c r="C93" s="18">
        <f t="shared" ref="C93:G93" si="143">C53</f>
        <v>0</v>
      </c>
      <c r="D93" s="18">
        <f t="shared" si="143"/>
        <v>0</v>
      </c>
      <c r="E93" s="18">
        <f t="shared" si="143"/>
        <v>0</v>
      </c>
      <c r="F93" s="18">
        <f t="shared" si="143"/>
        <v>0</v>
      </c>
      <c r="G93" s="18">
        <f t="shared" si="143"/>
        <v>0</v>
      </c>
      <c r="H93" s="18">
        <f t="shared" ref="H93:I93" si="144">H53</f>
        <v>0</v>
      </c>
      <c r="I93" s="18">
        <f t="shared" si="144"/>
        <v>0</v>
      </c>
      <c r="J93" s="18">
        <f t="shared" ref="J93:K93" si="145">J53</f>
        <v>1000000.0000000001</v>
      </c>
      <c r="K93" s="18">
        <f t="shared" si="145"/>
        <v>1000000.0000000001</v>
      </c>
      <c r="L93" s="18">
        <f t="shared" ref="L93:M93" si="146">L53</f>
        <v>1000000.0000000001</v>
      </c>
      <c r="M93" s="18">
        <f t="shared" si="146"/>
        <v>1000000.0000000001</v>
      </c>
      <c r="N93" s="18">
        <f t="shared" ref="N93:O93" si="147">N53</f>
        <v>1000000.0000000001</v>
      </c>
      <c r="O93" s="18">
        <f t="shared" si="147"/>
        <v>1000000.0000000001</v>
      </c>
      <c r="P93" s="18">
        <f t="shared" ref="P93:Q93" si="148">P53</f>
        <v>1000000.0000000001</v>
      </c>
      <c r="Q93" s="18">
        <f t="shared" si="148"/>
        <v>1000000.0000000001</v>
      </c>
      <c r="R93" s="18">
        <f t="shared" ref="R93:S93" si="149">R53</f>
        <v>1000000.0000000001</v>
      </c>
      <c r="S93" s="18">
        <f t="shared" si="149"/>
        <v>1000000.0000000001</v>
      </c>
      <c r="T93" s="18">
        <f t="shared" ref="T93:U93" si="150">T53</f>
        <v>1000000.0000000001</v>
      </c>
      <c r="U93" s="18">
        <f t="shared" si="150"/>
        <v>1000000.0000000001</v>
      </c>
      <c r="V93" s="18">
        <f t="shared" ref="V93:W93" si="151">V53</f>
        <v>1000000.0000000001</v>
      </c>
      <c r="W93" s="18">
        <f t="shared" si="151"/>
        <v>1000000.0000000001</v>
      </c>
      <c r="X93" s="18">
        <f t="shared" ref="X93:Y93" si="152">X53</f>
        <v>1000000.0000000001</v>
      </c>
      <c r="Y93" s="18">
        <f t="shared" si="152"/>
        <v>1000000.0000000001</v>
      </c>
    </row>
    <row r="94" spans="2:25" x14ac:dyDescent="0.2">
      <c r="B94" s="1" t="s">
        <v>142</v>
      </c>
      <c r="C94" s="7">
        <f>SUM('Capital Contributions'!E33:P33)</f>
        <v>0</v>
      </c>
      <c r="D94" s="7">
        <f>SUM('Capital Contributions'!Q33:AB33)</f>
        <v>8061833.3182707066</v>
      </c>
      <c r="E94" s="7">
        <f>SUM('Capital Contributions'!AC33:AN33)</f>
        <v>11427056.342834271</v>
      </c>
      <c r="F94" s="7">
        <f>SUM('Capital Contributions'!AO33:AZ33)</f>
        <v>12253119.169806525</v>
      </c>
      <c r="G94" s="7">
        <f>SUM('Capital Contributions'!BA33:BL33)</f>
        <v>13138898.145332925</v>
      </c>
      <c r="H94" s="7">
        <f>SUM('Capital Contributions'!BM33:BX33)</f>
        <v>14088710.15462089</v>
      </c>
      <c r="I94" s="7">
        <f>SUM('Capital Contributions'!BY33:CJ33)</f>
        <v>15107184.150858499</v>
      </c>
      <c r="J94" s="7">
        <f>SUM('Capital Contributions'!CK33:CV33)</f>
        <v>16199283.7146341</v>
      </c>
      <c r="K94" s="7">
        <f>SUM('Capital Contributions'!CW33:DH33)</f>
        <v>17370331.244178101</v>
      </c>
      <c r="L94" s="7">
        <f>SUM('Capital Contributions'!DI33:DT33)</f>
        <v>18626033.894319337</v>
      </c>
      <c r="M94" s="7">
        <f>SUM('Capital Contributions'!DU33:EF33)</f>
        <v>19972511.390570667</v>
      </c>
      <c r="N94" s="7">
        <f>SUM('Capital Contributions'!EG33:ER33)</f>
        <v>10800603.35279372</v>
      </c>
      <c r="O94" s="7">
        <f>SUM('Capital Contributions'!ES33:FD33)</f>
        <v>7917507.1825256934</v>
      </c>
      <c r="P94" s="7">
        <f>SUM('Capital Contributions'!FE33:FP33)</f>
        <v>8489864.4169303011</v>
      </c>
      <c r="Q94" s="7">
        <f>SUM('Capital Contributions'!FQ33:GB33)</f>
        <v>9103597.4020886701</v>
      </c>
      <c r="R94" s="7">
        <f>SUM('Capital Contributions'!GC33:GN33)</f>
        <v>9761697.1943682786</v>
      </c>
      <c r="S94" s="7">
        <f>SUM('Capital Contributions'!GO33:GZ33)</f>
        <v>2548753.7635188112</v>
      </c>
      <c r="T94" s="7">
        <f>SUM('Capital Contributions'!HA33:HL33)</f>
        <v>0</v>
      </c>
      <c r="U94" s="7">
        <f>SUM('Capital Contributions'!HM33:HX33)</f>
        <v>0</v>
      </c>
      <c r="V94" s="7">
        <f>SUM('Capital Contributions'!HY33:IJ33)</f>
        <v>0</v>
      </c>
      <c r="W94" s="7">
        <f>SUM('Capital Contributions'!IK33:IV33)</f>
        <v>0</v>
      </c>
      <c r="X94" s="7">
        <f>SUM('Capital Contributions'!IW33:JH33)</f>
        <v>0</v>
      </c>
      <c r="Y94" s="7">
        <f>SUM('Capital Contributions'!JI33:JT33)</f>
        <v>0</v>
      </c>
    </row>
    <row r="95" spans="2:25" x14ac:dyDescent="0.2">
      <c r="B95" s="1" t="s">
        <v>163</v>
      </c>
      <c r="C95" s="7">
        <f>SUM(Financials!C102:N102)</f>
        <v>0</v>
      </c>
      <c r="D95" s="7">
        <f>SUM(Financials!O102:Z102)</f>
        <v>567368.13671086484</v>
      </c>
      <c r="E95" s="7">
        <f>SUM(Financials!AA102:AL102)</f>
        <v>1625923.1545852826</v>
      </c>
      <c r="F95" s="7">
        <f>SUM(Financials!AM102:AX102)</f>
        <v>2041610.9635122959</v>
      </c>
      <c r="G95" s="7">
        <f>SUM(Financials!AY102:BJ102)</f>
        <v>2152031.3156940271</v>
      </c>
      <c r="H95" s="7">
        <f>SUM(Financials!BK102:BV102)</f>
        <v>2219343.8814400071</v>
      </c>
      <c r="I95" s="7">
        <f>SUM(Financials!BW102:CH102)</f>
        <v>2300464.7568603163</v>
      </c>
      <c r="J95" s="7">
        <f>SUM(Financials!CI102:CT102)</f>
        <v>2334500.6082622148</v>
      </c>
      <c r="K95" s="7">
        <f>SUM(Financials!CU102:DF102)</f>
        <v>2421601.0474648946</v>
      </c>
      <c r="L95" s="7">
        <f>SUM(Financials!DG102:DR102)</f>
        <v>2451856.9226187337</v>
      </c>
      <c r="M95" s="7">
        <f>SUM(Financials!DS102:ED102)</f>
        <v>1882541.1028046249</v>
      </c>
      <c r="N95" s="7">
        <f>SUM(Financials!EE102:EP102)</f>
        <v>2456295.4508962668</v>
      </c>
      <c r="O95" s="7">
        <f>SUM(Financials!EQ102:FB102)</f>
        <v>2686524.0357115958</v>
      </c>
      <c r="P95" s="7">
        <f>SUM(Financials!FC102:FN102)</f>
        <v>2745717.6869313116</v>
      </c>
      <c r="Q95" s="7">
        <f>SUM(Financials!FO102:FZ102)</f>
        <v>2804935.2594483839</v>
      </c>
      <c r="R95" s="7">
        <f>SUM(Financials!GA102:GL102)</f>
        <v>2865653.9981431114</v>
      </c>
      <c r="S95" s="7">
        <f>SUM(Financials!GM102:GX102)</f>
        <v>3307553.4946911354</v>
      </c>
      <c r="T95" s="7">
        <f>SUM(Financials!GY102:HJ102)</f>
        <v>3493343.0154827884</v>
      </c>
      <c r="U95" s="7">
        <f>SUM(Financials!HK102:HV102)</f>
        <v>3551679.5760903759</v>
      </c>
      <c r="V95" s="7">
        <f>SUM(Financials!HW102:IH102)</f>
        <v>1178450.0084842739</v>
      </c>
      <c r="W95" s="18">
        <f>SUM(Financials!II102:IT102)</f>
        <v>0</v>
      </c>
      <c r="X95" s="18">
        <f>SUM(Financials!IU102:JF102)</f>
        <v>0</v>
      </c>
      <c r="Y95" s="18">
        <f>SUM(Financials!JG102:JR102)</f>
        <v>0</v>
      </c>
    </row>
    <row r="97" spans="2:27" x14ac:dyDescent="0.2">
      <c r="B97" s="59" t="s">
        <v>192</v>
      </c>
      <c r="C97" s="57">
        <f>SUM(Financials!C104:N104)</f>
        <v>0</v>
      </c>
      <c r="D97" s="57">
        <f>SUM(Financials!O104:Z104)</f>
        <v>10779994.59750643</v>
      </c>
      <c r="E97" s="57">
        <f>SUM(Financials!AA104:AL104)</f>
        <v>30892539.937120374</v>
      </c>
      <c r="F97" s="57">
        <f>SUM(Financials!AM104:AX104)</f>
        <v>38790608.306733631</v>
      </c>
      <c r="G97" s="57">
        <f>SUM(Financials!AY104:BJ104)</f>
        <v>40888594.998186514</v>
      </c>
      <c r="H97" s="57">
        <f>SUM(Financials!BK104:BV104)</f>
        <v>42167533.747360125</v>
      </c>
      <c r="I97" s="57">
        <f>SUM(Financials!BW104:CH104)</f>
        <v>43708830.380346</v>
      </c>
      <c r="J97" s="57">
        <f>SUM(Financials!CI104:CT104)</f>
        <v>44355511.556982078</v>
      </c>
      <c r="K97" s="57">
        <f>SUM(Financials!CU104:DF104)</f>
        <v>46010419.90183299</v>
      </c>
      <c r="L97" s="57">
        <f>SUM(Financials!DG104:DR104)</f>
        <v>46585281.529755935</v>
      </c>
      <c r="M97" s="57">
        <f>SUM(Financials!DS104:ED104)</f>
        <v>35768280.95328787</v>
      </c>
      <c r="N97" s="57">
        <f>SUM(Financials!EE104:EP104)</f>
        <v>46669613.567029066</v>
      </c>
      <c r="O97" s="57">
        <f>SUM(Financials!EQ104:FB104)</f>
        <v>51043956.678520314</v>
      </c>
      <c r="P97" s="57">
        <f>SUM(Financials!FC104:FN104)</f>
        <v>52168636.051694915</v>
      </c>
      <c r="Q97" s="57">
        <f>SUM(Financials!FO104:FZ104)</f>
        <v>53293769.929519288</v>
      </c>
      <c r="R97" s="57">
        <f>SUM(Financials!GA104:GL104)</f>
        <v>54447425.964719102</v>
      </c>
      <c r="S97" s="57">
        <f>SUM(Financials!GM104:GX104)</f>
        <v>62843516.399131566</v>
      </c>
      <c r="T97" s="57">
        <f>SUM(Financials!GY104:HJ104)</f>
        <v>66373517.294172972</v>
      </c>
      <c r="U97" s="57">
        <f>SUM(Financials!HK104:HV104)</f>
        <v>67481911.945717141</v>
      </c>
      <c r="V97" s="57">
        <f>SUM(Financials!HW104:IH104)</f>
        <v>71045881.256349355</v>
      </c>
      <c r="W97" s="57">
        <f>SUM(Financials!II104:IT104)</f>
        <v>73439568.744679108</v>
      </c>
      <c r="X97" s="57">
        <f>SUM(Financials!IU104:JF104)</f>
        <v>74679803.087899879</v>
      </c>
      <c r="Y97" s="57">
        <f>SUM(Financials!JG104:JR104)</f>
        <v>75945543.542368934</v>
      </c>
      <c r="Z97" s="18">
        <f>SUM(E97:Y97)</f>
        <v>1118600745.773407</v>
      </c>
      <c r="AA97" s="20">
        <f>SUM(Z97/20)</f>
        <v>55930037.288670346</v>
      </c>
    </row>
    <row r="99" spans="2:27" x14ac:dyDescent="0.2">
      <c r="B99" s="3" t="s">
        <v>157</v>
      </c>
      <c r="C99" s="7">
        <f>Financials!N106</f>
        <v>0</v>
      </c>
      <c r="D99" s="7">
        <f>Financials!Z106</f>
        <v>567368.13671086484</v>
      </c>
      <c r="E99" s="7">
        <f>Financials!AL106</f>
        <v>2193291.2912961477</v>
      </c>
      <c r="F99" s="7">
        <f>Financials!AX106</f>
        <v>4234902.2548084445</v>
      </c>
      <c r="G99" s="7">
        <f>Financials!BJ106</f>
        <v>6386933.570502473</v>
      </c>
      <c r="H99" s="7">
        <f>Financials!BV106</f>
        <v>8606277.4519424792</v>
      </c>
      <c r="I99" s="7">
        <f>Financials!CH106</f>
        <v>10906742.208802793</v>
      </c>
      <c r="J99" s="7">
        <f>Financials!CT106</f>
        <v>13241242.81706501</v>
      </c>
      <c r="K99" s="7">
        <f>Financials!DF106</f>
        <v>15662843.864529902</v>
      </c>
      <c r="L99" s="7">
        <f>Financials!DR106</f>
        <v>18114700.787148636</v>
      </c>
      <c r="M99" s="7">
        <f>Financials!ED106</f>
        <v>19997241.889953263</v>
      </c>
      <c r="N99" s="7">
        <f>Financials!EP106</f>
        <v>22453537.340849534</v>
      </c>
      <c r="O99" s="7">
        <f>Financials!FB106</f>
        <v>25140061.376561128</v>
      </c>
      <c r="P99" s="7">
        <f>Financials!FN106</f>
        <v>27885779.06349244</v>
      </c>
      <c r="Q99" s="7">
        <f>Financials!FZ106</f>
        <v>30690714.322940819</v>
      </c>
      <c r="R99" s="7">
        <f>Financials!GL106</f>
        <v>33556368.321083926</v>
      </c>
      <c r="S99" s="7">
        <f>Financials!GX106</f>
        <v>36863921.815775067</v>
      </c>
      <c r="T99" s="7">
        <f>Financials!HJ106</f>
        <v>40357264.831257857</v>
      </c>
      <c r="U99" s="7">
        <f>Financials!HV106</f>
        <v>43908944.407348245</v>
      </c>
      <c r="V99" s="7">
        <f>Financials!IH106</f>
        <v>45087394.415832512</v>
      </c>
      <c r="W99" s="7">
        <f>Financials!IT106</f>
        <v>45087394.415832512</v>
      </c>
      <c r="X99" s="7">
        <f>Financials!JF106</f>
        <v>45087394.415832512</v>
      </c>
      <c r="Y99" s="7">
        <f>Financials!JR106</f>
        <v>45087394.415832512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6B15-F8B2-406D-B09F-53BAE6C02BE0}">
  <sheetPr>
    <tabColor rgb="FF00B050"/>
  </sheetPr>
  <dimension ref="A2:CO99"/>
  <sheetViews>
    <sheetView workbookViewId="0">
      <pane xSplit="6735" ySplit="1170" topLeftCell="CA25" activePane="bottomRight"/>
      <selection activeCell="L1" sqref="L1"/>
      <selection pane="topRight" activeCell="Z1" sqref="Z1"/>
      <selection pane="bottomLeft" activeCell="B40" sqref="B40:CO41"/>
      <selection pane="bottomRight" activeCell="CP39" sqref="CP39"/>
    </sheetView>
  </sheetViews>
  <sheetFormatPr defaultRowHeight="15" x14ac:dyDescent="0.25"/>
  <cols>
    <col min="1" max="1" width="36" customWidth="1"/>
    <col min="2" max="2" width="12" customWidth="1"/>
    <col min="3" max="3" width="12.42578125" customWidth="1"/>
    <col min="4" max="4" width="12.28515625" customWidth="1"/>
    <col min="5" max="5" width="12.5703125" customWidth="1"/>
    <col min="6" max="6" width="12.85546875" customWidth="1"/>
    <col min="7" max="7" width="13.42578125" customWidth="1"/>
    <col min="8" max="8" width="14.42578125" customWidth="1"/>
    <col min="9" max="9" width="14.28515625" customWidth="1"/>
    <col min="10" max="10" width="13.5703125" customWidth="1"/>
    <col min="11" max="11" width="14" customWidth="1"/>
    <col min="12" max="12" width="13.7109375" customWidth="1"/>
    <col min="13" max="13" width="13.85546875" customWidth="1"/>
    <col min="14" max="14" width="13.28515625" customWidth="1"/>
    <col min="15" max="15" width="12.42578125" customWidth="1"/>
    <col min="16" max="16" width="13.85546875" customWidth="1"/>
    <col min="17" max="17" width="14" customWidth="1"/>
    <col min="18" max="18" width="13.85546875" customWidth="1"/>
    <col min="19" max="19" width="14" customWidth="1"/>
    <col min="20" max="20" width="14.5703125" customWidth="1"/>
    <col min="21" max="21" width="13.85546875" customWidth="1"/>
    <col min="22" max="22" width="15" customWidth="1"/>
    <col min="23" max="23" width="14.28515625" customWidth="1"/>
    <col min="24" max="24" width="14" customWidth="1"/>
    <col min="25" max="27" width="14.140625" customWidth="1"/>
    <col min="28" max="28" width="14.5703125" customWidth="1"/>
    <col min="29" max="29" width="14.140625" customWidth="1"/>
    <col min="30" max="30" width="13.85546875" customWidth="1"/>
    <col min="31" max="31" width="14.28515625" customWidth="1"/>
    <col min="32" max="32" width="14" customWidth="1"/>
    <col min="33" max="33" width="15" customWidth="1"/>
    <col min="34" max="34" width="11.85546875" bestFit="1" customWidth="1"/>
    <col min="35" max="35" width="14.28515625" customWidth="1"/>
    <col min="36" max="36" width="13.5703125" customWidth="1"/>
    <col min="37" max="37" width="14" customWidth="1"/>
    <col min="38" max="38" width="12.5703125" customWidth="1"/>
    <col min="39" max="39" width="12.28515625" customWidth="1"/>
    <col min="40" max="40" width="14.7109375" customWidth="1"/>
    <col min="41" max="41" width="12.5703125" customWidth="1"/>
    <col min="42" max="42" width="13.5703125" customWidth="1"/>
    <col min="43" max="43" width="12.28515625" customWidth="1"/>
    <col min="44" max="44" width="12.5703125" customWidth="1"/>
    <col min="45" max="45" width="12.28515625" customWidth="1"/>
    <col min="46" max="46" width="12.7109375" customWidth="1"/>
    <col min="47" max="47" width="12.140625" customWidth="1"/>
    <col min="48" max="48" width="13" customWidth="1"/>
    <col min="49" max="49" width="11.7109375" customWidth="1"/>
    <col min="50" max="50" width="12.7109375" customWidth="1"/>
    <col min="51" max="51" width="13" customWidth="1"/>
    <col min="52" max="52" width="13.140625" customWidth="1"/>
    <col min="53" max="53" width="12" customWidth="1"/>
    <col min="54" max="54" width="12.42578125" customWidth="1"/>
    <col min="55" max="56" width="12.28515625" customWidth="1"/>
    <col min="57" max="58" width="12.5703125" customWidth="1"/>
    <col min="59" max="59" width="12.7109375" customWidth="1"/>
    <col min="60" max="60" width="13.140625" customWidth="1"/>
    <col min="61" max="61" width="12.42578125" customWidth="1"/>
    <col min="62" max="62" width="12.28515625" customWidth="1"/>
    <col min="63" max="63" width="12.42578125" customWidth="1"/>
    <col min="64" max="64" width="13" customWidth="1"/>
    <col min="65" max="65" width="12.42578125" customWidth="1"/>
    <col min="66" max="66" width="12.85546875" customWidth="1"/>
    <col min="67" max="67" width="12.5703125" customWidth="1"/>
    <col min="68" max="68" width="13.140625" customWidth="1"/>
    <col min="69" max="69" width="12.28515625" customWidth="1"/>
    <col min="70" max="70" width="12.5703125" customWidth="1"/>
    <col min="71" max="71" width="12.42578125" customWidth="1"/>
    <col min="72" max="72" width="13" customWidth="1"/>
    <col min="73" max="73" width="12.28515625" customWidth="1"/>
    <col min="74" max="74" width="13" customWidth="1"/>
    <col min="75" max="75" width="12.140625" customWidth="1"/>
    <col min="76" max="76" width="12.5703125" customWidth="1"/>
    <col min="77" max="77" width="11.85546875" customWidth="1"/>
    <col min="78" max="78" width="12.140625" customWidth="1"/>
    <col min="79" max="79" width="12.28515625" customWidth="1"/>
    <col min="80" max="83" width="12.5703125" customWidth="1"/>
    <col min="84" max="84" width="12.42578125" customWidth="1"/>
    <col min="85" max="85" width="12.5703125" customWidth="1"/>
    <col min="86" max="86" width="12.140625" customWidth="1"/>
    <col min="87" max="87" width="12.85546875" customWidth="1"/>
    <col min="88" max="88" width="13.140625" customWidth="1"/>
    <col min="89" max="89" width="12.7109375" customWidth="1"/>
    <col min="90" max="90" width="12.28515625" customWidth="1"/>
    <col min="91" max="91" width="13.140625" customWidth="1"/>
    <col min="92" max="92" width="12.5703125" customWidth="1"/>
    <col min="93" max="93" width="12.42578125" customWidth="1"/>
    <col min="94" max="94" width="16.140625" customWidth="1"/>
  </cols>
  <sheetData>
    <row r="2" spans="1:93" x14ac:dyDescent="0.25">
      <c r="A2" s="151" t="s">
        <v>144</v>
      </c>
      <c r="B2" s="852">
        <f>'Financials Yearly'!C2</f>
        <v>2026</v>
      </c>
      <c r="C2" s="852"/>
      <c r="D2" s="852"/>
      <c r="E2" s="852"/>
      <c r="F2" s="852">
        <f>SUM('Financials Yearly'!$C2 + 1)</f>
        <v>2027</v>
      </c>
      <c r="G2" s="852"/>
      <c r="H2" s="852"/>
      <c r="I2" s="852"/>
      <c r="J2" s="852">
        <f>F2+1</f>
        <v>2028</v>
      </c>
      <c r="K2" s="852"/>
      <c r="L2" s="852"/>
      <c r="M2" s="852"/>
      <c r="N2" s="852">
        <f>J2+1</f>
        <v>2029</v>
      </c>
      <c r="O2" s="852"/>
      <c r="P2" s="852"/>
      <c r="Q2" s="852"/>
      <c r="R2" s="852">
        <f>N2+1</f>
        <v>2030</v>
      </c>
      <c r="S2" s="852"/>
      <c r="T2" s="852"/>
      <c r="U2" s="852"/>
      <c r="V2" s="852">
        <f>R2+1</f>
        <v>2031</v>
      </c>
      <c r="W2" s="852"/>
      <c r="X2" s="852"/>
      <c r="Y2" s="852"/>
      <c r="Z2" s="852">
        <f>V2+1</f>
        <v>2032</v>
      </c>
      <c r="AA2" s="852"/>
      <c r="AB2" s="852"/>
      <c r="AC2" s="852"/>
      <c r="AD2" s="852">
        <f>Z2+1</f>
        <v>2033</v>
      </c>
      <c r="AE2" s="852"/>
      <c r="AF2" s="852"/>
      <c r="AG2" s="852"/>
      <c r="AH2" s="852">
        <f>AD2+1</f>
        <v>2034</v>
      </c>
      <c r="AI2" s="852"/>
      <c r="AJ2" s="852"/>
      <c r="AK2" s="852"/>
      <c r="AL2" s="852">
        <f>AH2+1</f>
        <v>2035</v>
      </c>
      <c r="AM2" s="852"/>
      <c r="AN2" s="852"/>
      <c r="AO2" s="852"/>
      <c r="AP2" s="852">
        <f>AL2+1</f>
        <v>2036</v>
      </c>
      <c r="AQ2" s="852"/>
      <c r="AR2" s="852"/>
      <c r="AS2" s="852"/>
      <c r="AT2" s="852">
        <f>AP2+1</f>
        <v>2037</v>
      </c>
      <c r="AU2" s="852"/>
      <c r="AV2" s="852"/>
      <c r="AW2" s="852"/>
      <c r="AX2" s="852">
        <f>AT2+1</f>
        <v>2038</v>
      </c>
      <c r="AY2" s="852"/>
      <c r="AZ2" s="852"/>
      <c r="BA2" s="852"/>
      <c r="BB2" s="852">
        <f>AX2+1</f>
        <v>2039</v>
      </c>
      <c r="BC2" s="852"/>
      <c r="BD2" s="852"/>
      <c r="BE2" s="852"/>
      <c r="BF2" s="852">
        <f>BB2+1</f>
        <v>2040</v>
      </c>
      <c r="BG2" s="852"/>
      <c r="BH2" s="852"/>
      <c r="BI2" s="852"/>
      <c r="BJ2" s="852">
        <f>BF2+1</f>
        <v>2041</v>
      </c>
      <c r="BK2" s="852"/>
      <c r="BL2" s="852"/>
      <c r="BM2" s="852"/>
      <c r="BN2" s="852">
        <f>BJ2+1</f>
        <v>2042</v>
      </c>
      <c r="BO2" s="852"/>
      <c r="BP2" s="852"/>
      <c r="BQ2" s="852"/>
      <c r="BR2" s="852">
        <f>BN2+1</f>
        <v>2043</v>
      </c>
      <c r="BS2" s="852"/>
      <c r="BT2" s="852"/>
      <c r="BU2" s="852"/>
      <c r="BV2" s="852">
        <f>BR2+1</f>
        <v>2044</v>
      </c>
      <c r="BW2" s="852"/>
      <c r="BX2" s="852"/>
      <c r="BY2" s="852"/>
      <c r="BZ2" s="852">
        <f>BV2+1</f>
        <v>2045</v>
      </c>
      <c r="CA2" s="852"/>
      <c r="CB2" s="852"/>
      <c r="CC2" s="852"/>
      <c r="CD2" s="852">
        <f>BZ2+1</f>
        <v>2046</v>
      </c>
      <c r="CE2" s="852"/>
      <c r="CF2" s="852"/>
      <c r="CG2" s="852"/>
      <c r="CH2" s="852">
        <f>CD2+1</f>
        <v>2047</v>
      </c>
      <c r="CI2" s="852"/>
      <c r="CJ2" s="852"/>
      <c r="CK2" s="852"/>
      <c r="CL2" s="852">
        <f>CH2+1</f>
        <v>2048</v>
      </c>
      <c r="CM2" s="852"/>
      <c r="CN2" s="852"/>
      <c r="CO2" s="852"/>
    </row>
    <row r="3" spans="1:93" x14ac:dyDescent="0.25">
      <c r="A3" s="151" t="s">
        <v>323</v>
      </c>
      <c r="B3" s="151" t="s">
        <v>324</v>
      </c>
      <c r="C3" s="151" t="s">
        <v>325</v>
      </c>
      <c r="D3" s="151" t="s">
        <v>326</v>
      </c>
      <c r="E3" s="151" t="s">
        <v>327</v>
      </c>
      <c r="F3" s="151" t="s">
        <v>324</v>
      </c>
      <c r="G3" s="151" t="s">
        <v>325</v>
      </c>
      <c r="H3" s="151" t="s">
        <v>326</v>
      </c>
      <c r="I3" s="151" t="s">
        <v>327</v>
      </c>
      <c r="J3" s="151" t="s">
        <v>324</v>
      </c>
      <c r="K3" s="151" t="s">
        <v>325</v>
      </c>
      <c r="L3" s="151" t="s">
        <v>326</v>
      </c>
      <c r="M3" s="151" t="s">
        <v>327</v>
      </c>
      <c r="N3" s="151" t="s">
        <v>324</v>
      </c>
      <c r="O3" s="151" t="s">
        <v>325</v>
      </c>
      <c r="P3" s="151" t="s">
        <v>326</v>
      </c>
      <c r="Q3" s="151" t="s">
        <v>327</v>
      </c>
      <c r="R3" s="151" t="s">
        <v>324</v>
      </c>
      <c r="S3" s="151" t="s">
        <v>325</v>
      </c>
      <c r="T3" s="151" t="s">
        <v>326</v>
      </c>
      <c r="U3" s="151" t="s">
        <v>327</v>
      </c>
      <c r="V3" s="151" t="s">
        <v>324</v>
      </c>
      <c r="W3" s="151" t="s">
        <v>325</v>
      </c>
      <c r="X3" s="151" t="s">
        <v>326</v>
      </c>
      <c r="Y3" s="151" t="s">
        <v>327</v>
      </c>
      <c r="Z3" s="151" t="s">
        <v>324</v>
      </c>
      <c r="AA3" s="151" t="s">
        <v>325</v>
      </c>
      <c r="AB3" s="151" t="s">
        <v>326</v>
      </c>
      <c r="AC3" s="151" t="s">
        <v>327</v>
      </c>
      <c r="AD3" s="151" t="s">
        <v>324</v>
      </c>
      <c r="AE3" s="151" t="s">
        <v>325</v>
      </c>
      <c r="AF3" s="151" t="s">
        <v>326</v>
      </c>
      <c r="AG3" s="151" t="s">
        <v>327</v>
      </c>
      <c r="AH3" s="151" t="s">
        <v>324</v>
      </c>
      <c r="AI3" s="151" t="s">
        <v>325</v>
      </c>
      <c r="AJ3" s="151" t="s">
        <v>326</v>
      </c>
      <c r="AK3" s="151" t="s">
        <v>327</v>
      </c>
      <c r="AL3" s="151" t="s">
        <v>324</v>
      </c>
      <c r="AM3" s="151" t="s">
        <v>325</v>
      </c>
      <c r="AN3" s="151" t="s">
        <v>326</v>
      </c>
      <c r="AO3" s="151" t="s">
        <v>327</v>
      </c>
      <c r="AP3" s="151" t="s">
        <v>324</v>
      </c>
      <c r="AQ3" s="151" t="s">
        <v>325</v>
      </c>
      <c r="AR3" s="151" t="s">
        <v>326</v>
      </c>
      <c r="AS3" s="151" t="s">
        <v>327</v>
      </c>
      <c r="AT3" s="151" t="s">
        <v>324</v>
      </c>
      <c r="AU3" s="151" t="s">
        <v>325</v>
      </c>
      <c r="AV3" s="151" t="s">
        <v>326</v>
      </c>
      <c r="AW3" s="151" t="s">
        <v>327</v>
      </c>
      <c r="AX3" s="151" t="s">
        <v>324</v>
      </c>
      <c r="AY3" s="151" t="s">
        <v>325</v>
      </c>
      <c r="AZ3" s="151" t="s">
        <v>326</v>
      </c>
      <c r="BA3" s="151" t="s">
        <v>327</v>
      </c>
      <c r="BB3" s="151" t="s">
        <v>324</v>
      </c>
      <c r="BC3" s="151" t="s">
        <v>325</v>
      </c>
      <c r="BD3" s="151" t="s">
        <v>326</v>
      </c>
      <c r="BE3" s="151" t="s">
        <v>327</v>
      </c>
      <c r="BF3" s="151" t="s">
        <v>324</v>
      </c>
      <c r="BG3" s="151" t="s">
        <v>325</v>
      </c>
      <c r="BH3" s="151" t="s">
        <v>326</v>
      </c>
      <c r="BI3" s="151" t="s">
        <v>327</v>
      </c>
      <c r="BJ3" s="151" t="s">
        <v>324</v>
      </c>
      <c r="BK3" s="151" t="s">
        <v>325</v>
      </c>
      <c r="BL3" s="151" t="s">
        <v>326</v>
      </c>
      <c r="BM3" s="151" t="s">
        <v>327</v>
      </c>
      <c r="BN3" s="151" t="s">
        <v>324</v>
      </c>
      <c r="BO3" s="151" t="s">
        <v>325</v>
      </c>
      <c r="BP3" s="151" t="s">
        <v>326</v>
      </c>
      <c r="BQ3" s="151" t="s">
        <v>327</v>
      </c>
      <c r="BR3" s="151" t="s">
        <v>324</v>
      </c>
      <c r="BS3" s="151" t="s">
        <v>325</v>
      </c>
      <c r="BT3" s="151" t="s">
        <v>326</v>
      </c>
      <c r="BU3" s="151" t="s">
        <v>327</v>
      </c>
      <c r="BV3" s="151" t="s">
        <v>324</v>
      </c>
      <c r="BW3" s="151" t="s">
        <v>325</v>
      </c>
      <c r="BX3" s="151" t="s">
        <v>326</v>
      </c>
      <c r="BY3" s="151" t="s">
        <v>327</v>
      </c>
      <c r="BZ3" s="151" t="s">
        <v>324</v>
      </c>
      <c r="CA3" s="151" t="s">
        <v>325</v>
      </c>
      <c r="CB3" s="151" t="s">
        <v>326</v>
      </c>
      <c r="CC3" s="151" t="s">
        <v>327</v>
      </c>
      <c r="CD3" s="151" t="s">
        <v>324</v>
      </c>
      <c r="CE3" s="151" t="s">
        <v>325</v>
      </c>
      <c r="CF3" s="151" t="s">
        <v>326</v>
      </c>
      <c r="CG3" s="151" t="s">
        <v>327</v>
      </c>
      <c r="CH3" s="151" t="s">
        <v>324</v>
      </c>
      <c r="CI3" s="151" t="s">
        <v>325</v>
      </c>
      <c r="CJ3" s="151" t="s">
        <v>326</v>
      </c>
      <c r="CK3" s="151" t="s">
        <v>327</v>
      </c>
      <c r="CL3" s="151" t="s">
        <v>324</v>
      </c>
      <c r="CM3" s="151" t="s">
        <v>325</v>
      </c>
      <c r="CN3" s="151" t="s">
        <v>326</v>
      </c>
      <c r="CO3" s="151" t="s">
        <v>327</v>
      </c>
    </row>
    <row r="4" spans="1:93" x14ac:dyDescent="0.25">
      <c r="A4" s="134" t="str">
        <f>Financials!B11</f>
        <v>Revenue Commodities</v>
      </c>
    </row>
    <row r="5" spans="1:93" x14ac:dyDescent="0.25">
      <c r="A5" s="152" t="str">
        <f>Financials!B12</f>
        <v>Income Power</v>
      </c>
      <c r="B5" s="132">
        <f>SUM(Financials!C12:E12)</f>
        <v>0</v>
      </c>
      <c r="C5" s="132">
        <f>SUM(Financials!F12:H12)</f>
        <v>0</v>
      </c>
      <c r="D5" s="132">
        <f>SUM(Financials!I12:K12)</f>
        <v>0</v>
      </c>
      <c r="E5" s="132">
        <f>SUM(Financials!L12:N12)</f>
        <v>0</v>
      </c>
      <c r="F5" s="132">
        <f>SUM(Financials!O12:Q12)</f>
        <v>0</v>
      </c>
      <c r="G5" s="132">
        <f>SUM(Financials!R12:T12)</f>
        <v>0</v>
      </c>
      <c r="H5" s="132">
        <f>SUM(Financials!U12:W12)</f>
        <v>0</v>
      </c>
      <c r="I5" s="132">
        <f>SUM(Financials!X12:Z12)</f>
        <v>0</v>
      </c>
      <c r="J5" s="132">
        <f>SUM(Financials!AA12:AC12)</f>
        <v>0</v>
      </c>
      <c r="K5" s="132">
        <f>SUM(Financials!AD12:AF12)</f>
        <v>5426570.2777562886</v>
      </c>
      <c r="L5" s="132">
        <f>SUM(Financials!AG12:AI12)</f>
        <v>5486202.9181711925</v>
      </c>
      <c r="M5" s="132">
        <f>SUM(Financials!AJ12:AL12)</f>
        <v>5486202.9181711925</v>
      </c>
      <c r="N5" s="132">
        <f>SUM(Financials!AM12:AO12)</f>
        <v>5366937.6373413838</v>
      </c>
      <c r="O5" s="132">
        <f>SUM(Financials!AP12:AR12)</f>
        <v>5426570.2777562886</v>
      </c>
      <c r="P5" s="132">
        <f>SUM(Financials!AS12:AU12)</f>
        <v>5486202.9181711925</v>
      </c>
      <c r="Q5" s="132">
        <f>SUM(Financials!AV12:AX12)</f>
        <v>5486202.9181711925</v>
      </c>
      <c r="R5" s="132">
        <f>SUM(Financials!AY12:BA12)</f>
        <v>5426570.2777562886</v>
      </c>
      <c r="S5" s="132">
        <f>SUM(Financials!BB12:BD12)</f>
        <v>5426570.2777562886</v>
      </c>
      <c r="T5" s="132">
        <f>SUM(Financials!BE12:BG12)</f>
        <v>5486202.9181711925</v>
      </c>
      <c r="U5" s="132">
        <f>SUM(Financials!BH12:BJ12)</f>
        <v>5486202.9181711925</v>
      </c>
      <c r="V5" s="132">
        <f>SUM(Financials!BK12:BM12)</f>
        <v>5366937.6373413838</v>
      </c>
      <c r="W5" s="132">
        <f>SUM(Financials!BN12:BP12)</f>
        <v>5426570.2777562886</v>
      </c>
      <c r="X5" s="132">
        <f>SUM(Financials!BQ12:BS12)</f>
        <v>5486202.9181711925</v>
      </c>
      <c r="Y5" s="132">
        <f>SUM(Financials!BT12:BV12)</f>
        <v>5486202.9181711925</v>
      </c>
      <c r="Z5" s="132">
        <f>SUM(Financials!BW12:BY12)</f>
        <v>5366937.6373413838</v>
      </c>
      <c r="AA5" s="132">
        <f>SUM(Financials!BZ12:CB12)</f>
        <v>5426570.2777562886</v>
      </c>
      <c r="AB5" s="132">
        <f>SUM(Financials!CC12:CE12)</f>
        <v>5486202.9181711925</v>
      </c>
      <c r="AC5" s="132">
        <f>SUM(Financials!CF12:CH12)</f>
        <v>5486202.9181711925</v>
      </c>
      <c r="AD5" s="132">
        <f>SUM(Financials!CI12:CK12)</f>
        <v>5366937.6373413838</v>
      </c>
      <c r="AE5" s="132">
        <f>SUM(Financials!CL12:CN12)</f>
        <v>5426570.2777562886</v>
      </c>
      <c r="AF5" s="132">
        <f>SUM(Financials!CO12:CQ12)</f>
        <v>5486202.9181711925</v>
      </c>
      <c r="AG5" s="132">
        <f>SUM(Financials!CR12:CT12)</f>
        <v>5486202.9181711925</v>
      </c>
      <c r="AH5" s="132">
        <f>SUM(Financials!CU12:CW12)</f>
        <v>5366937.6373413838</v>
      </c>
      <c r="AI5" s="132">
        <f>SUM(Financials!CX12:CZ12)</f>
        <v>5426570.2777562886</v>
      </c>
      <c r="AJ5" s="132">
        <f>SUM(Financials!DA12:DC12)</f>
        <v>5486202.9181711925</v>
      </c>
      <c r="AK5" s="132">
        <f>SUM(Financials!DD12:DF12)</f>
        <v>5486202.9181711925</v>
      </c>
      <c r="AL5" s="132">
        <f>SUM(Financials!DG12:DI12)</f>
        <v>5366937.6373413838</v>
      </c>
      <c r="AM5" s="132">
        <f>SUM(Financials!DJ12:DL12)</f>
        <v>5426570.2777562886</v>
      </c>
      <c r="AN5" s="132">
        <f>SUM(Financials!DM12:DO12)</f>
        <v>5486202.9181711925</v>
      </c>
      <c r="AO5" s="132">
        <f>SUM(Financials!DP12:DR12)</f>
        <v>5486202.9181711925</v>
      </c>
      <c r="AP5" s="132">
        <f>SUM(Financials!DS12:DU12)</f>
        <v>5366937.6373413838</v>
      </c>
      <c r="AQ5" s="132">
        <f>SUM(Financials!DV12:DX12)</f>
        <v>5426570.2777562886</v>
      </c>
      <c r="AR5" s="132">
        <f>SUM(Financials!DY12:EA12)</f>
        <v>5486202.9181711925</v>
      </c>
      <c r="AS5" s="132">
        <f>SUM(Financials!EB12:ED12)</f>
        <v>5486202.9181711925</v>
      </c>
      <c r="AT5" s="132">
        <f>SUM(Financials!EE12:EG12)</f>
        <v>5366937.6373413838</v>
      </c>
      <c r="AU5" s="132">
        <f>SUM(Financials!EH12:EJ12)</f>
        <v>5426570.2777562886</v>
      </c>
      <c r="AV5" s="132">
        <f>SUM(Financials!EK12:EM12)</f>
        <v>5486202.9181711925</v>
      </c>
      <c r="AW5" s="132">
        <f>SUM(Financials!EN12:EP12)</f>
        <v>5486202.9181711925</v>
      </c>
      <c r="AX5" s="132">
        <f>SUM(Financials!EQ12:ES12)</f>
        <v>5366937.6373413838</v>
      </c>
      <c r="AY5" s="132">
        <f>SUM(Financials!ET12:EV12)</f>
        <v>5426570.2777562886</v>
      </c>
      <c r="AZ5" s="132">
        <f>SUM(Financials!EW12:EY12)</f>
        <v>5486202.9181711925</v>
      </c>
      <c r="BA5" s="132">
        <f>SUM(Financials!EZ12:FB12)</f>
        <v>5486202.9181711925</v>
      </c>
      <c r="BB5" s="132">
        <f>SUM(Financials!FC12:FE12)</f>
        <v>5366937.6373413838</v>
      </c>
      <c r="BC5" s="132">
        <f>SUM(Financials!FF12:FH12)</f>
        <v>5426570.2777562886</v>
      </c>
      <c r="BD5" s="132">
        <f>SUM(Financials!FI12:FK12)</f>
        <v>5486202.9181711925</v>
      </c>
      <c r="BE5" s="132">
        <f>SUM(Financials!FL12:FN12)</f>
        <v>5486202.9181711925</v>
      </c>
      <c r="BF5" s="132">
        <f>SUM(Financials!FO12:FQ12)</f>
        <v>5366937.6373413838</v>
      </c>
      <c r="BG5" s="132">
        <f>SUM(Financials!FR12:FT12)</f>
        <v>5426570.2777562886</v>
      </c>
      <c r="BH5" s="132">
        <f>SUM(Financials!FU12:FW12)</f>
        <v>5486202.9181711925</v>
      </c>
      <c r="BI5" s="132">
        <f>SUM(Financials!FX12:FZ12)</f>
        <v>5486202.9181711925</v>
      </c>
      <c r="BJ5" s="132">
        <f>SUM(Financials!GA12:GC12)</f>
        <v>5366937.6373413838</v>
      </c>
      <c r="BK5" s="132">
        <f>SUM(Financials!GD12:GF12)</f>
        <v>5426570.2777562886</v>
      </c>
      <c r="BL5" s="132">
        <f>SUM(Financials!GG12:GI12)</f>
        <v>5486202.9181711925</v>
      </c>
      <c r="BM5" s="132">
        <f>SUM(Financials!GJ12:GL12)</f>
        <v>5486202.9181711925</v>
      </c>
      <c r="BN5" s="132">
        <f>SUM(Financials!GM12:GO12)</f>
        <v>5366937.6373413838</v>
      </c>
      <c r="BO5" s="132">
        <f>SUM(Financials!GP12:GR12)</f>
        <v>5426570.2777562886</v>
      </c>
      <c r="BP5" s="132">
        <f>SUM(Financials!GS12:GU12)</f>
        <v>5486202.9181711925</v>
      </c>
      <c r="BQ5" s="132">
        <f>SUM(Financials!GV12:GX12)</f>
        <v>5486202.9181711925</v>
      </c>
      <c r="BR5" s="132">
        <f>SUM(Financials!GY12:HA12)</f>
        <v>5366937.6373413838</v>
      </c>
      <c r="BS5" s="132">
        <f>SUM(Financials!HB12:HD12)</f>
        <v>5426570.2777562886</v>
      </c>
      <c r="BT5" s="132">
        <f>SUM(Financials!HE12:HG12)</f>
        <v>5486202.9181711925</v>
      </c>
      <c r="BU5" s="132">
        <f>SUM(Financials!HH12:HJ12)</f>
        <v>5486202.9181711925</v>
      </c>
      <c r="BV5" s="132">
        <f>SUM(Financials!HK12:HM12)</f>
        <v>5366937.6373413838</v>
      </c>
      <c r="BW5" s="132">
        <f>SUM(Financials!HN12:HP12)</f>
        <v>5426570.2777562886</v>
      </c>
      <c r="BX5" s="132">
        <f>SUM(Financials!HQ12:HS12)</f>
        <v>5486202.9181711925</v>
      </c>
      <c r="BY5" s="132">
        <f>SUM(Financials!HT12:HV12)</f>
        <v>5486202.9181711925</v>
      </c>
      <c r="BZ5" s="132">
        <f>SUM(Financials!HW12:HY12)</f>
        <v>5366937.6373413838</v>
      </c>
      <c r="CA5" s="132">
        <f>SUM(Financials!HZ12:IB12)</f>
        <v>5426570.2777562886</v>
      </c>
      <c r="CB5" s="132">
        <f>SUM(Financials!IC12:IE12)</f>
        <v>5486202.9181711925</v>
      </c>
      <c r="CC5" s="132">
        <f>SUM(Financials!IF12:IH12)</f>
        <v>5486202.9181711925</v>
      </c>
      <c r="CD5" s="132">
        <f>SUM(Financials!II12:IK12)</f>
        <v>5366937.6373413838</v>
      </c>
      <c r="CE5" s="132">
        <f>SUM(Financials!IL12:IN12)</f>
        <v>5426570.2777562886</v>
      </c>
      <c r="CF5" s="132">
        <f>SUM(Financials!IO12:IQ12)</f>
        <v>5486202.9181711925</v>
      </c>
      <c r="CG5" s="132">
        <f>SUM(Financials!IR12:IT12)</f>
        <v>5486202.9181711925</v>
      </c>
      <c r="CH5" s="132">
        <f>SUM(Financials!IU12:IW12)</f>
        <v>5366937.6373413838</v>
      </c>
      <c r="CI5" s="132">
        <f>SUM(Financials!IX12:IZ12)</f>
        <v>5426570.2777562886</v>
      </c>
      <c r="CJ5" s="132">
        <f>SUM(Financials!JA12:JC12)</f>
        <v>5486202.9181711925</v>
      </c>
      <c r="CK5" s="132">
        <f>SUM(Financials!JD12:JF12)</f>
        <v>5486202.9181711925</v>
      </c>
      <c r="CL5" s="132">
        <f>SUM(Financials!JG12:JI12)</f>
        <v>5366937.6373413838</v>
      </c>
      <c r="CM5" s="132">
        <f>SUM(Financials!JJ12:JL12)</f>
        <v>5426570.2777562886</v>
      </c>
      <c r="CN5" s="132">
        <f>SUM(Financials!JM12:JO12)</f>
        <v>5486202.9181711925</v>
      </c>
      <c r="CO5" s="132">
        <f>SUM(Financials!JP12:JR12)</f>
        <v>5486202.9181711925</v>
      </c>
    </row>
    <row r="6" spans="1:93" x14ac:dyDescent="0.25">
      <c r="A6" s="152" t="str">
        <f>Financials!B13</f>
        <v>RNG Sale price</v>
      </c>
      <c r="B6" s="132">
        <f>SUM(Financials!C13:E13)</f>
        <v>0</v>
      </c>
      <c r="C6" s="132">
        <f>SUM(Financials!F13:H13)</f>
        <v>0</v>
      </c>
      <c r="D6" s="132">
        <f>SUM(Financials!I13:K13)</f>
        <v>0</v>
      </c>
      <c r="E6" s="132">
        <f>SUM(Financials!L13:N13)</f>
        <v>0</v>
      </c>
      <c r="F6" s="132">
        <f>SUM(Financials!O13:Q13)</f>
        <v>0</v>
      </c>
      <c r="G6" s="132">
        <f>SUM(Financials!R13:T13)</f>
        <v>0</v>
      </c>
      <c r="H6" s="132">
        <f>SUM(Financials!U13:W13)</f>
        <v>0</v>
      </c>
      <c r="I6" s="132">
        <f>SUM(Financials!X13:Z13)</f>
        <v>0</v>
      </c>
      <c r="J6" s="132">
        <f>SUM(Financials!AA13:AC13)</f>
        <v>0</v>
      </c>
      <c r="K6" s="132">
        <f>SUM(Financials!AD13:AF13)</f>
        <v>0</v>
      </c>
      <c r="L6" s="132">
        <f>SUM(Financials!AG13:AI13)</f>
        <v>0</v>
      </c>
      <c r="M6" s="132">
        <f>SUM(Financials!AJ13:AL13)</f>
        <v>0</v>
      </c>
      <c r="N6" s="132">
        <f>SUM(Financials!AM13:AO13)</f>
        <v>0</v>
      </c>
      <c r="O6" s="132">
        <f>SUM(Financials!AP13:AR13)</f>
        <v>0</v>
      </c>
      <c r="P6" s="132">
        <f>SUM(Financials!AS13:AU13)</f>
        <v>0</v>
      </c>
      <c r="Q6" s="132">
        <f>SUM(Financials!AV13:AX13)</f>
        <v>0</v>
      </c>
      <c r="R6" s="132">
        <f>SUM(Financials!AY13:BA13)</f>
        <v>0</v>
      </c>
      <c r="S6" s="132">
        <f>SUM(Financials!BB13:BD13)</f>
        <v>0</v>
      </c>
      <c r="T6" s="132">
        <f>SUM(Financials!BE13:BG13)</f>
        <v>0</v>
      </c>
      <c r="U6" s="132">
        <f>SUM(Financials!BH13:BJ13)</f>
        <v>0</v>
      </c>
      <c r="V6" s="132">
        <f>SUM(Financials!BK13:BM13)</f>
        <v>0</v>
      </c>
      <c r="W6" s="132">
        <f>SUM(Financials!BN13:BP13)</f>
        <v>0</v>
      </c>
      <c r="X6" s="132">
        <f>SUM(Financials!BQ13:BS13)</f>
        <v>0</v>
      </c>
      <c r="Y6" s="132">
        <f>SUM(Financials!BT13:BV13)</f>
        <v>0</v>
      </c>
      <c r="Z6" s="132">
        <f>SUM(Financials!BW13:BY13)</f>
        <v>0</v>
      </c>
      <c r="AA6" s="132">
        <f>SUM(Financials!BZ13:CB13)</f>
        <v>0</v>
      </c>
      <c r="AB6" s="132">
        <f>SUM(Financials!CC13:CE13)</f>
        <v>0</v>
      </c>
      <c r="AC6" s="132">
        <f>SUM(Financials!CF13:CH13)</f>
        <v>0</v>
      </c>
      <c r="AD6" s="132">
        <f>SUM(Financials!CI13:CK13)</f>
        <v>0</v>
      </c>
      <c r="AE6" s="132">
        <f>SUM(Financials!CL13:CN13)</f>
        <v>0</v>
      </c>
      <c r="AF6" s="132">
        <f>SUM(Financials!CO13:CQ13)</f>
        <v>0</v>
      </c>
      <c r="AG6" s="132">
        <f>SUM(Financials!CR13:CT13)</f>
        <v>0</v>
      </c>
      <c r="AH6" s="132">
        <f>SUM(Financials!CU13:CW13)</f>
        <v>0</v>
      </c>
      <c r="AI6" s="132">
        <f>SUM(Financials!CX13:CZ13)</f>
        <v>0</v>
      </c>
      <c r="AJ6" s="132">
        <f>SUM(Financials!DA13:DC13)</f>
        <v>0</v>
      </c>
      <c r="AK6" s="132">
        <f>SUM(Financials!DD13:DF13)</f>
        <v>0</v>
      </c>
      <c r="AL6" s="132">
        <f>SUM(Financials!DG13:DI13)</f>
        <v>0</v>
      </c>
      <c r="AM6" s="132">
        <f>SUM(Financials!DJ13:DL13)</f>
        <v>0</v>
      </c>
      <c r="AN6" s="132">
        <f>SUM(Financials!DM13:DO13)</f>
        <v>0</v>
      </c>
      <c r="AO6" s="132">
        <f>SUM(Financials!DP13:DR13)</f>
        <v>0</v>
      </c>
      <c r="AP6" s="132">
        <f>SUM(Financials!DS13:DU13)</f>
        <v>0</v>
      </c>
      <c r="AQ6" s="132">
        <f>SUM(Financials!DV13:DX13)</f>
        <v>0</v>
      </c>
      <c r="AR6" s="132">
        <f>SUM(Financials!DY13:EA13)</f>
        <v>0</v>
      </c>
      <c r="AS6" s="132">
        <f>SUM(Financials!EB13:ED13)</f>
        <v>0</v>
      </c>
      <c r="AT6" s="132">
        <f>SUM(Financials!EE13:EG13)</f>
        <v>0</v>
      </c>
      <c r="AU6" s="132">
        <f>SUM(Financials!EH13:EJ13)</f>
        <v>0</v>
      </c>
      <c r="AV6" s="132">
        <f>SUM(Financials!EK13:EM13)</f>
        <v>0</v>
      </c>
      <c r="AW6" s="132">
        <f>SUM(Financials!EN13:EP13)</f>
        <v>0</v>
      </c>
      <c r="AX6" s="132">
        <f>SUM(Financials!EQ13:ES13)</f>
        <v>0</v>
      </c>
      <c r="AY6" s="132">
        <f>SUM(Financials!ET13:EV13)</f>
        <v>0</v>
      </c>
      <c r="AZ6" s="132">
        <f>SUM(Financials!EW13:EY13)</f>
        <v>0</v>
      </c>
      <c r="BA6" s="132">
        <f>SUM(Financials!EZ13:FB13)</f>
        <v>0</v>
      </c>
      <c r="BB6" s="132">
        <f>SUM(Financials!FC13:FE13)</f>
        <v>0</v>
      </c>
      <c r="BC6" s="132">
        <f>SUM(Financials!FF13:FH13)</f>
        <v>0</v>
      </c>
      <c r="BD6" s="132">
        <f>SUM(Financials!FI13:FK13)</f>
        <v>0</v>
      </c>
      <c r="BE6" s="132">
        <f>SUM(Financials!FL13:FN13)</f>
        <v>0</v>
      </c>
      <c r="BF6" s="132">
        <f>SUM(Financials!FO13:FQ13)</f>
        <v>0</v>
      </c>
      <c r="BG6" s="132">
        <f>SUM(Financials!FR13:FT13)</f>
        <v>0</v>
      </c>
      <c r="BH6" s="132">
        <f>SUM(Financials!FU13:FW13)</f>
        <v>0</v>
      </c>
      <c r="BI6" s="132">
        <f>SUM(Financials!FX13:FZ13)</f>
        <v>0</v>
      </c>
      <c r="BJ6" s="132">
        <f>SUM(Financials!GA13:GC13)</f>
        <v>0</v>
      </c>
      <c r="BK6" s="132">
        <f>SUM(Financials!GD13:GF13)</f>
        <v>0</v>
      </c>
      <c r="BL6" s="132">
        <f>SUM(Financials!GG13:GI13)</f>
        <v>0</v>
      </c>
      <c r="BM6" s="132">
        <f>SUM(Financials!GJ13:GL13)</f>
        <v>0</v>
      </c>
      <c r="BN6" s="132">
        <f>SUM(Financials!GM13:GO13)</f>
        <v>0</v>
      </c>
      <c r="BO6" s="132">
        <f>SUM(Financials!GP13:GR13)</f>
        <v>0</v>
      </c>
      <c r="BP6" s="132">
        <f>SUM(Financials!GS13:GU13)</f>
        <v>0</v>
      </c>
      <c r="BQ6" s="132">
        <f>SUM(Financials!GV13:GX13)</f>
        <v>0</v>
      </c>
      <c r="BR6" s="132">
        <f>SUM(Financials!GY13:HA13)</f>
        <v>0</v>
      </c>
      <c r="BS6" s="132">
        <f>SUM(Financials!HB13:HD13)</f>
        <v>0</v>
      </c>
      <c r="BT6" s="132">
        <f>SUM(Financials!HE13:HG13)</f>
        <v>0</v>
      </c>
      <c r="BU6" s="132">
        <f>SUM(Financials!HH13:HJ13)</f>
        <v>0</v>
      </c>
      <c r="BV6" s="132">
        <f>SUM(Financials!HK13:HM13)</f>
        <v>0</v>
      </c>
      <c r="BW6" s="132">
        <f>SUM(Financials!HN13:HP13)</f>
        <v>0</v>
      </c>
      <c r="BX6" s="132">
        <f>SUM(Financials!HQ13:HS13)</f>
        <v>0</v>
      </c>
      <c r="BY6" s="132">
        <f>SUM(Financials!HT13:HV13)</f>
        <v>0</v>
      </c>
      <c r="BZ6" s="132">
        <f>SUM(Financials!HW13:HY13)</f>
        <v>0</v>
      </c>
      <c r="CA6" s="132">
        <f>SUM(Financials!HZ13:IB13)</f>
        <v>0</v>
      </c>
      <c r="CB6" s="132">
        <f>SUM(Financials!IC13:IE13)</f>
        <v>0</v>
      </c>
      <c r="CC6" s="132">
        <f>SUM(Financials!IF13:IH13)</f>
        <v>0</v>
      </c>
      <c r="CD6" s="132">
        <f>SUM(Financials!II13:IK13)</f>
        <v>0</v>
      </c>
      <c r="CE6" s="132">
        <f>SUM(Financials!IL13:IN13)</f>
        <v>0</v>
      </c>
      <c r="CF6" s="132">
        <f>SUM(Financials!IO13:IQ13)</f>
        <v>0</v>
      </c>
      <c r="CG6" s="132">
        <f>SUM(Financials!IR13:IT13)</f>
        <v>0</v>
      </c>
      <c r="CH6" s="132">
        <f>SUM(Financials!IU13:IW13)</f>
        <v>0</v>
      </c>
      <c r="CI6" s="132">
        <f>SUM(Financials!IX13:IZ13)</f>
        <v>0</v>
      </c>
      <c r="CJ6" s="132">
        <f>SUM(Financials!JA13:JC13)</f>
        <v>0</v>
      </c>
      <c r="CK6" s="132">
        <f>SUM(Financials!JD13:JF13)</f>
        <v>0</v>
      </c>
      <c r="CL6" s="132">
        <f>SUM(Financials!JG13:JI13)</f>
        <v>0</v>
      </c>
      <c r="CM6" s="132">
        <f>SUM(Financials!JJ13:JL13)</f>
        <v>0</v>
      </c>
      <c r="CN6" s="132">
        <f>SUM(Financials!JM13:JO13)</f>
        <v>0</v>
      </c>
      <c r="CO6" s="132">
        <f>SUM(Financials!JP13:JR13)</f>
        <v>0</v>
      </c>
    </row>
    <row r="7" spans="1:93" x14ac:dyDescent="0.25">
      <c r="A7" s="152" t="str">
        <f>Financials!B14</f>
        <v xml:space="preserve">Activated Carbon Ash </v>
      </c>
      <c r="B7" s="132">
        <f>SUM(Financials!C14:E14)</f>
        <v>0</v>
      </c>
      <c r="C7" s="132">
        <f>SUM(Financials!F14:H14)</f>
        <v>0</v>
      </c>
      <c r="D7" s="132">
        <f>SUM(Financials!I14:K14)</f>
        <v>0</v>
      </c>
      <c r="E7" s="132">
        <f>SUM(Financials!L14:N14)</f>
        <v>0</v>
      </c>
      <c r="F7" s="132">
        <f>SUM(Financials!O14:Q14)</f>
        <v>0</v>
      </c>
      <c r="G7" s="132">
        <f>SUM(Financials!R14:T14)</f>
        <v>3878791.2785874614</v>
      </c>
      <c r="H7" s="132">
        <f>SUM(Financials!U14:W14)</f>
        <v>3940983.8157516764</v>
      </c>
      <c r="I7" s="132">
        <f>SUM(Financials!X14:Z14)</f>
        <v>3960793.3480431624</v>
      </c>
      <c r="J7" s="132">
        <f>SUM(Financials!AA14:AC14)</f>
        <v>3894094.9784250334</v>
      </c>
      <c r="K7" s="132">
        <f>SUM(Financials!AD14:AF14)</f>
        <v>3957082.1813687785</v>
      </c>
      <c r="L7" s="132">
        <f>SUM(Financials!AG14:AI14)</f>
        <v>4020530.0348238517</v>
      </c>
      <c r="M7" s="132">
        <f>SUM(Financials!AJ14:AL14)</f>
        <v>4040739.409760993</v>
      </c>
      <c r="N7" s="132">
        <f>SUM(Financials!AM14:AO14)</f>
        <v>3972694.7765271151</v>
      </c>
      <c r="O7" s="132">
        <f>SUM(Financials!AP14:AR14)</f>
        <v>4036953.3355784607</v>
      </c>
      <c r="P7" s="132">
        <f>SUM(Financials!AS14:AU14)</f>
        <v>4101681.8430748992</v>
      </c>
      <c r="Q7" s="132">
        <f>SUM(Financials!AV14:AX14)</f>
        <v>4122299.1312238723</v>
      </c>
      <c r="R7" s="132">
        <f>SUM(Financials!AY14:BA14)</f>
        <v>4097913.0296840281</v>
      </c>
      <c r="S7" s="132">
        <f>SUM(Financials!BB14:BD14)</f>
        <v>4118436.6375734033</v>
      </c>
      <c r="T7" s="132">
        <f>SUM(Financials!BE14:BG14)</f>
        <v>4184471.6482878821</v>
      </c>
      <c r="U7" s="132">
        <f>SUM(Financials!BH14:BJ14)</f>
        <v>4205505.083114041</v>
      </c>
      <c r="V7" s="132">
        <f>SUM(Financials!BK14:BM14)</f>
        <v>4134685.8537788275</v>
      </c>
      <c r="W7" s="132">
        <f>SUM(Financials!BN14:BP14)</f>
        <v>4201564.6275179144</v>
      </c>
      <c r="X7" s="132">
        <f>SUM(Financials!BQ14:BS14)</f>
        <v>4268932.5123760859</v>
      </c>
      <c r="Y7" s="132">
        <f>SUM(Financials!BT14:BV14)</f>
        <v>4290390.4935319815</v>
      </c>
      <c r="Z7" s="132">
        <f>SUM(Financials!BW14:BY14)</f>
        <v>4218141.8236827748</v>
      </c>
      <c r="AA7" s="132">
        <f>SUM(Financials!BZ14:CB14)</f>
        <v>4286370.5023785541</v>
      </c>
      <c r="AB7" s="132">
        <f>SUM(Financials!CC14:CE14)</f>
        <v>4355098.1645862134</v>
      </c>
      <c r="AC7" s="132">
        <f>SUM(Financials!CF14:CH14)</f>
        <v>4376989.2612659661</v>
      </c>
      <c r="AD7" s="132">
        <f>SUM(Financials!CI14:CK14)</f>
        <v>4303282.2985670073</v>
      </c>
      <c r="AE7" s="132">
        <f>SUM(Financials!CL14:CN14)</f>
        <v>4372888.1291812621</v>
      </c>
      <c r="AF7" s="132">
        <f>SUM(Financials!CO14:CQ14)</f>
        <v>4443003.0149680786</v>
      </c>
      <c r="AG7" s="132">
        <f>SUM(Financials!CR14:CT14)</f>
        <v>4465335.9693294736</v>
      </c>
      <c r="AH7" s="132">
        <f>SUM(Financials!CU14:CW14)</f>
        <v>4390141.279079196</v>
      </c>
      <c r="AI7" s="132">
        <f>SUM(Financials!CX14:CZ14)</f>
        <v>4461152.0585360751</v>
      </c>
      <c r="AJ7" s="132">
        <f>SUM(Financials!DA14:DC14)</f>
        <v>4532682.1681161802</v>
      </c>
      <c r="AK7" s="132">
        <f>SUM(Financials!DD14:DF14)</f>
        <v>4555465.8987718252</v>
      </c>
      <c r="AL7" s="132">
        <f>SUM(Financials!DG14:DI14)</f>
        <v>4478753.4521481758</v>
      </c>
      <c r="AM7" s="132">
        <f>SUM(Financials!DJ14:DL14)</f>
        <v>4551197.5384348333</v>
      </c>
      <c r="AN7" s="132">
        <f>SUM(Financials!DM14:DO14)</f>
        <v>4624171.4371886412</v>
      </c>
      <c r="AO7" s="132">
        <f>SUM(Financials!DP14:DR14)</f>
        <v>4647415.0427675899</v>
      </c>
      <c r="AP7" s="132">
        <f>SUM(Financials!DS14:DU14)</f>
        <v>4569154.2048360892</v>
      </c>
      <c r="AQ7" s="132">
        <f>SUM(Financials!DV14:DX14)</f>
        <v>4643060.5283273784</v>
      </c>
      <c r="AR7" s="132">
        <f>SUM(Financials!DY14:EA14)</f>
        <v>4717507.3582090987</v>
      </c>
      <c r="AS7" s="132">
        <f>SUM(Financials!EB14:ED14)</f>
        <v>4741220.1209903741</v>
      </c>
      <c r="AT7" s="132">
        <f>SUM(Financials!EE14:EG14)</f>
        <v>4661379.6384701328</v>
      </c>
      <c r="AU7" s="132">
        <f>SUM(Financials!EH14:EJ14)</f>
        <v>4736777.7134818826</v>
      </c>
      <c r="AV7" s="132">
        <f>SUM(Financials!EK14:EM14)</f>
        <v>4812727.2046572948</v>
      </c>
      <c r="AW7" s="132">
        <f>SUM(Financials!EN14:EP14)</f>
        <v>4836918.5942767393</v>
      </c>
      <c r="AX7" s="132">
        <f>SUM(Financials!EQ14:ES14)</f>
        <v>4755466.583059526</v>
      </c>
      <c r="AY7" s="132">
        <f>SUM(Financials!ET14:EV14)</f>
        <v>4832386.5196350133</v>
      </c>
      <c r="AZ7" s="132">
        <f>SUM(Financials!EW14:EY14)</f>
        <v>4909869.0023541395</v>
      </c>
      <c r="BA7" s="132">
        <f>SUM(Financials!EZ14:FB14)</f>
        <v>4934548.679586092</v>
      </c>
      <c r="BB7" s="132">
        <f>SUM(Financials!FC14:FE14)</f>
        <v>4851452.6120034978</v>
      </c>
      <c r="BC7" s="132">
        <f>SUM(Financials!FF14:FH14)</f>
        <v>4929925.1279378226</v>
      </c>
      <c r="BD7" s="132">
        <f>SUM(Financials!FI14:FK14)</f>
        <v>5008971.5446472382</v>
      </c>
      <c r="BE7" s="132">
        <f>SUM(Financials!FL14:FN14)</f>
        <v>5034149.3652625447</v>
      </c>
      <c r="BF7" s="132">
        <f>SUM(Financials!FO14:FQ14)</f>
        <v>4949376.0570961284</v>
      </c>
      <c r="BG7" s="132">
        <f>SUM(Financials!FR14:FT14)</f>
        <v>5029432.490203294</v>
      </c>
      <c r="BH7" s="132">
        <f>SUM(Financials!FU14:FW14)</f>
        <v>5110074.4079029215</v>
      </c>
      <c r="BI7" s="132">
        <f>SUM(Financials!FX14:FZ14)</f>
        <v>5135760.426604812</v>
      </c>
      <c r="BJ7" s="132">
        <f>SUM(Financials!GA14:GC14)</f>
        <v>5049276.0238340683</v>
      </c>
      <c r="BK7" s="132">
        <f>SUM(Financials!GD14:GF14)</f>
        <v>5130948.3444616608</v>
      </c>
      <c r="BL7" s="132">
        <f>SUM(Financials!GG14:GI14)</f>
        <v>5213217.9673109753</v>
      </c>
      <c r="BM7" s="132">
        <f>SUM(Financials!GJ14:GL14)</f>
        <v>5239422.4417503867</v>
      </c>
      <c r="BN7" s="132">
        <f>SUM(Financials!GM14:GO14)</f>
        <v>5151192.4070332162</v>
      </c>
      <c r="BO7" s="132">
        <f>SUM(Financials!GP14:GR14)</f>
        <v>5234513.2308296897</v>
      </c>
      <c r="BP7" s="132">
        <f>SUM(Financials!GS14:GU14)</f>
        <v>5318443.4130083779</v>
      </c>
      <c r="BQ7" s="132">
        <f>SUM(Financials!GV14:GX14)</f>
        <v>5345176.8078803206</v>
      </c>
      <c r="BR7" s="132">
        <f>SUM(Financials!GY14:HA14)</f>
        <v>5255165.9067606274</v>
      </c>
      <c r="BS7" s="132">
        <f>SUM(Financials!HB14:HD14)</f>
        <v>5340168.5077002859</v>
      </c>
      <c r="BT7" s="132">
        <f>SUM(Financials!HE14:HG14)</f>
        <v>5425792.7665284798</v>
      </c>
      <c r="BU7" s="132">
        <f>SUM(Financials!HH14:HJ14)</f>
        <v>5453065.7577510932</v>
      </c>
      <c r="BV7" s="132">
        <f>SUM(Financials!HK14:HM14)</f>
        <v>5361238.0445879884</v>
      </c>
      <c r="BW7" s="132">
        <f>SUM(Financials!HN14:HP14)</f>
        <v>5447956.3682588637</v>
      </c>
      <c r="BX7" s="132">
        <f>SUM(Financials!HQ14:HS14)</f>
        <v>5535308.8975822125</v>
      </c>
      <c r="BY7" s="132">
        <f>SUM(Financials!HT14:HV14)</f>
        <v>5563132.3765601618</v>
      </c>
      <c r="BZ7" s="132">
        <f>SUM(Financials!HW14:HY14)</f>
        <v>5469451.1801731531</v>
      </c>
      <c r="CA7" s="132">
        <f>SUM(Financials!HZ14:IB14)</f>
        <v>5557919.857333106</v>
      </c>
      <c r="CB7" s="132">
        <f>SUM(Financials!IC14:IE14)</f>
        <v>5647035.5411779964</v>
      </c>
      <c r="CC7" s="132">
        <f>SUM(Financials!IF14:IH14)</f>
        <v>5675420.6191519322</v>
      </c>
      <c r="CD7" s="132">
        <f>SUM(Financials!II14:IK14)</f>
        <v>5579848.5281763803</v>
      </c>
      <c r="CE7" s="132">
        <f>SUM(Financials!IL14:IN14)</f>
        <v>5670102.8885828005</v>
      </c>
      <c r="CF7" s="132">
        <f>SUM(Financials!IO14:IQ14)</f>
        <v>5761017.3150872169</v>
      </c>
      <c r="CG7" s="132">
        <f>SUM(Financials!IR14:IT14)</f>
        <v>5789975.3275710251</v>
      </c>
      <c r="CH7" s="132">
        <f>SUM(Financials!IU14:IW14)</f>
        <v>5692474.1755179986</v>
      </c>
      <c r="CI7" s="132">
        <f>SUM(Financials!IX14:IZ14)</f>
        <v>5784550.2620366691</v>
      </c>
      <c r="CJ7" s="132">
        <f>SUM(Financials!JA14:JC14)</f>
        <v>5877299.7376622306</v>
      </c>
      <c r="CK7" s="132">
        <f>SUM(Financials!JD14:JF14)</f>
        <v>5906842.2489698417</v>
      </c>
      <c r="CL7" s="132">
        <f>SUM(Financials!JG14:JI14)</f>
        <v>5807373.0989844194</v>
      </c>
      <c r="CM7" s="132">
        <f>SUM(Financials!JJ14:JL14)</f>
        <v>5901307.6819831431</v>
      </c>
      <c r="CN7" s="132">
        <f>SUM(Financials!JM14:JO14)</f>
        <v>5995929.2460140046</v>
      </c>
      <c r="CO7" s="132">
        <f>SUM(Financials!JP14:JR14)</f>
        <v>6026068.0538775735</v>
      </c>
    </row>
    <row r="8" spans="1:93" x14ac:dyDescent="0.25">
      <c r="A8" s="152" t="str">
        <f>Financials!B15</f>
        <v>Aluminum</v>
      </c>
      <c r="B8" s="132">
        <f>SUM(Financials!C15:E15)</f>
        <v>0</v>
      </c>
      <c r="C8" s="132">
        <f>SUM(Financials!F15:H15)</f>
        <v>0</v>
      </c>
      <c r="D8" s="132">
        <f>SUM(Financials!I15:K15)</f>
        <v>0</v>
      </c>
      <c r="E8" s="132">
        <f>SUM(Financials!L15:N15)</f>
        <v>0</v>
      </c>
      <c r="F8" s="132">
        <f>SUM(Financials!O15:Q15)</f>
        <v>0</v>
      </c>
      <c r="G8" s="132">
        <f>SUM(Financials!R15:T15)</f>
        <v>864952.62851250009</v>
      </c>
      <c r="H8" s="132">
        <f>SUM(Financials!U15:W15)</f>
        <v>878821.27846822515</v>
      </c>
      <c r="I8" s="132">
        <f>SUM(Financials!X15:Z15)</f>
        <v>883238.71312621061</v>
      </c>
      <c r="J8" s="132">
        <f>SUM(Financials!AA15:AC15)</f>
        <v>868365.28324170585</v>
      </c>
      <c r="K8" s="132">
        <f>SUM(Financials!AD15:AF15)</f>
        <v>882411.14001404634</v>
      </c>
      <c r="L8" s="132">
        <f>SUM(Financials!AG15:AI15)</f>
        <v>896559.71973330027</v>
      </c>
      <c r="M8" s="132">
        <f>SUM(Financials!AJ15:AL15)</f>
        <v>901066.3174636222</v>
      </c>
      <c r="N8" s="132">
        <f>SUM(Financials!AM15:AO15)</f>
        <v>885892.67698012502</v>
      </c>
      <c r="O8" s="132">
        <f>SUM(Financials!AP15:AR15)</f>
        <v>900222.0403214097</v>
      </c>
      <c r="P8" s="132">
        <f>SUM(Financials!AS15:AU15)</f>
        <v>914656.20000610512</v>
      </c>
      <c r="Q8" s="132">
        <f>SUM(Financials!AV15:AX15)</f>
        <v>919253.76050792937</v>
      </c>
      <c r="R8" s="132">
        <f>SUM(Financials!AY15:BA15)</f>
        <v>913815.77194110397</v>
      </c>
      <c r="S8" s="132">
        <f>SUM(Financials!BB15:BD15)</f>
        <v>918392.44217558461</v>
      </c>
      <c r="T8" s="132">
        <f>SUM(Financials!BE15:BG15)</f>
        <v>933117.94607331953</v>
      </c>
      <c r="U8" s="132">
        <f>SUM(Financials!BH15:BJ15)</f>
        <v>937808.30537157983</v>
      </c>
      <c r="V8" s="132">
        <f>SUM(Financials!BK15:BM15)</f>
        <v>922015.94270930463</v>
      </c>
      <c r="W8" s="132">
        <f>SUM(Financials!BN15:BP15)</f>
        <v>936929.60188366019</v>
      </c>
      <c r="X8" s="132">
        <f>SUM(Financials!BQ15:BS15)</f>
        <v>951952.33058965614</v>
      </c>
      <c r="Y8" s="132">
        <f>SUM(Financials!BT15:BV15)</f>
        <v>956737.36176826654</v>
      </c>
      <c r="Z8" s="132">
        <f>SUM(Financials!BW15:BY15)</f>
        <v>940626.2404409647</v>
      </c>
      <c r="AA8" s="132">
        <f>SUM(Financials!BZ15:CB15)</f>
        <v>955840.92221660807</v>
      </c>
      <c r="AB8" s="132">
        <f>SUM(Financials!CC15:CE15)</f>
        <v>971166.87502211286</v>
      </c>
      <c r="AC8" s="132">
        <f>SUM(Financials!CF15:CH15)</f>
        <v>976048.48897197912</v>
      </c>
      <c r="AD8" s="132">
        <f>SUM(Financials!CI15:CK15)</f>
        <v>959612.17504137917</v>
      </c>
      <c r="AE8" s="132">
        <f>SUM(Financials!CL15:CN15)</f>
        <v>975133.95536556304</v>
      </c>
      <c r="AF8" s="132">
        <f>SUM(Financials!CO15:CQ15)</f>
        <v>990769.25265365187</v>
      </c>
      <c r="AG8" s="132">
        <f>SUM(Financials!CR15:CT15)</f>
        <v>995749.39883578243</v>
      </c>
      <c r="AH8" s="132">
        <f>SUM(Financials!CU15:CW15)</f>
        <v>978981.32849871437</v>
      </c>
      <c r="AI8" s="132">
        <f>SUM(Financials!CX15:CZ15)</f>
        <v>994816.4059577717</v>
      </c>
      <c r="AJ8" s="132">
        <f>SUM(Financials!DA15:DC15)</f>
        <v>1010767.2916475094</v>
      </c>
      <c r="AK8" s="132">
        <f>SUM(Financials!DD15:DF15)</f>
        <v>1015847.9588715257</v>
      </c>
      <c r="AL8" s="132">
        <f>SUM(Financials!DG15:DI15)</f>
        <v>998741.43583868188</v>
      </c>
      <c r="AM8" s="132">
        <f>SUM(Financials!DJ15:DL15)</f>
        <v>1014896.1341334172</v>
      </c>
      <c r="AN8" s="132">
        <f>SUM(Financials!DM15:DO15)</f>
        <v>1031168.9781733515</v>
      </c>
      <c r="AO8" s="132">
        <f>SUM(Financials!DP15:DR15)</f>
        <v>1036352.1953917167</v>
      </c>
      <c r="AP8" s="132">
        <f>SUM(Financials!DS15:DU15)</f>
        <v>1018900.3882135041</v>
      </c>
      <c r="AQ8" s="132">
        <f>SUM(Financials!DV15:DX15)</f>
        <v>1035381.1586845475</v>
      </c>
      <c r="AR8" s="132">
        <f>SUM(Financials!DY15:EA15)</f>
        <v>1051982.4595965333</v>
      </c>
      <c r="AS8" s="132">
        <f>SUM(Financials!EB15:ED15)</f>
        <v>1057270.2967148088</v>
      </c>
      <c r="AT8" s="132">
        <f>SUM(Financials!EE15:EG15)</f>
        <v>1039466.236053226</v>
      </c>
      <c r="AU8" s="132">
        <f>SUM(Financials!EH15:EJ15)</f>
        <v>1056279.6602573623</v>
      </c>
      <c r="AV8" s="132">
        <f>SUM(Financials!EK15:EM15)</f>
        <v>1073216.0477317313</v>
      </c>
      <c r="AW8" s="132">
        <f>SUM(Financials!EN15:EP15)</f>
        <v>1078610.6164351879</v>
      </c>
      <c r="AX8" s="132">
        <f>SUM(Financials!EQ15:ES15)</f>
        <v>1060447.1922806366</v>
      </c>
      <c r="AY8" s="132">
        <f>SUM(Financials!ET15:EV15)</f>
        <v>1077599.9846191332</v>
      </c>
      <c r="AZ8" s="132">
        <f>SUM(Financials!EW15:EY15)</f>
        <v>1094878.2221622444</v>
      </c>
      <c r="BA8" s="132">
        <f>SUM(Financials!EZ15:FB15)</f>
        <v>1100381.6767591599</v>
      </c>
      <c r="BB8" s="132">
        <f>SUM(Financials!FC15:FE15)</f>
        <v>1081851.6355910792</v>
      </c>
      <c r="BC8" s="132">
        <f>SUM(Financials!FF15:FH15)</f>
        <v>1099350.6459910669</v>
      </c>
      <c r="BD8" s="132">
        <f>SUM(Financials!FI15:FK15)</f>
        <v>1116977.633626298</v>
      </c>
      <c r="BE8" s="132">
        <f>SUM(Financials!FL15:FN15)</f>
        <v>1122592.1719082745</v>
      </c>
      <c r="BF8" s="132">
        <f>SUM(Financials!FO15:FQ15)</f>
        <v>1103688.1137984646</v>
      </c>
      <c r="BG8" s="132">
        <f>SUM(Financials!FR15:FT15)</f>
        <v>1121540.3304484398</v>
      </c>
      <c r="BH8" s="132">
        <f>SUM(Financials!FU15:FW15)</f>
        <v>1139523.1074716938</v>
      </c>
      <c r="BI8" s="132">
        <f>SUM(Financials!FX15:FZ15)</f>
        <v>1145250.9715913413</v>
      </c>
      <c r="BJ8" s="132">
        <f>SUM(Financials!GA15:GC15)</f>
        <v>1125965.3472488192</v>
      </c>
      <c r="BK8" s="132">
        <f>SUM(Financials!GD15:GF15)</f>
        <v>1144177.8993893606</v>
      </c>
      <c r="BL8" s="132">
        <f>SUM(Financials!GG15:GI15)</f>
        <v>1162523.6471801931</v>
      </c>
      <c r="BM8" s="132">
        <f>SUM(Financials!GJ15:GL15)</f>
        <v>1168367.1245465267</v>
      </c>
      <c r="BN8" s="132">
        <f>SUM(Financials!GM15:GO15)</f>
        <v>1148692.2323027353</v>
      </c>
      <c r="BO8" s="132">
        <f>SUM(Financials!GP15:GR15)</f>
        <v>1167272.3930735495</v>
      </c>
      <c r="BP8" s="132">
        <f>SUM(Financials!GS15:GU15)</f>
        <v>1185988.4379630352</v>
      </c>
      <c r="BQ8" s="132">
        <f>SUM(Financials!GV15:GX15)</f>
        <v>1191949.8621549476</v>
      </c>
      <c r="BR8" s="132">
        <f>SUM(Financials!GY15:HA15)</f>
        <v>1171877.8448881123</v>
      </c>
      <c r="BS8" s="132">
        <f>SUM(Financials!HB15:HD15)</f>
        <v>1190833.0342325442</v>
      </c>
      <c r="BT8" s="132">
        <f>SUM(Financials!HE15:HG15)</f>
        <v>1209926.8504290306</v>
      </c>
      <c r="BU8" s="132">
        <f>SUM(Financials!HH15:HJ15)</f>
        <v>1216008.6021272007</v>
      </c>
      <c r="BV8" s="132">
        <f>SUM(Financials!HK15:HM15)</f>
        <v>1195531.4441246062</v>
      </c>
      <c r="BW8" s="132">
        <f>SUM(Financials!HN15:HP15)</f>
        <v>1214869.2317527761</v>
      </c>
      <c r="BX8" s="132">
        <f>SUM(Financials!HQ15:HS15)</f>
        <v>1234348.4443266895</v>
      </c>
      <c r="BY8" s="132">
        <f>SUM(Financials!HT15:HV15)</f>
        <v>1240552.9522643024</v>
      </c>
      <c r="BZ8" s="132">
        <f>SUM(Financials!HW15:HY15)</f>
        <v>1219662.4760212374</v>
      </c>
      <c r="CA8" s="132">
        <f>SUM(Financials!HZ15:IB15)</f>
        <v>1239390.5844329875</v>
      </c>
      <c r="CB8" s="132">
        <f>SUM(Financials!IC15:IE15)</f>
        <v>1259262.9723618885</v>
      </c>
      <c r="CC8" s="132">
        <f>SUM(Financials!IF15:IH15)</f>
        <v>1265592.7142945428</v>
      </c>
      <c r="CD8" s="132">
        <f>SUM(Financials!II15:IK15)</f>
        <v>1244280.5772486317</v>
      </c>
      <c r="CE8" s="132">
        <f>SUM(Financials!IL15:IN15)</f>
        <v>1264406.8848174878</v>
      </c>
      <c r="CF8" s="132">
        <f>SUM(Financials!IO15:IQ15)</f>
        <v>1284680.3840925863</v>
      </c>
      <c r="CG8" s="132">
        <f>SUM(Financials!IR15:IT15)</f>
        <v>1291137.8877877812</v>
      </c>
      <c r="CH8" s="132">
        <f>SUM(Financials!IU15:IW15)</f>
        <v>1269395.5789874026</v>
      </c>
      <c r="CI8" s="132">
        <f>SUM(Financials!IX15:IZ15)</f>
        <v>1289928.1231067842</v>
      </c>
      <c r="CJ8" s="132">
        <f>SUM(Financials!JA15:JC15)</f>
        <v>1310610.82990216</v>
      </c>
      <c r="CK8" s="132">
        <f>SUM(Financials!JD15:JF15)</f>
        <v>1317198.6741487533</v>
      </c>
      <c r="CL8" s="132">
        <f>SUM(Financials!JG15:JI15)</f>
        <v>1295017.5108542109</v>
      </c>
      <c r="CM8" s="132">
        <f>SUM(Financials!JJ15:JL15)</f>
        <v>1315964.4911471438</v>
      </c>
      <c r="CN8" s="132">
        <f>SUM(Financials!JM15:JO15)</f>
        <v>1337064.6650529341</v>
      </c>
      <c r="CO8" s="132">
        <f>SUM(Financials!JP15:JR15)</f>
        <v>1343785.480690975</v>
      </c>
    </row>
    <row r="9" spans="1:93" x14ac:dyDescent="0.25">
      <c r="A9" s="152" t="str">
        <f>Financials!B16</f>
        <v>Ferrous Metals</v>
      </c>
      <c r="B9" s="132">
        <f>SUM(Financials!C16:E16)</f>
        <v>0</v>
      </c>
      <c r="C9" s="132">
        <f>SUM(Financials!F16:H16)</f>
        <v>0</v>
      </c>
      <c r="D9" s="132">
        <f>SUM(Financials!I16:K16)</f>
        <v>0</v>
      </c>
      <c r="E9" s="132">
        <f>SUM(Financials!L16:N16)</f>
        <v>0</v>
      </c>
      <c r="F9" s="132">
        <f>SUM(Financials!O16:Q16)</f>
        <v>0</v>
      </c>
      <c r="G9" s="132">
        <f>SUM(Financials!R16:T16)</f>
        <v>111897.8883000002</v>
      </c>
      <c r="H9" s="132">
        <f>SUM(Financials!U16:W16)</f>
        <v>113692.05897763181</v>
      </c>
      <c r="I9" s="132">
        <f>SUM(Financials!X16:Z16)</f>
        <v>114263.53722237902</v>
      </c>
      <c r="J9" s="132">
        <f>SUM(Financials!AA16:AC16)</f>
        <v>112339.379365646</v>
      </c>
      <c r="K9" s="132">
        <f>SUM(Financials!AD16:AF16)</f>
        <v>114156.47507745637</v>
      </c>
      <c r="L9" s="132">
        <f>SUM(Financials!AG16:AI16)</f>
        <v>115986.85993419867</v>
      </c>
      <c r="M9" s="132">
        <f>SUM(Financials!AJ16:AL16)</f>
        <v>116569.87309910207</v>
      </c>
      <c r="N9" s="132">
        <f>SUM(Financials!AM16:AO16)</f>
        <v>114606.87735580141</v>
      </c>
      <c r="O9" s="132">
        <f>SUM(Financials!AP16:AR16)</f>
        <v>116460.6499737663</v>
      </c>
      <c r="P9" s="132">
        <f>SUM(Financials!AS16:AU16)</f>
        <v>118327.97996949109</v>
      </c>
      <c r="Q9" s="132">
        <f>SUM(Financials!AV16:AX16)</f>
        <v>118922.76087948194</v>
      </c>
      <c r="R9" s="132">
        <f>SUM(Financials!AY16:BA16)</f>
        <v>118219.25479467612</v>
      </c>
      <c r="S9" s="132">
        <f>SUM(Financials!BB16:BD16)</f>
        <v>118811.33315573572</v>
      </c>
      <c r="T9" s="132">
        <f>SUM(Financials!BE16:BG16)</f>
        <v>120716.35400426897</v>
      </c>
      <c r="U9" s="132">
        <f>SUM(Financials!BH16:BJ16)</f>
        <v>121323.14018369961</v>
      </c>
      <c r="V9" s="132">
        <f>SUM(Financials!BK16:BM16)</f>
        <v>119280.10109124042</v>
      </c>
      <c r="W9" s="132">
        <f>SUM(Financials!BN16:BP16)</f>
        <v>121209.46336314453</v>
      </c>
      <c r="X9" s="132">
        <f>SUM(Financials!BQ16:BS16)</f>
        <v>123152.93583006525</v>
      </c>
      <c r="Y9" s="132">
        <f>SUM(Financials!BT16:BV16)</f>
        <v>123771.96959756417</v>
      </c>
      <c r="Z9" s="132">
        <f>SUM(Financials!BW16:BY16)</f>
        <v>121687.69307739155</v>
      </c>
      <c r="AA9" s="132">
        <f>SUM(Financials!BZ16:CB16)</f>
        <v>123655.99828363024</v>
      </c>
      <c r="AB9" s="132">
        <f>SUM(Financials!CC16:CE16)</f>
        <v>125638.69849008051</v>
      </c>
      <c r="AC9" s="132">
        <f>SUM(Financials!CF16:CH16)</f>
        <v>126270.22705532146</v>
      </c>
      <c r="AD9" s="132">
        <f>SUM(Financials!CI16:CK16)</f>
        <v>124143.88075652707</v>
      </c>
      <c r="AE9" s="132">
        <f>SUM(Financials!CL16:CN16)</f>
        <v>126151.91493513825</v>
      </c>
      <c r="AF9" s="132">
        <f>SUM(Financials!CO16:CQ16)</f>
        <v>128174.63466776529</v>
      </c>
      <c r="AG9" s="132">
        <f>SUM(Financials!CR16:CT16)</f>
        <v>128818.91023019009</v>
      </c>
      <c r="AH9" s="132">
        <f>SUM(Financials!CU16:CW16)</f>
        <v>126649.64500139881</v>
      </c>
      <c r="AI9" s="132">
        <f>SUM(Financials!CX16:CZ16)</f>
        <v>128698.21005609172</v>
      </c>
      <c r="AJ9" s="132">
        <f>SUM(Financials!DA16:DC16)</f>
        <v>130761.75708324608</v>
      </c>
      <c r="AK9" s="132">
        <f>SUM(Financials!DD16:DF16)</f>
        <v>131419.03693277977</v>
      </c>
      <c r="AL9" s="132">
        <f>SUM(Financials!DG16:DI16)</f>
        <v>129205.98648304305</v>
      </c>
      <c r="AM9" s="132">
        <f>SUM(Financials!DJ16:DL16)</f>
        <v>131295.90050343654</v>
      </c>
      <c r="AN9" s="132">
        <f>SUM(Financials!DM16:DO16)</f>
        <v>133401.0988977525</v>
      </c>
      <c r="AO9" s="132">
        <f>SUM(Financials!DP16:DR16)</f>
        <v>134071.64551755146</v>
      </c>
      <c r="AP9" s="132">
        <f>SUM(Financials!DS16:DU16)</f>
        <v>131813.92607039612</v>
      </c>
      <c r="AQ9" s="132">
        <f>SUM(Financials!DV16:DX16)</f>
        <v>133946.02365872101</v>
      </c>
      <c r="AR9" s="132">
        <f>SUM(Financials!DY16:EA16)</f>
        <v>136093.71412620798</v>
      </c>
      <c r="AS9" s="132">
        <f>SUM(Financials!EB16:ED16)</f>
        <v>136777.79529748199</v>
      </c>
      <c r="AT9" s="132">
        <f>SUM(Financials!EE16:EG16)</f>
        <v>134474.50523797626</v>
      </c>
      <c r="AU9" s="132">
        <f>SUM(Financials!EH16:EJ16)</f>
        <v>136649.63784237154</v>
      </c>
      <c r="AV9" s="132">
        <f>SUM(Financials!EK16:EM16)</f>
        <v>138840.67805814801</v>
      </c>
      <c r="AW9" s="132">
        <f>SUM(Financials!EN16:EP16)</f>
        <v>139538.56696709807</v>
      </c>
      <c r="AX9" s="132">
        <f>SUM(Financials!EQ16:ES16)</f>
        <v>137188.78648179359</v>
      </c>
      <c r="AY9" s="132">
        <f>SUM(Financials!ET16:EV16)</f>
        <v>139407.82273633045</v>
      </c>
      <c r="AZ9" s="132">
        <f>SUM(Financials!EW16:EY16)</f>
        <v>141643.08768713463</v>
      </c>
      <c r="BA9" s="132">
        <f>SUM(Financials!EZ16:FB16)</f>
        <v>142355.06303404906</v>
      </c>
      <c r="BB9" s="132">
        <f>SUM(Financials!FC16:FE16)</f>
        <v>139957.85374365578</v>
      </c>
      <c r="BC9" s="132">
        <f>SUM(Financials!FF16:FH16)</f>
        <v>142221.67981522434</v>
      </c>
      <c r="BD9" s="132">
        <f>SUM(Financials!FI16:FK16)</f>
        <v>144502.06214883795</v>
      </c>
      <c r="BE9" s="132">
        <f>SUM(Financials!FL16:FN16)</f>
        <v>145228.40825939097</v>
      </c>
      <c r="BF9" s="132">
        <f>SUM(Financials!FO16:FQ16)</f>
        <v>142782.81284403737</v>
      </c>
      <c r="BG9" s="132">
        <f>SUM(Financials!FR16:FT16)</f>
        <v>145092.33278623552</v>
      </c>
      <c r="BH9" s="132">
        <f>SUM(Financials!FU16:FW16)</f>
        <v>147418.74316796064</v>
      </c>
      <c r="BI9" s="132">
        <f>SUM(Financials!FX16:FZ16)</f>
        <v>148159.75010675695</v>
      </c>
      <c r="BJ9" s="132">
        <f>SUM(Financials!GA16:GC16)</f>
        <v>145664.7919236868</v>
      </c>
      <c r="BK9" s="132">
        <f>SUM(Financials!GD16:GF16)</f>
        <v>148020.92803785182</v>
      </c>
      <c r="BL9" s="132">
        <f>SUM(Financials!GG16:GI16)</f>
        <v>150394.29551418277</v>
      </c>
      <c r="BM9" s="132">
        <f>SUM(Financials!GJ16:GL16)</f>
        <v>151150.25920059421</v>
      </c>
      <c r="BN9" s="132">
        <f>SUM(Financials!GM16:GO16)</f>
        <v>148604.9418941465</v>
      </c>
      <c r="BO9" s="132">
        <f>SUM(Financials!GP16:GR16)</f>
        <v>151008.6350976738</v>
      </c>
      <c r="BP9" s="132">
        <f>SUM(Financials!GS16:GU16)</f>
        <v>153429.90746730997</v>
      </c>
      <c r="BQ9" s="132">
        <f>SUM(Financials!GV16:GX16)</f>
        <v>154201.12979365024</v>
      </c>
      <c r="BR9" s="132">
        <f>SUM(Financials!GY16:HA16)</f>
        <v>151604.43689736689</v>
      </c>
      <c r="BS9" s="132">
        <f>SUM(Financials!HB16:HD16)</f>
        <v>154056.64709946344</v>
      </c>
      <c r="BT9" s="132">
        <f>SUM(Financials!HE16:HG16)</f>
        <v>156526.79129181011</v>
      </c>
      <c r="BU9" s="132">
        <f>SUM(Financials!HH16:HJ16)</f>
        <v>157313.58024389474</v>
      </c>
      <c r="BV9" s="132">
        <f>SUM(Financials!HK16:HM16)</f>
        <v>154664.47477459718</v>
      </c>
      <c r="BW9" s="132">
        <f>SUM(Financials!HN16:HP16)</f>
        <v>157166.18125961866</v>
      </c>
      <c r="BX9" s="132">
        <f>SUM(Financials!HQ16:HS16)</f>
        <v>159686.18372092827</v>
      </c>
      <c r="BY9" s="132">
        <f>SUM(Financials!HT16:HV16)</f>
        <v>160488.85350106805</v>
      </c>
      <c r="BZ9" s="132">
        <f>SUM(Financials!HW16:HY16)</f>
        <v>157786.27754474038</v>
      </c>
      <c r="CA9" s="132">
        <f>SUM(Financials!HZ16:IB16)</f>
        <v>160338.47936326626</v>
      </c>
      <c r="CB9" s="132">
        <f>SUM(Financials!IC16:IE16)</f>
        <v>162909.34645057318</v>
      </c>
      <c r="CC9" s="132">
        <f>SUM(Financials!IF16:IH16)</f>
        <v>163728.21760305011</v>
      </c>
      <c r="CD9" s="132">
        <f>SUM(Financials!II16:IK16)</f>
        <v>160971.09189236365</v>
      </c>
      <c r="CE9" s="132">
        <f>SUM(Financials!IL16:IN16)</f>
        <v>163574.80826016562</v>
      </c>
      <c r="CF9" s="132">
        <f>SUM(Financials!IO16:IQ16)</f>
        <v>166197.56664317264</v>
      </c>
      <c r="CG9" s="132">
        <f>SUM(Financials!IR16:IT16)</f>
        <v>167032.96618224843</v>
      </c>
      <c r="CH9" s="132">
        <f>SUM(Financials!IU16:IW16)</f>
        <v>164220.18966555886</v>
      </c>
      <c r="CI9" s="132">
        <f>SUM(Financials!IX16:IZ16)</f>
        <v>166876.46037062231</v>
      </c>
      <c r="CJ9" s="132">
        <f>SUM(Financials!JA16:JC16)</f>
        <v>169552.1574416986</v>
      </c>
      <c r="CK9" s="132">
        <f>SUM(Financials!JD16:JF16)</f>
        <v>170404.41898220725</v>
      </c>
      <c r="CL9" s="132">
        <f>SUM(Financials!JG16:JI16)</f>
        <v>167534.86838385224</v>
      </c>
      <c r="CM9" s="132">
        <f>SUM(Financials!JJ16:JL16)</f>
        <v>170244.75420161305</v>
      </c>
      <c r="CN9" s="132">
        <f>SUM(Financials!JM16:JO16)</f>
        <v>172974.45849406789</v>
      </c>
      <c r="CO9" s="132">
        <f>SUM(Financials!JP16:JR16)</f>
        <v>173843.92238464387</v>
      </c>
    </row>
    <row r="10" spans="1:93" x14ac:dyDescent="0.25">
      <c r="A10" s="152" t="str">
        <f>Financials!B17</f>
        <v>Non-Ferrous Metals</v>
      </c>
      <c r="B10" s="132">
        <f>SUM(Financials!C17:E17)</f>
        <v>0</v>
      </c>
      <c r="C10" s="132">
        <f>SUM(Financials!F17:H17)</f>
        <v>0</v>
      </c>
      <c r="D10" s="132">
        <f>SUM(Financials!I17:K17)</f>
        <v>0</v>
      </c>
      <c r="E10" s="132">
        <f>SUM(Financials!L17:N17)</f>
        <v>0</v>
      </c>
      <c r="F10" s="132">
        <f>SUM(Financials!O17:Q17)</f>
        <v>0</v>
      </c>
      <c r="G10" s="132">
        <f>SUM(Financials!R17:T17)</f>
        <v>2314661.9636250003</v>
      </c>
      <c r="H10" s="132">
        <f>SUM(Financials!U17:W17)</f>
        <v>2351775.2522389125</v>
      </c>
      <c r="I10" s="132">
        <f>SUM(Financials!X17:Z17)</f>
        <v>2363596.5562532395</v>
      </c>
      <c r="J10" s="132">
        <f>SUM(Financials!AA17:AC17)</f>
        <v>2323794.4199425932</v>
      </c>
      <c r="K10" s="132">
        <f>SUM(Financials!AD17:AF17)</f>
        <v>2361381.9239812512</v>
      </c>
      <c r="L10" s="132">
        <f>SUM(Financials!AG17:AI17)</f>
        <v>2399244.3204130568</v>
      </c>
      <c r="M10" s="132">
        <f>SUM(Financials!AJ17:AL17)</f>
        <v>2411304.2298322287</v>
      </c>
      <c r="N10" s="132">
        <f>SUM(Financials!AM17:AO17)</f>
        <v>2370698.7130454048</v>
      </c>
      <c r="O10" s="132">
        <f>SUM(Financials!AP17:AR17)</f>
        <v>2409044.8966347585</v>
      </c>
      <c r="P10" s="132">
        <f>SUM(Financials!AS17:AU17)</f>
        <v>2447671.5211430984</v>
      </c>
      <c r="Q10" s="132">
        <f>SUM(Financials!AV17:AX17)</f>
        <v>2459974.8520634733</v>
      </c>
      <c r="R10" s="132">
        <f>SUM(Financials!AY17:BA17)</f>
        <v>2445422.488293095</v>
      </c>
      <c r="S10" s="132">
        <f>SUM(Financials!BB17:BD17)</f>
        <v>2457669.9156811424</v>
      </c>
      <c r="T10" s="132">
        <f>SUM(Financials!BE17:BG17)</f>
        <v>2497076.193717334</v>
      </c>
      <c r="U10" s="132">
        <f>SUM(Financials!BH17:BJ17)</f>
        <v>2509627.8594450727</v>
      </c>
      <c r="V10" s="132">
        <f>SUM(Financials!BK17:BM17)</f>
        <v>2467366.6072502523</v>
      </c>
      <c r="W10" s="132">
        <f>SUM(Financials!BN17:BP17)</f>
        <v>2507276.3994069779</v>
      </c>
      <c r="X10" s="132">
        <f>SUM(Financials!BQ17:BS17)</f>
        <v>2547478.0677751363</v>
      </c>
      <c r="Y10" s="132">
        <f>SUM(Financials!BT17:BV17)</f>
        <v>2560283.080788319</v>
      </c>
      <c r="Z10" s="132">
        <f>SUM(Financials!BW17:BY17)</f>
        <v>2517168.8124476522</v>
      </c>
      <c r="AA10" s="132">
        <f>SUM(Financials!BZ17:CB17)</f>
        <v>2557884.1580444444</v>
      </c>
      <c r="AB10" s="132">
        <f>SUM(Financials!CC17:CE17)</f>
        <v>2598897.2711859359</v>
      </c>
      <c r="AC10" s="132">
        <f>SUM(Financials!CF17:CH17)</f>
        <v>2611960.7451362824</v>
      </c>
      <c r="AD10" s="132">
        <f>SUM(Financials!CI17:CK17)</f>
        <v>2567976.2430684799</v>
      </c>
      <c r="AE10" s="132">
        <f>SUM(Financials!CL17:CN17)</f>
        <v>2609513.4016824933</v>
      </c>
      <c r="AF10" s="132">
        <f>SUM(Financials!CO17:CQ17)</f>
        <v>2651354.3380872374</v>
      </c>
      <c r="AG10" s="132">
        <f>SUM(Financials!CR17:CT17)</f>
        <v>2664681.4898422346</v>
      </c>
      <c r="AH10" s="132">
        <f>SUM(Financials!CU17:CW17)</f>
        <v>2619809.1889402214</v>
      </c>
      <c r="AI10" s="132">
        <f>SUM(Financials!CX17:CZ17)</f>
        <v>2662184.7483376991</v>
      </c>
      <c r="AJ10" s="132">
        <f>SUM(Financials!DA17:DC17)</f>
        <v>2704870.2170848842</v>
      </c>
      <c r="AK10" s="132">
        <f>SUM(Financials!DD17:DF17)</f>
        <v>2718466.3688111254</v>
      </c>
      <c r="AL10" s="132">
        <f>SUM(Financials!DG17:DI17)</f>
        <v>2672688.3494274588</v>
      </c>
      <c r="AM10" s="132">
        <f>SUM(Financials!DJ17:DL17)</f>
        <v>2715919.232188018</v>
      </c>
      <c r="AN10" s="132">
        <f>SUM(Financials!DM17:DO17)</f>
        <v>2759466.2796188276</v>
      </c>
      <c r="AO10" s="132">
        <f>SUM(Financials!DP17:DR17)</f>
        <v>2773336.8609074112</v>
      </c>
      <c r="AP10" s="132">
        <f>SUM(Financials!DS17:DU17)</f>
        <v>2726634.8416981096</v>
      </c>
      <c r="AQ10" s="132">
        <f>SUM(Financials!DV17:DX17)</f>
        <v>2770738.3119727327</v>
      </c>
      <c r="AR10" s="132">
        <f>SUM(Financials!DY17:EA17)</f>
        <v>2815164.3284977656</v>
      </c>
      <c r="AS10" s="132">
        <f>SUM(Financials!EB17:ED17)</f>
        <v>2829314.8785325866</v>
      </c>
      <c r="AT10" s="132">
        <f>SUM(Financials!EE17:EG17)</f>
        <v>2781670.2091565207</v>
      </c>
      <c r="AU10" s="132">
        <f>SUM(Financials!EH17:EJ17)</f>
        <v>2826663.8795619556</v>
      </c>
      <c r="AV10" s="132">
        <f>SUM(Financials!EK17:EM17)</f>
        <v>2871986.6066060415</v>
      </c>
      <c r="AW10" s="132">
        <f>SUM(Financials!EN17:EP17)</f>
        <v>2886422.7763758549</v>
      </c>
      <c r="AX10" s="132">
        <f>SUM(Financials!EQ17:ES17)</f>
        <v>2837816.4300467744</v>
      </c>
      <c r="AY10" s="132">
        <f>SUM(Financials!ET17:EV17)</f>
        <v>2883718.2686990891</v>
      </c>
      <c r="AZ10" s="132">
        <f>SUM(Financials!EW17:EY17)</f>
        <v>2929955.8057862883</v>
      </c>
      <c r="BA10" s="132">
        <f>SUM(Financials!EZ17:FB17)</f>
        <v>2944683.3603414139</v>
      </c>
      <c r="BB10" s="132">
        <f>SUM(Financials!FC17:FE17)</f>
        <v>2895095.9262296492</v>
      </c>
      <c r="BC10" s="132">
        <f>SUM(Financials!FF17:FH17)</f>
        <v>2941924.2639197567</v>
      </c>
      <c r="BD10" s="132">
        <f>SUM(Financials!FI17:FK17)</f>
        <v>2989095.0759013612</v>
      </c>
      <c r="BE10" s="132">
        <f>SUM(Financials!FL17:FN17)</f>
        <v>3004119.896655946</v>
      </c>
      <c r="BF10" s="132">
        <f>SUM(Financials!FO17:FQ17)</f>
        <v>2953531.5721367365</v>
      </c>
      <c r="BG10" s="132">
        <f>SUM(Financials!FR17:FT17)</f>
        <v>3001305.1096507544</v>
      </c>
      <c r="BH10" s="132">
        <f>SUM(Financials!FU17:FW17)</f>
        <v>3049428.034079181</v>
      </c>
      <c r="BI10" s="132">
        <f>SUM(Financials!FX17:FZ17)</f>
        <v>3064756.1211599275</v>
      </c>
      <c r="BJ10" s="132">
        <f>SUM(Financials!GA17:GC17)</f>
        <v>3013146.7039052905</v>
      </c>
      <c r="BK10" s="132">
        <f>SUM(Financials!GD17:GF17)</f>
        <v>3061884.5194926555</v>
      </c>
      <c r="BL10" s="132">
        <f>SUM(Financials!GG17:GI17)</f>
        <v>3110978.7741441792</v>
      </c>
      <c r="BM10" s="132">
        <f>SUM(Financials!GJ17:GL17)</f>
        <v>3126616.2487864802</v>
      </c>
      <c r="BN10" s="132">
        <f>SUM(Financials!GM17:GO17)</f>
        <v>3073965.128697461</v>
      </c>
      <c r="BO10" s="132">
        <f>SUM(Financials!GP17:GR17)</f>
        <v>3123686.6856897804</v>
      </c>
      <c r="BP10" s="132">
        <f>SUM(Financials!GS17:GU17)</f>
        <v>3173771.8762391089</v>
      </c>
      <c r="BQ10" s="132">
        <f>SUM(Financials!GV17:GX17)</f>
        <v>3189724.9832315501</v>
      </c>
      <c r="BR10" s="132">
        <f>SUM(Financials!GY17:HA17)</f>
        <v>3136011.1342076249</v>
      </c>
      <c r="BS10" s="132">
        <f>SUM(Financials!HB17:HD17)</f>
        <v>3186736.2887913161</v>
      </c>
      <c r="BT10" s="132">
        <f>SUM(Financials!HE17:HG17)</f>
        <v>3237832.4166410672</v>
      </c>
      <c r="BU10" s="132">
        <f>SUM(Financials!HH17:HJ17)</f>
        <v>3254107.5268192692</v>
      </c>
      <c r="BV10" s="132">
        <f>SUM(Financials!HK17:HM17)</f>
        <v>3199309.498361622</v>
      </c>
      <c r="BW10" s="132">
        <f>SUM(Financials!HN17:HP17)</f>
        <v>3251058.5075074295</v>
      </c>
      <c r="BX10" s="132">
        <f>SUM(Financials!HQ17:HS17)</f>
        <v>3303185.9777756473</v>
      </c>
      <c r="BY10" s="132">
        <f>SUM(Financials!HT17:HV17)</f>
        <v>3319789.5905664428</v>
      </c>
      <c r="BZ10" s="132">
        <f>SUM(Financials!HW17:HY17)</f>
        <v>3263885.4992117621</v>
      </c>
      <c r="CA10" s="132">
        <f>SUM(Financials!HZ17:IB17)</f>
        <v>3316679.0287643326</v>
      </c>
      <c r="CB10" s="132">
        <f>SUM(Financials!IC17:IE17)</f>
        <v>3369858.6584332222</v>
      </c>
      <c r="CC10" s="132">
        <f>SUM(Financials!IF17:IH17)</f>
        <v>3386797.4044501847</v>
      </c>
      <c r="CD10" s="132">
        <f>SUM(Financials!II17:IK17)</f>
        <v>3329764.9250315498</v>
      </c>
      <c r="CE10" s="132">
        <f>SUM(Financials!IL17:IN17)</f>
        <v>3383624.0579622919</v>
      </c>
      <c r="CF10" s="132">
        <f>SUM(Financials!IO17:IQ17)</f>
        <v>3437877.0841914285</v>
      </c>
      <c r="CG10" s="132">
        <f>SUM(Financials!IR17:IT17)</f>
        <v>3455157.7278827946</v>
      </c>
      <c r="CH10" s="132">
        <f>SUM(Financials!IU17:IW17)</f>
        <v>3396974.0846141763</v>
      </c>
      <c r="CI10" s="132">
        <f>SUM(Financials!IX17:IZ17)</f>
        <v>3451920.3294406906</v>
      </c>
      <c r="CJ10" s="132">
        <f>SUM(Financials!JA17:JC17)</f>
        <v>3507268.418048034</v>
      </c>
      <c r="CK10" s="132">
        <f>SUM(Financials!JD17:JF17)</f>
        <v>3524897.8603980718</v>
      </c>
      <c r="CL10" s="132">
        <f>SUM(Financials!JG17:JI17)</f>
        <v>3465539.8177788742</v>
      </c>
      <c r="CM10" s="132">
        <f>SUM(Financials!JJ17:JL17)</f>
        <v>3521595.1171543286</v>
      </c>
      <c r="CN10" s="132">
        <f>SUM(Financials!JM17:JO17)</f>
        <v>3578060.3712684149</v>
      </c>
      <c r="CO10" s="132">
        <f>SUM(Financials!JP17:JR17)</f>
        <v>3596045.6525533134</v>
      </c>
    </row>
    <row r="11" spans="1:93" x14ac:dyDescent="0.25">
      <c r="A11" s="152" t="str">
        <f>Financials!B18</f>
        <v>Steel from Tires</v>
      </c>
      <c r="B11" s="132">
        <f>SUM(Financials!C18:E18)</f>
        <v>0</v>
      </c>
      <c r="C11" s="132">
        <f>SUM(Financials!F18:H18)</f>
        <v>0</v>
      </c>
      <c r="D11" s="132">
        <f>SUM(Financials!I18:K18)</f>
        <v>0</v>
      </c>
      <c r="E11" s="132">
        <f>SUM(Financials!L18:N18)</f>
        <v>0</v>
      </c>
      <c r="F11" s="132">
        <f>SUM(Financials!O18:Q18)</f>
        <v>0</v>
      </c>
      <c r="G11" s="132">
        <f>SUM(Financials!R18:T18)</f>
        <v>324864.837</v>
      </c>
      <c r="H11" s="132">
        <f>SUM(Financials!U18:W18)</f>
        <v>330073.71961247892</v>
      </c>
      <c r="I11" s="132">
        <f>SUM(Financials!X18:Z18)</f>
        <v>331732.85000045469</v>
      </c>
      <c r="J11" s="132">
        <f>SUM(Financials!AA18:AC18)</f>
        <v>326146.5852551008</v>
      </c>
      <c r="K11" s="132">
        <f>SUM(Financials!AD18:AF18)</f>
        <v>331422.02441842121</v>
      </c>
      <c r="L11" s="132">
        <f>SUM(Financials!AG18:AI18)</f>
        <v>336736.0449702536</v>
      </c>
      <c r="M11" s="132">
        <f>SUM(Financials!AJ18:AL18)</f>
        <v>338428.66383610223</v>
      </c>
      <c r="N11" s="132">
        <f>SUM(Financials!AM18:AO18)</f>
        <v>332729.6439361971</v>
      </c>
      <c r="O11" s="132">
        <f>SUM(Financials!AP18:AR18)</f>
        <v>338111.56443996611</v>
      </c>
      <c r="P11" s="132">
        <f>SUM(Financials!AS18:AU18)</f>
        <v>343532.84507271554</v>
      </c>
      <c r="Q11" s="132">
        <f>SUM(Financials!AV18:AX18)</f>
        <v>345259.62835978565</v>
      </c>
      <c r="R11" s="132">
        <f>SUM(Financials!AY18:BA18)</f>
        <v>343217.19133938174</v>
      </c>
      <c r="S11" s="132">
        <f>SUM(Financials!BB18:BD18)</f>
        <v>344936.12851665152</v>
      </c>
      <c r="T11" s="132">
        <f>SUM(Financials!BE18:BG18)</f>
        <v>350466.83420594165</v>
      </c>
      <c r="U11" s="132">
        <f>SUM(Financials!BH18:BJ18)</f>
        <v>352228.4715010628</v>
      </c>
      <c r="V11" s="132">
        <f>SUM(Financials!BK18:BM18)</f>
        <v>346297.06768424582</v>
      </c>
      <c r="W11" s="132">
        <f>SUM(Financials!BN18:BP18)</f>
        <v>351898.44202203193</v>
      </c>
      <c r="X11" s="132">
        <f>SUM(Financials!BQ18:BS18)</f>
        <v>357540.7814421244</v>
      </c>
      <c r="Y11" s="132">
        <f>SUM(Financials!BT18:BV18)</f>
        <v>359337.97625099216</v>
      </c>
      <c r="Z11" s="132">
        <f>SUM(Financials!BW18:BY18)</f>
        <v>353286.85086984589</v>
      </c>
      <c r="AA11" s="132">
        <f>SUM(Financials!BZ18:CB18)</f>
        <v>359001.28533957107</v>
      </c>
      <c r="AB11" s="132">
        <f>SUM(Financials!CC18:CE18)</f>
        <v>364757.51174539444</v>
      </c>
      <c r="AC11" s="132">
        <f>SUM(Financials!CF18:CH18)</f>
        <v>366590.98177351337</v>
      </c>
      <c r="AD11" s="132">
        <f>SUM(Financials!CI18:CK18)</f>
        <v>360417.71832540061</v>
      </c>
      <c r="AE11" s="132">
        <f>SUM(Financials!CL18:CN18)</f>
        <v>366247.49497298145</v>
      </c>
      <c r="AF11" s="132">
        <f>SUM(Financials!CO18:CQ18)</f>
        <v>372119.90709996317</v>
      </c>
      <c r="AG11" s="132">
        <f>SUM(Financials!CR18:CT18)</f>
        <v>373990.38453926099</v>
      </c>
      <c r="AH11" s="132">
        <f>SUM(Financials!CU18:CW18)</f>
        <v>367692.51774599601</v>
      </c>
      <c r="AI11" s="132">
        <f>SUM(Financials!CX18:CZ18)</f>
        <v>373639.96467897529</v>
      </c>
      <c r="AJ11" s="132">
        <f>SUM(Financials!DA18:DC18)</f>
        <v>379630.90766103636</v>
      </c>
      <c r="AK11" s="132">
        <f>SUM(Financials!DD18:DF18)</f>
        <v>381539.13948226318</v>
      </c>
      <c r="AL11" s="132">
        <f>SUM(Financials!DG18:DI18)</f>
        <v>375114.15430560824</v>
      </c>
      <c r="AM11" s="132">
        <f>SUM(Financials!DJ18:DL18)</f>
        <v>381181.64662287966</v>
      </c>
      <c r="AN11" s="132">
        <f>SUM(Financials!DM18:DO18)</f>
        <v>387293.51292895828</v>
      </c>
      <c r="AO11" s="132">
        <f>SUM(Financials!DP18:DR18)</f>
        <v>389240.26117998752</v>
      </c>
      <c r="AP11" s="132">
        <f>SUM(Financials!DS18:DU18)</f>
        <v>382685.59181727847</v>
      </c>
      <c r="AQ11" s="132">
        <f>SUM(Financials!DV18:DX18)</f>
        <v>388875.55255757651</v>
      </c>
      <c r="AR11" s="132">
        <f>SUM(Financials!DY18:EA18)</f>
        <v>395110.78294705483</v>
      </c>
      <c r="AS11" s="132">
        <f>SUM(Financials!EB18:ED18)</f>
        <v>397096.82505720516</v>
      </c>
      <c r="AT11" s="132">
        <f>SUM(Financials!EE18:EG18)</f>
        <v>390409.85391670465</v>
      </c>
      <c r="AU11" s="132">
        <f>SUM(Financials!EH18:EJ18)</f>
        <v>396724.75502623938</v>
      </c>
      <c r="AV11" s="132">
        <f>SUM(Financials!EK18:EM18)</f>
        <v>403085.8395236549</v>
      </c>
      <c r="AW11" s="132">
        <f>SUM(Financials!EN18:EP18)</f>
        <v>405111.96861415502</v>
      </c>
      <c r="AX11" s="132">
        <f>SUM(Financials!EQ18:ES18)</f>
        <v>398290.02526972268</v>
      </c>
      <c r="AY11" s="132">
        <f>SUM(Financials!ET18:EV18)</f>
        <v>404732.38858934573</v>
      </c>
      <c r="AZ11" s="132">
        <f>SUM(Financials!EW18:EY18)</f>
        <v>411221.86747877731</v>
      </c>
      <c r="BA11" s="132">
        <f>SUM(Financials!EZ18:FB18)</f>
        <v>413288.89267949661</v>
      </c>
      <c r="BB11" s="132">
        <f>SUM(Financials!FC18:FE18)</f>
        <v>406329.25280416128</v>
      </c>
      <c r="BC11" s="132">
        <f>SUM(Financials!FF18:FH18)</f>
        <v>412901.651076457</v>
      </c>
      <c r="BD11" s="132">
        <f>SUM(Financials!FI18:FK18)</f>
        <v>419522.11591598048</v>
      </c>
      <c r="BE11" s="132">
        <f>SUM(Financials!FL18:FN18)</f>
        <v>421630.86268855381</v>
      </c>
      <c r="BF11" s="132">
        <f>SUM(Financials!FO18:FQ18)</f>
        <v>414530.74696655944</v>
      </c>
      <c r="BG11" s="132">
        <f>SUM(Financials!FR18:FT18)</f>
        <v>421235.80486326374</v>
      </c>
      <c r="BH11" s="132">
        <f>SUM(Financials!FU18:FW18)</f>
        <v>427989.89951988496</v>
      </c>
      <c r="BI11" s="132">
        <f>SUM(Financials!FX18:FZ18)</f>
        <v>430141.20998735813</v>
      </c>
      <c r="BJ11" s="132">
        <f>SUM(Financials!GA18:GC18)</f>
        <v>422897.78300425131</v>
      </c>
      <c r="BK11" s="132">
        <f>SUM(Financials!GD18:GF18)</f>
        <v>429738.17817440769</v>
      </c>
      <c r="BL11" s="132">
        <f>SUM(Financials!GG18:GI18)</f>
        <v>436628.59987988474</v>
      </c>
      <c r="BM11" s="132">
        <f>SUM(Financials!GJ18:GL18)</f>
        <v>438823.33316301473</v>
      </c>
      <c r="BN11" s="132">
        <f>SUM(Financials!GM18:GO18)</f>
        <v>431433.70227332774</v>
      </c>
      <c r="BO11" s="132">
        <f>SUM(Financials!GP18:GR18)</f>
        <v>438412.16641260078</v>
      </c>
      <c r="BP11" s="132">
        <f>SUM(Financials!GS18:GU18)</f>
        <v>445441.66684057662</v>
      </c>
      <c r="BQ11" s="132">
        <f>SUM(Financials!GV18:GX18)</f>
        <v>447680.69940091926</v>
      </c>
      <c r="BR11" s="132">
        <f>SUM(Financials!GY18:HA18)</f>
        <v>440141.913573</v>
      </c>
      <c r="BS11" s="132">
        <f>SUM(Financials!HB18:HD18)</f>
        <v>447261.23351457063</v>
      </c>
      <c r="BT11" s="132">
        <f>SUM(Financials!HE18:HG18)</f>
        <v>454432.61987944797</v>
      </c>
      <c r="BU11" s="132">
        <f>SUM(Financials!HH18:HJ18)</f>
        <v>456716.84586937109</v>
      </c>
      <c r="BV11" s="132">
        <f>SUM(Financials!HK18:HM18)</f>
        <v>449025.89450689428</v>
      </c>
      <c r="BW11" s="132">
        <f>SUM(Financials!HN18:HP18)</f>
        <v>456288.91333437595</v>
      </c>
      <c r="BX11" s="132">
        <f>SUM(Financials!HQ18:HS18)</f>
        <v>463605.0495123716</v>
      </c>
      <c r="BY11" s="132">
        <f>SUM(Financials!HT18:HV18)</f>
        <v>465935.38113213226</v>
      </c>
      <c r="BZ11" s="132">
        <f>SUM(Financials!HW18:HY18)</f>
        <v>458089.19287182624</v>
      </c>
      <c r="CA11" s="132">
        <f>SUM(Financials!HZ18:IB18)</f>
        <v>465498.81105464324</v>
      </c>
      <c r="CB11" s="132">
        <f>SUM(Financials!IC18:IE18)</f>
        <v>472962.61872746982</v>
      </c>
      <c r="CC11" s="132">
        <f>SUM(Financials!IF18:IH18)</f>
        <v>475339.98658949952</v>
      </c>
      <c r="CD11" s="132">
        <f>SUM(Financials!II18:IK18)</f>
        <v>467335.42807460343</v>
      </c>
      <c r="CE11" s="132">
        <f>SUM(Financials!IL18:IN18)</f>
        <v>474894.60462628648</v>
      </c>
      <c r="CF11" s="132">
        <f>SUM(Financials!IO18:IQ18)</f>
        <v>482509.06444791972</v>
      </c>
      <c r="CG11" s="132">
        <f>SUM(Financials!IR18:IT18)</f>
        <v>484934.41794846242</v>
      </c>
      <c r="CH11" s="132">
        <f>SUM(Financials!IU18:IW18)</f>
        <v>476768.29257742822</v>
      </c>
      <c r="CI11" s="132">
        <f>SUM(Financials!IX18:IZ18)</f>
        <v>484480.04623728979</v>
      </c>
      <c r="CJ11" s="132">
        <f>SUM(Financials!JA18:JC18)</f>
        <v>492248.19902428542</v>
      </c>
      <c r="CK11" s="132">
        <f>SUM(Financials!JD18:JF18)</f>
        <v>494722.5067225364</v>
      </c>
      <c r="CL11" s="132">
        <f>SUM(Financials!JG18:JI18)</f>
        <v>486391.55337247357</v>
      </c>
      <c r="CM11" s="132">
        <f>SUM(Financials!JJ18:JL18)</f>
        <v>494258.96381113387</v>
      </c>
      <c r="CN11" s="132">
        <f>SUM(Financials!JM18:JO18)</f>
        <v>502183.91175697045</v>
      </c>
      <c r="CO11" s="132">
        <f>SUM(Financials!JP18:JR18)</f>
        <v>504708.16176186851</v>
      </c>
    </row>
    <row r="12" spans="1:93" x14ac:dyDescent="0.25">
      <c r="A12" s="152" t="str">
        <f>Financials!B19</f>
        <v>Steel, OTR Tires</v>
      </c>
      <c r="B12" s="132">
        <f>SUM(Financials!C19:E19)</f>
        <v>0</v>
      </c>
      <c r="C12" s="132">
        <f>SUM(Financials!F19:H19)</f>
        <v>0</v>
      </c>
      <c r="D12" s="132">
        <f>SUM(Financials!I19:K19)</f>
        <v>0</v>
      </c>
      <c r="E12" s="132">
        <f>SUM(Financials!L19:N19)</f>
        <v>0</v>
      </c>
      <c r="F12" s="132">
        <f>SUM(Financials!O19:Q19)</f>
        <v>0</v>
      </c>
      <c r="G12" s="132">
        <f>SUM(Financials!R19:T19)</f>
        <v>0</v>
      </c>
      <c r="H12" s="132">
        <f>SUM(Financials!U19:W19)</f>
        <v>0</v>
      </c>
      <c r="I12" s="132">
        <f>SUM(Financials!X19:Z19)</f>
        <v>0</v>
      </c>
      <c r="J12" s="132">
        <f>SUM(Financials!AA19:AC19)</f>
        <v>0</v>
      </c>
      <c r="K12" s="132">
        <f>SUM(Financials!AD19:AF19)</f>
        <v>0</v>
      </c>
      <c r="L12" s="132">
        <f>SUM(Financials!AG19:AI19)</f>
        <v>0</v>
      </c>
      <c r="M12" s="132">
        <f>SUM(Financials!AJ19:AL19)</f>
        <v>0</v>
      </c>
      <c r="N12" s="132">
        <f>SUM(Financials!AM19:AO19)</f>
        <v>0</v>
      </c>
      <c r="O12" s="132">
        <f>SUM(Financials!AP19:AR19)</f>
        <v>0</v>
      </c>
      <c r="P12" s="132">
        <f>SUM(Financials!AS19:AU19)</f>
        <v>0</v>
      </c>
      <c r="Q12" s="132">
        <f>SUM(Financials!AV19:AX19)</f>
        <v>0</v>
      </c>
      <c r="R12" s="132">
        <f>SUM(Financials!AY19:BA19)</f>
        <v>0</v>
      </c>
      <c r="S12" s="132">
        <f>SUM(Financials!BB19:BD19)</f>
        <v>0</v>
      </c>
      <c r="T12" s="132">
        <f>SUM(Financials!BE19:BG19)</f>
        <v>0</v>
      </c>
      <c r="U12" s="132">
        <f>SUM(Financials!BH19:BJ19)</f>
        <v>0</v>
      </c>
      <c r="V12" s="132">
        <f>SUM(Financials!BK19:BM19)</f>
        <v>0</v>
      </c>
      <c r="W12" s="132">
        <f>SUM(Financials!BN19:BP19)</f>
        <v>0</v>
      </c>
      <c r="X12" s="132">
        <f>SUM(Financials!BQ19:BS19)</f>
        <v>0</v>
      </c>
      <c r="Y12" s="132">
        <f>SUM(Financials!BT19:BV19)</f>
        <v>0</v>
      </c>
      <c r="Z12" s="132">
        <f>SUM(Financials!BW19:BY19)</f>
        <v>0</v>
      </c>
      <c r="AA12" s="132">
        <f>SUM(Financials!BZ19:CB19)</f>
        <v>0</v>
      </c>
      <c r="AB12" s="132">
        <f>SUM(Financials!CC19:CE19)</f>
        <v>0</v>
      </c>
      <c r="AC12" s="132">
        <f>SUM(Financials!CF19:CH19)</f>
        <v>0</v>
      </c>
      <c r="AD12" s="132">
        <f>SUM(Financials!CI19:CK19)</f>
        <v>0</v>
      </c>
      <c r="AE12" s="132">
        <f>SUM(Financials!CL19:CN19)</f>
        <v>0</v>
      </c>
      <c r="AF12" s="132">
        <f>SUM(Financials!CO19:CQ19)</f>
        <v>0</v>
      </c>
      <c r="AG12" s="132">
        <f>SUM(Financials!CR19:CT19)</f>
        <v>0</v>
      </c>
      <c r="AH12" s="132">
        <f>SUM(Financials!CU19:CW19)</f>
        <v>0</v>
      </c>
      <c r="AI12" s="132">
        <f>SUM(Financials!CX19:CZ19)</f>
        <v>0</v>
      </c>
      <c r="AJ12" s="132">
        <f>SUM(Financials!DA19:DC19)</f>
        <v>0</v>
      </c>
      <c r="AK12" s="132">
        <f>SUM(Financials!DD19:DF19)</f>
        <v>0</v>
      </c>
      <c r="AL12" s="132">
        <f>SUM(Financials!DG19:DI19)</f>
        <v>0</v>
      </c>
      <c r="AM12" s="132">
        <f>SUM(Financials!DJ19:DL19)</f>
        <v>0</v>
      </c>
      <c r="AN12" s="132">
        <f>SUM(Financials!DM19:DO19)</f>
        <v>0</v>
      </c>
      <c r="AO12" s="132">
        <f>SUM(Financials!DP19:DR19)</f>
        <v>0</v>
      </c>
      <c r="AP12" s="132">
        <f>SUM(Financials!DS19:DU19)</f>
        <v>0</v>
      </c>
      <c r="AQ12" s="132">
        <f>SUM(Financials!DV19:DX19)</f>
        <v>0</v>
      </c>
      <c r="AR12" s="132">
        <f>SUM(Financials!DY19:EA19)</f>
        <v>0</v>
      </c>
      <c r="AS12" s="132">
        <f>SUM(Financials!EB19:ED19)</f>
        <v>0</v>
      </c>
      <c r="AT12" s="132">
        <f>SUM(Financials!EE19:EG19)</f>
        <v>0</v>
      </c>
      <c r="AU12" s="132">
        <f>SUM(Financials!EH19:EJ19)</f>
        <v>0</v>
      </c>
      <c r="AV12" s="132">
        <f>SUM(Financials!EK19:EM19)</f>
        <v>0</v>
      </c>
      <c r="AW12" s="132">
        <f>SUM(Financials!EN19:EP19)</f>
        <v>0</v>
      </c>
      <c r="AX12" s="132">
        <f>SUM(Financials!EQ19:ES19)</f>
        <v>0</v>
      </c>
      <c r="AY12" s="132">
        <f>SUM(Financials!ET19:EV19)</f>
        <v>0</v>
      </c>
      <c r="AZ12" s="132">
        <f>SUM(Financials!EW19:EY19)</f>
        <v>0</v>
      </c>
      <c r="BA12" s="132">
        <f>SUM(Financials!EZ19:FB19)</f>
        <v>0</v>
      </c>
      <c r="BB12" s="132">
        <f>SUM(Financials!FC19:FE19)</f>
        <v>0</v>
      </c>
      <c r="BC12" s="132">
        <f>SUM(Financials!FF19:FH19)</f>
        <v>0</v>
      </c>
      <c r="BD12" s="132">
        <f>SUM(Financials!FI19:FK19)</f>
        <v>0</v>
      </c>
      <c r="BE12" s="132">
        <f>SUM(Financials!FL19:FN19)</f>
        <v>0</v>
      </c>
      <c r="BF12" s="132">
        <f>SUM(Financials!FO19:FQ19)</f>
        <v>0</v>
      </c>
      <c r="BG12" s="132">
        <f>SUM(Financials!FR19:FT19)</f>
        <v>0</v>
      </c>
      <c r="BH12" s="132">
        <f>SUM(Financials!FU19:FW19)</f>
        <v>0</v>
      </c>
      <c r="BI12" s="132">
        <f>SUM(Financials!FX19:FZ19)</f>
        <v>0</v>
      </c>
      <c r="BJ12" s="132">
        <f>SUM(Financials!GA19:GC19)</f>
        <v>0</v>
      </c>
      <c r="BK12" s="132">
        <f>SUM(Financials!GD19:GF19)</f>
        <v>0</v>
      </c>
      <c r="BL12" s="132">
        <f>SUM(Financials!GG19:GI19)</f>
        <v>0</v>
      </c>
      <c r="BM12" s="132">
        <f>SUM(Financials!GJ19:GL19)</f>
        <v>0</v>
      </c>
      <c r="BN12" s="132">
        <f>SUM(Financials!GM19:GO19)</f>
        <v>0</v>
      </c>
      <c r="BO12" s="132">
        <f>SUM(Financials!GP19:GR19)</f>
        <v>0</v>
      </c>
      <c r="BP12" s="132">
        <f>SUM(Financials!GS19:GU19)</f>
        <v>0</v>
      </c>
      <c r="BQ12" s="132">
        <f>SUM(Financials!GV19:GX19)</f>
        <v>0</v>
      </c>
      <c r="BR12" s="132">
        <f>SUM(Financials!GY19:HA19)</f>
        <v>0</v>
      </c>
      <c r="BS12" s="132">
        <f>SUM(Financials!HB19:HD19)</f>
        <v>0</v>
      </c>
      <c r="BT12" s="132">
        <f>SUM(Financials!HE19:HG19)</f>
        <v>0</v>
      </c>
      <c r="BU12" s="132">
        <f>SUM(Financials!HH19:HJ19)</f>
        <v>0</v>
      </c>
      <c r="BV12" s="132">
        <f>SUM(Financials!HK19:HM19)</f>
        <v>0</v>
      </c>
      <c r="BW12" s="132">
        <f>SUM(Financials!HN19:HP19)</f>
        <v>0</v>
      </c>
      <c r="BX12" s="132">
        <f>SUM(Financials!HQ19:HS19)</f>
        <v>0</v>
      </c>
      <c r="BY12" s="132">
        <f>SUM(Financials!HT19:HV19)</f>
        <v>0</v>
      </c>
      <c r="BZ12" s="132">
        <f>SUM(Financials!HW19:HY19)</f>
        <v>0</v>
      </c>
      <c r="CA12" s="132">
        <f>SUM(Financials!HZ19:IB19)</f>
        <v>0</v>
      </c>
      <c r="CB12" s="132">
        <f>SUM(Financials!IC19:IE19)</f>
        <v>0</v>
      </c>
      <c r="CC12" s="132">
        <f>SUM(Financials!IF19:IH19)</f>
        <v>0</v>
      </c>
      <c r="CD12" s="132">
        <f>SUM(Financials!II19:IK19)</f>
        <v>0</v>
      </c>
      <c r="CE12" s="132">
        <f>SUM(Financials!IL19:IN19)</f>
        <v>0</v>
      </c>
      <c r="CF12" s="132">
        <f>SUM(Financials!IO19:IQ19)</f>
        <v>0</v>
      </c>
      <c r="CG12" s="132">
        <f>SUM(Financials!IR19:IT19)</f>
        <v>0</v>
      </c>
      <c r="CH12" s="132">
        <f>SUM(Financials!IU19:IW19)</f>
        <v>0</v>
      </c>
      <c r="CI12" s="132">
        <f>SUM(Financials!IX19:IZ19)</f>
        <v>0</v>
      </c>
      <c r="CJ12" s="132">
        <f>SUM(Financials!JA19:JC19)</f>
        <v>0</v>
      </c>
      <c r="CK12" s="132">
        <f>SUM(Financials!JD19:JF19)</f>
        <v>0</v>
      </c>
      <c r="CL12" s="132">
        <f>SUM(Financials!JG19:JI19)</f>
        <v>0</v>
      </c>
      <c r="CM12" s="132">
        <f>SUM(Financials!JJ19:JL19)</f>
        <v>0</v>
      </c>
      <c r="CN12" s="132">
        <f>SUM(Financials!JM19:JO19)</f>
        <v>0</v>
      </c>
      <c r="CO12" s="132">
        <f>SUM(Financials!JP19:JR19)</f>
        <v>0</v>
      </c>
    </row>
    <row r="13" spans="1:93" x14ac:dyDescent="0.25">
      <c r="A13" s="152" t="str">
        <f>Financials!B20</f>
        <v xml:space="preserve">Carbon Black </v>
      </c>
      <c r="B13" s="132">
        <f>SUM(Financials!C20:E20)</f>
        <v>0</v>
      </c>
      <c r="C13" s="132">
        <f>SUM(Financials!F20:H20)</f>
        <v>0</v>
      </c>
      <c r="D13" s="132">
        <f>SUM(Financials!I20:K20)</f>
        <v>0</v>
      </c>
      <c r="E13" s="132">
        <f>SUM(Financials!L20:N20)</f>
        <v>0</v>
      </c>
      <c r="F13" s="132">
        <f>SUM(Financials!O20:Q20)</f>
        <v>0</v>
      </c>
      <c r="G13" s="132">
        <f>SUM(Financials!R20:T20)</f>
        <v>2064040.227</v>
      </c>
      <c r="H13" s="132">
        <f>SUM(Financials!U20:W20)</f>
        <v>2097135.0468308006</v>
      </c>
      <c r="I13" s="132">
        <f>SUM(Financials!X20:Z20)</f>
        <v>2107676.3904069294</v>
      </c>
      <c r="J13" s="132">
        <f>SUM(Financials!AA20:AC20)</f>
        <v>2072183.8598531149</v>
      </c>
      <c r="K13" s="132">
        <f>SUM(Financials!AD20:AF20)</f>
        <v>2105701.5490826964</v>
      </c>
      <c r="L13" s="132">
        <f>SUM(Financials!AG20:AI20)</f>
        <v>2139464.3665281776</v>
      </c>
      <c r="M13" s="132">
        <f>SUM(Financials!AJ20:AL20)</f>
        <v>2150218.4803324072</v>
      </c>
      <c r="N13" s="132">
        <f>SUM(Financials!AM20:AO20)</f>
        <v>2114009.5559178586</v>
      </c>
      <c r="O13" s="132">
        <f>SUM(Financials!AP20:AR20)</f>
        <v>2148203.778108472</v>
      </c>
      <c r="P13" s="132">
        <f>SUM(Financials!AS20:AU20)</f>
        <v>2182648.0762700816</v>
      </c>
      <c r="Q13" s="132">
        <f>SUM(Financials!AV20:AX20)</f>
        <v>2193619.2549323756</v>
      </c>
      <c r="R13" s="132">
        <f>SUM(Financials!AY20:BA20)</f>
        <v>2180642.5591158699</v>
      </c>
      <c r="S13" s="132">
        <f>SUM(Financials!BB20:BD20)</f>
        <v>2191563.8872421598</v>
      </c>
      <c r="T13" s="132">
        <f>SUM(Financials!BE20:BG20)</f>
        <v>2226703.4213690637</v>
      </c>
      <c r="U13" s="132">
        <f>SUM(Financials!BH20:BJ20)</f>
        <v>2237896.0462037222</v>
      </c>
      <c r="V13" s="132">
        <f>SUM(Financials!BK20:BM20)</f>
        <v>2200210.6623574812</v>
      </c>
      <c r="W13" s="132">
        <f>SUM(Financials!BN20:BP20)</f>
        <v>2235799.1922409912</v>
      </c>
      <c r="X13" s="132">
        <f>SUM(Financials!BQ20:BS20)</f>
        <v>2271647.9952231944</v>
      </c>
      <c r="Y13" s="132">
        <f>SUM(Financials!BT20:BV20)</f>
        <v>2283066.5359785259</v>
      </c>
      <c r="Z13" s="132">
        <f>SUM(Financials!BW20:BY20)</f>
        <v>2244620.4969407381</v>
      </c>
      <c r="AA13" s="132">
        <f>SUM(Financials!BZ20:CB20)</f>
        <v>2280927.3583695982</v>
      </c>
      <c r="AB13" s="132">
        <f>SUM(Financials!CC20:CE20)</f>
        <v>2317499.7463419507</v>
      </c>
      <c r="AC13" s="132">
        <f>SUM(Financials!CF20:CH20)</f>
        <v>2329148.7629852514</v>
      </c>
      <c r="AD13" s="132">
        <f>SUM(Financials!CI20:CK20)</f>
        <v>2289926.71542098</v>
      </c>
      <c r="AE13" s="132">
        <f>SUM(Financials!CL20:CN20)</f>
        <v>2326966.4074545992</v>
      </c>
      <c r="AF13" s="132">
        <f>SUM(Financials!CO20:CQ20)</f>
        <v>2364276.9855139074</v>
      </c>
      <c r="AG13" s="132">
        <f>SUM(Financials!CR20:CT20)</f>
        <v>2376161.1300524762</v>
      </c>
      <c r="AH13" s="132">
        <f>SUM(Financials!CU20:CW20)</f>
        <v>2336147.4107296113</v>
      </c>
      <c r="AI13" s="132">
        <f>SUM(Financials!CX20:CZ20)</f>
        <v>2373934.7250815704</v>
      </c>
      <c r="AJ13" s="132">
        <f>SUM(Financials!DA20:DC20)</f>
        <v>2411998.3931191103</v>
      </c>
      <c r="AK13" s="132">
        <f>SUM(Financials!DD20:DF20)</f>
        <v>2424122.4114580159</v>
      </c>
      <c r="AL13" s="132">
        <f>SUM(Financials!DG20:DI20)</f>
        <v>2383301.040992198</v>
      </c>
      <c r="AM13" s="132">
        <f>SUM(Financials!DJ20:DL20)</f>
        <v>2421851.0679372861</v>
      </c>
      <c r="AN13" s="132">
        <f>SUM(Financials!DM20:DO20)</f>
        <v>2460683.0265890374</v>
      </c>
      <c r="AO13" s="132">
        <f>SUM(Financials!DP20:DR20)</f>
        <v>2473051.7604263853</v>
      </c>
      <c r="AP13" s="132">
        <f>SUM(Financials!DS20:DU20)</f>
        <v>2431406.4368996788</v>
      </c>
      <c r="AQ13" s="132">
        <f>SUM(Financials!DV20:DX20)</f>
        <v>2470734.5713001573</v>
      </c>
      <c r="AR13" s="132">
        <f>SUM(Financials!DY20:EA20)</f>
        <v>2510350.3280171463</v>
      </c>
      <c r="AS13" s="132">
        <f>SUM(Financials!EB20:ED20)</f>
        <v>2522968.7167775966</v>
      </c>
      <c r="AT13" s="132">
        <f>SUM(Financials!EE20:EG20)</f>
        <v>2480482.8092283555</v>
      </c>
      <c r="AU13" s="132">
        <f>SUM(Financials!EH20:EJ20)</f>
        <v>2520604.7566818641</v>
      </c>
      <c r="AV13" s="132">
        <f>SUM(Financials!EK20:EM20)</f>
        <v>2561020.1319230199</v>
      </c>
      <c r="AW13" s="132">
        <f>SUM(Financials!EN20:EP20)</f>
        <v>2573893.2147303387</v>
      </c>
      <c r="AX13" s="132">
        <f>SUM(Financials!EQ20:ES20)</f>
        <v>2530549.7565116729</v>
      </c>
      <c r="AY13" s="132">
        <f>SUM(Financials!ET20:EV20)</f>
        <v>2571481.5396232177</v>
      </c>
      <c r="AZ13" s="132">
        <f>SUM(Financials!EW20:EY20)</f>
        <v>2612712.6731732413</v>
      </c>
      <c r="BA13" s="132">
        <f>SUM(Financials!EZ20:FB20)</f>
        <v>2625845.5908626607</v>
      </c>
      <c r="BB13" s="132">
        <f>SUM(Financials!FC20:FE20)</f>
        <v>2581627.2728668433</v>
      </c>
      <c r="BC13" s="132">
        <f>SUM(Financials!FF20:FH20)</f>
        <v>2623385.2376473891</v>
      </c>
      <c r="BD13" s="132">
        <f>SUM(Financials!FI20:FK20)</f>
        <v>2665448.5950621385</v>
      </c>
      <c r="BE13" s="132">
        <f>SUM(Financials!FL20:FN20)</f>
        <v>2678846.5922333365</v>
      </c>
      <c r="BF13" s="132">
        <f>SUM(Financials!FO20:FQ20)</f>
        <v>2633735.7559794537</v>
      </c>
      <c r="BG13" s="132">
        <f>SUM(Financials!FR20:FT20)</f>
        <v>2676336.5783736659</v>
      </c>
      <c r="BH13" s="132">
        <f>SUM(Financials!FU20:FW20)</f>
        <v>2719248.957555633</v>
      </c>
      <c r="BI13" s="132">
        <f>SUM(Financials!FX20:FZ20)</f>
        <v>2732917.3846671544</v>
      </c>
      <c r="BJ13" s="132">
        <f>SUM(Financials!GA20:GC20)</f>
        <v>2686896.0152492328</v>
      </c>
      <c r="BK13" s="132">
        <f>SUM(Financials!GD20:GF20)</f>
        <v>2730356.7077949746</v>
      </c>
      <c r="BL13" s="132">
        <f>SUM(Financials!GG20:GI20)</f>
        <v>2774135.24570149</v>
      </c>
      <c r="BM13" s="132">
        <f>SUM(Financials!GJ20:GL20)</f>
        <v>2788079.561207437</v>
      </c>
      <c r="BN13" s="132">
        <f>SUM(Financials!GM20:GO20)</f>
        <v>2741129.2801002343</v>
      </c>
      <c r="BO13" s="132">
        <f>SUM(Financials!GP20:GR20)</f>
        <v>2785467.1987224836</v>
      </c>
      <c r="BP13" s="132">
        <f>SUM(Financials!GS20:GU20)</f>
        <v>2830129.3782093204</v>
      </c>
      <c r="BQ13" s="132">
        <f>SUM(Financials!GV20:GX20)</f>
        <v>2844355.1507391743</v>
      </c>
      <c r="BR13" s="132">
        <f>SUM(Financials!GY20:HA20)</f>
        <v>2796457.2084587575</v>
      </c>
      <c r="BS13" s="132">
        <f>SUM(Financials!HB20:HD20)</f>
        <v>2841690.0594006558</v>
      </c>
      <c r="BT13" s="132">
        <f>SUM(Financials!HE20:HG20)</f>
        <v>2887253.7162037655</v>
      </c>
      <c r="BU13" s="132">
        <f>SUM(Financials!HH20:HJ20)</f>
        <v>2901766.6267862064</v>
      </c>
      <c r="BV13" s="132">
        <f>SUM(Financials!HK20:HM20)</f>
        <v>2852901.8954023891</v>
      </c>
      <c r="BW13" s="132">
        <f>SUM(Financials!HN20:HP20)</f>
        <v>2899047.7422961872</v>
      </c>
      <c r="BX13" s="132">
        <f>SUM(Financials!HQ20:HS20)</f>
        <v>2945531.0721543608</v>
      </c>
      <c r="BY13" s="132">
        <f>SUM(Financials!HT20:HV20)</f>
        <v>2960336.9164859718</v>
      </c>
      <c r="BZ13" s="132">
        <f>SUM(Financials!HW20:HY20)</f>
        <v>2910485.8819836229</v>
      </c>
      <c r="CA13" s="132">
        <f>SUM(Financials!HZ20:IB20)</f>
        <v>2957563.1530643497</v>
      </c>
      <c r="CB13" s="132">
        <f>SUM(Financials!IC20:IE20)</f>
        <v>3004984.7189856409</v>
      </c>
      <c r="CC13" s="132">
        <f>SUM(Financials!IF20:IH20)</f>
        <v>3020089.4097454064</v>
      </c>
      <c r="CD13" s="132">
        <f>SUM(Financials!II20:IK20)</f>
        <v>2969232.1642315714</v>
      </c>
      <c r="CE13" s="132">
        <f>SUM(Financials!IL20:IN20)</f>
        <v>3017259.6596963052</v>
      </c>
      <c r="CF13" s="132">
        <f>SUM(Financials!IO20:IQ20)</f>
        <v>3065638.3993711262</v>
      </c>
      <c r="CG13" s="132">
        <f>SUM(Financials!IR20:IT20)</f>
        <v>3081047.9685816448</v>
      </c>
      <c r="CH13" s="132">
        <f>SUM(Financials!IU20:IW20)</f>
        <v>3029164.2023353777</v>
      </c>
      <c r="CI13" s="132">
        <f>SUM(Financials!IX20:IZ20)</f>
        <v>3078161.1018510638</v>
      </c>
      <c r="CJ13" s="132">
        <f>SUM(Financials!JA20:JC20)</f>
        <v>3127516.3352149045</v>
      </c>
      <c r="CK13" s="132">
        <f>SUM(Financials!JD20:JF20)</f>
        <v>3143236.9366512671</v>
      </c>
      <c r="CL13" s="132">
        <f>SUM(Financials!JG20:JI20)</f>
        <v>3090305.9300129879</v>
      </c>
      <c r="CM13" s="132">
        <f>SUM(Financials!JJ20:JL20)</f>
        <v>3140291.8003757894</v>
      </c>
      <c r="CN13" s="132">
        <f>SUM(Financials!JM20:JO20)</f>
        <v>3190643.2373245903</v>
      </c>
      <c r="CO13" s="132">
        <f>SUM(Financials!JP20:JR20)</f>
        <v>3206681.1489718715</v>
      </c>
    </row>
    <row r="14" spans="1:93" x14ac:dyDescent="0.25">
      <c r="A14" s="152" t="str">
        <f>Financials!B21</f>
        <v>Graphene</v>
      </c>
      <c r="B14" s="132">
        <f>SUM(Financials!C21:E21)</f>
        <v>0</v>
      </c>
      <c r="C14" s="132">
        <f>SUM(Financials!F21:H21)</f>
        <v>0</v>
      </c>
      <c r="D14" s="132">
        <f>SUM(Financials!I21:K21)</f>
        <v>0</v>
      </c>
      <c r="E14" s="132">
        <f>SUM(Financials!L21:N21)</f>
        <v>0</v>
      </c>
      <c r="F14" s="132">
        <f>SUM(Financials!O21:Q21)</f>
        <v>0</v>
      </c>
      <c r="G14" s="132">
        <f>SUM(Financials!R21:T21)</f>
        <v>4644090.5107499994</v>
      </c>
      <c r="H14" s="132">
        <f>SUM(Financials!U21:W21)</f>
        <v>4718553.8553693006</v>
      </c>
      <c r="I14" s="132">
        <f>SUM(Financials!X21:Z21)</f>
        <v>4742271.8784155892</v>
      </c>
      <c r="J14" s="132">
        <f>SUM(Financials!AA21:AC21)</f>
        <v>4662413.6846695086</v>
      </c>
      <c r="K14" s="132">
        <f>SUM(Financials!AD21:AF21)</f>
        <v>4737828.4854360661</v>
      </c>
      <c r="L14" s="132">
        <f>SUM(Financials!AG21:AI21)</f>
        <v>4813794.8246883973</v>
      </c>
      <c r="M14" s="132">
        <f>SUM(Financials!AJ21:AL21)</f>
        <v>4837991.5807479164</v>
      </c>
      <c r="N14" s="132">
        <f>SUM(Financials!AM21:AO21)</f>
        <v>4756521.5008151811</v>
      </c>
      <c r="O14" s="132">
        <f>SUM(Financials!AP21:AR21)</f>
        <v>4833458.5007440615</v>
      </c>
      <c r="P14" s="132">
        <f>SUM(Financials!AS21:AU21)</f>
        <v>4910958.1716076825</v>
      </c>
      <c r="Q14" s="132">
        <f>SUM(Financials!AV21:AX21)</f>
        <v>4935643.3235978447</v>
      </c>
      <c r="R14" s="132">
        <f>SUM(Financials!AY21:BA21)</f>
        <v>4906445.7580107069</v>
      </c>
      <c r="S14" s="132">
        <f>SUM(Financials!BB21:BD21)</f>
        <v>4931018.7462948589</v>
      </c>
      <c r="T14" s="132">
        <f>SUM(Financials!BE21:BG21)</f>
        <v>5010082.6980803926</v>
      </c>
      <c r="U14" s="132">
        <f>SUM(Financials!BH21:BJ21)</f>
        <v>5035266.1039583748</v>
      </c>
      <c r="V14" s="132">
        <f>SUM(Financials!BK21:BM21)</f>
        <v>4950473.9903043322</v>
      </c>
      <c r="W14" s="132">
        <f>SUM(Financials!BN21:BP21)</f>
        <v>5030548.18254223</v>
      </c>
      <c r="X14" s="132">
        <f>SUM(Financials!BQ21:BS21)</f>
        <v>5111207.9892521864</v>
      </c>
      <c r="Y14" s="132">
        <f>SUM(Financials!BT21:BV21)</f>
        <v>5136899.7059516832</v>
      </c>
      <c r="Z14" s="132">
        <f>SUM(Financials!BW21:BY21)</f>
        <v>5050396.11811666</v>
      </c>
      <c r="AA14" s="132">
        <f>SUM(Financials!BZ21:CB21)</f>
        <v>5132086.5563315954</v>
      </c>
      <c r="AB14" s="132">
        <f>SUM(Financials!CC21:CE21)</f>
        <v>5214374.4292693883</v>
      </c>
      <c r="AC14" s="132">
        <f>SUM(Financials!CF21:CH21)</f>
        <v>5240584.7167168148</v>
      </c>
      <c r="AD14" s="132">
        <f>SUM(Financials!CI21:CK21)</f>
        <v>5152335.1096972041</v>
      </c>
      <c r="AE14" s="132">
        <f>SUM(Financials!CL21:CN21)</f>
        <v>5235674.416772848</v>
      </c>
      <c r="AF14" s="132">
        <f>SUM(Financials!CO21:CQ21)</f>
        <v>5319623.2174062915</v>
      </c>
      <c r="AG14" s="132">
        <f>SUM(Financials!CR21:CT21)</f>
        <v>5346362.5426180717</v>
      </c>
      <c r="AH14" s="132">
        <f>SUM(Financials!CU21:CW21)</f>
        <v>5256331.6741416249</v>
      </c>
      <c r="AI14" s="132">
        <f>SUM(Financials!CX21:CZ21)</f>
        <v>5341353.1314335326</v>
      </c>
      <c r="AJ14" s="132">
        <f>SUM(Financials!DA21:DC21)</f>
        <v>5426996.3845179966</v>
      </c>
      <c r="AK14" s="132">
        <f>SUM(Financials!DD21:DF21)</f>
        <v>5454275.4257805347</v>
      </c>
      <c r="AL14" s="132">
        <f>SUM(Financials!DG21:DI21)</f>
        <v>5362427.3422324453</v>
      </c>
      <c r="AM14" s="132">
        <f>SUM(Financials!DJ21:DL21)</f>
        <v>5449164.9028588943</v>
      </c>
      <c r="AN14" s="132">
        <f>SUM(Financials!DM21:DO21)</f>
        <v>5536536.8098253347</v>
      </c>
      <c r="AO14" s="132">
        <f>SUM(Financials!DP21:DR21)</f>
        <v>5564366.4609593656</v>
      </c>
      <c r="AP14" s="132">
        <f>SUM(Financials!DS21:DU21)</f>
        <v>5470664.4830242759</v>
      </c>
      <c r="AQ14" s="132">
        <f>SUM(Financials!DV21:DX21)</f>
        <v>5559152.7854253538</v>
      </c>
      <c r="AR14" s="132">
        <f>SUM(Financials!DY21:EA21)</f>
        <v>5648288.238038579</v>
      </c>
      <c r="AS14" s="132">
        <f>SUM(Financials!EB21:ED21)</f>
        <v>5676679.6127495915</v>
      </c>
      <c r="AT14" s="132">
        <f>SUM(Financials!EE21:EG21)</f>
        <v>5581086.3207638003</v>
      </c>
      <c r="AU14" s="132">
        <f>SUM(Financials!EH21:EJ21)</f>
        <v>5671360.7025341932</v>
      </c>
      <c r="AV14" s="132">
        <f>SUM(Financials!EK21:EM21)</f>
        <v>5762295.2968267938</v>
      </c>
      <c r="AW14" s="132">
        <f>SUM(Financials!EN21:EP21)</f>
        <v>5791259.7331432607</v>
      </c>
      <c r="AX14" s="132">
        <f>SUM(Financials!EQ21:ES21)</f>
        <v>5693736.9521512631</v>
      </c>
      <c r="AY14" s="132">
        <f>SUM(Financials!ET21:EV21)</f>
        <v>5785833.4641522374</v>
      </c>
      <c r="AZ14" s="132">
        <f>SUM(Financials!EW21:EY21)</f>
        <v>5878603.514639793</v>
      </c>
      <c r="BA14" s="132">
        <f>SUM(Financials!EZ21:FB21)</f>
        <v>5908152.5794409849</v>
      </c>
      <c r="BB14" s="132">
        <f>SUM(Financials!FC21:FE21)</f>
        <v>5808661.363950396</v>
      </c>
      <c r="BC14" s="132">
        <f>SUM(Financials!FF21:FH21)</f>
        <v>5902616.7847066242</v>
      </c>
      <c r="BD14" s="132">
        <f>SUM(Financials!FI21:FK21)</f>
        <v>5997259.3388898121</v>
      </c>
      <c r="BE14" s="132">
        <f>SUM(Financials!FL21:FN21)</f>
        <v>6027404.8325250074</v>
      </c>
      <c r="BF14" s="132">
        <f>SUM(Financials!FO21:FQ21)</f>
        <v>5925905.4509537704</v>
      </c>
      <c r="BG14" s="132">
        <f>SUM(Financials!FR21:FT21)</f>
        <v>6021757.3013407467</v>
      </c>
      <c r="BH14" s="132">
        <f>SUM(Financials!FU21:FW21)</f>
        <v>6118310.1545001734</v>
      </c>
      <c r="BI14" s="132">
        <f>SUM(Financials!FX21:FZ21)</f>
        <v>6149064.1155010974</v>
      </c>
      <c r="BJ14" s="132">
        <f>SUM(Financials!GA21:GC21)</f>
        <v>6045516.0343107739</v>
      </c>
      <c r="BK14" s="132">
        <f>SUM(Financials!GD21:GF21)</f>
        <v>6143302.5925386921</v>
      </c>
      <c r="BL14" s="132">
        <f>SUM(Financials!GG21:GI21)</f>
        <v>6241804.302828351</v>
      </c>
      <c r="BM14" s="132">
        <f>SUM(Financials!GJ21:GL21)</f>
        <v>6273179.0127167329</v>
      </c>
      <c r="BN14" s="132">
        <f>SUM(Financials!GM21:GO21)</f>
        <v>6167540.8802255262</v>
      </c>
      <c r="BO14" s="132">
        <f>SUM(Financials!GP21:GR21)</f>
        <v>6267301.1971255867</v>
      </c>
      <c r="BP14" s="132">
        <f>SUM(Financials!GS21:GU21)</f>
        <v>6367791.1009709705</v>
      </c>
      <c r="BQ14" s="132">
        <f>SUM(Financials!GV21:GX21)</f>
        <v>6399799.0891631413</v>
      </c>
      <c r="BR14" s="132">
        <f>SUM(Financials!GY21:HA21)</f>
        <v>6292028.7190322038</v>
      </c>
      <c r="BS14" s="132">
        <f>SUM(Financials!HB21:HD21)</f>
        <v>6393802.6336514754</v>
      </c>
      <c r="BT14" s="132">
        <f>SUM(Financials!HE21:HG21)</f>
        <v>6496320.861458472</v>
      </c>
      <c r="BU14" s="132">
        <f>SUM(Financials!HH21:HJ21)</f>
        <v>6528974.9102689642</v>
      </c>
      <c r="BV14" s="132">
        <f>SUM(Financials!HK21:HM21)</f>
        <v>6419029.2646553759</v>
      </c>
      <c r="BW14" s="132">
        <f>SUM(Financials!HN21:HP21)</f>
        <v>6522857.4201664198</v>
      </c>
      <c r="BX14" s="132">
        <f>SUM(Financials!HQ21:HS21)</f>
        <v>6627444.9123473121</v>
      </c>
      <c r="BY14" s="132">
        <f>SUM(Financials!HT21:HV21)</f>
        <v>6660758.0620934367</v>
      </c>
      <c r="BZ14" s="132">
        <f>SUM(Financials!HW21:HY21)</f>
        <v>6548593.2344631515</v>
      </c>
      <c r="CA14" s="132">
        <f>SUM(Financials!HZ21:IB21)</f>
        <v>6654517.0943947854</v>
      </c>
      <c r="CB14" s="132">
        <f>SUM(Financials!IC21:IE21)</f>
        <v>6761215.6177176926</v>
      </c>
      <c r="CC14" s="132">
        <f>SUM(Financials!IF21:IH21)</f>
        <v>6795201.1719271634</v>
      </c>
      <c r="CD14" s="132">
        <f>SUM(Financials!II21:IK21)</f>
        <v>6680772.3695210349</v>
      </c>
      <c r="CE14" s="132">
        <f>SUM(Financials!IL21:IN21)</f>
        <v>6788834.2343166852</v>
      </c>
      <c r="CF14" s="132">
        <f>SUM(Financials!IO21:IQ21)</f>
        <v>6897686.3985850345</v>
      </c>
      <c r="CG14" s="132">
        <f>SUM(Financials!IR21:IT21)</f>
        <v>6932357.9293086994</v>
      </c>
      <c r="CH14" s="132">
        <f>SUM(Financials!IU21:IW21)</f>
        <v>6815619.4552545976</v>
      </c>
      <c r="CI14" s="132">
        <f>SUM(Financials!IX21:IZ21)</f>
        <v>6925862.4791648928</v>
      </c>
      <c r="CJ14" s="132">
        <f>SUM(Financials!JA21:JC21)</f>
        <v>7036911.7542335354</v>
      </c>
      <c r="CK14" s="132">
        <f>SUM(Financials!JD21:JF21)</f>
        <v>7072283.1074653491</v>
      </c>
      <c r="CL14" s="132">
        <f>SUM(Financials!JG21:JI21)</f>
        <v>6953188.3425292242</v>
      </c>
      <c r="CM14" s="132">
        <f>SUM(Financials!JJ21:JL21)</f>
        <v>7065656.5508455262</v>
      </c>
      <c r="CN14" s="132">
        <f>SUM(Financials!JM21:JO21)</f>
        <v>7178947.2839803277</v>
      </c>
      <c r="CO14" s="132">
        <f>SUM(Financials!JP21:JR21)</f>
        <v>7215032.5851867115</v>
      </c>
    </row>
    <row r="15" spans="1:93" x14ac:dyDescent="0.25">
      <c r="A15" s="152" t="str">
        <f>Financials!B22</f>
        <v>Light Oil Sale</v>
      </c>
      <c r="B15" s="132">
        <f>SUM(Financials!C22:E22)</f>
        <v>0</v>
      </c>
      <c r="C15" s="132">
        <f>SUM(Financials!F22:H22)</f>
        <v>0</v>
      </c>
      <c r="D15" s="132">
        <f>SUM(Financials!I22:K22)</f>
        <v>0</v>
      </c>
      <c r="E15" s="132">
        <f>SUM(Financials!L22:N22)</f>
        <v>0</v>
      </c>
      <c r="F15" s="132">
        <f>SUM(Financials!O22:Q22)</f>
        <v>0</v>
      </c>
      <c r="G15" s="132">
        <f>SUM(Financials!R22:T22)</f>
        <v>0</v>
      </c>
      <c r="H15" s="132">
        <f>SUM(Financials!U22:W22)</f>
        <v>0</v>
      </c>
      <c r="I15" s="132">
        <f>SUM(Financials!X22:Z22)</f>
        <v>0</v>
      </c>
      <c r="J15" s="132">
        <f>SUM(Financials!AA22:AC22)</f>
        <v>0</v>
      </c>
      <c r="K15" s="132">
        <f>SUM(Financials!AD22:AF22)</f>
        <v>0</v>
      </c>
      <c r="L15" s="132">
        <f>SUM(Financials!AG22:AI22)</f>
        <v>0</v>
      </c>
      <c r="M15" s="132">
        <f>SUM(Financials!AJ22:AL22)</f>
        <v>0</v>
      </c>
      <c r="N15" s="132">
        <f>SUM(Financials!AM22:AO22)</f>
        <v>0</v>
      </c>
      <c r="O15" s="132">
        <f>SUM(Financials!AP22:AR22)</f>
        <v>0</v>
      </c>
      <c r="P15" s="132">
        <f>SUM(Financials!AS22:AU22)</f>
        <v>0</v>
      </c>
      <c r="Q15" s="132">
        <f>SUM(Financials!AV22:AX22)</f>
        <v>0</v>
      </c>
      <c r="R15" s="132">
        <f>SUM(Financials!AY22:BA22)</f>
        <v>0</v>
      </c>
      <c r="S15" s="132">
        <f>SUM(Financials!BB22:BD22)</f>
        <v>0</v>
      </c>
      <c r="T15" s="132">
        <f>SUM(Financials!BE22:BG22)</f>
        <v>0</v>
      </c>
      <c r="U15" s="132">
        <f>SUM(Financials!BH22:BJ22)</f>
        <v>0</v>
      </c>
      <c r="V15" s="132">
        <f>SUM(Financials!BK22:BM22)</f>
        <v>0</v>
      </c>
      <c r="W15" s="132">
        <f>SUM(Financials!BN22:BP22)</f>
        <v>0</v>
      </c>
      <c r="X15" s="132">
        <f>SUM(Financials!BQ22:BS22)</f>
        <v>0</v>
      </c>
      <c r="Y15" s="132">
        <f>SUM(Financials!BT22:BV22)</f>
        <v>0</v>
      </c>
      <c r="Z15" s="132">
        <f>SUM(Financials!BW22:BY22)</f>
        <v>0</v>
      </c>
      <c r="AA15" s="132">
        <f>SUM(Financials!BZ22:CB22)</f>
        <v>0</v>
      </c>
      <c r="AB15" s="132">
        <f>SUM(Financials!CC22:CE22)</f>
        <v>0</v>
      </c>
      <c r="AC15" s="132">
        <f>SUM(Financials!CF22:CH22)</f>
        <v>0</v>
      </c>
      <c r="AD15" s="132">
        <f>SUM(Financials!CI22:CK22)</f>
        <v>0</v>
      </c>
      <c r="AE15" s="132">
        <f>SUM(Financials!CL22:CN22)</f>
        <v>0</v>
      </c>
      <c r="AF15" s="132">
        <f>SUM(Financials!CO22:CQ22)</f>
        <v>0</v>
      </c>
      <c r="AG15" s="132">
        <f>SUM(Financials!CR22:CT22)</f>
        <v>0</v>
      </c>
      <c r="AH15" s="132">
        <f>SUM(Financials!CU22:CW22)</f>
        <v>0</v>
      </c>
      <c r="AI15" s="132">
        <f>SUM(Financials!CX22:CZ22)</f>
        <v>0</v>
      </c>
      <c r="AJ15" s="132">
        <f>SUM(Financials!DA22:DC22)</f>
        <v>0</v>
      </c>
      <c r="AK15" s="132">
        <f>SUM(Financials!DD22:DF22)</f>
        <v>0</v>
      </c>
      <c r="AL15" s="132">
        <f>SUM(Financials!DG22:DI22)</f>
        <v>0</v>
      </c>
      <c r="AM15" s="132">
        <f>SUM(Financials!DJ22:DL22)</f>
        <v>0</v>
      </c>
      <c r="AN15" s="132">
        <f>SUM(Financials!DM22:DO22)</f>
        <v>0</v>
      </c>
      <c r="AO15" s="132">
        <f>SUM(Financials!DP22:DR22)</f>
        <v>0</v>
      </c>
      <c r="AP15" s="132">
        <f>SUM(Financials!DS22:DU22)</f>
        <v>0</v>
      </c>
      <c r="AQ15" s="132">
        <f>SUM(Financials!DV22:DX22)</f>
        <v>0</v>
      </c>
      <c r="AR15" s="132">
        <f>SUM(Financials!DY22:EA22)</f>
        <v>0</v>
      </c>
      <c r="AS15" s="132">
        <f>SUM(Financials!EB22:ED22)</f>
        <v>0</v>
      </c>
      <c r="AT15" s="132">
        <f>SUM(Financials!EE22:EG22)</f>
        <v>0</v>
      </c>
      <c r="AU15" s="132">
        <f>SUM(Financials!EH22:EJ22)</f>
        <v>0</v>
      </c>
      <c r="AV15" s="132">
        <f>SUM(Financials!EK22:EM22)</f>
        <v>0</v>
      </c>
      <c r="AW15" s="132">
        <f>SUM(Financials!EN22:EP22)</f>
        <v>0</v>
      </c>
      <c r="AX15" s="132">
        <f>SUM(Financials!EQ22:ES22)</f>
        <v>0</v>
      </c>
      <c r="AY15" s="132">
        <f>SUM(Financials!ET22:EV22)</f>
        <v>0</v>
      </c>
      <c r="AZ15" s="132">
        <f>SUM(Financials!EW22:EY22)</f>
        <v>0</v>
      </c>
      <c r="BA15" s="132">
        <f>SUM(Financials!EZ22:FB22)</f>
        <v>0</v>
      </c>
      <c r="BB15" s="132">
        <f>SUM(Financials!FC22:FE22)</f>
        <v>0</v>
      </c>
      <c r="BC15" s="132">
        <f>SUM(Financials!FF22:FH22)</f>
        <v>0</v>
      </c>
      <c r="BD15" s="132">
        <f>SUM(Financials!FI22:FK22)</f>
        <v>0</v>
      </c>
      <c r="BE15" s="132">
        <f>SUM(Financials!FL22:FN22)</f>
        <v>0</v>
      </c>
      <c r="BF15" s="132">
        <f>SUM(Financials!FO22:FQ22)</f>
        <v>0</v>
      </c>
      <c r="BG15" s="132">
        <f>SUM(Financials!FR22:FT22)</f>
        <v>0</v>
      </c>
      <c r="BH15" s="132">
        <f>SUM(Financials!FU22:FW22)</f>
        <v>0</v>
      </c>
      <c r="BI15" s="132">
        <f>SUM(Financials!FX22:FZ22)</f>
        <v>0</v>
      </c>
      <c r="BJ15" s="132">
        <f>SUM(Financials!GA22:GC22)</f>
        <v>0</v>
      </c>
      <c r="BK15" s="132">
        <f>SUM(Financials!GD22:GF22)</f>
        <v>0</v>
      </c>
      <c r="BL15" s="132">
        <f>SUM(Financials!GG22:GI22)</f>
        <v>0</v>
      </c>
      <c r="BM15" s="132">
        <f>SUM(Financials!GJ22:GL22)</f>
        <v>0</v>
      </c>
      <c r="BN15" s="132">
        <f>SUM(Financials!GM22:GO22)</f>
        <v>0</v>
      </c>
      <c r="BO15" s="132">
        <f>SUM(Financials!GP22:GR22)</f>
        <v>0</v>
      </c>
      <c r="BP15" s="132">
        <f>SUM(Financials!GS22:GU22)</f>
        <v>0</v>
      </c>
      <c r="BQ15" s="132">
        <f>SUM(Financials!GV22:GX22)</f>
        <v>0</v>
      </c>
      <c r="BR15" s="132">
        <f>SUM(Financials!GY22:HA22)</f>
        <v>0</v>
      </c>
      <c r="BS15" s="132">
        <f>SUM(Financials!HB22:HD22)</f>
        <v>0</v>
      </c>
      <c r="BT15" s="132">
        <f>SUM(Financials!HE22:HG22)</f>
        <v>0</v>
      </c>
      <c r="BU15" s="132">
        <f>SUM(Financials!HH22:HJ22)</f>
        <v>0</v>
      </c>
      <c r="BV15" s="132">
        <f>SUM(Financials!HK22:HM22)</f>
        <v>0</v>
      </c>
      <c r="BW15" s="132">
        <f>SUM(Financials!HN22:HP22)</f>
        <v>0</v>
      </c>
      <c r="BX15" s="132">
        <f>SUM(Financials!HQ22:HS22)</f>
        <v>0</v>
      </c>
      <c r="BY15" s="132">
        <f>SUM(Financials!HT22:HV22)</f>
        <v>0</v>
      </c>
      <c r="BZ15" s="132">
        <f>SUM(Financials!HW22:HY22)</f>
        <v>0</v>
      </c>
      <c r="CA15" s="132">
        <f>SUM(Financials!HZ22:IB22)</f>
        <v>0</v>
      </c>
      <c r="CB15" s="132">
        <f>SUM(Financials!IC22:IE22)</f>
        <v>0</v>
      </c>
      <c r="CC15" s="132">
        <f>SUM(Financials!IF22:IH22)</f>
        <v>0</v>
      </c>
      <c r="CD15" s="132">
        <f>SUM(Financials!II22:IK22)</f>
        <v>0</v>
      </c>
      <c r="CE15" s="132">
        <f>SUM(Financials!IL22:IN22)</f>
        <v>0</v>
      </c>
      <c r="CF15" s="132">
        <f>SUM(Financials!IO22:IQ22)</f>
        <v>0</v>
      </c>
      <c r="CG15" s="132">
        <f>SUM(Financials!IR22:IT22)</f>
        <v>0</v>
      </c>
      <c r="CH15" s="132">
        <f>SUM(Financials!IU22:IW22)</f>
        <v>0</v>
      </c>
      <c r="CI15" s="132">
        <f>SUM(Financials!IX22:IZ22)</f>
        <v>0</v>
      </c>
      <c r="CJ15" s="132">
        <f>SUM(Financials!JA22:JC22)</f>
        <v>0</v>
      </c>
      <c r="CK15" s="132">
        <f>SUM(Financials!JD22:JF22)</f>
        <v>0</v>
      </c>
      <c r="CL15" s="132">
        <f>SUM(Financials!JG22:JI22)</f>
        <v>0</v>
      </c>
      <c r="CM15" s="132">
        <f>SUM(Financials!JJ22:JL22)</f>
        <v>0</v>
      </c>
      <c r="CN15" s="132">
        <f>SUM(Financials!JM22:JO22)</f>
        <v>0</v>
      </c>
      <c r="CO15" s="132">
        <f>SUM(Financials!JP22:JR22)</f>
        <v>0</v>
      </c>
    </row>
    <row r="16" spans="1:93" x14ac:dyDescent="0.25">
      <c r="A16" s="152" t="str">
        <f>Financials!B23</f>
        <v>Diesel</v>
      </c>
      <c r="B16" s="132">
        <f>SUM(Financials!C23:E23)</f>
        <v>0</v>
      </c>
      <c r="C16" s="132">
        <f>SUM(Financials!F23:H23)</f>
        <v>0</v>
      </c>
      <c r="D16" s="132">
        <f>SUM(Financials!I23:K23)</f>
        <v>0</v>
      </c>
      <c r="E16" s="132">
        <f>SUM(Financials!L23:N23)</f>
        <v>0</v>
      </c>
      <c r="F16" s="132">
        <f>SUM(Financials!O23:Q23)</f>
        <v>0</v>
      </c>
      <c r="G16" s="132">
        <f>SUM(Financials!R23:T23)</f>
        <v>0</v>
      </c>
      <c r="H16" s="132">
        <f>SUM(Financials!U23:W23)</f>
        <v>0</v>
      </c>
      <c r="I16" s="132">
        <f>SUM(Financials!X23:Z23)</f>
        <v>0</v>
      </c>
      <c r="J16" s="132">
        <f>SUM(Financials!AA23:AC23)</f>
        <v>0</v>
      </c>
      <c r="K16" s="132">
        <f>SUM(Financials!AD23:AF23)</f>
        <v>0</v>
      </c>
      <c r="L16" s="132">
        <f>SUM(Financials!AG23:AI23)</f>
        <v>0</v>
      </c>
      <c r="M16" s="132">
        <f>SUM(Financials!AJ23:AL23)</f>
        <v>0</v>
      </c>
      <c r="N16" s="132">
        <f>SUM(Financials!AM23:AO23)</f>
        <v>0</v>
      </c>
      <c r="O16" s="132">
        <f>SUM(Financials!AP23:AR23)</f>
        <v>0</v>
      </c>
      <c r="P16" s="132">
        <f>SUM(Financials!AS23:AU23)</f>
        <v>0</v>
      </c>
      <c r="Q16" s="132">
        <f>SUM(Financials!AV23:AX23)</f>
        <v>0</v>
      </c>
      <c r="R16" s="132">
        <f>SUM(Financials!AY23:BA23)</f>
        <v>0</v>
      </c>
      <c r="S16" s="132">
        <f>SUM(Financials!BB23:BD23)</f>
        <v>0</v>
      </c>
      <c r="T16" s="132">
        <f>SUM(Financials!BE23:BG23)</f>
        <v>0</v>
      </c>
      <c r="U16" s="132">
        <f>SUM(Financials!BH23:BJ23)</f>
        <v>0</v>
      </c>
      <c r="V16" s="132">
        <f>SUM(Financials!BK23:BM23)</f>
        <v>0</v>
      </c>
      <c r="W16" s="132">
        <f>SUM(Financials!BN23:BP23)</f>
        <v>0</v>
      </c>
      <c r="X16" s="132">
        <f>SUM(Financials!BQ23:BS23)</f>
        <v>0</v>
      </c>
      <c r="Y16" s="132">
        <f>SUM(Financials!BT23:BV23)</f>
        <v>0</v>
      </c>
      <c r="Z16" s="132">
        <f>SUM(Financials!BW23:BY23)</f>
        <v>0</v>
      </c>
      <c r="AA16" s="132">
        <f>SUM(Financials!BZ23:CB23)</f>
        <v>0</v>
      </c>
      <c r="AB16" s="132">
        <f>SUM(Financials!CC23:CE23)</f>
        <v>0</v>
      </c>
      <c r="AC16" s="132">
        <f>SUM(Financials!CF23:CH23)</f>
        <v>0</v>
      </c>
      <c r="AD16" s="132">
        <f>SUM(Financials!CI23:CK23)</f>
        <v>0</v>
      </c>
      <c r="AE16" s="132">
        <f>SUM(Financials!CL23:CN23)</f>
        <v>0</v>
      </c>
      <c r="AF16" s="132">
        <f>SUM(Financials!CO23:CQ23)</f>
        <v>0</v>
      </c>
      <c r="AG16" s="132">
        <f>SUM(Financials!CR23:CT23)</f>
        <v>0</v>
      </c>
      <c r="AH16" s="132">
        <f>SUM(Financials!CU23:CW23)</f>
        <v>0</v>
      </c>
      <c r="AI16" s="132">
        <f>SUM(Financials!CX23:CZ23)</f>
        <v>0</v>
      </c>
      <c r="AJ16" s="132">
        <f>SUM(Financials!DA23:DC23)</f>
        <v>0</v>
      </c>
      <c r="AK16" s="132">
        <f>SUM(Financials!DD23:DF23)</f>
        <v>0</v>
      </c>
      <c r="AL16" s="132">
        <f>SUM(Financials!DG23:DI23)</f>
        <v>0</v>
      </c>
      <c r="AM16" s="132">
        <f>SUM(Financials!DJ23:DL23)</f>
        <v>0</v>
      </c>
      <c r="AN16" s="132">
        <f>SUM(Financials!DM23:DO23)</f>
        <v>0</v>
      </c>
      <c r="AO16" s="132">
        <f>SUM(Financials!DP23:DR23)</f>
        <v>0</v>
      </c>
      <c r="AP16" s="132">
        <f>SUM(Financials!DS23:DU23)</f>
        <v>0</v>
      </c>
      <c r="AQ16" s="132">
        <f>SUM(Financials!DV23:DX23)</f>
        <v>0</v>
      </c>
      <c r="AR16" s="132">
        <f>SUM(Financials!DY23:EA23)</f>
        <v>0</v>
      </c>
      <c r="AS16" s="132">
        <f>SUM(Financials!EB23:ED23)</f>
        <v>0</v>
      </c>
      <c r="AT16" s="132">
        <f>SUM(Financials!EE23:EG23)</f>
        <v>0</v>
      </c>
      <c r="AU16" s="132">
        <f>SUM(Financials!EH23:EJ23)</f>
        <v>0</v>
      </c>
      <c r="AV16" s="132">
        <f>SUM(Financials!EK23:EM23)</f>
        <v>0</v>
      </c>
      <c r="AW16" s="132">
        <f>SUM(Financials!EN23:EP23)</f>
        <v>0</v>
      </c>
      <c r="AX16" s="132">
        <f>SUM(Financials!EQ23:ES23)</f>
        <v>0</v>
      </c>
      <c r="AY16" s="132">
        <f>SUM(Financials!ET23:EV23)</f>
        <v>0</v>
      </c>
      <c r="AZ16" s="132">
        <f>SUM(Financials!EW23:EY23)</f>
        <v>0</v>
      </c>
      <c r="BA16" s="132">
        <f>SUM(Financials!EZ23:FB23)</f>
        <v>0</v>
      </c>
      <c r="BB16" s="132">
        <f>SUM(Financials!FC23:FE23)</f>
        <v>0</v>
      </c>
      <c r="BC16" s="132">
        <f>SUM(Financials!FF23:FH23)</f>
        <v>0</v>
      </c>
      <c r="BD16" s="132">
        <f>SUM(Financials!FI23:FK23)</f>
        <v>0</v>
      </c>
      <c r="BE16" s="132">
        <f>SUM(Financials!FL23:FN23)</f>
        <v>0</v>
      </c>
      <c r="BF16" s="132">
        <f>SUM(Financials!FO23:FQ23)</f>
        <v>0</v>
      </c>
      <c r="BG16" s="132">
        <f>SUM(Financials!FR23:FT23)</f>
        <v>0</v>
      </c>
      <c r="BH16" s="132">
        <f>SUM(Financials!FU23:FW23)</f>
        <v>0</v>
      </c>
      <c r="BI16" s="132">
        <f>SUM(Financials!FX23:FZ23)</f>
        <v>0</v>
      </c>
      <c r="BJ16" s="132">
        <f>SUM(Financials!GA23:GC23)</f>
        <v>0</v>
      </c>
      <c r="BK16" s="132">
        <f>SUM(Financials!GD23:GF23)</f>
        <v>0</v>
      </c>
      <c r="BL16" s="132">
        <f>SUM(Financials!GG23:GI23)</f>
        <v>0</v>
      </c>
      <c r="BM16" s="132">
        <f>SUM(Financials!GJ23:GL23)</f>
        <v>0</v>
      </c>
      <c r="BN16" s="132">
        <f>SUM(Financials!GM23:GO23)</f>
        <v>0</v>
      </c>
      <c r="BO16" s="132">
        <f>SUM(Financials!GP23:GR23)</f>
        <v>0</v>
      </c>
      <c r="BP16" s="132">
        <f>SUM(Financials!GS23:GU23)</f>
        <v>0</v>
      </c>
      <c r="BQ16" s="132">
        <f>SUM(Financials!GV23:GX23)</f>
        <v>0</v>
      </c>
      <c r="BR16" s="132">
        <f>SUM(Financials!GY23:HA23)</f>
        <v>0</v>
      </c>
      <c r="BS16" s="132">
        <f>SUM(Financials!HB23:HD23)</f>
        <v>0</v>
      </c>
      <c r="BT16" s="132">
        <f>SUM(Financials!HE23:HG23)</f>
        <v>0</v>
      </c>
      <c r="BU16" s="132">
        <f>SUM(Financials!HH23:HJ23)</f>
        <v>0</v>
      </c>
      <c r="BV16" s="132">
        <f>SUM(Financials!HK23:HM23)</f>
        <v>0</v>
      </c>
      <c r="BW16" s="132">
        <f>SUM(Financials!HN23:HP23)</f>
        <v>0</v>
      </c>
      <c r="BX16" s="132">
        <f>SUM(Financials!HQ23:HS23)</f>
        <v>0</v>
      </c>
      <c r="BY16" s="132">
        <f>SUM(Financials!HT23:HV23)</f>
        <v>0</v>
      </c>
      <c r="BZ16" s="132">
        <f>SUM(Financials!HW23:HY23)</f>
        <v>0</v>
      </c>
      <c r="CA16" s="132">
        <f>SUM(Financials!HZ23:IB23)</f>
        <v>0</v>
      </c>
      <c r="CB16" s="132">
        <f>SUM(Financials!IC23:IE23)</f>
        <v>0</v>
      </c>
      <c r="CC16" s="132">
        <f>SUM(Financials!IF23:IH23)</f>
        <v>0</v>
      </c>
      <c r="CD16" s="132">
        <f>SUM(Financials!II23:IK23)</f>
        <v>0</v>
      </c>
      <c r="CE16" s="132">
        <f>SUM(Financials!IL23:IN23)</f>
        <v>0</v>
      </c>
      <c r="CF16" s="132">
        <f>SUM(Financials!IO23:IQ23)</f>
        <v>0</v>
      </c>
      <c r="CG16" s="132">
        <f>SUM(Financials!IR23:IT23)</f>
        <v>0</v>
      </c>
      <c r="CH16" s="132">
        <f>SUM(Financials!IU23:IW23)</f>
        <v>0</v>
      </c>
      <c r="CI16" s="132">
        <f>SUM(Financials!IX23:IZ23)</f>
        <v>0</v>
      </c>
      <c r="CJ16" s="132">
        <f>SUM(Financials!JA23:JC23)</f>
        <v>0</v>
      </c>
      <c r="CK16" s="132">
        <f>SUM(Financials!JD23:JF23)</f>
        <v>0</v>
      </c>
      <c r="CL16" s="132">
        <f>SUM(Financials!JG23:JI23)</f>
        <v>0</v>
      </c>
      <c r="CM16" s="132">
        <f>SUM(Financials!JJ23:JL23)</f>
        <v>0</v>
      </c>
      <c r="CN16" s="132">
        <f>SUM(Financials!JM23:JO23)</f>
        <v>0</v>
      </c>
      <c r="CO16" s="132">
        <f>SUM(Financials!JP23:JR23)</f>
        <v>0</v>
      </c>
    </row>
    <row r="17" spans="1:93" x14ac:dyDescent="0.25">
      <c r="A17" s="152" t="str">
        <f>Financials!B24</f>
        <v xml:space="preserve">JP </v>
      </c>
      <c r="B17" s="132">
        <f>SUM(Financials!C24:E24)</f>
        <v>0</v>
      </c>
      <c r="C17" s="132">
        <f>SUM(Financials!F24:H24)</f>
        <v>0</v>
      </c>
      <c r="D17" s="132">
        <f>SUM(Financials!I24:K24)</f>
        <v>0</v>
      </c>
      <c r="E17" s="132">
        <f>SUM(Financials!L24:N24)</f>
        <v>0</v>
      </c>
      <c r="F17" s="132">
        <f>SUM(Financials!O24:Q24)</f>
        <v>0</v>
      </c>
      <c r="G17" s="132">
        <f>SUM(Financials!R24:T24)</f>
        <v>0</v>
      </c>
      <c r="H17" s="132">
        <f>SUM(Financials!U24:W24)</f>
        <v>0</v>
      </c>
      <c r="I17" s="132">
        <f>SUM(Financials!X24:Z24)</f>
        <v>0</v>
      </c>
      <c r="J17" s="132">
        <f>SUM(Financials!AA24:AC24)</f>
        <v>0</v>
      </c>
      <c r="K17" s="132">
        <f>SUM(Financials!AD24:AF24)</f>
        <v>0</v>
      </c>
      <c r="L17" s="132">
        <f>SUM(Financials!AG24:AI24)</f>
        <v>0</v>
      </c>
      <c r="M17" s="132">
        <f>SUM(Financials!AJ24:AL24)</f>
        <v>0</v>
      </c>
      <c r="N17" s="132">
        <f>SUM(Financials!AM24:AO24)</f>
        <v>0</v>
      </c>
      <c r="O17" s="132">
        <f>SUM(Financials!AP24:AR24)</f>
        <v>0</v>
      </c>
      <c r="P17" s="132">
        <f>SUM(Financials!AS24:AU24)</f>
        <v>0</v>
      </c>
      <c r="Q17" s="132">
        <f>SUM(Financials!AV24:AX24)</f>
        <v>0</v>
      </c>
      <c r="R17" s="132">
        <f>SUM(Financials!AY24:BA24)</f>
        <v>0</v>
      </c>
      <c r="S17" s="132">
        <f>SUM(Financials!BB24:BD24)</f>
        <v>0</v>
      </c>
      <c r="T17" s="132">
        <f>SUM(Financials!BE24:BG24)</f>
        <v>0</v>
      </c>
      <c r="U17" s="132">
        <f>SUM(Financials!BH24:BJ24)</f>
        <v>0</v>
      </c>
      <c r="V17" s="132">
        <f>SUM(Financials!BK24:BM24)</f>
        <v>0</v>
      </c>
      <c r="W17" s="132">
        <f>SUM(Financials!BN24:BP24)</f>
        <v>0</v>
      </c>
      <c r="X17" s="132">
        <f>SUM(Financials!BQ24:BS24)</f>
        <v>0</v>
      </c>
      <c r="Y17" s="132">
        <f>SUM(Financials!BT24:BV24)</f>
        <v>0</v>
      </c>
      <c r="Z17" s="132">
        <f>SUM(Financials!BW24:BY24)</f>
        <v>0</v>
      </c>
      <c r="AA17" s="132">
        <f>SUM(Financials!BZ24:CB24)</f>
        <v>0</v>
      </c>
      <c r="AB17" s="132">
        <f>SUM(Financials!CC24:CE24)</f>
        <v>0</v>
      </c>
      <c r="AC17" s="132">
        <f>SUM(Financials!CF24:CH24)</f>
        <v>0</v>
      </c>
      <c r="AD17" s="132">
        <f>SUM(Financials!CI24:CK24)</f>
        <v>0</v>
      </c>
      <c r="AE17" s="132">
        <f>SUM(Financials!CL24:CN24)</f>
        <v>0</v>
      </c>
      <c r="AF17" s="132">
        <f>SUM(Financials!CO24:CQ24)</f>
        <v>0</v>
      </c>
      <c r="AG17" s="132">
        <f>SUM(Financials!CR24:CT24)</f>
        <v>0</v>
      </c>
      <c r="AH17" s="132">
        <f>SUM(Financials!CU24:CW24)</f>
        <v>0</v>
      </c>
      <c r="AI17" s="132">
        <f>SUM(Financials!CX24:CZ24)</f>
        <v>0</v>
      </c>
      <c r="AJ17" s="132">
        <f>SUM(Financials!DA24:DC24)</f>
        <v>0</v>
      </c>
      <c r="AK17" s="132">
        <f>SUM(Financials!DD24:DF24)</f>
        <v>0</v>
      </c>
      <c r="AL17" s="132">
        <f>SUM(Financials!DG24:DI24)</f>
        <v>0</v>
      </c>
      <c r="AM17" s="132">
        <f>SUM(Financials!DJ24:DL24)</f>
        <v>0</v>
      </c>
      <c r="AN17" s="132">
        <f>SUM(Financials!DM24:DO24)</f>
        <v>0</v>
      </c>
      <c r="AO17" s="132">
        <f>SUM(Financials!DP24:DR24)</f>
        <v>0</v>
      </c>
      <c r="AP17" s="132">
        <f>SUM(Financials!DS24:DU24)</f>
        <v>0</v>
      </c>
      <c r="AQ17" s="132">
        <f>SUM(Financials!DV24:DX24)</f>
        <v>0</v>
      </c>
      <c r="AR17" s="132">
        <f>SUM(Financials!DY24:EA24)</f>
        <v>0</v>
      </c>
      <c r="AS17" s="132">
        <f>SUM(Financials!EB24:ED24)</f>
        <v>0</v>
      </c>
      <c r="AT17" s="132">
        <f>SUM(Financials!EE24:EG24)</f>
        <v>0</v>
      </c>
      <c r="AU17" s="132">
        <f>SUM(Financials!EH24:EJ24)</f>
        <v>0</v>
      </c>
      <c r="AV17" s="132">
        <f>SUM(Financials!EK24:EM24)</f>
        <v>0</v>
      </c>
      <c r="AW17" s="132">
        <f>SUM(Financials!EN24:EP24)</f>
        <v>0</v>
      </c>
      <c r="AX17" s="132">
        <f>SUM(Financials!EQ24:ES24)</f>
        <v>0</v>
      </c>
      <c r="AY17" s="132">
        <f>SUM(Financials!ET24:EV24)</f>
        <v>0</v>
      </c>
      <c r="AZ17" s="132">
        <f>SUM(Financials!EW24:EY24)</f>
        <v>0</v>
      </c>
      <c r="BA17" s="132">
        <f>SUM(Financials!EZ24:FB24)</f>
        <v>0</v>
      </c>
      <c r="BB17" s="132">
        <f>SUM(Financials!FC24:FE24)</f>
        <v>0</v>
      </c>
      <c r="BC17" s="132">
        <f>SUM(Financials!FF24:FH24)</f>
        <v>0</v>
      </c>
      <c r="BD17" s="132">
        <f>SUM(Financials!FI24:FK24)</f>
        <v>0</v>
      </c>
      <c r="BE17" s="132">
        <f>SUM(Financials!FL24:FN24)</f>
        <v>0</v>
      </c>
      <c r="BF17" s="132">
        <f>SUM(Financials!FO24:FQ24)</f>
        <v>0</v>
      </c>
      <c r="BG17" s="132">
        <f>SUM(Financials!FR24:FT24)</f>
        <v>0</v>
      </c>
      <c r="BH17" s="132">
        <f>SUM(Financials!FU24:FW24)</f>
        <v>0</v>
      </c>
      <c r="BI17" s="132">
        <f>SUM(Financials!FX24:FZ24)</f>
        <v>0</v>
      </c>
      <c r="BJ17" s="132">
        <f>SUM(Financials!GA24:GC24)</f>
        <v>0</v>
      </c>
      <c r="BK17" s="132">
        <f>SUM(Financials!GD24:GF24)</f>
        <v>0</v>
      </c>
      <c r="BL17" s="132">
        <f>SUM(Financials!GG24:GI24)</f>
        <v>0</v>
      </c>
      <c r="BM17" s="132">
        <f>SUM(Financials!GJ24:GL24)</f>
        <v>0</v>
      </c>
      <c r="BN17" s="132">
        <f>SUM(Financials!GM24:GO24)</f>
        <v>0</v>
      </c>
      <c r="BO17" s="132">
        <f>SUM(Financials!GP24:GR24)</f>
        <v>0</v>
      </c>
      <c r="BP17" s="132">
        <f>SUM(Financials!GS24:GU24)</f>
        <v>0</v>
      </c>
      <c r="BQ17" s="132">
        <f>SUM(Financials!GV24:GX24)</f>
        <v>0</v>
      </c>
      <c r="BR17" s="132">
        <f>SUM(Financials!GY24:HA24)</f>
        <v>0</v>
      </c>
      <c r="BS17" s="132">
        <f>SUM(Financials!HB24:HD24)</f>
        <v>0</v>
      </c>
      <c r="BT17" s="132">
        <f>SUM(Financials!HE24:HG24)</f>
        <v>0</v>
      </c>
      <c r="BU17" s="132">
        <f>SUM(Financials!HH24:HJ24)</f>
        <v>0</v>
      </c>
      <c r="BV17" s="132">
        <f>SUM(Financials!HK24:HM24)</f>
        <v>0</v>
      </c>
      <c r="BW17" s="132">
        <f>SUM(Financials!HN24:HP24)</f>
        <v>0</v>
      </c>
      <c r="BX17" s="132">
        <f>SUM(Financials!HQ24:HS24)</f>
        <v>0</v>
      </c>
      <c r="BY17" s="132">
        <f>SUM(Financials!HT24:HV24)</f>
        <v>0</v>
      </c>
      <c r="BZ17" s="132">
        <f>SUM(Financials!HW24:HY24)</f>
        <v>0</v>
      </c>
      <c r="CA17" s="132">
        <f>SUM(Financials!HZ24:IB24)</f>
        <v>0</v>
      </c>
      <c r="CB17" s="132">
        <f>SUM(Financials!IC24:IE24)</f>
        <v>0</v>
      </c>
      <c r="CC17" s="132">
        <f>SUM(Financials!IF24:IH24)</f>
        <v>0</v>
      </c>
      <c r="CD17" s="132">
        <f>SUM(Financials!II24:IK24)</f>
        <v>0</v>
      </c>
      <c r="CE17" s="132">
        <f>SUM(Financials!IL24:IN24)</f>
        <v>0</v>
      </c>
      <c r="CF17" s="132">
        <f>SUM(Financials!IO24:IQ24)</f>
        <v>0</v>
      </c>
      <c r="CG17" s="132">
        <f>SUM(Financials!IR24:IT24)</f>
        <v>0</v>
      </c>
      <c r="CH17" s="132">
        <f>SUM(Financials!IU24:IW24)</f>
        <v>0</v>
      </c>
      <c r="CI17" s="132">
        <f>SUM(Financials!IX24:IZ24)</f>
        <v>0</v>
      </c>
      <c r="CJ17" s="132">
        <f>SUM(Financials!JA24:JC24)</f>
        <v>0</v>
      </c>
      <c r="CK17" s="132">
        <f>SUM(Financials!JD24:JF24)</f>
        <v>0</v>
      </c>
      <c r="CL17" s="132">
        <f>SUM(Financials!JG24:JI24)</f>
        <v>0</v>
      </c>
      <c r="CM17" s="132">
        <f>SUM(Financials!JJ24:JL24)</f>
        <v>0</v>
      </c>
      <c r="CN17" s="132">
        <f>SUM(Financials!JM24:JO24)</f>
        <v>0</v>
      </c>
      <c r="CO17" s="132">
        <f>SUM(Financials!JP24:JR24)</f>
        <v>0</v>
      </c>
    </row>
    <row r="18" spans="1:93" x14ac:dyDescent="0.25">
      <c r="A18" s="152" t="str">
        <f>Financials!B25</f>
        <v>Gas</v>
      </c>
      <c r="B18" s="132">
        <f>SUM(Financials!C25:E25)</f>
        <v>0</v>
      </c>
      <c r="C18" s="132">
        <f>SUM(Financials!F25:H25)</f>
        <v>0</v>
      </c>
      <c r="D18" s="132">
        <f>SUM(Financials!I25:K25)</f>
        <v>0</v>
      </c>
      <c r="E18" s="132">
        <f>SUM(Financials!L25:N25)</f>
        <v>0</v>
      </c>
      <c r="F18" s="132">
        <f>SUM(Financials!O25:Q25)</f>
        <v>0</v>
      </c>
      <c r="G18" s="132">
        <f>SUM(Financials!R25:T25)</f>
        <v>0</v>
      </c>
      <c r="H18" s="132">
        <f>SUM(Financials!U25:W25)</f>
        <v>0</v>
      </c>
      <c r="I18" s="132">
        <f>SUM(Financials!X25:Z25)</f>
        <v>0</v>
      </c>
      <c r="J18" s="132">
        <f>SUM(Financials!AA25:AC25)</f>
        <v>0</v>
      </c>
      <c r="K18" s="132">
        <f>SUM(Financials!AD25:AF25)</f>
        <v>0</v>
      </c>
      <c r="L18" s="132">
        <f>SUM(Financials!AG25:AI25)</f>
        <v>0</v>
      </c>
      <c r="M18" s="132">
        <f>SUM(Financials!AJ25:AL25)</f>
        <v>0</v>
      </c>
      <c r="N18" s="132">
        <f>SUM(Financials!AM25:AO25)</f>
        <v>0</v>
      </c>
      <c r="O18" s="132">
        <f>SUM(Financials!AP25:AR25)</f>
        <v>0</v>
      </c>
      <c r="P18" s="132">
        <f>SUM(Financials!AS25:AU25)</f>
        <v>0</v>
      </c>
      <c r="Q18" s="132">
        <f>SUM(Financials!AV25:AX25)</f>
        <v>0</v>
      </c>
      <c r="R18" s="132">
        <f>SUM(Financials!AY25:BA25)</f>
        <v>0</v>
      </c>
      <c r="S18" s="132">
        <f>SUM(Financials!BB25:BD25)</f>
        <v>0</v>
      </c>
      <c r="T18" s="132">
        <f>SUM(Financials!BE25:BG25)</f>
        <v>0</v>
      </c>
      <c r="U18" s="132">
        <f>SUM(Financials!BH25:BJ25)</f>
        <v>0</v>
      </c>
      <c r="V18" s="132">
        <f>SUM(Financials!BK25:BM25)</f>
        <v>0</v>
      </c>
      <c r="W18" s="132">
        <f>SUM(Financials!BN25:BP25)</f>
        <v>0</v>
      </c>
      <c r="X18" s="132">
        <f>SUM(Financials!BQ25:BS25)</f>
        <v>0</v>
      </c>
      <c r="Y18" s="132">
        <f>SUM(Financials!BT25:BV25)</f>
        <v>0</v>
      </c>
      <c r="Z18" s="132">
        <f>SUM(Financials!BW25:BY25)</f>
        <v>0</v>
      </c>
      <c r="AA18" s="132">
        <f>SUM(Financials!BZ25:CB25)</f>
        <v>0</v>
      </c>
      <c r="AB18" s="132">
        <f>SUM(Financials!CC25:CE25)</f>
        <v>0</v>
      </c>
      <c r="AC18" s="132">
        <f>SUM(Financials!CF25:CH25)</f>
        <v>0</v>
      </c>
      <c r="AD18" s="132">
        <f>SUM(Financials!CI25:CK25)</f>
        <v>0</v>
      </c>
      <c r="AE18" s="132">
        <f>SUM(Financials!CL25:CN25)</f>
        <v>0</v>
      </c>
      <c r="AF18" s="132">
        <f>SUM(Financials!CO25:CQ25)</f>
        <v>0</v>
      </c>
      <c r="AG18" s="132">
        <f>SUM(Financials!CR25:CT25)</f>
        <v>0</v>
      </c>
      <c r="AH18" s="132">
        <f>SUM(Financials!CU25:CW25)</f>
        <v>0</v>
      </c>
      <c r="AI18" s="132">
        <f>SUM(Financials!CX25:CZ25)</f>
        <v>0</v>
      </c>
      <c r="AJ18" s="132">
        <f>SUM(Financials!DA25:DC25)</f>
        <v>0</v>
      </c>
      <c r="AK18" s="132">
        <f>SUM(Financials!DD25:DF25)</f>
        <v>0</v>
      </c>
      <c r="AL18" s="132">
        <f>SUM(Financials!DG25:DI25)</f>
        <v>0</v>
      </c>
      <c r="AM18" s="132">
        <f>SUM(Financials!DJ25:DL25)</f>
        <v>0</v>
      </c>
      <c r="AN18" s="132">
        <f>SUM(Financials!DM25:DO25)</f>
        <v>0</v>
      </c>
      <c r="AO18" s="132">
        <f>SUM(Financials!DP25:DR25)</f>
        <v>0</v>
      </c>
      <c r="AP18" s="132">
        <f>SUM(Financials!DS25:DU25)</f>
        <v>0</v>
      </c>
      <c r="AQ18" s="132">
        <f>SUM(Financials!DV25:DX25)</f>
        <v>0</v>
      </c>
      <c r="AR18" s="132">
        <f>SUM(Financials!DY25:EA25)</f>
        <v>0</v>
      </c>
      <c r="AS18" s="132">
        <f>SUM(Financials!EB25:ED25)</f>
        <v>0</v>
      </c>
      <c r="AT18" s="132">
        <f>SUM(Financials!EE25:EG25)</f>
        <v>0</v>
      </c>
      <c r="AU18" s="132">
        <f>SUM(Financials!EH25:EJ25)</f>
        <v>0</v>
      </c>
      <c r="AV18" s="132">
        <f>SUM(Financials!EK25:EM25)</f>
        <v>0</v>
      </c>
      <c r="AW18" s="132">
        <f>SUM(Financials!EN25:EP25)</f>
        <v>0</v>
      </c>
      <c r="AX18" s="132">
        <f>SUM(Financials!EQ25:ES25)</f>
        <v>0</v>
      </c>
      <c r="AY18" s="132">
        <f>SUM(Financials!ET25:EV25)</f>
        <v>0</v>
      </c>
      <c r="AZ18" s="132">
        <f>SUM(Financials!EW25:EY25)</f>
        <v>0</v>
      </c>
      <c r="BA18" s="132">
        <f>SUM(Financials!EZ25:FB25)</f>
        <v>0</v>
      </c>
      <c r="BB18" s="132">
        <f>SUM(Financials!FC25:FE25)</f>
        <v>0</v>
      </c>
      <c r="BC18" s="132">
        <f>SUM(Financials!FF25:FH25)</f>
        <v>0</v>
      </c>
      <c r="BD18" s="132">
        <f>SUM(Financials!FI25:FK25)</f>
        <v>0</v>
      </c>
      <c r="BE18" s="132">
        <f>SUM(Financials!FL25:FN25)</f>
        <v>0</v>
      </c>
      <c r="BF18" s="132">
        <f>SUM(Financials!FO25:FQ25)</f>
        <v>0</v>
      </c>
      <c r="BG18" s="132">
        <f>SUM(Financials!FR25:FT25)</f>
        <v>0</v>
      </c>
      <c r="BH18" s="132">
        <f>SUM(Financials!FU25:FW25)</f>
        <v>0</v>
      </c>
      <c r="BI18" s="132">
        <f>SUM(Financials!FX25:FZ25)</f>
        <v>0</v>
      </c>
      <c r="BJ18" s="132">
        <f>SUM(Financials!GA25:GC25)</f>
        <v>0</v>
      </c>
      <c r="BK18" s="132">
        <f>SUM(Financials!GD25:GF25)</f>
        <v>0</v>
      </c>
      <c r="BL18" s="132">
        <f>SUM(Financials!GG25:GI25)</f>
        <v>0</v>
      </c>
      <c r="BM18" s="132">
        <f>SUM(Financials!GJ25:GL25)</f>
        <v>0</v>
      </c>
      <c r="BN18" s="132">
        <f>SUM(Financials!GM25:GO25)</f>
        <v>0</v>
      </c>
      <c r="BO18" s="132">
        <f>SUM(Financials!GP25:GR25)</f>
        <v>0</v>
      </c>
      <c r="BP18" s="132">
        <f>SUM(Financials!GS25:GU25)</f>
        <v>0</v>
      </c>
      <c r="BQ18" s="132">
        <f>SUM(Financials!GV25:GX25)</f>
        <v>0</v>
      </c>
      <c r="BR18" s="132">
        <f>SUM(Financials!GY25:HA25)</f>
        <v>0</v>
      </c>
      <c r="BS18" s="132">
        <f>SUM(Financials!HB25:HD25)</f>
        <v>0</v>
      </c>
      <c r="BT18" s="132">
        <f>SUM(Financials!HE25:HG25)</f>
        <v>0</v>
      </c>
      <c r="BU18" s="132">
        <f>SUM(Financials!HH25:HJ25)</f>
        <v>0</v>
      </c>
      <c r="BV18" s="132">
        <f>SUM(Financials!HK25:HM25)</f>
        <v>0</v>
      </c>
      <c r="BW18" s="132">
        <f>SUM(Financials!HN25:HP25)</f>
        <v>0</v>
      </c>
      <c r="BX18" s="132">
        <f>SUM(Financials!HQ25:HS25)</f>
        <v>0</v>
      </c>
      <c r="BY18" s="132">
        <f>SUM(Financials!HT25:HV25)</f>
        <v>0</v>
      </c>
      <c r="BZ18" s="132">
        <f>SUM(Financials!HW25:HY25)</f>
        <v>0</v>
      </c>
      <c r="CA18" s="132">
        <f>SUM(Financials!HZ25:IB25)</f>
        <v>0</v>
      </c>
      <c r="CB18" s="132">
        <f>SUM(Financials!IC25:IE25)</f>
        <v>0</v>
      </c>
      <c r="CC18" s="132">
        <f>SUM(Financials!IF25:IH25)</f>
        <v>0</v>
      </c>
      <c r="CD18" s="132">
        <f>SUM(Financials!II25:IK25)</f>
        <v>0</v>
      </c>
      <c r="CE18" s="132">
        <f>SUM(Financials!IL25:IN25)</f>
        <v>0</v>
      </c>
      <c r="CF18" s="132">
        <f>SUM(Financials!IO25:IQ25)</f>
        <v>0</v>
      </c>
      <c r="CG18" s="132">
        <f>SUM(Financials!IR25:IT25)</f>
        <v>0</v>
      </c>
      <c r="CH18" s="132">
        <f>SUM(Financials!IU25:IW25)</f>
        <v>0</v>
      </c>
      <c r="CI18" s="132">
        <f>SUM(Financials!IX25:IZ25)</f>
        <v>0</v>
      </c>
      <c r="CJ18" s="132">
        <f>SUM(Financials!JA25:JC25)</f>
        <v>0</v>
      </c>
      <c r="CK18" s="132">
        <f>SUM(Financials!JD25:JF25)</f>
        <v>0</v>
      </c>
      <c r="CL18" s="132">
        <f>SUM(Financials!JG25:JI25)</f>
        <v>0</v>
      </c>
      <c r="CM18" s="132">
        <f>SUM(Financials!JJ25:JL25)</f>
        <v>0</v>
      </c>
      <c r="CN18" s="132">
        <f>SUM(Financials!JM25:JO25)</f>
        <v>0</v>
      </c>
      <c r="CO18" s="132">
        <f>SUM(Financials!JP25:JR25)</f>
        <v>0</v>
      </c>
    </row>
    <row r="19" spans="1:93" x14ac:dyDescent="0.25">
      <c r="A19" s="152" t="str">
        <f>Financials!B26</f>
        <v>Lube oil</v>
      </c>
      <c r="B19" s="132">
        <f>SUM(Financials!C26:E26)</f>
        <v>0</v>
      </c>
      <c r="C19" s="132">
        <f>SUM(Financials!F26:H26)</f>
        <v>0</v>
      </c>
      <c r="D19" s="132">
        <f>SUM(Financials!I26:K26)</f>
        <v>0</v>
      </c>
      <c r="E19" s="132">
        <f>SUM(Financials!L26:N26)</f>
        <v>0</v>
      </c>
      <c r="F19" s="132">
        <f>SUM(Financials!O26:Q26)</f>
        <v>0</v>
      </c>
      <c r="G19" s="132">
        <f>SUM(Financials!R26:T26)</f>
        <v>0</v>
      </c>
      <c r="H19" s="132">
        <f>SUM(Financials!U26:W26)</f>
        <v>0</v>
      </c>
      <c r="I19" s="132">
        <f>SUM(Financials!X26:Z26)</f>
        <v>0</v>
      </c>
      <c r="J19" s="132">
        <f>SUM(Financials!AA26:AC26)</f>
        <v>0</v>
      </c>
      <c r="K19" s="132">
        <f>SUM(Financials!AD26:AF26)</f>
        <v>0</v>
      </c>
      <c r="L19" s="132">
        <f>SUM(Financials!AG26:AI26)</f>
        <v>0</v>
      </c>
      <c r="M19" s="132">
        <f>SUM(Financials!AJ26:AL26)</f>
        <v>0</v>
      </c>
      <c r="N19" s="132">
        <f>SUM(Financials!AM26:AO26)</f>
        <v>0</v>
      </c>
      <c r="O19" s="132">
        <f>SUM(Financials!AP26:AR26)</f>
        <v>0</v>
      </c>
      <c r="P19" s="132">
        <f>SUM(Financials!AS26:AU26)</f>
        <v>0</v>
      </c>
      <c r="Q19" s="132">
        <f>SUM(Financials!AV26:AX26)</f>
        <v>0</v>
      </c>
      <c r="R19" s="132">
        <f>SUM(Financials!AY26:BA26)</f>
        <v>0</v>
      </c>
      <c r="S19" s="132">
        <f>SUM(Financials!BB26:BD26)</f>
        <v>0</v>
      </c>
      <c r="T19" s="132">
        <f>SUM(Financials!BE26:BG26)</f>
        <v>0</v>
      </c>
      <c r="U19" s="132">
        <f>SUM(Financials!BH26:BJ26)</f>
        <v>0</v>
      </c>
      <c r="V19" s="132">
        <f>SUM(Financials!BK26:BM26)</f>
        <v>0</v>
      </c>
      <c r="W19" s="132">
        <f>SUM(Financials!BN26:BP26)</f>
        <v>0</v>
      </c>
      <c r="X19" s="132">
        <f>SUM(Financials!BQ26:BS26)</f>
        <v>0</v>
      </c>
      <c r="Y19" s="132">
        <f>SUM(Financials!BT26:BV26)</f>
        <v>0</v>
      </c>
      <c r="Z19" s="132">
        <f>SUM(Financials!BW26:BY26)</f>
        <v>0</v>
      </c>
      <c r="AA19" s="132">
        <f>SUM(Financials!BZ26:CB26)</f>
        <v>0</v>
      </c>
      <c r="AB19" s="132">
        <f>SUM(Financials!CC26:CE26)</f>
        <v>0</v>
      </c>
      <c r="AC19" s="132">
        <f>SUM(Financials!CF26:CH26)</f>
        <v>0</v>
      </c>
      <c r="AD19" s="132">
        <f>SUM(Financials!CI26:CK26)</f>
        <v>0</v>
      </c>
      <c r="AE19" s="132">
        <f>SUM(Financials!CL26:CN26)</f>
        <v>0</v>
      </c>
      <c r="AF19" s="132">
        <f>SUM(Financials!CO26:CQ26)</f>
        <v>0</v>
      </c>
      <c r="AG19" s="132">
        <f>SUM(Financials!CR26:CT26)</f>
        <v>0</v>
      </c>
      <c r="AH19" s="132">
        <f>SUM(Financials!CU26:CW26)</f>
        <v>0</v>
      </c>
      <c r="AI19" s="132">
        <f>SUM(Financials!CX26:CZ26)</f>
        <v>0</v>
      </c>
      <c r="AJ19" s="132">
        <f>SUM(Financials!DA26:DC26)</f>
        <v>0</v>
      </c>
      <c r="AK19" s="132">
        <f>SUM(Financials!DD26:DF26)</f>
        <v>0</v>
      </c>
      <c r="AL19" s="132">
        <f>SUM(Financials!DG26:DI26)</f>
        <v>0</v>
      </c>
      <c r="AM19" s="132">
        <f>SUM(Financials!DJ26:DL26)</f>
        <v>0</v>
      </c>
      <c r="AN19" s="132">
        <f>SUM(Financials!DM26:DO26)</f>
        <v>0</v>
      </c>
      <c r="AO19" s="132">
        <f>SUM(Financials!DP26:DR26)</f>
        <v>0</v>
      </c>
      <c r="AP19" s="132">
        <f>SUM(Financials!DS26:DU26)</f>
        <v>0</v>
      </c>
      <c r="AQ19" s="132">
        <f>SUM(Financials!DV26:DX26)</f>
        <v>0</v>
      </c>
      <c r="AR19" s="132">
        <f>SUM(Financials!DY26:EA26)</f>
        <v>0</v>
      </c>
      <c r="AS19" s="132">
        <f>SUM(Financials!EB26:ED26)</f>
        <v>0</v>
      </c>
      <c r="AT19" s="132">
        <f>SUM(Financials!EE26:EG26)</f>
        <v>0</v>
      </c>
      <c r="AU19" s="132">
        <f>SUM(Financials!EH26:EJ26)</f>
        <v>0</v>
      </c>
      <c r="AV19" s="132">
        <f>SUM(Financials!EK26:EM26)</f>
        <v>0</v>
      </c>
      <c r="AW19" s="132">
        <f>SUM(Financials!EN26:EP26)</f>
        <v>0</v>
      </c>
      <c r="AX19" s="132">
        <f>SUM(Financials!EQ26:ES26)</f>
        <v>0</v>
      </c>
      <c r="AY19" s="132">
        <f>SUM(Financials!ET26:EV26)</f>
        <v>0</v>
      </c>
      <c r="AZ19" s="132">
        <f>SUM(Financials!EW26:EY26)</f>
        <v>0</v>
      </c>
      <c r="BA19" s="132">
        <f>SUM(Financials!EZ26:FB26)</f>
        <v>0</v>
      </c>
      <c r="BB19" s="132">
        <f>SUM(Financials!FC26:FE26)</f>
        <v>0</v>
      </c>
      <c r="BC19" s="132">
        <f>SUM(Financials!FF26:FH26)</f>
        <v>0</v>
      </c>
      <c r="BD19" s="132">
        <f>SUM(Financials!FI26:FK26)</f>
        <v>0</v>
      </c>
      <c r="BE19" s="132">
        <f>SUM(Financials!FL26:FN26)</f>
        <v>0</v>
      </c>
      <c r="BF19" s="132">
        <f>SUM(Financials!FO26:FQ26)</f>
        <v>0</v>
      </c>
      <c r="BG19" s="132">
        <f>SUM(Financials!FR26:FT26)</f>
        <v>0</v>
      </c>
      <c r="BH19" s="132">
        <f>SUM(Financials!FU26:FW26)</f>
        <v>0</v>
      </c>
      <c r="BI19" s="132">
        <f>SUM(Financials!FX26:FZ26)</f>
        <v>0</v>
      </c>
      <c r="BJ19" s="132">
        <f>SUM(Financials!GA26:GC26)</f>
        <v>0</v>
      </c>
      <c r="BK19" s="132">
        <f>SUM(Financials!GD26:GF26)</f>
        <v>0</v>
      </c>
      <c r="BL19" s="132">
        <f>SUM(Financials!GG26:GI26)</f>
        <v>0</v>
      </c>
      <c r="BM19" s="132">
        <f>SUM(Financials!GJ26:GL26)</f>
        <v>0</v>
      </c>
      <c r="BN19" s="132">
        <f>SUM(Financials!GM26:GO26)</f>
        <v>0</v>
      </c>
      <c r="BO19" s="132">
        <f>SUM(Financials!GP26:GR26)</f>
        <v>0</v>
      </c>
      <c r="BP19" s="132">
        <f>SUM(Financials!GS26:GU26)</f>
        <v>0</v>
      </c>
      <c r="BQ19" s="132">
        <f>SUM(Financials!GV26:GX26)</f>
        <v>0</v>
      </c>
      <c r="BR19" s="132">
        <f>SUM(Financials!GY26:HA26)</f>
        <v>0</v>
      </c>
      <c r="BS19" s="132">
        <f>SUM(Financials!HB26:HD26)</f>
        <v>0</v>
      </c>
      <c r="BT19" s="132">
        <f>SUM(Financials!HE26:HG26)</f>
        <v>0</v>
      </c>
      <c r="BU19" s="132">
        <f>SUM(Financials!HH26:HJ26)</f>
        <v>0</v>
      </c>
      <c r="BV19" s="132">
        <f>SUM(Financials!HK26:HM26)</f>
        <v>0</v>
      </c>
      <c r="BW19" s="132">
        <f>SUM(Financials!HN26:HP26)</f>
        <v>0</v>
      </c>
      <c r="BX19" s="132">
        <f>SUM(Financials!HQ26:HS26)</f>
        <v>0</v>
      </c>
      <c r="BY19" s="132">
        <f>SUM(Financials!HT26:HV26)</f>
        <v>0</v>
      </c>
      <c r="BZ19" s="132">
        <f>SUM(Financials!HW26:HY26)</f>
        <v>0</v>
      </c>
      <c r="CA19" s="132">
        <f>SUM(Financials!HZ26:IB26)</f>
        <v>0</v>
      </c>
      <c r="CB19" s="132">
        <f>SUM(Financials!IC26:IE26)</f>
        <v>0</v>
      </c>
      <c r="CC19" s="132">
        <f>SUM(Financials!IF26:IH26)</f>
        <v>0</v>
      </c>
      <c r="CD19" s="132">
        <f>SUM(Financials!II26:IK26)</f>
        <v>0</v>
      </c>
      <c r="CE19" s="132">
        <f>SUM(Financials!IL26:IN26)</f>
        <v>0</v>
      </c>
      <c r="CF19" s="132">
        <f>SUM(Financials!IO26:IQ26)</f>
        <v>0</v>
      </c>
      <c r="CG19" s="132">
        <f>SUM(Financials!IR26:IT26)</f>
        <v>0</v>
      </c>
      <c r="CH19" s="132">
        <f>SUM(Financials!IU26:IW26)</f>
        <v>0</v>
      </c>
      <c r="CI19" s="132">
        <f>SUM(Financials!IX26:IZ26)</f>
        <v>0</v>
      </c>
      <c r="CJ19" s="132">
        <f>SUM(Financials!JA26:JC26)</f>
        <v>0</v>
      </c>
      <c r="CK19" s="132">
        <f>SUM(Financials!JD26:JF26)</f>
        <v>0</v>
      </c>
      <c r="CL19" s="132">
        <f>SUM(Financials!JG26:JI26)</f>
        <v>0</v>
      </c>
      <c r="CM19" s="132">
        <f>SUM(Financials!JJ26:JL26)</f>
        <v>0</v>
      </c>
      <c r="CN19" s="132">
        <f>SUM(Financials!JM26:JO26)</f>
        <v>0</v>
      </c>
      <c r="CO19" s="132">
        <f>SUM(Financials!JP26:JR26)</f>
        <v>0</v>
      </c>
    </row>
    <row r="20" spans="1:93" ht="15.75" thickBot="1" x14ac:dyDescent="0.3">
      <c r="A20" s="152" t="str">
        <f>Financials!B27</f>
        <v>Petroleum Coke</v>
      </c>
      <c r="B20" s="132">
        <f>SUM(Financials!C27:E27)</f>
        <v>0</v>
      </c>
      <c r="C20" s="132">
        <f>SUM(Financials!F27:H27)</f>
        <v>0</v>
      </c>
      <c r="D20" s="132">
        <f>SUM(Financials!I27:K27)</f>
        <v>0</v>
      </c>
      <c r="E20" s="132">
        <f>SUM(Financials!L27:N27)</f>
        <v>0</v>
      </c>
      <c r="F20" s="132">
        <f>SUM(Financials!O27:Q27)</f>
        <v>0</v>
      </c>
      <c r="G20" s="132">
        <f>SUM(Financials!R27:T27)</f>
        <v>0</v>
      </c>
      <c r="H20" s="132">
        <f>SUM(Financials!U27:W27)</f>
        <v>0</v>
      </c>
      <c r="I20" s="132">
        <f>SUM(Financials!X27:Z27)</f>
        <v>0</v>
      </c>
      <c r="J20" s="132">
        <f>SUM(Financials!AA27:AC27)</f>
        <v>0</v>
      </c>
      <c r="K20" s="132">
        <f>SUM(Financials!AD27:AF27)</f>
        <v>0</v>
      </c>
      <c r="L20" s="132">
        <f>SUM(Financials!AG27:AI27)</f>
        <v>0</v>
      </c>
      <c r="M20" s="132">
        <f>SUM(Financials!AJ27:AL27)</f>
        <v>0</v>
      </c>
      <c r="N20" s="132">
        <f>SUM(Financials!AM27:AO27)</f>
        <v>0</v>
      </c>
      <c r="O20" s="132">
        <f>SUM(Financials!AP27:AR27)</f>
        <v>0</v>
      </c>
      <c r="P20" s="132">
        <f>SUM(Financials!AS27:AU27)</f>
        <v>0</v>
      </c>
      <c r="Q20" s="132">
        <f>SUM(Financials!AV27:AX27)</f>
        <v>0</v>
      </c>
      <c r="R20" s="132">
        <f>SUM(Financials!AY27:BA27)</f>
        <v>0</v>
      </c>
      <c r="S20" s="132">
        <f>SUM(Financials!BB27:BD27)</f>
        <v>0</v>
      </c>
      <c r="T20" s="132">
        <f>SUM(Financials!BE27:BG27)</f>
        <v>0</v>
      </c>
      <c r="U20" s="132">
        <f>SUM(Financials!BH27:BJ27)</f>
        <v>0</v>
      </c>
      <c r="V20" s="132">
        <f>SUM(Financials!BK27:BM27)</f>
        <v>0</v>
      </c>
      <c r="W20" s="132">
        <f>SUM(Financials!BN27:BP27)</f>
        <v>0</v>
      </c>
      <c r="X20" s="132">
        <f>SUM(Financials!BQ27:BS27)</f>
        <v>0</v>
      </c>
      <c r="Y20" s="132">
        <f>SUM(Financials!BT27:BV27)</f>
        <v>0</v>
      </c>
      <c r="Z20" s="132">
        <f>SUM(Financials!BW27:BY27)</f>
        <v>0</v>
      </c>
      <c r="AA20" s="132">
        <f>SUM(Financials!BZ27:CB27)</f>
        <v>0</v>
      </c>
      <c r="AB20" s="132">
        <f>SUM(Financials!CC27:CE27)</f>
        <v>0</v>
      </c>
      <c r="AC20" s="132">
        <f>SUM(Financials!CF27:CH27)</f>
        <v>0</v>
      </c>
      <c r="AD20" s="132">
        <f>SUM(Financials!CI27:CK27)</f>
        <v>0</v>
      </c>
      <c r="AE20" s="132">
        <f>SUM(Financials!CL27:CN27)</f>
        <v>0</v>
      </c>
      <c r="AF20" s="132">
        <f>SUM(Financials!CO27:CQ27)</f>
        <v>0</v>
      </c>
      <c r="AG20" s="132">
        <f>SUM(Financials!CR27:CT27)</f>
        <v>0</v>
      </c>
      <c r="AH20" s="132">
        <f>SUM(Financials!CU27:CW27)</f>
        <v>0</v>
      </c>
      <c r="AI20" s="132">
        <f>SUM(Financials!CX27:CZ27)</f>
        <v>0</v>
      </c>
      <c r="AJ20" s="132">
        <f>SUM(Financials!DA27:DC27)</f>
        <v>0</v>
      </c>
      <c r="AK20" s="132">
        <f>SUM(Financials!DD27:DF27)</f>
        <v>0</v>
      </c>
      <c r="AL20" s="132">
        <f>SUM(Financials!DG27:DI27)</f>
        <v>0</v>
      </c>
      <c r="AM20" s="132">
        <f>SUM(Financials!DJ27:DL27)</f>
        <v>0</v>
      </c>
      <c r="AN20" s="132">
        <f>SUM(Financials!DM27:DO27)</f>
        <v>0</v>
      </c>
      <c r="AO20" s="132">
        <f>SUM(Financials!DP27:DR27)</f>
        <v>0</v>
      </c>
      <c r="AP20" s="132">
        <f>SUM(Financials!DS27:DU27)</f>
        <v>0</v>
      </c>
      <c r="AQ20" s="132">
        <f>SUM(Financials!DV27:DX27)</f>
        <v>0</v>
      </c>
      <c r="AR20" s="132">
        <f>SUM(Financials!DY27:EA27)</f>
        <v>0</v>
      </c>
      <c r="AS20" s="132">
        <f>SUM(Financials!EB27:ED27)</f>
        <v>0</v>
      </c>
      <c r="AT20" s="132">
        <f>SUM(Financials!EE27:EG27)</f>
        <v>0</v>
      </c>
      <c r="AU20" s="132">
        <f>SUM(Financials!EH27:EJ27)</f>
        <v>0</v>
      </c>
      <c r="AV20" s="132">
        <f>SUM(Financials!EK27:EM27)</f>
        <v>0</v>
      </c>
      <c r="AW20" s="132">
        <f>SUM(Financials!EN27:EP27)</f>
        <v>0</v>
      </c>
      <c r="AX20" s="132">
        <f>SUM(Financials!EQ27:ES27)</f>
        <v>0</v>
      </c>
      <c r="AY20" s="132">
        <f>SUM(Financials!ET27:EV27)</f>
        <v>0</v>
      </c>
      <c r="AZ20" s="132">
        <f>SUM(Financials!EW27:EY27)</f>
        <v>0</v>
      </c>
      <c r="BA20" s="132">
        <f>SUM(Financials!EZ27:FB27)</f>
        <v>0</v>
      </c>
      <c r="BB20" s="132">
        <f>SUM(Financials!FC27:FE27)</f>
        <v>0</v>
      </c>
      <c r="BC20" s="132">
        <f>SUM(Financials!FF27:FH27)</f>
        <v>0</v>
      </c>
      <c r="BD20" s="132">
        <f>SUM(Financials!FI27:FK27)</f>
        <v>0</v>
      </c>
      <c r="BE20" s="132">
        <f>SUM(Financials!FL27:FN27)</f>
        <v>0</v>
      </c>
      <c r="BF20" s="132">
        <f>SUM(Financials!FO27:FQ27)</f>
        <v>0</v>
      </c>
      <c r="BG20" s="132">
        <f>SUM(Financials!FR27:FT27)</f>
        <v>0</v>
      </c>
      <c r="BH20" s="132">
        <f>SUM(Financials!FU27:FW27)</f>
        <v>0</v>
      </c>
      <c r="BI20" s="132">
        <f>SUM(Financials!FX27:FZ27)</f>
        <v>0</v>
      </c>
      <c r="BJ20" s="132">
        <f>SUM(Financials!GA27:GC27)</f>
        <v>0</v>
      </c>
      <c r="BK20" s="132">
        <f>SUM(Financials!GD27:GF27)</f>
        <v>0</v>
      </c>
      <c r="BL20" s="132">
        <f>SUM(Financials!GG27:GI27)</f>
        <v>0</v>
      </c>
      <c r="BM20" s="132">
        <f>SUM(Financials!GJ27:GL27)</f>
        <v>0</v>
      </c>
      <c r="BN20" s="132">
        <f>SUM(Financials!GM27:GO27)</f>
        <v>0</v>
      </c>
      <c r="BO20" s="132">
        <f>SUM(Financials!GP27:GR27)</f>
        <v>0</v>
      </c>
      <c r="BP20" s="132">
        <f>SUM(Financials!GS27:GU27)</f>
        <v>0</v>
      </c>
      <c r="BQ20" s="132">
        <f>SUM(Financials!GV27:GX27)</f>
        <v>0</v>
      </c>
      <c r="BR20" s="132">
        <f>SUM(Financials!GY27:HA27)</f>
        <v>0</v>
      </c>
      <c r="BS20" s="132">
        <f>SUM(Financials!HB27:HD27)</f>
        <v>0</v>
      </c>
      <c r="BT20" s="132">
        <f>SUM(Financials!HE27:HG27)</f>
        <v>0</v>
      </c>
      <c r="BU20" s="132">
        <f>SUM(Financials!HH27:HJ27)</f>
        <v>0</v>
      </c>
      <c r="BV20" s="132">
        <f>SUM(Financials!HK27:HM27)</f>
        <v>0</v>
      </c>
      <c r="BW20" s="132">
        <f>SUM(Financials!HN27:HP27)</f>
        <v>0</v>
      </c>
      <c r="BX20" s="132">
        <f>SUM(Financials!HQ27:HS27)</f>
        <v>0</v>
      </c>
      <c r="BY20" s="132">
        <f>SUM(Financials!HT27:HV27)</f>
        <v>0</v>
      </c>
      <c r="BZ20" s="132">
        <f>SUM(Financials!HW27:HY27)</f>
        <v>0</v>
      </c>
      <c r="CA20" s="132">
        <f>SUM(Financials!HZ27:IB27)</f>
        <v>0</v>
      </c>
      <c r="CB20" s="132">
        <f>SUM(Financials!IC27:IE27)</f>
        <v>0</v>
      </c>
      <c r="CC20" s="132">
        <f>SUM(Financials!IF27:IH27)</f>
        <v>0</v>
      </c>
      <c r="CD20" s="132">
        <f>SUM(Financials!II27:IK27)</f>
        <v>0</v>
      </c>
      <c r="CE20" s="132">
        <f>SUM(Financials!IL27:IN27)</f>
        <v>0</v>
      </c>
      <c r="CF20" s="132">
        <f>SUM(Financials!IO27:IQ27)</f>
        <v>0</v>
      </c>
      <c r="CG20" s="132">
        <f>SUM(Financials!IR27:IT27)</f>
        <v>0</v>
      </c>
      <c r="CH20" s="132">
        <f>SUM(Financials!IU27:IW27)</f>
        <v>0</v>
      </c>
      <c r="CI20" s="132">
        <f>SUM(Financials!IX27:IZ27)</f>
        <v>0</v>
      </c>
      <c r="CJ20" s="132">
        <f>SUM(Financials!JA27:JC27)</f>
        <v>0</v>
      </c>
      <c r="CK20" s="132">
        <f>SUM(Financials!JD27:JF27)</f>
        <v>0</v>
      </c>
      <c r="CL20" s="132">
        <f>SUM(Financials!JG27:JI27)</f>
        <v>0</v>
      </c>
      <c r="CM20" s="132">
        <f>SUM(Financials!JJ27:JL27)</f>
        <v>0</v>
      </c>
      <c r="CN20" s="132">
        <f>SUM(Financials!JM27:JO27)</f>
        <v>0</v>
      </c>
      <c r="CO20" s="132">
        <f>SUM(Financials!JP27:JR27)</f>
        <v>0</v>
      </c>
    </row>
    <row r="21" spans="1:93" x14ac:dyDescent="0.25">
      <c r="A21" s="153" t="str">
        <f>Financials!B28</f>
        <v>Total Commodity Revenue</v>
      </c>
      <c r="B21" s="154">
        <f t="shared" ref="B21:AG21" si="0">SUM(B5:B20)</f>
        <v>0</v>
      </c>
      <c r="C21" s="154">
        <f t="shared" si="0"/>
        <v>0</v>
      </c>
      <c r="D21" s="154">
        <f t="shared" si="0"/>
        <v>0</v>
      </c>
      <c r="E21" s="154">
        <f t="shared" si="0"/>
        <v>0</v>
      </c>
      <c r="F21" s="154">
        <f t="shared" si="0"/>
        <v>0</v>
      </c>
      <c r="G21" s="154">
        <f t="shared" si="0"/>
        <v>14203299.333774962</v>
      </c>
      <c r="H21" s="154">
        <f t="shared" si="0"/>
        <v>14431035.027249027</v>
      </c>
      <c r="I21" s="154">
        <f t="shared" si="0"/>
        <v>14503573.273467965</v>
      </c>
      <c r="J21" s="154">
        <f t="shared" si="0"/>
        <v>14259338.190752704</v>
      </c>
      <c r="K21" s="154">
        <f t="shared" si="0"/>
        <v>19916554.057135005</v>
      </c>
      <c r="L21" s="154">
        <f t="shared" si="0"/>
        <v>20208519.089262426</v>
      </c>
      <c r="M21" s="154">
        <f t="shared" si="0"/>
        <v>20282521.473243564</v>
      </c>
      <c r="N21" s="154">
        <f t="shared" si="0"/>
        <v>19914091.381919064</v>
      </c>
      <c r="O21" s="154">
        <f t="shared" si="0"/>
        <v>20209025.043557182</v>
      </c>
      <c r="P21" s="154">
        <f t="shared" si="0"/>
        <v>20505679.555315264</v>
      </c>
      <c r="Q21" s="154">
        <f t="shared" si="0"/>
        <v>20581175.629735954</v>
      </c>
      <c r="R21" s="154">
        <f t="shared" si="0"/>
        <v>20432246.33093515</v>
      </c>
      <c r="S21" s="154">
        <f t="shared" si="0"/>
        <v>20507399.368395824</v>
      </c>
      <c r="T21" s="154">
        <f t="shared" si="0"/>
        <v>20808838.0139094</v>
      </c>
      <c r="U21" s="154">
        <f t="shared" si="0"/>
        <v>20885857.927948747</v>
      </c>
      <c r="V21" s="154">
        <f t="shared" si="0"/>
        <v>20507267.862517066</v>
      </c>
      <c r="W21" s="154">
        <f t="shared" si="0"/>
        <v>20811796.186733238</v>
      </c>
      <c r="X21" s="154">
        <f t="shared" si="0"/>
        <v>21118115.530659642</v>
      </c>
      <c r="Y21" s="154">
        <f t="shared" si="0"/>
        <v>21196690.042038523</v>
      </c>
      <c r="Z21" s="154">
        <f t="shared" si="0"/>
        <v>20812865.672917411</v>
      </c>
      <c r="AA21" s="154">
        <f t="shared" si="0"/>
        <v>21122337.058720291</v>
      </c>
      <c r="AB21" s="154">
        <f t="shared" si="0"/>
        <v>21433635.61481227</v>
      </c>
      <c r="AC21" s="154">
        <f t="shared" si="0"/>
        <v>21513796.102076322</v>
      </c>
      <c r="AD21" s="154">
        <f t="shared" si="0"/>
        <v>21124631.778218366</v>
      </c>
      <c r="AE21" s="154">
        <f t="shared" si="0"/>
        <v>21439145.998121172</v>
      </c>
      <c r="AF21" s="154">
        <f t="shared" si="0"/>
        <v>21755524.268568087</v>
      </c>
      <c r="AG21" s="154">
        <f t="shared" si="0"/>
        <v>21837302.743618682</v>
      </c>
      <c r="AH21" s="154">
        <f t="shared" ref="AH21:BM21" si="1">SUM(AH5:AH20)</f>
        <v>21442690.681478143</v>
      </c>
      <c r="AI21" s="154">
        <f t="shared" si="1"/>
        <v>21762349.521838006</v>
      </c>
      <c r="AJ21" s="154">
        <f t="shared" si="1"/>
        <v>22083910.037401155</v>
      </c>
      <c r="AK21" s="154">
        <f t="shared" si="1"/>
        <v>22167339.158279262</v>
      </c>
      <c r="AL21" s="154">
        <f t="shared" si="1"/>
        <v>21767169.398768999</v>
      </c>
      <c r="AM21" s="154">
        <f t="shared" si="1"/>
        <v>22092076.700435054</v>
      </c>
      <c r="AN21" s="154">
        <f t="shared" si="1"/>
        <v>22418924.061393097</v>
      </c>
      <c r="AO21" s="154">
        <f t="shared" si="1"/>
        <v>22504037.145321198</v>
      </c>
      <c r="AP21" s="154">
        <f t="shared" si="1"/>
        <v>22098197.509900715</v>
      </c>
      <c r="AQ21" s="154">
        <f t="shared" si="1"/>
        <v>22428459.209682755</v>
      </c>
      <c r="AR21" s="154">
        <f t="shared" si="1"/>
        <v>22760700.127603576</v>
      </c>
      <c r="AS21" s="154">
        <f t="shared" si="1"/>
        <v>22847531.164290838</v>
      </c>
      <c r="AT21" s="154">
        <f t="shared" si="1"/>
        <v>22435907.210168101</v>
      </c>
      <c r="AU21" s="154">
        <f t="shared" si="1"/>
        <v>22771631.383142158</v>
      </c>
      <c r="AV21" s="154">
        <f t="shared" si="1"/>
        <v>23109374.723497875</v>
      </c>
      <c r="AW21" s="154">
        <f t="shared" si="1"/>
        <v>23197958.388713829</v>
      </c>
      <c r="AX21" s="154">
        <f t="shared" si="1"/>
        <v>22780433.363142774</v>
      </c>
      <c r="AY21" s="154">
        <f t="shared" si="1"/>
        <v>23121730.265810654</v>
      </c>
      <c r="AZ21" s="154">
        <f t="shared" si="1"/>
        <v>23465087.091452807</v>
      </c>
      <c r="BA21" s="154">
        <f t="shared" si="1"/>
        <v>23555458.760875046</v>
      </c>
      <c r="BB21" s="154">
        <f t="shared" si="1"/>
        <v>23131913.554530665</v>
      </c>
      <c r="BC21" s="154">
        <f t="shared" si="1"/>
        <v>23478895.668850631</v>
      </c>
      <c r="BD21" s="154">
        <f t="shared" si="1"/>
        <v>23827979.284362856</v>
      </c>
      <c r="BE21" s="154">
        <f t="shared" si="1"/>
        <v>23920175.047704246</v>
      </c>
      <c r="BF21" s="154">
        <f t="shared" si="1"/>
        <v>23490488.147116534</v>
      </c>
      <c r="BG21" s="154">
        <f t="shared" si="1"/>
        <v>23843270.225422692</v>
      </c>
      <c r="BH21" s="154">
        <f t="shared" si="1"/>
        <v>24198196.222368643</v>
      </c>
      <c r="BI21" s="154">
        <f t="shared" si="1"/>
        <v>24292252.897789642</v>
      </c>
      <c r="BJ21" s="154">
        <f t="shared" si="1"/>
        <v>23856300.336817507</v>
      </c>
      <c r="BK21" s="154">
        <f t="shared" si="1"/>
        <v>24214999.447645891</v>
      </c>
      <c r="BL21" s="154">
        <f t="shared" si="1"/>
        <v>24575885.750730447</v>
      </c>
      <c r="BM21" s="154">
        <f t="shared" si="1"/>
        <v>24671840.899542361</v>
      </c>
      <c r="BN21" s="154">
        <f t="shared" ref="BN21:CO21" si="2">SUM(BN5:BN20)</f>
        <v>24229496.209868029</v>
      </c>
      <c r="BO21" s="154">
        <f t="shared" si="2"/>
        <v>24594231.784707654</v>
      </c>
      <c r="BP21" s="154">
        <f t="shared" si="2"/>
        <v>24961198.698869891</v>
      </c>
      <c r="BQ21" s="154">
        <f t="shared" si="2"/>
        <v>25059090.640534893</v>
      </c>
      <c r="BR21" s="154">
        <f t="shared" si="2"/>
        <v>24610224.801159076</v>
      </c>
      <c r="BS21" s="154">
        <f t="shared" si="2"/>
        <v>24981118.682146601</v>
      </c>
      <c r="BT21" s="154">
        <f t="shared" si="2"/>
        <v>25354288.940603267</v>
      </c>
      <c r="BU21" s="154">
        <f t="shared" si="2"/>
        <v>25454156.768037193</v>
      </c>
      <c r="BV21" s="154">
        <f t="shared" si="2"/>
        <v>24998638.15375486</v>
      </c>
      <c r="BW21" s="154">
        <f t="shared" si="2"/>
        <v>25375814.642331958</v>
      </c>
      <c r="BX21" s="154">
        <f t="shared" si="2"/>
        <v>25755313.455590714</v>
      </c>
      <c r="BY21" s="154">
        <f t="shared" si="2"/>
        <v>25857197.050774708</v>
      </c>
      <c r="BZ21" s="154">
        <f t="shared" si="2"/>
        <v>25394891.379610877</v>
      </c>
      <c r="CA21" s="154">
        <f t="shared" si="2"/>
        <v>25778477.286163758</v>
      </c>
      <c r="CB21" s="154">
        <f t="shared" si="2"/>
        <v>26164432.392025679</v>
      </c>
      <c r="CC21" s="154">
        <f t="shared" si="2"/>
        <v>26268372.441932969</v>
      </c>
      <c r="CD21" s="154">
        <f t="shared" si="2"/>
        <v>25799142.721517518</v>
      </c>
      <c r="CE21" s="154">
        <f t="shared" si="2"/>
        <v>26189267.416018307</v>
      </c>
      <c r="CF21" s="154">
        <f t="shared" si="2"/>
        <v>26581809.130589679</v>
      </c>
      <c r="CG21" s="154">
        <f t="shared" si="2"/>
        <v>26687847.143433847</v>
      </c>
      <c r="CH21" s="154">
        <f t="shared" si="2"/>
        <v>26211553.616293922</v>
      </c>
      <c r="CI21" s="154">
        <f t="shared" si="2"/>
        <v>26608349.079964302</v>
      </c>
      <c r="CJ21" s="154">
        <f t="shared" si="2"/>
        <v>27007610.349698041</v>
      </c>
      <c r="CK21" s="154">
        <f t="shared" si="2"/>
        <v>27115788.671509221</v>
      </c>
      <c r="CL21" s="154">
        <f t="shared" si="2"/>
        <v>26632288.759257428</v>
      </c>
      <c r="CM21" s="154">
        <f t="shared" si="2"/>
        <v>27035889.637274966</v>
      </c>
      <c r="CN21" s="154">
        <f t="shared" si="2"/>
        <v>27442006.092062503</v>
      </c>
      <c r="CO21" s="154">
        <f t="shared" si="2"/>
        <v>27552367.923598152</v>
      </c>
    </row>
    <row r="22" spans="1:93" x14ac:dyDescent="0.25">
      <c r="A22" t="s">
        <v>266</v>
      </c>
    </row>
    <row r="23" spans="1:93" x14ac:dyDescent="0.25">
      <c r="A23" s="134" t="str">
        <f>Financials!B30</f>
        <v>Revenue Byproducts</v>
      </c>
    </row>
    <row r="24" spans="1:93" x14ac:dyDescent="0.25">
      <c r="A24" s="152" t="str">
        <f>Financials!B31</f>
        <v>MSW tipping fees</v>
      </c>
      <c r="B24" s="156">
        <f>SUM(Financials!C31:E31)</f>
        <v>0</v>
      </c>
      <c r="C24" s="156">
        <f>SUM(Financials!F31:H31)</f>
        <v>0</v>
      </c>
      <c r="D24" s="156">
        <f>SUM(Financials!I31:K31)</f>
        <v>0</v>
      </c>
      <c r="E24" s="156">
        <f>SUM(Financials!L31:N31)</f>
        <v>0</v>
      </c>
      <c r="F24" s="156">
        <f>SUM(Financials!O31:Q31)</f>
        <v>0</v>
      </c>
      <c r="G24" s="156">
        <f>SUM(Financials!R31:T31)</f>
        <v>-350350</v>
      </c>
      <c r="H24" s="156">
        <f>SUM(Financials!U31:W31)</f>
        <v>-354200</v>
      </c>
      <c r="I24" s="156">
        <f>SUM(Financials!X31:Z31)</f>
        <v>-354200</v>
      </c>
      <c r="J24" s="156">
        <f>SUM(Financials!AA31:AC31)</f>
        <v>-346500</v>
      </c>
      <c r="K24" s="156">
        <f>SUM(Financials!AD31:AF31)</f>
        <v>-350350</v>
      </c>
      <c r="L24" s="156">
        <f>SUM(Financials!AG31:AI31)</f>
        <v>-354200</v>
      </c>
      <c r="M24" s="156">
        <f>SUM(Financials!AJ31:AL31)</f>
        <v>-354200</v>
      </c>
      <c r="N24" s="156">
        <f>SUM(Financials!AM31:AO31)</f>
        <v>-346500</v>
      </c>
      <c r="O24" s="156">
        <f>SUM(Financials!AP31:AR31)</f>
        <v>-350350</v>
      </c>
      <c r="P24" s="156">
        <f>SUM(Financials!AS31:AU31)</f>
        <v>-354200</v>
      </c>
      <c r="Q24" s="156">
        <f>SUM(Financials!AV31:AX31)</f>
        <v>-354200</v>
      </c>
      <c r="R24" s="156">
        <f>SUM(Financials!AY31:BA31)</f>
        <v>-350350</v>
      </c>
      <c r="S24" s="156">
        <f>SUM(Financials!BB31:BD31)</f>
        <v>-350350</v>
      </c>
      <c r="T24" s="156">
        <f>SUM(Financials!BE31:BG31)</f>
        <v>-354200</v>
      </c>
      <c r="U24" s="156">
        <f>SUM(Financials!BH31:BJ31)</f>
        <v>-354200</v>
      </c>
      <c r="V24" s="156">
        <f>SUM(Financials!BK31:BM31)</f>
        <v>-346500</v>
      </c>
      <c r="W24" s="156">
        <f>SUM(Financials!BN31:BP31)</f>
        <v>-350350</v>
      </c>
      <c r="X24" s="156">
        <f>SUM(Financials!BQ31:BS31)</f>
        <v>-354200</v>
      </c>
      <c r="Y24" s="156">
        <f>SUM(Financials!BT31:BV31)</f>
        <v>-354200</v>
      </c>
      <c r="Z24" s="156">
        <f>SUM(Financials!BW31:BY31)</f>
        <v>-346500</v>
      </c>
      <c r="AA24" s="156">
        <f>SUM(Financials!BZ31:CB31)</f>
        <v>-350350</v>
      </c>
      <c r="AB24" s="156">
        <f>SUM(Financials!CC31:CE31)</f>
        <v>-354200</v>
      </c>
      <c r="AC24" s="156">
        <f>SUM(Financials!CF31:CH31)</f>
        <v>-354200</v>
      </c>
      <c r="AD24" s="156">
        <f>SUM(Financials!CI31:CK31)</f>
        <v>-346500</v>
      </c>
      <c r="AE24" s="156">
        <f>SUM(Financials!CL31:CN31)</f>
        <v>-350350</v>
      </c>
      <c r="AF24" s="156">
        <f>SUM(Financials!CO31:CQ31)</f>
        <v>-354200</v>
      </c>
      <c r="AG24" s="156">
        <f>SUM(Financials!CR31:CT31)</f>
        <v>-354200</v>
      </c>
      <c r="AH24" s="156">
        <f>SUM(Financials!CU31:CW31)</f>
        <v>-346500</v>
      </c>
      <c r="AI24" s="156">
        <f>SUM(Financials!CX31:CZ31)</f>
        <v>-350350</v>
      </c>
      <c r="AJ24" s="156">
        <f>SUM(Financials!DA31:DC31)</f>
        <v>-354200</v>
      </c>
      <c r="AK24" s="156">
        <f>SUM(Financials!DD31:DF31)</f>
        <v>-354200</v>
      </c>
      <c r="AL24" s="156">
        <f>SUM(Financials!DG31:DI31)</f>
        <v>-346500</v>
      </c>
      <c r="AM24" s="156">
        <f>SUM(Financials!DJ31:DL31)</f>
        <v>-350350</v>
      </c>
      <c r="AN24" s="156">
        <f>SUM(Financials!DM31:DO31)</f>
        <v>-354200</v>
      </c>
      <c r="AO24" s="156">
        <f>SUM(Financials!DP31:DR31)</f>
        <v>-354200</v>
      </c>
      <c r="AP24" s="156">
        <f>SUM(Financials!DS31:DU31)</f>
        <v>-346500</v>
      </c>
      <c r="AQ24" s="156">
        <f>SUM(Financials!DV31:DX31)</f>
        <v>-350350</v>
      </c>
      <c r="AR24" s="156">
        <f>SUM(Financials!DY31:EA31)</f>
        <v>-354200</v>
      </c>
      <c r="AS24" s="156">
        <f>SUM(Financials!EB31:ED31)</f>
        <v>-354200</v>
      </c>
      <c r="AT24" s="156">
        <f>SUM(Financials!EE31:EG31)</f>
        <v>-346500</v>
      </c>
      <c r="AU24" s="156">
        <f>SUM(Financials!EH31:EJ31)</f>
        <v>-350350</v>
      </c>
      <c r="AV24" s="156">
        <f>SUM(Financials!EK31:EM31)</f>
        <v>-354200</v>
      </c>
      <c r="AW24" s="156">
        <f>SUM(Financials!EN31:EP31)</f>
        <v>-354200</v>
      </c>
      <c r="AX24" s="156">
        <f>SUM(Financials!EQ31:ES31)</f>
        <v>-346500</v>
      </c>
      <c r="AY24" s="156">
        <f>SUM(Financials!ET31:EV31)</f>
        <v>-350350</v>
      </c>
      <c r="AZ24" s="156">
        <f>SUM(Financials!EW31:EY31)</f>
        <v>-354200</v>
      </c>
      <c r="BA24" s="156">
        <f>SUM(Financials!EZ31:FB31)</f>
        <v>-354200</v>
      </c>
      <c r="BB24" s="156">
        <f>SUM(Financials!FC31:FE31)</f>
        <v>-346500</v>
      </c>
      <c r="BC24" s="156">
        <f>SUM(Financials!FF31:FH31)</f>
        <v>-350350</v>
      </c>
      <c r="BD24" s="156">
        <f>SUM(Financials!FI31:FK31)</f>
        <v>-354200</v>
      </c>
      <c r="BE24" s="156">
        <f>SUM(Financials!FL31:FN31)</f>
        <v>-354200</v>
      </c>
      <c r="BF24" s="156">
        <f>SUM(Financials!FO31:FQ31)</f>
        <v>-346500</v>
      </c>
      <c r="BG24" s="156">
        <f>SUM(Financials!FR31:FT31)</f>
        <v>-350350</v>
      </c>
      <c r="BH24" s="156">
        <f>SUM(Financials!FU31:FW31)</f>
        <v>-354200</v>
      </c>
      <c r="BI24" s="156">
        <f>SUM(Financials!FX31:FZ31)</f>
        <v>-354200</v>
      </c>
      <c r="BJ24" s="156">
        <f>SUM(Financials!GA31:GC31)</f>
        <v>-346500</v>
      </c>
      <c r="BK24" s="156">
        <f>SUM(Financials!GD31:GF31)</f>
        <v>-350350</v>
      </c>
      <c r="BL24" s="156">
        <f>SUM(Financials!GG31:GI31)</f>
        <v>-354200</v>
      </c>
      <c r="BM24" s="156">
        <f>SUM(Financials!GJ31:GL31)</f>
        <v>-354200</v>
      </c>
      <c r="BN24" s="156">
        <f>SUM(Financials!GM31:GO31)</f>
        <v>-346500</v>
      </c>
      <c r="BO24" s="156">
        <f>SUM(Financials!GP31:GR31)</f>
        <v>-350350</v>
      </c>
      <c r="BP24" s="156">
        <f>SUM(Financials!GS31:GU31)</f>
        <v>-354200</v>
      </c>
      <c r="BQ24" s="156">
        <f>SUM(Financials!GV31:GX31)</f>
        <v>-354200</v>
      </c>
      <c r="BR24" s="156">
        <f>SUM(Financials!GY31:HA31)</f>
        <v>-346500</v>
      </c>
      <c r="BS24" s="156">
        <f>SUM(Financials!HB31:HD31)</f>
        <v>-350350</v>
      </c>
      <c r="BT24" s="156">
        <f>SUM(Financials!HE31:HG31)</f>
        <v>-354200</v>
      </c>
      <c r="BU24" s="156">
        <f>SUM(Financials!HH31:HJ31)</f>
        <v>-354200</v>
      </c>
      <c r="BV24" s="156">
        <f>SUM(Financials!HK31:HM31)</f>
        <v>-346500</v>
      </c>
      <c r="BW24" s="156">
        <f>SUM(Financials!HN31:HP31)</f>
        <v>-350350</v>
      </c>
      <c r="BX24" s="156">
        <f>SUM(Financials!HQ31:HS31)</f>
        <v>-354200</v>
      </c>
      <c r="BY24" s="156">
        <f>SUM(Financials!HT31:HV31)</f>
        <v>-354200</v>
      </c>
      <c r="BZ24" s="156">
        <f>SUM(Financials!HW31:HY31)</f>
        <v>-346500</v>
      </c>
      <c r="CA24" s="156">
        <f>SUM(Financials!HZ31:IB31)</f>
        <v>-350350</v>
      </c>
      <c r="CB24" s="156">
        <f>SUM(Financials!IC31:IE31)</f>
        <v>-354200</v>
      </c>
      <c r="CC24" s="156">
        <f>SUM(Financials!IF31:IH31)</f>
        <v>-354200</v>
      </c>
      <c r="CD24" s="156">
        <f>SUM(Financials!II31:IK31)</f>
        <v>-346500</v>
      </c>
      <c r="CE24" s="156">
        <f>SUM(Financials!IL31:IN31)</f>
        <v>-350350</v>
      </c>
      <c r="CF24" s="156">
        <f>SUM(Financials!IO31:IQ31)</f>
        <v>-354200</v>
      </c>
      <c r="CG24" s="156">
        <f>SUM(Financials!IR31:IT31)</f>
        <v>-354200</v>
      </c>
      <c r="CH24" s="156">
        <f>SUM(Financials!IU31:IW31)</f>
        <v>-346500</v>
      </c>
      <c r="CI24" s="156">
        <f>SUM(Financials!IX31:IZ31)</f>
        <v>-350350</v>
      </c>
      <c r="CJ24" s="156">
        <f>SUM(Financials!JA31:JC31)</f>
        <v>-354200</v>
      </c>
      <c r="CK24" s="156">
        <f>SUM(Financials!JD31:JF31)</f>
        <v>-354200</v>
      </c>
      <c r="CL24" s="156">
        <f>SUM(Financials!JG31:JI31)</f>
        <v>-346500</v>
      </c>
      <c r="CM24" s="156">
        <f>SUM(Financials!JJ31:JL31)</f>
        <v>-350350</v>
      </c>
      <c r="CN24" s="156">
        <f>SUM(Financials!JM31:JO31)</f>
        <v>-354200</v>
      </c>
      <c r="CO24" s="156">
        <f>SUM(Financials!JP31:JR31)</f>
        <v>-354200</v>
      </c>
    </row>
    <row r="25" spans="1:93" x14ac:dyDescent="0.25">
      <c r="A25" s="152" t="str">
        <f>Financials!B32</f>
        <v>Tire tipping fees</v>
      </c>
      <c r="B25" s="156">
        <f>SUM(Financials!C32:E32)</f>
        <v>0</v>
      </c>
      <c r="C25" s="156">
        <f>SUM(Financials!F32:H32)</f>
        <v>0</v>
      </c>
      <c r="D25" s="156">
        <f>SUM(Financials!I32:K32)</f>
        <v>0</v>
      </c>
      <c r="E25" s="156">
        <f>SUM(Financials!L32:N32)</f>
        <v>0</v>
      </c>
      <c r="F25" s="156">
        <f>SUM(Financials!O32:Q32)</f>
        <v>0</v>
      </c>
      <c r="G25" s="156">
        <f>SUM(Financials!R32:T32)</f>
        <v>0</v>
      </c>
      <c r="H25" s="156">
        <f>SUM(Financials!U32:W32)</f>
        <v>0</v>
      </c>
      <c r="I25" s="156">
        <f>SUM(Financials!X32:Z32)</f>
        <v>0</v>
      </c>
      <c r="J25" s="156">
        <f>SUM(Financials!AA32:AC32)</f>
        <v>0</v>
      </c>
      <c r="K25" s="156">
        <f>SUM(Financials!AD32:AF32)</f>
        <v>0</v>
      </c>
      <c r="L25" s="156">
        <f>SUM(Financials!AG32:AI32)</f>
        <v>0</v>
      </c>
      <c r="M25" s="156">
        <f>SUM(Financials!AJ32:AL32)</f>
        <v>0</v>
      </c>
      <c r="N25" s="156">
        <f>SUM(Financials!AM32:AO32)</f>
        <v>0</v>
      </c>
      <c r="O25" s="156">
        <f>SUM(Financials!AP32:AR32)</f>
        <v>0</v>
      </c>
      <c r="P25" s="156">
        <f>SUM(Financials!AS32:AU32)</f>
        <v>0</v>
      </c>
      <c r="Q25" s="156">
        <f>SUM(Financials!AV32:AX32)</f>
        <v>0</v>
      </c>
      <c r="R25" s="156">
        <f>SUM(Financials!AY32:BA32)</f>
        <v>0</v>
      </c>
      <c r="S25" s="156">
        <f>SUM(Financials!BB32:BD32)</f>
        <v>0</v>
      </c>
      <c r="T25" s="156">
        <f>SUM(Financials!BE32:BG32)</f>
        <v>0</v>
      </c>
      <c r="U25" s="156">
        <f>SUM(Financials!BH32:BJ32)</f>
        <v>0</v>
      </c>
      <c r="V25" s="156">
        <f>SUM(Financials!BK32:BM32)</f>
        <v>0</v>
      </c>
      <c r="W25" s="156">
        <f>SUM(Financials!BN32:BP32)</f>
        <v>0</v>
      </c>
      <c r="X25" s="156">
        <f>SUM(Financials!BQ32:BS32)</f>
        <v>0</v>
      </c>
      <c r="Y25" s="156">
        <f>SUM(Financials!BT32:BV32)</f>
        <v>0</v>
      </c>
      <c r="Z25" s="156">
        <f>SUM(Financials!BW32:BY32)</f>
        <v>0</v>
      </c>
      <c r="AA25" s="156">
        <f>SUM(Financials!BZ32:CB32)</f>
        <v>0</v>
      </c>
      <c r="AB25" s="156">
        <f>SUM(Financials!CC32:CE32)</f>
        <v>0</v>
      </c>
      <c r="AC25" s="156">
        <f>SUM(Financials!CF32:CH32)</f>
        <v>0</v>
      </c>
      <c r="AD25" s="156">
        <f>SUM(Financials!CI32:CK32)</f>
        <v>0</v>
      </c>
      <c r="AE25" s="156">
        <f>SUM(Financials!CL32:CN32)</f>
        <v>0</v>
      </c>
      <c r="AF25" s="156">
        <f>SUM(Financials!CO32:CQ32)</f>
        <v>0</v>
      </c>
      <c r="AG25" s="156">
        <f>SUM(Financials!CR32:CT32)</f>
        <v>0</v>
      </c>
      <c r="AH25" s="156">
        <f>SUM(Financials!CU32:CW32)</f>
        <v>0</v>
      </c>
      <c r="AI25" s="156">
        <f>SUM(Financials!CX32:CZ32)</f>
        <v>0</v>
      </c>
      <c r="AJ25" s="156">
        <f>SUM(Financials!DA32:DC32)</f>
        <v>0</v>
      </c>
      <c r="AK25" s="156">
        <f>SUM(Financials!DD32:DF32)</f>
        <v>0</v>
      </c>
      <c r="AL25" s="156">
        <f>SUM(Financials!DG32:DI32)</f>
        <v>0</v>
      </c>
      <c r="AM25" s="156">
        <f>SUM(Financials!DJ32:DL32)</f>
        <v>0</v>
      </c>
      <c r="AN25" s="156">
        <f>SUM(Financials!DM32:DO32)</f>
        <v>0</v>
      </c>
      <c r="AO25" s="156">
        <f>SUM(Financials!DP32:DR32)</f>
        <v>0</v>
      </c>
      <c r="AP25" s="156">
        <f>SUM(Financials!DS32:DU32)</f>
        <v>0</v>
      </c>
      <c r="AQ25" s="156">
        <f>SUM(Financials!DV32:DX32)</f>
        <v>0</v>
      </c>
      <c r="AR25" s="156">
        <f>SUM(Financials!DY32:EA32)</f>
        <v>0</v>
      </c>
      <c r="AS25" s="156">
        <f>SUM(Financials!EB32:ED32)</f>
        <v>0</v>
      </c>
      <c r="AT25" s="156">
        <f>SUM(Financials!EE32:EG32)</f>
        <v>0</v>
      </c>
      <c r="AU25" s="156">
        <f>SUM(Financials!EH32:EJ32)</f>
        <v>0</v>
      </c>
      <c r="AV25" s="156">
        <f>SUM(Financials!EK32:EM32)</f>
        <v>0</v>
      </c>
      <c r="AW25" s="156">
        <f>SUM(Financials!EN32:EP32)</f>
        <v>0</v>
      </c>
      <c r="AX25" s="156">
        <f>SUM(Financials!EQ32:ES32)</f>
        <v>0</v>
      </c>
      <c r="AY25" s="156">
        <f>SUM(Financials!ET32:EV32)</f>
        <v>0</v>
      </c>
      <c r="AZ25" s="156">
        <f>SUM(Financials!EW32:EY32)</f>
        <v>0</v>
      </c>
      <c r="BA25" s="156">
        <f>SUM(Financials!EZ32:FB32)</f>
        <v>0</v>
      </c>
      <c r="BB25" s="156">
        <f>SUM(Financials!FC32:FE32)</f>
        <v>0</v>
      </c>
      <c r="BC25" s="156">
        <f>SUM(Financials!FF32:FH32)</f>
        <v>0</v>
      </c>
      <c r="BD25" s="156">
        <f>SUM(Financials!FI32:FK32)</f>
        <v>0</v>
      </c>
      <c r="BE25" s="156">
        <f>SUM(Financials!FL32:FN32)</f>
        <v>0</v>
      </c>
      <c r="BF25" s="156">
        <f>SUM(Financials!FO32:FQ32)</f>
        <v>0</v>
      </c>
      <c r="BG25" s="156">
        <f>SUM(Financials!FR32:FT32)</f>
        <v>0</v>
      </c>
      <c r="BH25" s="156">
        <f>SUM(Financials!FU32:FW32)</f>
        <v>0</v>
      </c>
      <c r="BI25" s="156">
        <f>SUM(Financials!FX32:FZ32)</f>
        <v>0</v>
      </c>
      <c r="BJ25" s="156">
        <f>SUM(Financials!GA32:GC32)</f>
        <v>0</v>
      </c>
      <c r="BK25" s="156">
        <f>SUM(Financials!GD32:GF32)</f>
        <v>0</v>
      </c>
      <c r="BL25" s="156">
        <f>SUM(Financials!GG32:GI32)</f>
        <v>0</v>
      </c>
      <c r="BM25" s="156">
        <f>SUM(Financials!GJ32:GL32)</f>
        <v>0</v>
      </c>
      <c r="BN25" s="156">
        <f>SUM(Financials!GM32:GO32)</f>
        <v>0</v>
      </c>
      <c r="BO25" s="156">
        <f>SUM(Financials!GP32:GR32)</f>
        <v>0</v>
      </c>
      <c r="BP25" s="156">
        <f>SUM(Financials!GS32:GU32)</f>
        <v>0</v>
      </c>
      <c r="BQ25" s="156">
        <f>SUM(Financials!GV32:GX32)</f>
        <v>0</v>
      </c>
      <c r="BR25" s="156">
        <f>SUM(Financials!GY32:HA32)</f>
        <v>0</v>
      </c>
      <c r="BS25" s="156">
        <f>SUM(Financials!HB32:HD32)</f>
        <v>0</v>
      </c>
      <c r="BT25" s="156">
        <f>SUM(Financials!HE32:HG32)</f>
        <v>0</v>
      </c>
      <c r="BU25" s="156">
        <f>SUM(Financials!HH32:HJ32)</f>
        <v>0</v>
      </c>
      <c r="BV25" s="156">
        <f>SUM(Financials!HK32:HM32)</f>
        <v>0</v>
      </c>
      <c r="BW25" s="156">
        <f>SUM(Financials!HN32:HP32)</f>
        <v>0</v>
      </c>
      <c r="BX25" s="156">
        <f>SUM(Financials!HQ32:HS32)</f>
        <v>0</v>
      </c>
      <c r="BY25" s="156">
        <f>SUM(Financials!HT32:HV32)</f>
        <v>0</v>
      </c>
      <c r="BZ25" s="156">
        <f>SUM(Financials!HW32:HY32)</f>
        <v>0</v>
      </c>
      <c r="CA25" s="156">
        <f>SUM(Financials!HZ32:IB32)</f>
        <v>0</v>
      </c>
      <c r="CB25" s="156">
        <f>SUM(Financials!IC32:IE32)</f>
        <v>0</v>
      </c>
      <c r="CC25" s="156">
        <f>SUM(Financials!IF32:IH32)</f>
        <v>0</v>
      </c>
      <c r="CD25" s="156">
        <f>SUM(Financials!II32:IK32)</f>
        <v>0</v>
      </c>
      <c r="CE25" s="156">
        <f>SUM(Financials!IL32:IN32)</f>
        <v>0</v>
      </c>
      <c r="CF25" s="156">
        <f>SUM(Financials!IO32:IQ32)</f>
        <v>0</v>
      </c>
      <c r="CG25" s="156">
        <f>SUM(Financials!IR32:IT32)</f>
        <v>0</v>
      </c>
      <c r="CH25" s="156">
        <f>SUM(Financials!IU32:IW32)</f>
        <v>0</v>
      </c>
      <c r="CI25" s="156">
        <f>SUM(Financials!IX32:IZ32)</f>
        <v>0</v>
      </c>
      <c r="CJ25" s="156">
        <f>SUM(Financials!JA32:JC32)</f>
        <v>0</v>
      </c>
      <c r="CK25" s="156">
        <f>SUM(Financials!JD32:JF32)</f>
        <v>0</v>
      </c>
      <c r="CL25" s="156">
        <f>SUM(Financials!JG32:JI32)</f>
        <v>0</v>
      </c>
      <c r="CM25" s="156">
        <f>SUM(Financials!JJ32:JL32)</f>
        <v>0</v>
      </c>
      <c r="CN25" s="156">
        <f>SUM(Financials!JM32:JO32)</f>
        <v>0</v>
      </c>
      <c r="CO25" s="156">
        <f>SUM(Financials!JP32:JR32)</f>
        <v>0</v>
      </c>
    </row>
    <row r="26" spans="1:93" x14ac:dyDescent="0.25">
      <c r="A26" s="152" t="str">
        <f>Financials!B33</f>
        <v>Renewable Energy Credits</v>
      </c>
      <c r="B26" s="156">
        <f>SUM(Financials!C33:E33)</f>
        <v>0</v>
      </c>
      <c r="C26" s="156">
        <f>SUM(Financials!F33:H33)</f>
        <v>0</v>
      </c>
      <c r="D26" s="156">
        <f>SUM(Financials!I33:K33)</f>
        <v>0</v>
      </c>
      <c r="E26" s="156">
        <f>SUM(Financials!L33:N33)</f>
        <v>0</v>
      </c>
      <c r="F26" s="156">
        <f>SUM(Financials!O33:Q33)</f>
        <v>0</v>
      </c>
      <c r="G26" s="156">
        <f>SUM(Financials!R33:T33)</f>
        <v>0</v>
      </c>
      <c r="H26" s="156">
        <f>SUM(Financials!U33:W33)</f>
        <v>0</v>
      </c>
      <c r="I26" s="156">
        <f>SUM(Financials!X33:Z33)</f>
        <v>0</v>
      </c>
      <c r="J26" s="156">
        <f>SUM(Financials!AA33:AC33)</f>
        <v>0</v>
      </c>
      <c r="K26" s="156">
        <f>SUM(Financials!AD33:AF33)</f>
        <v>0</v>
      </c>
      <c r="L26" s="156">
        <f>SUM(Financials!AG33:AI33)</f>
        <v>0</v>
      </c>
      <c r="M26" s="156">
        <f>SUM(Financials!AJ33:AL33)</f>
        <v>0</v>
      </c>
      <c r="N26" s="156">
        <f>SUM(Financials!AM33:AO33)</f>
        <v>0</v>
      </c>
      <c r="O26" s="156">
        <f>SUM(Financials!AP33:AR33)</f>
        <v>0</v>
      </c>
      <c r="P26" s="156">
        <f>SUM(Financials!AS33:AU33)</f>
        <v>0</v>
      </c>
      <c r="Q26" s="156">
        <f>SUM(Financials!AV33:AX33)</f>
        <v>0</v>
      </c>
      <c r="R26" s="156">
        <f>SUM(Financials!AY33:BA33)</f>
        <v>0</v>
      </c>
      <c r="S26" s="156">
        <f>SUM(Financials!BB33:BD33)</f>
        <v>0</v>
      </c>
      <c r="T26" s="156">
        <f>SUM(Financials!BE33:BG33)</f>
        <v>0</v>
      </c>
      <c r="U26" s="156">
        <f>SUM(Financials!BH33:BJ33)</f>
        <v>0</v>
      </c>
      <c r="V26" s="156">
        <f>SUM(Financials!BK33:BM33)</f>
        <v>0</v>
      </c>
      <c r="W26" s="156">
        <f>SUM(Financials!BN33:BP33)</f>
        <v>0</v>
      </c>
      <c r="X26" s="156">
        <f>SUM(Financials!BQ33:BS33)</f>
        <v>0</v>
      </c>
      <c r="Y26" s="156">
        <f>SUM(Financials!BT33:BV33)</f>
        <v>0</v>
      </c>
      <c r="Z26" s="156">
        <f>SUM(Financials!BW33:BY33)</f>
        <v>0</v>
      </c>
      <c r="AA26" s="156">
        <f>SUM(Financials!BZ33:CB33)</f>
        <v>0</v>
      </c>
      <c r="AB26" s="156">
        <f>SUM(Financials!CC33:CE33)</f>
        <v>0</v>
      </c>
      <c r="AC26" s="156">
        <f>SUM(Financials!CF33:CH33)</f>
        <v>0</v>
      </c>
      <c r="AD26" s="156">
        <f>SUM(Financials!CI33:CK33)</f>
        <v>0</v>
      </c>
      <c r="AE26" s="156">
        <f>SUM(Financials!CL33:CN33)</f>
        <v>0</v>
      </c>
      <c r="AF26" s="156">
        <f>SUM(Financials!CO33:CQ33)</f>
        <v>0</v>
      </c>
      <c r="AG26" s="156">
        <f>SUM(Financials!CR33:CT33)</f>
        <v>0</v>
      </c>
      <c r="AH26" s="156">
        <f>SUM(Financials!CU33:CW33)</f>
        <v>0</v>
      </c>
      <c r="AI26" s="156">
        <f>SUM(Financials!CX33:CZ33)</f>
        <v>0</v>
      </c>
      <c r="AJ26" s="156">
        <f>SUM(Financials!DA33:DC33)</f>
        <v>0</v>
      </c>
      <c r="AK26" s="156">
        <f>SUM(Financials!DD33:DF33)</f>
        <v>0</v>
      </c>
      <c r="AL26" s="156">
        <f>SUM(Financials!DG33:DI33)</f>
        <v>0</v>
      </c>
      <c r="AM26" s="156">
        <f>SUM(Financials!DJ33:DL33)</f>
        <v>0</v>
      </c>
      <c r="AN26" s="156">
        <f>SUM(Financials!DM33:DO33)</f>
        <v>0</v>
      </c>
      <c r="AO26" s="156">
        <f>SUM(Financials!DP33:DR33)</f>
        <v>0</v>
      </c>
      <c r="AP26" s="156">
        <f>SUM(Financials!DS33:DU33)</f>
        <v>0</v>
      </c>
      <c r="AQ26" s="156">
        <f>SUM(Financials!DV33:DX33)</f>
        <v>0</v>
      </c>
      <c r="AR26" s="156">
        <f>SUM(Financials!DY33:EA33)</f>
        <v>0</v>
      </c>
      <c r="AS26" s="156">
        <f>SUM(Financials!EB33:ED33)</f>
        <v>0</v>
      </c>
      <c r="AT26" s="156">
        <f>SUM(Financials!EE33:EG33)</f>
        <v>0</v>
      </c>
      <c r="AU26" s="156">
        <f>SUM(Financials!EH33:EJ33)</f>
        <v>0</v>
      </c>
      <c r="AV26" s="156">
        <f>SUM(Financials!EK33:EM33)</f>
        <v>0</v>
      </c>
      <c r="AW26" s="156">
        <f>SUM(Financials!EN33:EP33)</f>
        <v>0</v>
      </c>
      <c r="AX26" s="156">
        <f>SUM(Financials!EQ33:ES33)</f>
        <v>0</v>
      </c>
      <c r="AY26" s="156">
        <f>SUM(Financials!ET33:EV33)</f>
        <v>0</v>
      </c>
      <c r="AZ26" s="156">
        <f>SUM(Financials!EW33:EY33)</f>
        <v>0</v>
      </c>
      <c r="BA26" s="156">
        <f>SUM(Financials!EZ33:FB33)</f>
        <v>0</v>
      </c>
      <c r="BB26" s="156">
        <f>SUM(Financials!FC33:FE33)</f>
        <v>0</v>
      </c>
      <c r="BC26" s="156">
        <f>SUM(Financials!FF33:FH33)</f>
        <v>0</v>
      </c>
      <c r="BD26" s="156">
        <f>SUM(Financials!FI33:FK33)</f>
        <v>0</v>
      </c>
      <c r="BE26" s="156">
        <f>SUM(Financials!FL33:FN33)</f>
        <v>0</v>
      </c>
      <c r="BF26" s="156">
        <f>SUM(Financials!FO33:FQ33)</f>
        <v>0</v>
      </c>
      <c r="BG26" s="156">
        <f>SUM(Financials!FR33:FT33)</f>
        <v>0</v>
      </c>
      <c r="BH26" s="156">
        <f>SUM(Financials!FU33:FW33)</f>
        <v>0</v>
      </c>
      <c r="BI26" s="156">
        <f>SUM(Financials!FX33:FZ33)</f>
        <v>0</v>
      </c>
      <c r="BJ26" s="156">
        <f>SUM(Financials!GA33:GC33)</f>
        <v>0</v>
      </c>
      <c r="BK26" s="156">
        <f>SUM(Financials!GD33:GF33)</f>
        <v>0</v>
      </c>
      <c r="BL26" s="156">
        <f>SUM(Financials!GG33:GI33)</f>
        <v>0</v>
      </c>
      <c r="BM26" s="156">
        <f>SUM(Financials!GJ33:GL33)</f>
        <v>0</v>
      </c>
      <c r="BN26" s="156">
        <f>SUM(Financials!GM33:GO33)</f>
        <v>0</v>
      </c>
      <c r="BO26" s="156">
        <f>SUM(Financials!GP33:GR33)</f>
        <v>0</v>
      </c>
      <c r="BP26" s="156">
        <f>SUM(Financials!GS33:GU33)</f>
        <v>0</v>
      </c>
      <c r="BQ26" s="156">
        <f>SUM(Financials!GV33:GX33)</f>
        <v>0</v>
      </c>
      <c r="BR26" s="156">
        <f>SUM(Financials!GY33:HA33)</f>
        <v>0</v>
      </c>
      <c r="BS26" s="156">
        <f>SUM(Financials!HB33:HD33)</f>
        <v>0</v>
      </c>
      <c r="BT26" s="156">
        <f>SUM(Financials!HE33:HG33)</f>
        <v>0</v>
      </c>
      <c r="BU26" s="156">
        <f>SUM(Financials!HH33:HJ33)</f>
        <v>0</v>
      </c>
      <c r="BV26" s="156">
        <f>SUM(Financials!HK33:HM33)</f>
        <v>0</v>
      </c>
      <c r="BW26" s="156">
        <f>SUM(Financials!HN33:HP33)</f>
        <v>0</v>
      </c>
      <c r="BX26" s="156">
        <f>SUM(Financials!HQ33:HS33)</f>
        <v>0</v>
      </c>
      <c r="BY26" s="156">
        <f>SUM(Financials!HT33:HV33)</f>
        <v>0</v>
      </c>
      <c r="BZ26" s="156">
        <f>SUM(Financials!HW33:HY33)</f>
        <v>0</v>
      </c>
      <c r="CA26" s="156">
        <f>SUM(Financials!HZ33:IB33)</f>
        <v>0</v>
      </c>
      <c r="CB26" s="156">
        <f>SUM(Financials!IC33:IE33)</f>
        <v>0</v>
      </c>
      <c r="CC26" s="156">
        <f>SUM(Financials!IF33:IH33)</f>
        <v>0</v>
      </c>
      <c r="CD26" s="156">
        <f>SUM(Financials!II33:IK33)</f>
        <v>0</v>
      </c>
      <c r="CE26" s="156">
        <f>SUM(Financials!IL33:IN33)</f>
        <v>0</v>
      </c>
      <c r="CF26" s="156">
        <f>SUM(Financials!IO33:IQ33)</f>
        <v>0</v>
      </c>
      <c r="CG26" s="156">
        <f>SUM(Financials!IR33:IT33)</f>
        <v>0</v>
      </c>
      <c r="CH26" s="156">
        <f>SUM(Financials!IU33:IW33)</f>
        <v>0</v>
      </c>
      <c r="CI26" s="156">
        <f>SUM(Financials!IX33:IZ33)</f>
        <v>0</v>
      </c>
      <c r="CJ26" s="156">
        <f>SUM(Financials!JA33:JC33)</f>
        <v>0</v>
      </c>
      <c r="CK26" s="156">
        <f>SUM(Financials!JD33:JF33)</f>
        <v>0</v>
      </c>
      <c r="CL26" s="156">
        <f>SUM(Financials!JG33:JI33)</f>
        <v>0</v>
      </c>
      <c r="CM26" s="156">
        <f>SUM(Financials!JJ33:JL33)</f>
        <v>0</v>
      </c>
      <c r="CN26" s="156">
        <f>SUM(Financials!JM33:JO33)</f>
        <v>0</v>
      </c>
      <c r="CO26" s="156">
        <f>SUM(Financials!JP33:JR33)</f>
        <v>0</v>
      </c>
    </row>
    <row r="27" spans="1:93" ht="15.75" thickBot="1" x14ac:dyDescent="0.3">
      <c r="A27" s="152" t="str">
        <f>Financials!B34</f>
        <v>Carbon Credits</v>
      </c>
      <c r="B27" s="156">
        <f>SUM(Financials!C34:E34)</f>
        <v>0</v>
      </c>
      <c r="C27" s="156">
        <f>SUM(Financials!F34:H34)</f>
        <v>0</v>
      </c>
      <c r="D27" s="156">
        <f>SUM(Financials!I34:K34)</f>
        <v>0</v>
      </c>
      <c r="E27" s="156">
        <f>SUM(Financials!L34:N34)</f>
        <v>0</v>
      </c>
      <c r="F27" s="156">
        <f>SUM(Financials!O34:Q34)</f>
        <v>0</v>
      </c>
      <c r="G27" s="156">
        <f>SUM(Financials!R34:T34)</f>
        <v>0</v>
      </c>
      <c r="H27" s="156">
        <f>SUM(Financials!U34:W34)</f>
        <v>0</v>
      </c>
      <c r="I27" s="156">
        <f>SUM(Financials!X34:Z34)</f>
        <v>0</v>
      </c>
      <c r="J27" s="156">
        <f>SUM(Financials!AA34:AC34)</f>
        <v>0</v>
      </c>
      <c r="K27" s="156">
        <f>SUM(Financials!AD34:AF34)</f>
        <v>0</v>
      </c>
      <c r="L27" s="156">
        <f>SUM(Financials!AG34:AI34)</f>
        <v>0</v>
      </c>
      <c r="M27" s="156">
        <f>SUM(Financials!AJ34:AL34)</f>
        <v>0</v>
      </c>
      <c r="N27" s="156">
        <f>SUM(Financials!AM34:AO34)</f>
        <v>0</v>
      </c>
      <c r="O27" s="156">
        <f>SUM(Financials!AP34:AR34)</f>
        <v>0</v>
      </c>
      <c r="P27" s="156">
        <f>SUM(Financials!AS34:AU34)</f>
        <v>0</v>
      </c>
      <c r="Q27" s="156">
        <f>SUM(Financials!AV34:AX34)</f>
        <v>0</v>
      </c>
      <c r="R27" s="156">
        <f>SUM(Financials!AY34:BA34)</f>
        <v>0</v>
      </c>
      <c r="S27" s="156">
        <f>SUM(Financials!BB34:BD34)</f>
        <v>0</v>
      </c>
      <c r="T27" s="156">
        <f>SUM(Financials!BE34:BG34)</f>
        <v>0</v>
      </c>
      <c r="U27" s="156">
        <f>SUM(Financials!BH34:BJ34)</f>
        <v>0</v>
      </c>
      <c r="V27" s="156">
        <f>SUM(Financials!BK34:BM34)</f>
        <v>0</v>
      </c>
      <c r="W27" s="156">
        <f>SUM(Financials!BN34:BP34)</f>
        <v>0</v>
      </c>
      <c r="X27" s="156">
        <f>SUM(Financials!BQ34:BS34)</f>
        <v>0</v>
      </c>
      <c r="Y27" s="156">
        <f>SUM(Financials!BT34:BV34)</f>
        <v>0</v>
      </c>
      <c r="Z27" s="156">
        <f>SUM(Financials!BW34:BY34)</f>
        <v>0</v>
      </c>
      <c r="AA27" s="156">
        <f>SUM(Financials!BZ34:CB34)</f>
        <v>0</v>
      </c>
      <c r="AB27" s="156">
        <f>SUM(Financials!CC34:CE34)</f>
        <v>0</v>
      </c>
      <c r="AC27" s="156">
        <f>SUM(Financials!CF34:CH34)</f>
        <v>0</v>
      </c>
      <c r="AD27" s="156">
        <f>SUM(Financials!CI34:CK34)</f>
        <v>0</v>
      </c>
      <c r="AE27" s="156">
        <f>SUM(Financials!CL34:CN34)</f>
        <v>0</v>
      </c>
      <c r="AF27" s="156">
        <f>SUM(Financials!CO34:CQ34)</f>
        <v>0</v>
      </c>
      <c r="AG27" s="156">
        <f>SUM(Financials!CR34:CT34)</f>
        <v>0</v>
      </c>
      <c r="AH27" s="156">
        <f>SUM(Financials!CU34:CW34)</f>
        <v>0</v>
      </c>
      <c r="AI27" s="156">
        <f>SUM(Financials!CX34:CZ34)</f>
        <v>0</v>
      </c>
      <c r="AJ27" s="156">
        <f>SUM(Financials!DA34:DC34)</f>
        <v>0</v>
      </c>
      <c r="AK27" s="156">
        <f>SUM(Financials!DD34:DF34)</f>
        <v>0</v>
      </c>
      <c r="AL27" s="156">
        <f>SUM(Financials!DG34:DI34)</f>
        <v>0</v>
      </c>
      <c r="AM27" s="156">
        <f>SUM(Financials!DJ34:DL34)</f>
        <v>0</v>
      </c>
      <c r="AN27" s="156">
        <f>SUM(Financials!DM34:DO34)</f>
        <v>0</v>
      </c>
      <c r="AO27" s="156">
        <f>SUM(Financials!DP34:DR34)</f>
        <v>0</v>
      </c>
      <c r="AP27" s="156">
        <f>SUM(Financials!DS34:DU34)</f>
        <v>0</v>
      </c>
      <c r="AQ27" s="156">
        <f>SUM(Financials!DV34:DX34)</f>
        <v>0</v>
      </c>
      <c r="AR27" s="156">
        <f>SUM(Financials!DY34:EA34)</f>
        <v>0</v>
      </c>
      <c r="AS27" s="156">
        <f>SUM(Financials!EB34:ED34)</f>
        <v>0</v>
      </c>
      <c r="AT27" s="156">
        <f>SUM(Financials!EE34:EG34)</f>
        <v>0</v>
      </c>
      <c r="AU27" s="156">
        <f>SUM(Financials!EH34:EJ34)</f>
        <v>0</v>
      </c>
      <c r="AV27" s="156">
        <f>SUM(Financials!EK34:EM34)</f>
        <v>0</v>
      </c>
      <c r="AW27" s="156">
        <f>SUM(Financials!EN34:EP34)</f>
        <v>0</v>
      </c>
      <c r="AX27" s="156">
        <f>SUM(Financials!EQ34:ES34)</f>
        <v>0</v>
      </c>
      <c r="AY27" s="156">
        <f>SUM(Financials!ET34:EV34)</f>
        <v>0</v>
      </c>
      <c r="AZ27" s="156">
        <f>SUM(Financials!EW34:EY34)</f>
        <v>0</v>
      </c>
      <c r="BA27" s="156">
        <f>SUM(Financials!EZ34:FB34)</f>
        <v>0</v>
      </c>
      <c r="BB27" s="156">
        <f>SUM(Financials!FC34:FE34)</f>
        <v>0</v>
      </c>
      <c r="BC27" s="156">
        <f>SUM(Financials!FF34:FH34)</f>
        <v>0</v>
      </c>
      <c r="BD27" s="156">
        <f>SUM(Financials!FI34:FK34)</f>
        <v>0</v>
      </c>
      <c r="BE27" s="156">
        <f>SUM(Financials!FL34:FN34)</f>
        <v>0</v>
      </c>
      <c r="BF27" s="156">
        <f>SUM(Financials!FO34:FQ34)</f>
        <v>0</v>
      </c>
      <c r="BG27" s="156">
        <f>SUM(Financials!FR34:FT34)</f>
        <v>0</v>
      </c>
      <c r="BH27" s="156">
        <f>SUM(Financials!FU34:FW34)</f>
        <v>0</v>
      </c>
      <c r="BI27" s="156">
        <f>SUM(Financials!FX34:FZ34)</f>
        <v>0</v>
      </c>
      <c r="BJ27" s="156">
        <f>SUM(Financials!GA34:GC34)</f>
        <v>0</v>
      </c>
      <c r="BK27" s="156">
        <f>SUM(Financials!GD34:GF34)</f>
        <v>0</v>
      </c>
      <c r="BL27" s="156">
        <f>SUM(Financials!GG34:GI34)</f>
        <v>0</v>
      </c>
      <c r="BM27" s="156">
        <f>SUM(Financials!GJ34:GL34)</f>
        <v>0</v>
      </c>
      <c r="BN27" s="156">
        <f>SUM(Financials!GM34:GO34)</f>
        <v>0</v>
      </c>
      <c r="BO27" s="156">
        <f>SUM(Financials!GP34:GR34)</f>
        <v>0</v>
      </c>
      <c r="BP27" s="156">
        <f>SUM(Financials!GS34:GU34)</f>
        <v>0</v>
      </c>
      <c r="BQ27" s="156">
        <f>SUM(Financials!GV34:GX34)</f>
        <v>0</v>
      </c>
      <c r="BR27" s="156">
        <f>SUM(Financials!GY34:HA34)</f>
        <v>0</v>
      </c>
      <c r="BS27" s="156">
        <f>SUM(Financials!HB34:HD34)</f>
        <v>0</v>
      </c>
      <c r="BT27" s="156">
        <f>SUM(Financials!HE34:HG34)</f>
        <v>0</v>
      </c>
      <c r="BU27" s="156">
        <f>SUM(Financials!HH34:HJ34)</f>
        <v>0</v>
      </c>
      <c r="BV27" s="156">
        <f>SUM(Financials!HK34:HM34)</f>
        <v>0</v>
      </c>
      <c r="BW27" s="156">
        <f>SUM(Financials!HN34:HP34)</f>
        <v>0</v>
      </c>
      <c r="BX27" s="156">
        <f>SUM(Financials!HQ34:HS34)</f>
        <v>0</v>
      </c>
      <c r="BY27" s="156">
        <f>SUM(Financials!HT34:HV34)</f>
        <v>0</v>
      </c>
      <c r="BZ27" s="156">
        <f>SUM(Financials!HW34:HY34)</f>
        <v>0</v>
      </c>
      <c r="CA27" s="156">
        <f>SUM(Financials!HZ34:IB34)</f>
        <v>0</v>
      </c>
      <c r="CB27" s="156">
        <f>SUM(Financials!IC34:IE34)</f>
        <v>0</v>
      </c>
      <c r="CC27" s="156">
        <f>SUM(Financials!IF34:IH34)</f>
        <v>0</v>
      </c>
      <c r="CD27" s="156">
        <f>SUM(Financials!II34:IK34)</f>
        <v>0</v>
      </c>
      <c r="CE27" s="156">
        <f>SUM(Financials!IL34:IN34)</f>
        <v>0</v>
      </c>
      <c r="CF27" s="156">
        <f>SUM(Financials!IO34:IQ34)</f>
        <v>0</v>
      </c>
      <c r="CG27" s="156">
        <f>SUM(Financials!IR34:IT34)</f>
        <v>0</v>
      </c>
      <c r="CH27" s="156">
        <f>SUM(Financials!IU34:IW34)</f>
        <v>0</v>
      </c>
      <c r="CI27" s="156">
        <f>SUM(Financials!IX34:IZ34)</f>
        <v>0</v>
      </c>
      <c r="CJ27" s="156">
        <f>SUM(Financials!JA34:JC34)</f>
        <v>0</v>
      </c>
      <c r="CK27" s="156">
        <f>SUM(Financials!JD34:JF34)</f>
        <v>0</v>
      </c>
      <c r="CL27" s="156">
        <f>SUM(Financials!JG34:JI34)</f>
        <v>0</v>
      </c>
      <c r="CM27" s="156">
        <f>SUM(Financials!JJ34:JL34)</f>
        <v>0</v>
      </c>
      <c r="CN27" s="156">
        <f>SUM(Financials!JM34:JO34)</f>
        <v>0</v>
      </c>
      <c r="CO27" s="156">
        <f>SUM(Financials!JP34:JR34)</f>
        <v>0</v>
      </c>
    </row>
    <row r="28" spans="1:93" x14ac:dyDescent="0.25">
      <c r="A28" s="155" t="str">
        <f>Financials!B35</f>
        <v>Total Byproduct Revenue</v>
      </c>
      <c r="B28" s="157">
        <f>SUM(B24:B27)</f>
        <v>0</v>
      </c>
      <c r="C28" s="157">
        <f t="shared" ref="C28:BN28" si="3">SUM(C24:C27)</f>
        <v>0</v>
      </c>
      <c r="D28" s="157">
        <f t="shared" si="3"/>
        <v>0</v>
      </c>
      <c r="E28" s="157">
        <f t="shared" si="3"/>
        <v>0</v>
      </c>
      <c r="F28" s="157">
        <f t="shared" si="3"/>
        <v>0</v>
      </c>
      <c r="G28" s="157">
        <f t="shared" si="3"/>
        <v>-350350</v>
      </c>
      <c r="H28" s="157">
        <f t="shared" si="3"/>
        <v>-354200</v>
      </c>
      <c r="I28" s="157">
        <f t="shared" si="3"/>
        <v>-354200</v>
      </c>
      <c r="J28" s="157">
        <f t="shared" si="3"/>
        <v>-346500</v>
      </c>
      <c r="K28" s="157">
        <f t="shared" si="3"/>
        <v>-350350</v>
      </c>
      <c r="L28" s="157">
        <f t="shared" si="3"/>
        <v>-354200</v>
      </c>
      <c r="M28" s="157">
        <f t="shared" si="3"/>
        <v>-354200</v>
      </c>
      <c r="N28" s="157">
        <f t="shared" si="3"/>
        <v>-346500</v>
      </c>
      <c r="O28" s="157">
        <f t="shared" si="3"/>
        <v>-350350</v>
      </c>
      <c r="P28" s="157">
        <f t="shared" si="3"/>
        <v>-354200</v>
      </c>
      <c r="Q28" s="157">
        <f t="shared" si="3"/>
        <v>-354200</v>
      </c>
      <c r="R28" s="157">
        <f t="shared" si="3"/>
        <v>-350350</v>
      </c>
      <c r="S28" s="157">
        <f t="shared" si="3"/>
        <v>-350350</v>
      </c>
      <c r="T28" s="157">
        <f t="shared" si="3"/>
        <v>-354200</v>
      </c>
      <c r="U28" s="157">
        <f t="shared" si="3"/>
        <v>-354200</v>
      </c>
      <c r="V28" s="157">
        <f t="shared" si="3"/>
        <v>-346500</v>
      </c>
      <c r="W28" s="157">
        <f t="shared" si="3"/>
        <v>-350350</v>
      </c>
      <c r="X28" s="157">
        <f t="shared" si="3"/>
        <v>-354200</v>
      </c>
      <c r="Y28" s="157">
        <f t="shared" si="3"/>
        <v>-354200</v>
      </c>
      <c r="Z28" s="157">
        <f t="shared" si="3"/>
        <v>-346500</v>
      </c>
      <c r="AA28" s="157">
        <f t="shared" si="3"/>
        <v>-350350</v>
      </c>
      <c r="AB28" s="157">
        <f t="shared" si="3"/>
        <v>-354200</v>
      </c>
      <c r="AC28" s="157">
        <f t="shared" si="3"/>
        <v>-354200</v>
      </c>
      <c r="AD28" s="157">
        <f t="shared" si="3"/>
        <v>-346500</v>
      </c>
      <c r="AE28" s="157">
        <f t="shared" si="3"/>
        <v>-350350</v>
      </c>
      <c r="AF28" s="157">
        <f t="shared" si="3"/>
        <v>-354200</v>
      </c>
      <c r="AG28" s="157">
        <f t="shared" si="3"/>
        <v>-354200</v>
      </c>
      <c r="AH28" s="157">
        <f t="shared" si="3"/>
        <v>-346500</v>
      </c>
      <c r="AI28" s="157">
        <f t="shared" si="3"/>
        <v>-350350</v>
      </c>
      <c r="AJ28" s="157">
        <f t="shared" si="3"/>
        <v>-354200</v>
      </c>
      <c r="AK28" s="157">
        <f t="shared" si="3"/>
        <v>-354200</v>
      </c>
      <c r="AL28" s="157">
        <f t="shared" si="3"/>
        <v>-346500</v>
      </c>
      <c r="AM28" s="157">
        <f t="shared" si="3"/>
        <v>-350350</v>
      </c>
      <c r="AN28" s="157">
        <f t="shared" si="3"/>
        <v>-354200</v>
      </c>
      <c r="AO28" s="157">
        <f t="shared" si="3"/>
        <v>-354200</v>
      </c>
      <c r="AP28" s="157">
        <f t="shared" si="3"/>
        <v>-346500</v>
      </c>
      <c r="AQ28" s="157">
        <f t="shared" si="3"/>
        <v>-350350</v>
      </c>
      <c r="AR28" s="157">
        <f t="shared" si="3"/>
        <v>-354200</v>
      </c>
      <c r="AS28" s="157">
        <f t="shared" si="3"/>
        <v>-354200</v>
      </c>
      <c r="AT28" s="157">
        <f t="shared" si="3"/>
        <v>-346500</v>
      </c>
      <c r="AU28" s="157">
        <f t="shared" si="3"/>
        <v>-350350</v>
      </c>
      <c r="AV28" s="157">
        <f t="shared" si="3"/>
        <v>-354200</v>
      </c>
      <c r="AW28" s="157">
        <f t="shared" si="3"/>
        <v>-354200</v>
      </c>
      <c r="AX28" s="157">
        <f t="shared" si="3"/>
        <v>-346500</v>
      </c>
      <c r="AY28" s="157">
        <f t="shared" si="3"/>
        <v>-350350</v>
      </c>
      <c r="AZ28" s="157">
        <f t="shared" si="3"/>
        <v>-354200</v>
      </c>
      <c r="BA28" s="157">
        <f t="shared" si="3"/>
        <v>-354200</v>
      </c>
      <c r="BB28" s="157">
        <f t="shared" si="3"/>
        <v>-346500</v>
      </c>
      <c r="BC28" s="157">
        <f t="shared" si="3"/>
        <v>-350350</v>
      </c>
      <c r="BD28" s="157">
        <f t="shared" si="3"/>
        <v>-354200</v>
      </c>
      <c r="BE28" s="157">
        <f t="shared" si="3"/>
        <v>-354200</v>
      </c>
      <c r="BF28" s="157">
        <f t="shared" si="3"/>
        <v>-346500</v>
      </c>
      <c r="BG28" s="157">
        <f t="shared" si="3"/>
        <v>-350350</v>
      </c>
      <c r="BH28" s="157">
        <f t="shared" si="3"/>
        <v>-354200</v>
      </c>
      <c r="BI28" s="157">
        <f t="shared" si="3"/>
        <v>-354200</v>
      </c>
      <c r="BJ28" s="157">
        <f t="shared" si="3"/>
        <v>-346500</v>
      </c>
      <c r="BK28" s="157">
        <f t="shared" si="3"/>
        <v>-350350</v>
      </c>
      <c r="BL28" s="157">
        <f t="shared" si="3"/>
        <v>-354200</v>
      </c>
      <c r="BM28" s="157">
        <f t="shared" si="3"/>
        <v>-354200</v>
      </c>
      <c r="BN28" s="157">
        <f t="shared" si="3"/>
        <v>-346500</v>
      </c>
      <c r="BO28" s="157">
        <f t="shared" ref="BO28:CO28" si="4">SUM(BO24:BO27)</f>
        <v>-350350</v>
      </c>
      <c r="BP28" s="157">
        <f t="shared" si="4"/>
        <v>-354200</v>
      </c>
      <c r="BQ28" s="157">
        <f t="shared" si="4"/>
        <v>-354200</v>
      </c>
      <c r="BR28" s="157">
        <f t="shared" si="4"/>
        <v>-346500</v>
      </c>
      <c r="BS28" s="157">
        <f t="shared" si="4"/>
        <v>-350350</v>
      </c>
      <c r="BT28" s="157">
        <f t="shared" si="4"/>
        <v>-354200</v>
      </c>
      <c r="BU28" s="157">
        <f t="shared" si="4"/>
        <v>-354200</v>
      </c>
      <c r="BV28" s="157">
        <f t="shared" si="4"/>
        <v>-346500</v>
      </c>
      <c r="BW28" s="157">
        <f t="shared" si="4"/>
        <v>-350350</v>
      </c>
      <c r="BX28" s="157">
        <f t="shared" si="4"/>
        <v>-354200</v>
      </c>
      <c r="BY28" s="157">
        <f t="shared" si="4"/>
        <v>-354200</v>
      </c>
      <c r="BZ28" s="157">
        <f t="shared" si="4"/>
        <v>-346500</v>
      </c>
      <c r="CA28" s="157">
        <f t="shared" si="4"/>
        <v>-350350</v>
      </c>
      <c r="CB28" s="157">
        <f t="shared" si="4"/>
        <v>-354200</v>
      </c>
      <c r="CC28" s="157">
        <f t="shared" si="4"/>
        <v>-354200</v>
      </c>
      <c r="CD28" s="157">
        <f t="shared" si="4"/>
        <v>-346500</v>
      </c>
      <c r="CE28" s="157">
        <f t="shared" si="4"/>
        <v>-350350</v>
      </c>
      <c r="CF28" s="157">
        <f t="shared" si="4"/>
        <v>-354200</v>
      </c>
      <c r="CG28" s="157">
        <f t="shared" si="4"/>
        <v>-354200</v>
      </c>
      <c r="CH28" s="157">
        <f t="shared" si="4"/>
        <v>-346500</v>
      </c>
      <c r="CI28" s="157">
        <f t="shared" si="4"/>
        <v>-350350</v>
      </c>
      <c r="CJ28" s="157">
        <f t="shared" si="4"/>
        <v>-354200</v>
      </c>
      <c r="CK28" s="157">
        <f t="shared" si="4"/>
        <v>-354200</v>
      </c>
      <c r="CL28" s="157">
        <f t="shared" si="4"/>
        <v>-346500</v>
      </c>
      <c r="CM28" s="157">
        <f t="shared" si="4"/>
        <v>-350350</v>
      </c>
      <c r="CN28" s="157">
        <f t="shared" si="4"/>
        <v>-354200</v>
      </c>
      <c r="CO28" s="157">
        <f t="shared" si="4"/>
        <v>-354200</v>
      </c>
    </row>
    <row r="29" spans="1:93" ht="15.75" thickBot="1" x14ac:dyDescent="0.3">
      <c r="A29" t="s">
        <v>266</v>
      </c>
    </row>
    <row r="30" spans="1:93" x14ac:dyDescent="0.25">
      <c r="A30" s="158" t="str">
        <f>Financials!B37</f>
        <v>Total Revenue</v>
      </c>
      <c r="B30" s="159">
        <f>SUM(B21+B28)</f>
        <v>0</v>
      </c>
      <c r="C30" s="159">
        <f t="shared" ref="C30:BN30" si="5">SUM(C21+C28)</f>
        <v>0</v>
      </c>
      <c r="D30" s="159">
        <f t="shared" si="5"/>
        <v>0</v>
      </c>
      <c r="E30" s="159">
        <f t="shared" si="5"/>
        <v>0</v>
      </c>
      <c r="F30" s="159">
        <f t="shared" si="5"/>
        <v>0</v>
      </c>
      <c r="G30" s="159">
        <f t="shared" si="5"/>
        <v>13852949.333774962</v>
      </c>
      <c r="H30" s="159">
        <f t="shared" si="5"/>
        <v>14076835.027249027</v>
      </c>
      <c r="I30" s="159">
        <f t="shared" si="5"/>
        <v>14149373.273467965</v>
      </c>
      <c r="J30" s="159">
        <f t="shared" si="5"/>
        <v>13912838.190752704</v>
      </c>
      <c r="K30" s="159">
        <f t="shared" si="5"/>
        <v>19566204.057135005</v>
      </c>
      <c r="L30" s="159">
        <f t="shared" si="5"/>
        <v>19854319.089262426</v>
      </c>
      <c r="M30" s="159">
        <f t="shared" si="5"/>
        <v>19928321.473243564</v>
      </c>
      <c r="N30" s="159">
        <f t="shared" si="5"/>
        <v>19567591.381919064</v>
      </c>
      <c r="O30" s="159">
        <f t="shared" si="5"/>
        <v>19858675.043557182</v>
      </c>
      <c r="P30" s="159">
        <f t="shared" si="5"/>
        <v>20151479.555315264</v>
      </c>
      <c r="Q30" s="159">
        <f t="shared" si="5"/>
        <v>20226975.629735954</v>
      </c>
      <c r="R30" s="159">
        <f t="shared" si="5"/>
        <v>20081896.33093515</v>
      </c>
      <c r="S30" s="159">
        <f t="shared" si="5"/>
        <v>20157049.368395824</v>
      </c>
      <c r="T30" s="159">
        <f t="shared" si="5"/>
        <v>20454638.0139094</v>
      </c>
      <c r="U30" s="159">
        <f t="shared" si="5"/>
        <v>20531657.927948747</v>
      </c>
      <c r="V30" s="159">
        <f t="shared" si="5"/>
        <v>20160767.862517066</v>
      </c>
      <c r="W30" s="159">
        <f t="shared" si="5"/>
        <v>20461446.186733238</v>
      </c>
      <c r="X30" s="159">
        <f t="shared" si="5"/>
        <v>20763915.530659642</v>
      </c>
      <c r="Y30" s="159">
        <f t="shared" si="5"/>
        <v>20842490.042038523</v>
      </c>
      <c r="Z30" s="159">
        <f t="shared" si="5"/>
        <v>20466365.672917411</v>
      </c>
      <c r="AA30" s="159">
        <f t="shared" si="5"/>
        <v>20771987.058720291</v>
      </c>
      <c r="AB30" s="159">
        <f t="shared" si="5"/>
        <v>21079435.61481227</v>
      </c>
      <c r="AC30" s="159">
        <f t="shared" si="5"/>
        <v>21159596.102076322</v>
      </c>
      <c r="AD30" s="159">
        <f t="shared" si="5"/>
        <v>20778131.778218366</v>
      </c>
      <c r="AE30" s="159">
        <f t="shared" si="5"/>
        <v>21088795.998121172</v>
      </c>
      <c r="AF30" s="159">
        <f t="shared" si="5"/>
        <v>21401324.268568087</v>
      </c>
      <c r="AG30" s="159">
        <f t="shared" si="5"/>
        <v>21483102.743618682</v>
      </c>
      <c r="AH30" s="159">
        <f t="shared" si="5"/>
        <v>21096190.681478143</v>
      </c>
      <c r="AI30" s="159">
        <f t="shared" si="5"/>
        <v>21411999.521838006</v>
      </c>
      <c r="AJ30" s="159">
        <f t="shared" si="5"/>
        <v>21729710.037401155</v>
      </c>
      <c r="AK30" s="159">
        <f t="shared" si="5"/>
        <v>21813139.158279262</v>
      </c>
      <c r="AL30" s="159">
        <f t="shared" si="5"/>
        <v>21420669.398768999</v>
      </c>
      <c r="AM30" s="159">
        <f t="shared" si="5"/>
        <v>21741726.700435054</v>
      </c>
      <c r="AN30" s="159">
        <f t="shared" si="5"/>
        <v>22064724.061393097</v>
      </c>
      <c r="AO30" s="159">
        <f t="shared" si="5"/>
        <v>22149837.145321198</v>
      </c>
      <c r="AP30" s="159">
        <f t="shared" si="5"/>
        <v>21751697.509900715</v>
      </c>
      <c r="AQ30" s="159">
        <f t="shared" si="5"/>
        <v>22078109.209682755</v>
      </c>
      <c r="AR30" s="159">
        <f t="shared" si="5"/>
        <v>22406500.127603576</v>
      </c>
      <c r="AS30" s="159">
        <f t="shared" si="5"/>
        <v>22493331.164290838</v>
      </c>
      <c r="AT30" s="159">
        <f t="shared" si="5"/>
        <v>22089407.210168101</v>
      </c>
      <c r="AU30" s="159">
        <f t="shared" si="5"/>
        <v>22421281.383142158</v>
      </c>
      <c r="AV30" s="159">
        <f t="shared" si="5"/>
        <v>22755174.723497875</v>
      </c>
      <c r="AW30" s="159">
        <f t="shared" si="5"/>
        <v>22843758.388713829</v>
      </c>
      <c r="AX30" s="159">
        <f t="shared" si="5"/>
        <v>22433933.363142774</v>
      </c>
      <c r="AY30" s="159">
        <f t="shared" si="5"/>
        <v>22771380.265810654</v>
      </c>
      <c r="AZ30" s="159">
        <f t="shared" si="5"/>
        <v>23110887.091452807</v>
      </c>
      <c r="BA30" s="159">
        <f t="shared" si="5"/>
        <v>23201258.760875046</v>
      </c>
      <c r="BB30" s="159">
        <f t="shared" si="5"/>
        <v>22785413.554530665</v>
      </c>
      <c r="BC30" s="159">
        <f t="shared" si="5"/>
        <v>23128545.668850631</v>
      </c>
      <c r="BD30" s="159">
        <f t="shared" si="5"/>
        <v>23473779.284362856</v>
      </c>
      <c r="BE30" s="159">
        <f t="shared" si="5"/>
        <v>23565975.047704246</v>
      </c>
      <c r="BF30" s="159">
        <f t="shared" si="5"/>
        <v>23143988.147116534</v>
      </c>
      <c r="BG30" s="159">
        <f t="shared" si="5"/>
        <v>23492920.225422692</v>
      </c>
      <c r="BH30" s="159">
        <f t="shared" si="5"/>
        <v>23843996.222368643</v>
      </c>
      <c r="BI30" s="159">
        <f t="shared" si="5"/>
        <v>23938052.897789642</v>
      </c>
      <c r="BJ30" s="159">
        <f t="shared" si="5"/>
        <v>23509800.336817507</v>
      </c>
      <c r="BK30" s="159">
        <f t="shared" si="5"/>
        <v>23864649.447645891</v>
      </c>
      <c r="BL30" s="159">
        <f t="shared" si="5"/>
        <v>24221685.750730447</v>
      </c>
      <c r="BM30" s="159">
        <f t="shared" si="5"/>
        <v>24317640.899542361</v>
      </c>
      <c r="BN30" s="159">
        <f t="shared" si="5"/>
        <v>23882996.209868029</v>
      </c>
      <c r="BO30" s="159">
        <f t="shared" ref="BO30:CO30" si="6">SUM(BO21+BO28)</f>
        <v>24243881.784707654</v>
      </c>
      <c r="BP30" s="159">
        <f t="shared" si="6"/>
        <v>24606998.698869891</v>
      </c>
      <c r="BQ30" s="159">
        <f t="shared" si="6"/>
        <v>24704890.640534893</v>
      </c>
      <c r="BR30" s="159">
        <f t="shared" si="6"/>
        <v>24263724.801159076</v>
      </c>
      <c r="BS30" s="159">
        <f t="shared" si="6"/>
        <v>24630768.682146601</v>
      </c>
      <c r="BT30" s="159">
        <f t="shared" si="6"/>
        <v>25000088.940603267</v>
      </c>
      <c r="BU30" s="159">
        <f t="shared" si="6"/>
        <v>25099956.768037193</v>
      </c>
      <c r="BV30" s="159">
        <f t="shared" si="6"/>
        <v>24652138.15375486</v>
      </c>
      <c r="BW30" s="159">
        <f t="shared" si="6"/>
        <v>25025464.642331958</v>
      </c>
      <c r="BX30" s="159">
        <f t="shared" si="6"/>
        <v>25401113.455590714</v>
      </c>
      <c r="BY30" s="159">
        <f t="shared" si="6"/>
        <v>25502997.050774708</v>
      </c>
      <c r="BZ30" s="159">
        <f t="shared" si="6"/>
        <v>25048391.379610877</v>
      </c>
      <c r="CA30" s="159">
        <f t="shared" si="6"/>
        <v>25428127.286163758</v>
      </c>
      <c r="CB30" s="159">
        <f t="shared" si="6"/>
        <v>25810232.392025679</v>
      </c>
      <c r="CC30" s="159">
        <f t="shared" si="6"/>
        <v>25914172.441932969</v>
      </c>
      <c r="CD30" s="159">
        <f t="shared" si="6"/>
        <v>25452642.721517518</v>
      </c>
      <c r="CE30" s="159">
        <f t="shared" si="6"/>
        <v>25838917.416018307</v>
      </c>
      <c r="CF30" s="159">
        <f t="shared" si="6"/>
        <v>26227609.130589679</v>
      </c>
      <c r="CG30" s="159">
        <f t="shared" si="6"/>
        <v>26333647.143433847</v>
      </c>
      <c r="CH30" s="159">
        <f t="shared" si="6"/>
        <v>25865053.616293922</v>
      </c>
      <c r="CI30" s="159">
        <f t="shared" si="6"/>
        <v>26257999.079964302</v>
      </c>
      <c r="CJ30" s="159">
        <f t="shared" si="6"/>
        <v>26653410.349698041</v>
      </c>
      <c r="CK30" s="159">
        <f t="shared" si="6"/>
        <v>26761588.671509221</v>
      </c>
      <c r="CL30" s="159">
        <f t="shared" si="6"/>
        <v>26285788.759257428</v>
      </c>
      <c r="CM30" s="159">
        <f t="shared" si="6"/>
        <v>26685539.637274966</v>
      </c>
      <c r="CN30" s="159">
        <f t="shared" si="6"/>
        <v>27087806.092062503</v>
      </c>
      <c r="CO30" s="159">
        <f t="shared" si="6"/>
        <v>27198167.923598152</v>
      </c>
    </row>
    <row r="31" spans="1:93" x14ac:dyDescent="0.25">
      <c r="A31" t="s">
        <v>266</v>
      </c>
    </row>
    <row r="32" spans="1:93" x14ac:dyDescent="0.25">
      <c r="A32" s="134" t="str">
        <f>Financials!B39</f>
        <v>Expenses</v>
      </c>
    </row>
    <row r="33" spans="1:93" x14ac:dyDescent="0.25">
      <c r="A33" s="152" t="str">
        <f>Financials!B40</f>
        <v>Employee Cost</v>
      </c>
      <c r="B33" s="132">
        <f>SUM(Financials!C40:E40)</f>
        <v>0</v>
      </c>
      <c r="C33" s="132">
        <f>SUM(Financials!F40:H40)</f>
        <v>0</v>
      </c>
      <c r="D33" s="132">
        <f>SUM(Financials!I40:K40)</f>
        <v>0</v>
      </c>
      <c r="E33" s="132">
        <f>SUM(Financials!L40:N40)</f>
        <v>0</v>
      </c>
      <c r="F33" s="132">
        <f>SUM(Financials!O40:Q40)</f>
        <v>0</v>
      </c>
      <c r="G33" s="132">
        <f>SUM(Financials!R40:T40)</f>
        <v>1198181.570416349</v>
      </c>
      <c r="H33" s="132">
        <f>SUM(Financials!U40:W40)</f>
        <v>1201179.5212473867</v>
      </c>
      <c r="I33" s="132">
        <f>SUM(Financials!X40:Z40)</f>
        <v>1204184.9732029676</v>
      </c>
      <c r="J33" s="132">
        <f>SUM(Financials!AA40:AC40)</f>
        <v>1207197.945051535</v>
      </c>
      <c r="K33" s="132">
        <f>SUM(Financials!AD40:AF40)</f>
        <v>1210218.4556084923</v>
      </c>
      <c r="L33" s="132">
        <f>SUM(Financials!AG40:AI40)</f>
        <v>1213246.5237363202</v>
      </c>
      <c r="M33" s="132">
        <f>SUM(Financials!AJ40:AL40)</f>
        <v>1216282.1683446951</v>
      </c>
      <c r="N33" s="132">
        <f>SUM(Financials!AM40:AO40)</f>
        <v>1219325.4083906077</v>
      </c>
      <c r="O33" s="132">
        <f>SUM(Financials!AP40:AR40)</f>
        <v>1222376.2628784794</v>
      </c>
      <c r="P33" s="132">
        <f>SUM(Financials!AS40:AU40)</f>
        <v>1225434.7508602832</v>
      </c>
      <c r="Q33" s="132">
        <f>SUM(Financials!AV40:AX40)</f>
        <v>1228500.8914356614</v>
      </c>
      <c r="R33" s="132">
        <f>SUM(Financials!AY40:BA40)</f>
        <v>1231574.7037520455</v>
      </c>
      <c r="S33" s="132">
        <f>SUM(Financials!BB40:BD40)</f>
        <v>1234656.2070047748</v>
      </c>
      <c r="T33" s="132">
        <f>SUM(Financials!BE40:BG40)</f>
        <v>1237745.4204372177</v>
      </c>
      <c r="U33" s="132">
        <f>SUM(Financials!BH40:BJ40)</f>
        <v>1240842.3633408907</v>
      </c>
      <c r="V33" s="132">
        <f>SUM(Financials!BK40:BM40)</f>
        <v>1243947.0550555794</v>
      </c>
      <c r="W33" s="132">
        <f>SUM(Financials!BN40:BP40)</f>
        <v>1247059.5149694595</v>
      </c>
      <c r="X33" s="132">
        <f>SUM(Financials!BQ40:BS40)</f>
        <v>1250179.7625192169</v>
      </c>
      <c r="Y33" s="132">
        <f>SUM(Financials!BT40:BV40)</f>
        <v>1253307.8171901698</v>
      </c>
      <c r="Z33" s="132">
        <f>SUM(Financials!BW40:BY40)</f>
        <v>1256443.6985163915</v>
      </c>
      <c r="AA33" s="132">
        <f>SUM(Financials!BZ40:CB40)</f>
        <v>1259587.426080829</v>
      </c>
      <c r="AB33" s="132">
        <f>SUM(Financials!CC40:CE40)</f>
        <v>1262739.0195154299</v>
      </c>
      <c r="AC33" s="132">
        <f>SUM(Financials!CF40:CH40)</f>
        <v>1265898.4985012603</v>
      </c>
      <c r="AD33" s="132">
        <f>SUM(Financials!CI40:CK40)</f>
        <v>1269065.8827686317</v>
      </c>
      <c r="AE33" s="132">
        <f>SUM(Financials!CL40:CN40)</f>
        <v>1272241.1920972217</v>
      </c>
      <c r="AF33" s="132">
        <f>SUM(Financials!CO40:CQ40)</f>
        <v>1275424.4463161984</v>
      </c>
      <c r="AG33" s="132">
        <f>SUM(Financials!CR40:CT40)</f>
        <v>1278615.6653043446</v>
      </c>
      <c r="AH33" s="132">
        <f>SUM(Financials!CU40:CW40)</f>
        <v>1281814.8689901808</v>
      </c>
      <c r="AI33" s="132">
        <f>SUM(Financials!CX40:CZ40)</f>
        <v>1285022.0773520905</v>
      </c>
      <c r="AJ33" s="132">
        <f>SUM(Financials!DA40:DC40)</f>
        <v>1288237.3104184452</v>
      </c>
      <c r="AK33" s="132">
        <f>SUM(Financials!DD40:DF40)</f>
        <v>1291460.5882677285</v>
      </c>
      <c r="AL33" s="132">
        <f>SUM(Financials!DG40:DI40)</f>
        <v>1294691.9310286627</v>
      </c>
      <c r="AM33" s="132">
        <f>SUM(Financials!DJ40:DL40)</f>
        <v>1297931.3588803334</v>
      </c>
      <c r="AN33" s="132">
        <f>SUM(Financials!DM40:DO40)</f>
        <v>1301178.8920523159</v>
      </c>
      <c r="AO33" s="132">
        <f>SUM(Financials!DP40:DR40)</f>
        <v>1304434.5508248014</v>
      </c>
      <c r="AP33" s="132">
        <f>SUM(Financials!DS40:DU40)</f>
        <v>1307698.3555287251</v>
      </c>
      <c r="AQ33" s="132">
        <f>SUM(Financials!DV40:DX40)</f>
        <v>1310970.3265458904</v>
      </c>
      <c r="AR33" s="132">
        <f>SUM(Financials!DY40:EA40)</f>
        <v>1314250.4843090982</v>
      </c>
      <c r="AS33" s="132">
        <f>SUM(Financials!EB40:ED40)</f>
        <v>1317538.8493022746</v>
      </c>
      <c r="AT33" s="132">
        <f>SUM(Financials!EE40:EG40)</f>
        <v>1320835.442060597</v>
      </c>
      <c r="AU33" s="132">
        <f>SUM(Financials!EH40:EJ40)</f>
        <v>1324140.2831706246</v>
      </c>
      <c r="AV33" s="132">
        <f>SUM(Financials!EK40:EM40)</f>
        <v>1327453.3932704257</v>
      </c>
      <c r="AW33" s="132">
        <f>SUM(Financials!EN40:EP40)</f>
        <v>1330774.7930497061</v>
      </c>
      <c r="AX33" s="132">
        <f>SUM(Financials!EQ40:ES40)</f>
        <v>1334104.50324994</v>
      </c>
      <c r="AY33" s="132">
        <f>SUM(Financials!ET40:EV40)</f>
        <v>1337442.5446644975</v>
      </c>
      <c r="AZ33" s="132">
        <f>SUM(Financials!EW40:EY40)</f>
        <v>1340788.9381387758</v>
      </c>
      <c r="BA33" s="132">
        <f>SUM(Financials!EZ40:FB40)</f>
        <v>1344143.7045703295</v>
      </c>
      <c r="BB33" s="132">
        <f>SUM(Financials!FC40:FE40)</f>
        <v>1347506.8649090002</v>
      </c>
      <c r="BC33" s="132">
        <f>SUM(Financials!FF40:FH40)</f>
        <v>1350878.4401570482</v>
      </c>
      <c r="BD33" s="132">
        <f>SUM(Financials!FI40:FK40)</f>
        <v>1354258.4513692823</v>
      </c>
      <c r="BE33" s="132">
        <f>SUM(Financials!FL40:FN40)</f>
        <v>1357646.9196531931</v>
      </c>
      <c r="BF33" s="132">
        <f>SUM(Financials!FO40:FQ40)</f>
        <v>1361043.8661690836</v>
      </c>
      <c r="BG33" s="132">
        <f>SUM(Financials!FR40:FT40)</f>
        <v>1364449.3121302014</v>
      </c>
      <c r="BH33" s="132">
        <f>SUM(Financials!FU40:FW40)</f>
        <v>1367863.2788028722</v>
      </c>
      <c r="BI33" s="132">
        <f>SUM(Financials!FX40:FZ40)</f>
        <v>1371285.7875066306</v>
      </c>
      <c r="BJ33" s="132">
        <f>SUM(Financials!GA40:GC40)</f>
        <v>1374716.8596143553</v>
      </c>
      <c r="BK33" s="132">
        <f>SUM(Financials!GD40:GF40)</f>
        <v>1378156.5165524022</v>
      </c>
      <c r="BL33" s="132">
        <f>SUM(Financials!GG40:GI40)</f>
        <v>1381604.7798007363</v>
      </c>
      <c r="BM33" s="132">
        <f>SUM(Financials!GJ40:GL40)</f>
        <v>1385061.6708930689</v>
      </c>
      <c r="BN33" s="132">
        <f>SUM(Financials!GM40:GO40)</f>
        <v>1388527.2114169891</v>
      </c>
      <c r="BO33" s="132">
        <f>SUM(Financials!GP40:GR40)</f>
        <v>1392001.4230141006</v>
      </c>
      <c r="BP33" s="132">
        <f>SUM(Financials!GS40:GU40)</f>
        <v>1395484.3273801564</v>
      </c>
      <c r="BQ33" s="132">
        <f>SUM(Financials!GV40:GX40)</f>
        <v>1398975.9462651936</v>
      </c>
      <c r="BR33" s="132">
        <f>SUM(Financials!GY40:HA40)</f>
        <v>1402476.3014736699</v>
      </c>
      <c r="BS33" s="132">
        <f>SUM(Financials!HB40:HD40)</f>
        <v>1405985.4148646002</v>
      </c>
      <c r="BT33" s="132">
        <f>SUM(Financials!HE40:HG40)</f>
        <v>1409503.3083516913</v>
      </c>
      <c r="BU33" s="132">
        <f>SUM(Financials!HH40:HJ40)</f>
        <v>1413030.0039034802</v>
      </c>
      <c r="BV33" s="132">
        <f>SUM(Financials!HK40:HM40)</f>
        <v>1416565.5235434724</v>
      </c>
      <c r="BW33" s="132">
        <f>SUM(Financials!HN40:HP40)</f>
        <v>1420109.8893502762</v>
      </c>
      <c r="BX33" s="132">
        <f>SUM(Financials!HQ40:HS40)</f>
        <v>1423663.123457744</v>
      </c>
      <c r="BY33" s="132">
        <f>SUM(Financials!HT40:HV40)</f>
        <v>1427225.2480551074</v>
      </c>
      <c r="BZ33" s="132">
        <f>SUM(Financials!HW40:HY40)</f>
        <v>1430796.2853871188</v>
      </c>
      <c r="CA33" s="132">
        <f>SUM(Financials!HZ40:IB40)</f>
        <v>1434376.2577541878</v>
      </c>
      <c r="CB33" s="132">
        <f>SUM(Financials!IC40:IE40)</f>
        <v>1437965.1875125219</v>
      </c>
      <c r="CC33" s="132">
        <f>SUM(Financials!IF40:IH40)</f>
        <v>1441563.0970742658</v>
      </c>
      <c r="CD33" s="132">
        <f>SUM(Financials!II40:IK40)</f>
        <v>1445170.0089076413</v>
      </c>
      <c r="CE33" s="132">
        <f>SUM(Financials!IL40:IN40)</f>
        <v>1448785.945537087</v>
      </c>
      <c r="CF33" s="132">
        <f>SUM(Financials!IO40:IQ40)</f>
        <v>1452410.9295434002</v>
      </c>
      <c r="CG33" s="132">
        <f>SUM(Financials!IR40:IT40)</f>
        <v>1456044.9835638769</v>
      </c>
      <c r="CH33" s="132">
        <f>SUM(Financials!IU40:IW40)</f>
        <v>1459688.1302924538</v>
      </c>
      <c r="CI33" s="132">
        <f>SUM(Financials!IX40:IZ40)</f>
        <v>1463340.3924798495</v>
      </c>
      <c r="CJ33" s="132">
        <f>SUM(Financials!JA40:JC40)</f>
        <v>1467001.7929337069</v>
      </c>
      <c r="CK33" s="132">
        <f>SUM(Financials!JD40:JF40)</f>
        <v>1470672.3545187351</v>
      </c>
      <c r="CL33" s="132">
        <f>SUM(Financials!JG40:JI40)</f>
        <v>1474352.1001568537</v>
      </c>
      <c r="CM33" s="132">
        <f>SUM(Financials!JJ40:JL40)</f>
        <v>1478041.0528273336</v>
      </c>
      <c r="CN33" s="132">
        <f>SUM(Financials!JM40:JO40)</f>
        <v>1481739.235566943</v>
      </c>
      <c r="CO33" s="132">
        <f>SUM(Financials!JP40:JR40)</f>
        <v>1485446.6714700884</v>
      </c>
    </row>
    <row r="34" spans="1:93" x14ac:dyDescent="0.25">
      <c r="A34" s="152" t="str">
        <f>Financials!B41</f>
        <v>Turbine LTMA Cost 5 year term</v>
      </c>
      <c r="B34" s="132">
        <f>SUM(Financials!C41:E41)</f>
        <v>0</v>
      </c>
      <c r="C34" s="132">
        <f>SUM(Financials!F41:H41)</f>
        <v>0</v>
      </c>
      <c r="D34" s="132">
        <f>SUM(Financials!I41:K41)</f>
        <v>0</v>
      </c>
      <c r="E34" s="132">
        <f>SUM(Financials!L41:N41)</f>
        <v>0</v>
      </c>
      <c r="F34" s="132">
        <f>SUM(Financials!O41:Q41)</f>
        <v>0</v>
      </c>
      <c r="G34" s="132">
        <f>SUM(Financials!R41:T41)</f>
        <v>540900.5</v>
      </c>
      <c r="H34" s="132">
        <f>SUM(Financials!U41:W41)</f>
        <v>543609.51250833576</v>
      </c>
      <c r="I34" s="132">
        <f>SUM(Financials!X41:Z41)</f>
        <v>546332.09266685916</v>
      </c>
      <c r="J34" s="132">
        <f>SUM(Financials!AA41:AC41)</f>
        <v>549068.30842694768</v>
      </c>
      <c r="K34" s="132">
        <f>SUM(Financials!AD41:AF41)</f>
        <v>551818.22808030236</v>
      </c>
      <c r="L34" s="132">
        <f>SUM(Financials!AG41:AI41)</f>
        <v>554581.92026065197</v>
      </c>
      <c r="M34" s="132">
        <f>SUM(Financials!AJ41:AL41)</f>
        <v>557359.45394546643</v>
      </c>
      <c r="N34" s="132">
        <f>SUM(Financials!AM41:AO41)</f>
        <v>560150.89845767792</v>
      </c>
      <c r="O34" s="132">
        <f>SUM(Financials!AP41:AR41)</f>
        <v>0</v>
      </c>
      <c r="P34" s="132">
        <f>SUM(Financials!AS41:AU41)</f>
        <v>0</v>
      </c>
      <c r="Q34" s="132">
        <f>SUM(Financials!AV41:AX41)</f>
        <v>0</v>
      </c>
      <c r="R34" s="132">
        <f>SUM(Financials!AY41:BA41)</f>
        <v>0</v>
      </c>
      <c r="S34" s="132">
        <f>SUM(Financials!BB41:BD41)</f>
        <v>0</v>
      </c>
      <c r="T34" s="132">
        <f>SUM(Financials!BE41:BG41)</f>
        <v>0</v>
      </c>
      <c r="U34" s="132">
        <f>SUM(Financials!BH41:BJ41)</f>
        <v>0</v>
      </c>
      <c r="V34" s="132">
        <f>SUM(Financials!BK41:BM41)</f>
        <v>0</v>
      </c>
      <c r="W34" s="132">
        <f>SUM(Financials!BN41:BP41)</f>
        <v>0</v>
      </c>
      <c r="X34" s="132">
        <f>SUM(Financials!BQ41:BS41)</f>
        <v>0</v>
      </c>
      <c r="Y34" s="132">
        <f>SUM(Financials!BT41:BV41)</f>
        <v>0</v>
      </c>
      <c r="Z34" s="132">
        <f>SUM(Financials!BW41:BY41)</f>
        <v>0</v>
      </c>
      <c r="AA34" s="132">
        <f>SUM(Financials!BZ41:CB41)</f>
        <v>0</v>
      </c>
      <c r="AB34" s="132">
        <f>SUM(Financials!CC41:CE41)</f>
        <v>0</v>
      </c>
      <c r="AC34" s="132">
        <f>SUM(Financials!CF41:CH41)</f>
        <v>0</v>
      </c>
      <c r="AD34" s="132">
        <f>SUM(Financials!CI41:CK41)</f>
        <v>0</v>
      </c>
      <c r="AE34" s="132">
        <f>SUM(Financials!CL41:CN41)</f>
        <v>0</v>
      </c>
      <c r="AF34" s="132">
        <f>SUM(Financials!CO41:CQ41)</f>
        <v>0</v>
      </c>
      <c r="AG34" s="132">
        <f>SUM(Financials!CR41:CT41)</f>
        <v>0</v>
      </c>
      <c r="AH34" s="132">
        <f>SUM(Financials!CU41:CW41)</f>
        <v>0</v>
      </c>
      <c r="AI34" s="132">
        <f>SUM(Financials!CX41:CZ41)</f>
        <v>0</v>
      </c>
      <c r="AJ34" s="132">
        <f>SUM(Financials!DA41:DC41)</f>
        <v>0</v>
      </c>
      <c r="AK34" s="132">
        <f>SUM(Financials!DD41:DF41)</f>
        <v>0</v>
      </c>
      <c r="AL34" s="132">
        <f>SUM(Financials!DG41:DI41)</f>
        <v>0</v>
      </c>
      <c r="AM34" s="132">
        <f>SUM(Financials!DJ41:DL41)</f>
        <v>0</v>
      </c>
      <c r="AN34" s="132">
        <f>SUM(Financials!DM41:DO41)</f>
        <v>0</v>
      </c>
      <c r="AO34" s="132">
        <f>SUM(Financials!DP41:DR41)</f>
        <v>0</v>
      </c>
      <c r="AP34" s="132">
        <f>SUM(Financials!DS41:DU41)</f>
        <v>0</v>
      </c>
      <c r="AQ34" s="132">
        <f>SUM(Financials!DV41:DX41)</f>
        <v>0</v>
      </c>
      <c r="AR34" s="132">
        <f>SUM(Financials!DY41:EA41)</f>
        <v>0</v>
      </c>
      <c r="AS34" s="132">
        <f>SUM(Financials!EB41:ED41)</f>
        <v>0</v>
      </c>
      <c r="AT34" s="132">
        <f>SUM(Financials!EE41:EG41)</f>
        <v>0</v>
      </c>
      <c r="AU34" s="132">
        <f>SUM(Financials!EH41:EJ41)</f>
        <v>0</v>
      </c>
      <c r="AV34" s="132">
        <f>SUM(Financials!EK41:EM41)</f>
        <v>0</v>
      </c>
      <c r="AW34" s="132">
        <f>SUM(Financials!EN41:EP41)</f>
        <v>0</v>
      </c>
      <c r="AX34" s="132">
        <f>SUM(Financials!EQ41:ES41)</f>
        <v>0</v>
      </c>
      <c r="AY34" s="132">
        <f>SUM(Financials!ET41:EV41)</f>
        <v>0</v>
      </c>
      <c r="AZ34" s="132">
        <f>SUM(Financials!EW41:EY41)</f>
        <v>0</v>
      </c>
      <c r="BA34" s="132">
        <f>SUM(Financials!EZ41:FB41)</f>
        <v>0</v>
      </c>
      <c r="BB34" s="132">
        <f>SUM(Financials!FC41:FE41)</f>
        <v>0</v>
      </c>
      <c r="BC34" s="132">
        <f>SUM(Financials!FF41:FH41)</f>
        <v>0</v>
      </c>
      <c r="BD34" s="132">
        <f>SUM(Financials!FI41:FK41)</f>
        <v>0</v>
      </c>
      <c r="BE34" s="132">
        <f>SUM(Financials!FL41:FN41)</f>
        <v>0</v>
      </c>
      <c r="BF34" s="132">
        <f>SUM(Financials!FO41:FQ41)</f>
        <v>0</v>
      </c>
      <c r="BG34" s="132">
        <f>SUM(Financials!FR41:FT41)</f>
        <v>0</v>
      </c>
      <c r="BH34" s="132">
        <f>SUM(Financials!FU41:FW41)</f>
        <v>0</v>
      </c>
      <c r="BI34" s="132">
        <f>SUM(Financials!FX41:FZ41)</f>
        <v>0</v>
      </c>
      <c r="BJ34" s="132">
        <f>SUM(Financials!GA41:GC41)</f>
        <v>0</v>
      </c>
      <c r="BK34" s="132">
        <f>SUM(Financials!GD41:GF41)</f>
        <v>0</v>
      </c>
      <c r="BL34" s="132">
        <f>SUM(Financials!GG41:GI41)</f>
        <v>0</v>
      </c>
      <c r="BM34" s="132">
        <f>SUM(Financials!GJ41:GL41)</f>
        <v>0</v>
      </c>
      <c r="BN34" s="132">
        <f>SUM(Financials!GM41:GO41)</f>
        <v>0</v>
      </c>
      <c r="BO34" s="132">
        <f>SUM(Financials!GP41:GR41)</f>
        <v>0</v>
      </c>
      <c r="BP34" s="132">
        <f>SUM(Financials!GS41:GU41)</f>
        <v>0</v>
      </c>
      <c r="BQ34" s="132">
        <f>SUM(Financials!GV41:GX41)</f>
        <v>0</v>
      </c>
      <c r="BR34" s="132">
        <f>SUM(Financials!GY41:HA41)</f>
        <v>0</v>
      </c>
      <c r="BS34" s="132">
        <f>SUM(Financials!HB41:HD41)</f>
        <v>0</v>
      </c>
      <c r="BT34" s="132">
        <f>SUM(Financials!HE41:HG41)</f>
        <v>0</v>
      </c>
      <c r="BU34" s="132">
        <f>SUM(Financials!HH41:HJ41)</f>
        <v>0</v>
      </c>
      <c r="BV34" s="132">
        <f>SUM(Financials!HK41:HM41)</f>
        <v>0</v>
      </c>
      <c r="BW34" s="132">
        <f>SUM(Financials!HN41:HP41)</f>
        <v>0</v>
      </c>
      <c r="BX34" s="132">
        <f>SUM(Financials!HQ41:HS41)</f>
        <v>0</v>
      </c>
      <c r="BY34" s="132">
        <f>SUM(Financials!HT41:HV41)</f>
        <v>0</v>
      </c>
      <c r="BZ34" s="132">
        <f>SUM(Financials!HW41:HY41)</f>
        <v>0</v>
      </c>
      <c r="CA34" s="132">
        <f>SUM(Financials!HZ41:IB41)</f>
        <v>0</v>
      </c>
      <c r="CB34" s="132">
        <f>SUM(Financials!IC41:IE41)</f>
        <v>0</v>
      </c>
      <c r="CC34" s="132">
        <f>SUM(Financials!IF41:IH41)</f>
        <v>0</v>
      </c>
      <c r="CD34" s="132">
        <f>SUM(Financials!II41:IK41)</f>
        <v>0</v>
      </c>
      <c r="CE34" s="132">
        <f>SUM(Financials!IL41:IN41)</f>
        <v>0</v>
      </c>
      <c r="CF34" s="132">
        <f>SUM(Financials!IO41:IQ41)</f>
        <v>0</v>
      </c>
      <c r="CG34" s="132">
        <f>SUM(Financials!IR41:IT41)</f>
        <v>0</v>
      </c>
      <c r="CH34" s="132">
        <f>SUM(Financials!IU41:IW41)</f>
        <v>0</v>
      </c>
      <c r="CI34" s="132">
        <f>SUM(Financials!IX41:IZ41)</f>
        <v>0</v>
      </c>
      <c r="CJ34" s="132">
        <f>SUM(Financials!JA41:JC41)</f>
        <v>0</v>
      </c>
      <c r="CK34" s="132">
        <f>SUM(Financials!JD41:JF41)</f>
        <v>0</v>
      </c>
      <c r="CL34" s="132">
        <f>SUM(Financials!JG41:JI41)</f>
        <v>0</v>
      </c>
      <c r="CM34" s="132">
        <f>SUM(Financials!JJ41:JL41)</f>
        <v>0</v>
      </c>
      <c r="CN34" s="132">
        <f>SUM(Financials!JM41:JO41)</f>
        <v>0</v>
      </c>
      <c r="CO34" s="132">
        <f>SUM(Financials!JP41:JR41)</f>
        <v>0</v>
      </c>
    </row>
    <row r="35" spans="1:93" x14ac:dyDescent="0.25">
      <c r="A35" s="152" t="str">
        <f>Financials!B42</f>
        <v>Pyrolysis LTMA Cost yrs. 3+</v>
      </c>
      <c r="B35" s="132">
        <f>SUM(Financials!C42:E42)</f>
        <v>0</v>
      </c>
      <c r="C35" s="132">
        <f>SUM(Financials!F42:H42)</f>
        <v>0</v>
      </c>
      <c r="D35" s="132">
        <f>SUM(Financials!I42:K42)</f>
        <v>0</v>
      </c>
      <c r="E35" s="132">
        <f>SUM(Financials!L42:N42)</f>
        <v>0</v>
      </c>
      <c r="F35" s="132">
        <f>SUM(Financials!O42:Q42)</f>
        <v>0</v>
      </c>
      <c r="G35" s="132">
        <f>SUM(Financials!R42:T42)</f>
        <v>0</v>
      </c>
      <c r="H35" s="132">
        <f>SUM(Financials!U42:W42)</f>
        <v>0</v>
      </c>
      <c r="I35" s="132">
        <f>SUM(Financials!X42:Z42)</f>
        <v>0</v>
      </c>
      <c r="J35" s="132">
        <f>SUM(Financials!AA42:AC42)</f>
        <v>0</v>
      </c>
      <c r="K35" s="132">
        <f>SUM(Financials!AD42:AF42)</f>
        <v>0</v>
      </c>
      <c r="L35" s="132">
        <f>SUM(Financials!AG42:AI42)</f>
        <v>0</v>
      </c>
      <c r="M35" s="132">
        <f>SUM(Financials!AJ42:AL42)</f>
        <v>0</v>
      </c>
      <c r="N35" s="132">
        <f>SUM(Financials!AM42:AO42)</f>
        <v>0</v>
      </c>
      <c r="O35" s="132">
        <f>SUM(Financials!AP42:AR42)</f>
        <v>43474.146058275539</v>
      </c>
      <c r="P35" s="132">
        <f>SUM(Financials!AS42:AU42)</f>
        <v>65483.310068717983</v>
      </c>
      <c r="Q35" s="132">
        <f>SUM(Financials!AV42:AX42)</f>
        <v>65811.272616475631</v>
      </c>
      <c r="R35" s="132">
        <f>SUM(Financials!AY42:BA42)</f>
        <v>66140.877711511654</v>
      </c>
      <c r="S35" s="132">
        <f>SUM(Financials!BB42:BD42)</f>
        <v>66472.133580257912</v>
      </c>
      <c r="T35" s="132">
        <f>SUM(Financials!BE42:BG42)</f>
        <v>66805.048490347093</v>
      </c>
      <c r="U35" s="132">
        <f>SUM(Financials!BH42:BJ42)</f>
        <v>67139.630750818877</v>
      </c>
      <c r="V35" s="132">
        <f>SUM(Financials!BK42:BM42)</f>
        <v>67475.888712327549</v>
      </c>
      <c r="W35" s="132">
        <f>SUM(Financials!BN42:BP42)</f>
        <v>67813.830767350169</v>
      </c>
      <c r="X35" s="132">
        <f>SUM(Financials!BQ42:BS42)</f>
        <v>68153.465350396247</v>
      </c>
      <c r="Y35" s="132">
        <f>SUM(Financials!BT42:BV42)</f>
        <v>68494.800938218134</v>
      </c>
      <c r="Z35" s="132">
        <f>SUM(Financials!BW42:BY42)</f>
        <v>68837.846050022607</v>
      </c>
      <c r="AA35" s="132">
        <f>SUM(Financials!BZ42:CB42)</f>
        <v>69182.609247683562</v>
      </c>
      <c r="AB35" s="132">
        <f>SUM(Financials!CC42:CE42)</f>
        <v>69529.099135955592</v>
      </c>
      <c r="AC35" s="132">
        <f>SUM(Financials!CF42:CH42)</f>
        <v>69877.324362688814</v>
      </c>
      <c r="AD35" s="132">
        <f>SUM(Financials!CI42:CK42)</f>
        <v>70227.293619044751</v>
      </c>
      <c r="AE35" s="132">
        <f>SUM(Financials!CL42:CN42)</f>
        <v>70579.01563971318</v>
      </c>
      <c r="AF35" s="132">
        <f>SUM(Financials!CO42:CQ42)</f>
        <v>70932.499203130137</v>
      </c>
      <c r="AG35" s="132">
        <f>SUM(Financials!CR42:CT42)</f>
        <v>71287.753131697013</v>
      </c>
      <c r="AH35" s="132">
        <f>SUM(Financials!CU42:CW42)</f>
        <v>71644.786292000848</v>
      </c>
      <c r="AI35" s="132">
        <f>SUM(Financials!CX42:CZ42)</f>
        <v>72003.607595035457</v>
      </c>
      <c r="AJ35" s="132">
        <f>SUM(Financials!DA42:DC42)</f>
        <v>72364.225996423978</v>
      </c>
      <c r="AK35" s="132">
        <f>SUM(Financials!DD42:DF42)</f>
        <v>72726.650496642309</v>
      </c>
      <c r="AL35" s="132">
        <f>SUM(Financials!DG42:DI42)</f>
        <v>73090.890141243799</v>
      </c>
      <c r="AM35" s="132">
        <f>SUM(Financials!DJ42:DL42)</f>
        <v>73456.954021084966</v>
      </c>
      <c r="AN35" s="132">
        <f>SUM(Financials!DM42:DO42)</f>
        <v>73824.851272552405</v>
      </c>
      <c r="AO35" s="132">
        <f>SUM(Financials!DP42:DR42)</f>
        <v>74194.591077790828</v>
      </c>
      <c r="AP35" s="132">
        <f>SUM(Financials!DS42:DU42)</f>
        <v>74566.182664932261</v>
      </c>
      <c r="AQ35" s="132">
        <f>SUM(Financials!DV42:DX42)</f>
        <v>74939.63530832628</v>
      </c>
      <c r="AR35" s="132">
        <f>SUM(Financials!DY42:EA42)</f>
        <v>75314.958328771609</v>
      </c>
      <c r="AS35" s="132">
        <f>SUM(Financials!EB42:ED42)</f>
        <v>75692.161093748582</v>
      </c>
      <c r="AT35" s="132">
        <f>SUM(Financials!EE42:EG42)</f>
        <v>76071.253017653129</v>
      </c>
      <c r="AU35" s="132">
        <f>SUM(Financials!EH42:EJ42)</f>
        <v>76452.24356203161</v>
      </c>
      <c r="AV35" s="132">
        <f>SUM(Financials!EK42:EM42)</f>
        <v>76835.142235817038</v>
      </c>
      <c r="AW35" s="132">
        <f>SUM(Financials!EN42:EP42)</f>
        <v>77219.958595566364</v>
      </c>
      <c r="AX35" s="132">
        <f>SUM(Financials!EQ42:ES42)</f>
        <v>77606.70224569898</v>
      </c>
      <c r="AY35" s="132">
        <f>SUM(Financials!ET42:EV42)</f>
        <v>77995.382838736492</v>
      </c>
      <c r="AZ35" s="132">
        <f>SUM(Financials!EW42:EY42)</f>
        <v>78386.010075543585</v>
      </c>
      <c r="BA35" s="132">
        <f>SUM(Financials!EZ42:FB42)</f>
        <v>78778.593705570136</v>
      </c>
      <c r="BB35" s="132">
        <f>SUM(Financials!FC42:FE42)</f>
        <v>79173.143527094595</v>
      </c>
      <c r="BC35" s="132">
        <f>SUM(Financials!FF42:FH42)</f>
        <v>79569.669387468486</v>
      </c>
      <c r="BD35" s="132">
        <f>SUM(Financials!FI42:FK42)</f>
        <v>79968.181183362161</v>
      </c>
      <c r="BE35" s="132">
        <f>SUM(Financials!FL42:FN42)</f>
        <v>80368.688861011906</v>
      </c>
      <c r="BF35" s="132">
        <f>SUM(Financials!FO42:FQ42)</f>
        <v>80771.202416468092</v>
      </c>
      <c r="BG35" s="132">
        <f>SUM(Financials!FR42:FT42)</f>
        <v>81175.73189584467</v>
      </c>
      <c r="BH35" s="132">
        <f>SUM(Financials!FU42:FW42)</f>
        <v>81582.287395569962</v>
      </c>
      <c r="BI35" s="132">
        <f>SUM(Financials!FX42:FZ42)</f>
        <v>81990.87906263856</v>
      </c>
      <c r="BJ35" s="132">
        <f>SUM(Financials!GA42:GC42)</f>
        <v>82401.517094864699</v>
      </c>
      <c r="BK35" s="132">
        <f>SUM(Financials!GD42:GF42)</f>
        <v>82814.211741136678</v>
      </c>
      <c r="BL35" s="132">
        <f>SUM(Financials!GG42:GI42)</f>
        <v>83228.973301672668</v>
      </c>
      <c r="BM35" s="132">
        <f>SUM(Financials!GJ42:GL42)</f>
        <v>83645.812128277888</v>
      </c>
      <c r="BN35" s="132">
        <f>SUM(Financials!GM42:GO42)</f>
        <v>84064.738624602833</v>
      </c>
      <c r="BO35" s="132">
        <f>SUM(Financials!GP42:GR42)</f>
        <v>84485.763246403003</v>
      </c>
      <c r="BP35" s="132">
        <f>SUM(Financials!GS42:GU42)</f>
        <v>84908.896501799885</v>
      </c>
      <c r="BQ35" s="132">
        <f>SUM(Financials!GV42:GX42)</f>
        <v>85334.148951543146</v>
      </c>
      <c r="BR35" s="132">
        <f>SUM(Financials!GY42:HA42)</f>
        <v>85761.531209274326</v>
      </c>
      <c r="BS35" s="132">
        <f>SUM(Financials!HB42:HD42)</f>
        <v>86191.053941791586</v>
      </c>
      <c r="BT35" s="132">
        <f>SUM(Financials!HE42:HG42)</f>
        <v>86622.727869316062</v>
      </c>
      <c r="BU35" s="132">
        <f>SUM(Financials!HH42:HJ42)</f>
        <v>87056.563765759376</v>
      </c>
      <c r="BV35" s="132">
        <f>SUM(Financials!HK42:HM42)</f>
        <v>87492.572458992567</v>
      </c>
      <c r="BW35" s="132">
        <f>SUM(Financials!HN42:HP42)</f>
        <v>87930.764831116234</v>
      </c>
      <c r="BX35" s="132">
        <f>SUM(Financials!HQ42:HS42)</f>
        <v>88371.151818732294</v>
      </c>
      <c r="BY35" s="132">
        <f>SUM(Financials!HT42:HV42)</f>
        <v>88813.744413216831</v>
      </c>
      <c r="BZ35" s="132">
        <f>SUM(Financials!HW42:HY42)</f>
        <v>89258.553660994483</v>
      </c>
      <c r="CA35" s="132">
        <f>SUM(Financials!HZ42:IB42)</f>
        <v>89705.590663814015</v>
      </c>
      <c r="CB35" s="132">
        <f>SUM(Financials!IC42:IE42)</f>
        <v>90154.866579025635</v>
      </c>
      <c r="CC35" s="132">
        <f>SUM(Financials!IF42:IH42)</f>
        <v>90606.392619859238</v>
      </c>
      <c r="CD35" s="132">
        <f>SUM(Financials!II42:IK42)</f>
        <v>91060.180055704433</v>
      </c>
      <c r="CE35" s="132">
        <f>SUM(Financials!IL42:IN42)</f>
        <v>91516.240212391669</v>
      </c>
      <c r="CF35" s="132">
        <f>SUM(Financials!IO42:IQ42)</f>
        <v>91974.58447247505</v>
      </c>
      <c r="CG35" s="132">
        <f>SUM(Financials!IR42:IT42)</f>
        <v>92435.224275516302</v>
      </c>
      <c r="CH35" s="132">
        <f>SUM(Financials!IU42:IW42)</f>
        <v>92898.171118370388</v>
      </c>
      <c r="CI35" s="132">
        <f>SUM(Financials!IX42:IZ42)</f>
        <v>93363.436555472377</v>
      </c>
      <c r="CJ35" s="132">
        <f>SUM(Financials!JA42:JC42)</f>
        <v>93831.032199125868</v>
      </c>
      <c r="CK35" s="132">
        <f>SUM(Financials!JD42:JF42)</f>
        <v>94300.969719792745</v>
      </c>
      <c r="CL35" s="132">
        <f>SUM(Financials!JG42:JI42)</f>
        <v>94773.260846384641</v>
      </c>
      <c r="CM35" s="132">
        <f>SUM(Financials!JJ42:JL42)</f>
        <v>95247.917366555383</v>
      </c>
      <c r="CN35" s="132">
        <f>SUM(Financials!JM42:JO42)</f>
        <v>95724.951126995496</v>
      </c>
      <c r="CO35" s="132">
        <f>SUM(Financials!JP42:JR42)</f>
        <v>96204.374033727625</v>
      </c>
    </row>
    <row r="36" spans="1:93" x14ac:dyDescent="0.25">
      <c r="A36" s="152" t="str">
        <f>Financials!B43</f>
        <v>Total O&amp;M</v>
      </c>
      <c r="B36" s="132">
        <f>SUM(Financials!C43:E43)</f>
        <v>0</v>
      </c>
      <c r="C36" s="132">
        <f>SUM(Financials!F43:H43)</f>
        <v>0</v>
      </c>
      <c r="D36" s="132">
        <f>SUM(Financials!I43:K43)</f>
        <v>0</v>
      </c>
      <c r="E36" s="132">
        <f>SUM(Financials!L43:N43)</f>
        <v>0</v>
      </c>
      <c r="F36" s="132">
        <f>SUM(Financials!O43:Q43)</f>
        <v>0</v>
      </c>
      <c r="G36" s="132">
        <f>SUM(Financials!R43:T43)</f>
        <v>384890.77245370368</v>
      </c>
      <c r="H36" s="132">
        <f>SUM(Financials!U43:W43)</f>
        <v>386818.43552097777</v>
      </c>
      <c r="I36" s="132">
        <f>SUM(Financials!X43:Z43)</f>
        <v>388755.7529763715</v>
      </c>
      <c r="J36" s="132">
        <f>SUM(Financials!AA43:AC43)</f>
        <v>390702.77317232342</v>
      </c>
      <c r="K36" s="132">
        <f>SUM(Financials!AD43:AF43)</f>
        <v>392659.54470343736</v>
      </c>
      <c r="L36" s="132">
        <f>SUM(Financials!AG43:AI43)</f>
        <v>394626.1164076954</v>
      </c>
      <c r="M36" s="132">
        <f>SUM(Financials!AJ43:AL43)</f>
        <v>396602.53736767679</v>
      </c>
      <c r="N36" s="132">
        <f>SUM(Financials!AM43:AO43)</f>
        <v>398588.85691178287</v>
      </c>
      <c r="O36" s="132">
        <f>SUM(Financials!AP43:AR43)</f>
        <v>400585.1246154682</v>
      </c>
      <c r="P36" s="132">
        <f>SUM(Financials!AS43:AU43)</f>
        <v>402591.39030247822</v>
      </c>
      <c r="Q36" s="132">
        <f>SUM(Financials!AV43:AX43)</f>
        <v>404607.70404609223</v>
      </c>
      <c r="R36" s="132">
        <f>SUM(Financials!AY43:BA43)</f>
        <v>406634.11617037369</v>
      </c>
      <c r="S36" s="132">
        <f>SUM(Financials!BB43:BD43)</f>
        <v>408670.67725142569</v>
      </c>
      <c r="T36" s="132">
        <f>SUM(Financials!BE43:BG43)</f>
        <v>410717.43811865384</v>
      </c>
      <c r="U36" s="132">
        <f>SUM(Financials!BH43:BJ43)</f>
        <v>412774.44985603448</v>
      </c>
      <c r="V36" s="132">
        <f>SUM(Financials!BK43:BM43)</f>
        <v>414841.76380338974</v>
      </c>
      <c r="W36" s="132">
        <f>SUM(Financials!BN43:BP43)</f>
        <v>416919.43155766884</v>
      </c>
      <c r="X36" s="132">
        <f>SUM(Financials!BQ43:BS43)</f>
        <v>419007.50497423613</v>
      </c>
      <c r="Y36" s="132">
        <f>SUM(Financials!BT43:BV43)</f>
        <v>421106.0361681651</v>
      </c>
      <c r="Z36" s="132">
        <f>SUM(Financials!BW43:BY43)</f>
        <v>423215.07751553913</v>
      </c>
      <c r="AA36" s="132">
        <f>SUM(Financials!BZ43:CB43)</f>
        <v>425334.68165475852</v>
      </c>
      <c r="AB36" s="132">
        <f>SUM(Financials!CC43:CE43)</f>
        <v>427464.90148785495</v>
      </c>
      <c r="AC36" s="132">
        <f>SUM(Financials!CF43:CH43)</f>
        <v>429605.79018181085</v>
      </c>
      <c r="AD36" s="132">
        <f>SUM(Financials!CI43:CK43)</f>
        <v>431757.40116988716</v>
      </c>
      <c r="AE36" s="132">
        <f>SUM(Financials!CL43:CN43)</f>
        <v>433919.78815295664</v>
      </c>
      <c r="AF36" s="132">
        <f>SUM(Financials!CO43:CQ43)</f>
        <v>436093.00510084408</v>
      </c>
      <c r="AG36" s="132">
        <f>SUM(Financials!CR43:CT43)</f>
        <v>438277.10625367332</v>
      </c>
      <c r="AH36" s="132">
        <f>SUM(Financials!CU43:CW43)</f>
        <v>440472.14612322114</v>
      </c>
      <c r="AI36" s="132">
        <f>SUM(Financials!CX43:CZ43)</f>
        <v>442678.17949427804</v>
      </c>
      <c r="AJ36" s="132">
        <f>SUM(Financials!DA43:DC43)</f>
        <v>444895.26142601471</v>
      </c>
      <c r="AK36" s="132">
        <f>SUM(Financials!DD43:DF43)</f>
        <v>447123.44725335692</v>
      </c>
      <c r="AL36" s="132">
        <f>SUM(Financials!DG43:DI43)</f>
        <v>449362.79258836689</v>
      </c>
      <c r="AM36" s="132">
        <f>SUM(Financials!DJ43:DL43)</f>
        <v>451613.35332163039</v>
      </c>
      <c r="AN36" s="132">
        <f>SUM(Financials!DM43:DO43)</f>
        <v>453875.18562365219</v>
      </c>
      <c r="AO36" s="132">
        <f>SUM(Financials!DP43:DR43)</f>
        <v>456148.34594625817</v>
      </c>
      <c r="AP36" s="132">
        <f>SUM(Financials!DS43:DU43)</f>
        <v>458432.8910240035</v>
      </c>
      <c r="AQ36" s="132">
        <f>SUM(Financials!DV43:DX43)</f>
        <v>460728.87787559</v>
      </c>
      <c r="AR36" s="132">
        <f>SUM(Financials!DY43:EA43)</f>
        <v>463036.36380528787</v>
      </c>
      <c r="AS36" s="132">
        <f>SUM(Financials!EB43:ED43)</f>
        <v>465355.40640436625</v>
      </c>
      <c r="AT36" s="132">
        <f>SUM(Financials!EE43:EG43)</f>
        <v>467686.06355253141</v>
      </c>
      <c r="AU36" s="132">
        <f>SUM(Financials!EH43:EJ43)</f>
        <v>470028.3934193704</v>
      </c>
      <c r="AV36" s="132">
        <f>SUM(Financials!EK43:EM43)</f>
        <v>472382.45446580311</v>
      </c>
      <c r="AW36" s="132">
        <f>SUM(Financials!EN43:EP43)</f>
        <v>474748.30544554204</v>
      </c>
      <c r="AX36" s="132">
        <f>SUM(Financials!EQ43:ES43)</f>
        <v>477126.00540655735</v>
      </c>
      <c r="AY36" s="132">
        <f>SUM(Financials!ET43:EV43)</f>
        <v>479515.61369255197</v>
      </c>
      <c r="AZ36" s="132">
        <f>SUM(Financials!EW43:EY43)</f>
        <v>481917.1899444419</v>
      </c>
      <c r="BA36" s="132">
        <f>SUM(Financials!EZ43:FB43)</f>
        <v>484330.79410184524</v>
      </c>
      <c r="BB36" s="132">
        <f>SUM(Financials!FC43:FE43)</f>
        <v>486756.48640457762</v>
      </c>
      <c r="BC36" s="132">
        <f>SUM(Financials!FF43:FH43)</f>
        <v>489194.32739415625</v>
      </c>
      <c r="BD36" s="132">
        <f>SUM(Financials!FI43:FK43)</f>
        <v>491644.37791531062</v>
      </c>
      <c r="BE36" s="132">
        <f>SUM(Financials!FL43:FN43)</f>
        <v>494106.69911750127</v>
      </c>
      <c r="BF36" s="132">
        <f>SUM(Financials!FO43:FQ43)</f>
        <v>496581.35245644586</v>
      </c>
      <c r="BG36" s="132">
        <f>SUM(Financials!FR43:FT43)</f>
        <v>499068.399695653</v>
      </c>
      <c r="BH36" s="132">
        <f>SUM(Financials!FU43:FW43)</f>
        <v>501567.90290796407</v>
      </c>
      <c r="BI36" s="132">
        <f>SUM(Financials!FX43:FZ43)</f>
        <v>504079.92447710189</v>
      </c>
      <c r="BJ36" s="132">
        <f>SUM(Financials!GA43:GC43)</f>
        <v>506604.52709922823</v>
      </c>
      <c r="BK36" s="132">
        <f>SUM(Financials!GD43:GF43)</f>
        <v>509141.77378450823</v>
      </c>
      <c r="BL36" s="132">
        <f>SUM(Financials!GG43:GI43)</f>
        <v>511691.72785868356</v>
      </c>
      <c r="BM36" s="132">
        <f>SUM(Financials!GJ43:GL43)</f>
        <v>514254.45296465245</v>
      </c>
      <c r="BN36" s="132">
        <f>SUM(Financials!GM43:GO43)</f>
        <v>516830.01306405821</v>
      </c>
      <c r="BO36" s="132">
        <f>SUM(Financials!GP43:GR43)</f>
        <v>519418.47243888566</v>
      </c>
      <c r="BP36" s="132">
        <f>SUM(Financials!GS43:GU43)</f>
        <v>522019.89569306572</v>
      </c>
      <c r="BQ36" s="132">
        <f>SUM(Financials!GV43:GX43)</f>
        <v>524634.3477540873</v>
      </c>
      <c r="BR36" s="132">
        <f>SUM(Financials!GY43:HA43)</f>
        <v>527261.89387461857</v>
      </c>
      <c r="BS36" s="132">
        <f>SUM(Financials!HB43:HD43)</f>
        <v>529902.59963413468</v>
      </c>
      <c r="BT36" s="132">
        <f>SUM(Financials!HE43:HG43)</f>
        <v>532556.53094055515</v>
      </c>
      <c r="BU36" s="132">
        <f>SUM(Financials!HH43:HJ43)</f>
        <v>535223.75403188867</v>
      </c>
      <c r="BV36" s="132">
        <f>SUM(Financials!HK43:HM43)</f>
        <v>537904.33547788626</v>
      </c>
      <c r="BW36" s="132">
        <f>SUM(Financials!HN43:HP43)</f>
        <v>540598.34218170261</v>
      </c>
      <c r="BX36" s="132">
        <f>SUM(Financials!HQ43:HS43)</f>
        <v>543305.84138156613</v>
      </c>
      <c r="BY36" s="132">
        <f>SUM(Financials!HT43:HV43)</f>
        <v>546026.90065245715</v>
      </c>
      <c r="BZ36" s="132">
        <f>SUM(Financials!HW43:HY43)</f>
        <v>548761.58790779405</v>
      </c>
      <c r="CA36" s="132">
        <f>SUM(Financials!HZ43:IB43)</f>
        <v>551509.97140112857</v>
      </c>
      <c r="CB36" s="132">
        <f>SUM(Financials!IC43:IE43)</f>
        <v>554272.11972784949</v>
      </c>
      <c r="CC36" s="132">
        <f>SUM(Financials!IF43:IH43)</f>
        <v>557048.10182689456</v>
      </c>
      <c r="CD36" s="132">
        <f>SUM(Financials!II43:IK43)</f>
        <v>559837.98698247084</v>
      </c>
      <c r="CE36" s="132">
        <f>SUM(Financials!IL43:IN43)</f>
        <v>562641.84482578398</v>
      </c>
      <c r="CF36" s="132">
        <f>SUM(Financials!IO43:IQ43)</f>
        <v>565459.7453367766</v>
      </c>
      <c r="CG36" s="132">
        <f>SUM(Financials!IR43:IT43)</f>
        <v>568291.75884587422</v>
      </c>
      <c r="CH36" s="132">
        <f>SUM(Financials!IU43:IW43)</f>
        <v>571137.95603574114</v>
      </c>
      <c r="CI36" s="132">
        <f>SUM(Financials!IX43:IZ43)</f>
        <v>573998.40794304421</v>
      </c>
      <c r="CJ36" s="132">
        <f>SUM(Financials!JA43:JC43)</f>
        <v>576873.18596022576</v>
      </c>
      <c r="CK36" s="132">
        <f>SUM(Financials!JD43:JF43)</f>
        <v>579762.3618372858</v>
      </c>
      <c r="CL36" s="132">
        <f>SUM(Financials!JG43:JI43)</f>
        <v>582666.00768357271</v>
      </c>
      <c r="CM36" s="132">
        <f>SUM(Financials!JJ43:JL43)</f>
        <v>585584.19596958254</v>
      </c>
      <c r="CN36" s="132">
        <f>SUM(Financials!JM43:JO43)</f>
        <v>588516.99952876836</v>
      </c>
      <c r="CO36" s="132">
        <f>SUM(Financials!JP43:JR43)</f>
        <v>591464.49155935738</v>
      </c>
    </row>
    <row r="37" spans="1:93" x14ac:dyDescent="0.25">
      <c r="A37" s="152" t="str">
        <f>Financials!B44</f>
        <v>All insurance for the plant and risks</v>
      </c>
      <c r="B37" s="132">
        <f>SUM(Financials!C44:E44)</f>
        <v>1805949.4496267724</v>
      </c>
      <c r="C37" s="132">
        <f>SUM(Financials!F44:H44)</f>
        <v>1805949.4496267724</v>
      </c>
      <c r="D37" s="132">
        <f>SUM(Financials!I44:K44)</f>
        <v>1805949.4496267724</v>
      </c>
      <c r="E37" s="132">
        <f>SUM(Financials!L44:N44)</f>
        <v>1805949.4496267724</v>
      </c>
      <c r="F37" s="132">
        <f>SUM(Financials!O44:Q44)</f>
        <v>1877854.0693867514</v>
      </c>
      <c r="G37" s="132">
        <f>SUM(Financials!R44:T44)</f>
        <v>1877854.0693867514</v>
      </c>
      <c r="H37" s="132">
        <f>SUM(Financials!U44:W44)</f>
        <v>1877854.0693867514</v>
      </c>
      <c r="I37" s="132">
        <f>SUM(Financials!X44:Z44)</f>
        <v>1877854.0693867514</v>
      </c>
      <c r="J37" s="132">
        <f>SUM(Financials!AA44:AC44)</f>
        <v>1786967.7886152449</v>
      </c>
      <c r="K37" s="132">
        <f>SUM(Financials!AD44:AF44)</f>
        <v>1786967.7886152449</v>
      </c>
      <c r="L37" s="132">
        <f>SUM(Financials!AG44:AI44)</f>
        <v>1786967.7886152449</v>
      </c>
      <c r="M37" s="132">
        <f>SUM(Financials!AJ44:AL44)</f>
        <v>1786967.7886152449</v>
      </c>
      <c r="N37" s="132">
        <f>SUM(Financials!AM44:AO44)</f>
        <v>1689511.3312580432</v>
      </c>
      <c r="O37" s="132">
        <f>SUM(Financials!AP44:AR44)</f>
        <v>1689511.3312580432</v>
      </c>
      <c r="P37" s="132">
        <f>SUM(Financials!AS44:AU44)</f>
        <v>1689511.3312580432</v>
      </c>
      <c r="Q37" s="132">
        <f>SUM(Financials!AV44:AX44)</f>
        <v>1689511.3312580432</v>
      </c>
      <c r="R37" s="132">
        <f>SUM(Financials!AY44:BA44)</f>
        <v>1585009.7387185269</v>
      </c>
      <c r="S37" s="132">
        <f>SUM(Financials!BB44:BD44)</f>
        <v>1585009.7387185269</v>
      </c>
      <c r="T37" s="132">
        <f>SUM(Financials!BE44:BG44)</f>
        <v>1585009.7387185269</v>
      </c>
      <c r="U37" s="132">
        <f>SUM(Financials!BH44:BJ44)</f>
        <v>1585009.7387185269</v>
      </c>
      <c r="V37" s="132">
        <f>SUM(Financials!BK44:BM44)</f>
        <v>1472953.7176047238</v>
      </c>
      <c r="W37" s="132">
        <f>SUM(Financials!BN44:BP44)</f>
        <v>1472953.7176047238</v>
      </c>
      <c r="X37" s="132">
        <f>SUM(Financials!BQ44:BS44)</f>
        <v>1472953.7176047238</v>
      </c>
      <c r="Y37" s="132">
        <f>SUM(Financials!BT44:BV44)</f>
        <v>1472953.7176047238</v>
      </c>
      <c r="Z37" s="132">
        <f>SUM(Financials!BW44:BY44)</f>
        <v>1352797.1576641756</v>
      </c>
      <c r="AA37" s="132">
        <f>SUM(Financials!BZ44:CB44)</f>
        <v>1352797.1576641756</v>
      </c>
      <c r="AB37" s="132">
        <f>SUM(Financials!CC44:CE44)</f>
        <v>1352797.1576641756</v>
      </c>
      <c r="AC37" s="132">
        <f>SUM(Financials!CF44:CH44)</f>
        <v>1352797.1576641756</v>
      </c>
      <c r="AD37" s="132">
        <f>SUM(Financials!CI44:CK44)</f>
        <v>1223954.4702901181</v>
      </c>
      <c r="AE37" s="132">
        <f>SUM(Financials!CL44:CN44)</f>
        <v>1223954.4702901181</v>
      </c>
      <c r="AF37" s="132">
        <f>SUM(Financials!CO44:CQ44)</f>
        <v>1223954.4702901181</v>
      </c>
      <c r="AG37" s="132">
        <f>SUM(Financials!CR44:CT44)</f>
        <v>1223954.4702901181</v>
      </c>
      <c r="AH37" s="132">
        <f>SUM(Financials!CU44:CW44)</f>
        <v>1085797.7346280555</v>
      </c>
      <c r="AI37" s="132">
        <f>SUM(Financials!CX44:CZ44)</f>
        <v>1085797.7346280555</v>
      </c>
      <c r="AJ37" s="132">
        <f>SUM(Financials!DA44:DC44)</f>
        <v>1085797.7346280555</v>
      </c>
      <c r="AK37" s="132">
        <f>SUM(Financials!DD44:DF44)</f>
        <v>1085797.7346280555</v>
      </c>
      <c r="AL37" s="132">
        <f>SUM(Financials!DG44:DI44)</f>
        <v>937653.63737414847</v>
      </c>
      <c r="AM37" s="132">
        <f>SUM(Financials!DJ44:DL44)</f>
        <v>937653.63737414847</v>
      </c>
      <c r="AN37" s="132">
        <f>SUM(Financials!DM44:DO44)</f>
        <v>937653.63737414847</v>
      </c>
      <c r="AO37" s="132">
        <f>SUM(Financials!DP44:DR44)</f>
        <v>937653.63737414847</v>
      </c>
      <c r="AP37" s="132">
        <f>SUM(Financials!DS44:DU44)</f>
        <v>778800.19135138276</v>
      </c>
      <c r="AQ37" s="132">
        <f>SUM(Financials!DV44:DX44)</f>
        <v>778800.19135138276</v>
      </c>
      <c r="AR37" s="132">
        <f>SUM(Financials!DY44:EA44)</f>
        <v>778800.19135138276</v>
      </c>
      <c r="AS37" s="132">
        <f>SUM(Financials!EB44:ED44)</f>
        <v>778800.19135138276</v>
      </c>
      <c r="AT37" s="132">
        <f>SUM(Financials!EE44:EG44)</f>
        <v>683731.77615280403</v>
      </c>
      <c r="AU37" s="132">
        <f>SUM(Financials!EH44:EJ44)</f>
        <v>683731.77615280403</v>
      </c>
      <c r="AV37" s="132">
        <f>SUM(Financials!EK44:EM44)</f>
        <v>683731.77615280403</v>
      </c>
      <c r="AW37" s="132">
        <f>SUM(Financials!EN44:EP44)</f>
        <v>683731.77615280403</v>
      </c>
      <c r="AX37" s="132">
        <f>SUM(Financials!EQ44:ES44)</f>
        <v>620759.05953950924</v>
      </c>
      <c r="AY37" s="132">
        <f>SUM(Financials!ET44:EV44)</f>
        <v>620759.05953950924</v>
      </c>
      <c r="AZ37" s="132">
        <f>SUM(Financials!EW44:EY44)</f>
        <v>620759.05953950924</v>
      </c>
      <c r="BA37" s="132">
        <f>SUM(Financials!EZ44:FB44)</f>
        <v>620759.05953950924</v>
      </c>
      <c r="BB37" s="132">
        <f>SUM(Financials!FC44:FE44)</f>
        <v>553234.0401505027</v>
      </c>
      <c r="BC37" s="132">
        <f>SUM(Financials!FF44:FH44)</f>
        <v>553234.0401505027</v>
      </c>
      <c r="BD37" s="132">
        <f>SUM(Financials!FI44:FK44)</f>
        <v>553234.0401505027</v>
      </c>
      <c r="BE37" s="132">
        <f>SUM(Financials!FL44:FN44)</f>
        <v>553234.0401505027</v>
      </c>
      <c r="BF37" s="132">
        <f>SUM(Financials!FO44:FQ44)</f>
        <v>480827.63165004598</v>
      </c>
      <c r="BG37" s="132">
        <f>SUM(Financials!FR44:FT44)</f>
        <v>480827.63165004598</v>
      </c>
      <c r="BH37" s="132">
        <f>SUM(Financials!FU44:FW44)</f>
        <v>480827.63165004598</v>
      </c>
      <c r="BI37" s="132">
        <f>SUM(Financials!FX44:FZ44)</f>
        <v>480827.63165004598</v>
      </c>
      <c r="BJ37" s="132">
        <f>SUM(Financials!GA44:GC44)</f>
        <v>403186.95802458155</v>
      </c>
      <c r="BK37" s="132">
        <f>SUM(Financials!GD44:GF44)</f>
        <v>403186.95802458155</v>
      </c>
      <c r="BL37" s="132">
        <f>SUM(Financials!GG44:GI44)</f>
        <v>403186.95802458155</v>
      </c>
      <c r="BM37" s="132">
        <f>SUM(Financials!GJ44:GL44)</f>
        <v>403186.95802458155</v>
      </c>
      <c r="BN37" s="132">
        <f>SUM(Financials!GM44:GO44)</f>
        <v>376078.93306275265</v>
      </c>
      <c r="BO37" s="132">
        <f>SUM(Financials!GP44:GR44)</f>
        <v>376078.93306275265</v>
      </c>
      <c r="BP37" s="132">
        <f>SUM(Financials!GS44:GU44)</f>
        <v>376078.93306275265</v>
      </c>
      <c r="BQ37" s="132">
        <f>SUM(Financials!GV44:GX44)</f>
        <v>376078.93306275265</v>
      </c>
      <c r="BR37" s="132">
        <f>SUM(Financials!GY44:HA44)</f>
        <v>376078.93306275265</v>
      </c>
      <c r="BS37" s="132">
        <f>SUM(Financials!HB44:HD44)</f>
        <v>376078.93306275265</v>
      </c>
      <c r="BT37" s="132">
        <f>SUM(Financials!HE44:HG44)</f>
        <v>376078.93306275265</v>
      </c>
      <c r="BU37" s="132">
        <f>SUM(Financials!HH44:HJ44)</f>
        <v>376078.93306275265</v>
      </c>
      <c r="BV37" s="132">
        <f>SUM(Financials!HK44:HM44)</f>
        <v>376078.93306275265</v>
      </c>
      <c r="BW37" s="132">
        <f>SUM(Financials!HN44:HP44)</f>
        <v>376078.93306275265</v>
      </c>
      <c r="BX37" s="132">
        <f>SUM(Financials!HQ44:HS44)</f>
        <v>376078.93306275265</v>
      </c>
      <c r="BY37" s="132">
        <f>SUM(Financials!HT44:HV44)</f>
        <v>376078.93306275265</v>
      </c>
      <c r="BZ37" s="132">
        <f>SUM(Financials!HW44:HY44)</f>
        <v>376078.93306275265</v>
      </c>
      <c r="CA37" s="132">
        <f>SUM(Financials!HZ44:IB44)</f>
        <v>376078.93306275265</v>
      </c>
      <c r="CB37" s="132">
        <f>SUM(Financials!IC44:IE44)</f>
        <v>376078.93306275265</v>
      </c>
      <c r="CC37" s="132">
        <f>SUM(Financials!IF44:IH44)</f>
        <v>376078.93306275265</v>
      </c>
      <c r="CD37" s="132">
        <f>SUM(Financials!II44:IK44)</f>
        <v>376078.93306275265</v>
      </c>
      <c r="CE37" s="132">
        <f>SUM(Financials!IL44:IN44)</f>
        <v>376078.93306275265</v>
      </c>
      <c r="CF37" s="132">
        <f>SUM(Financials!IO44:IQ44)</f>
        <v>376078.93306275265</v>
      </c>
      <c r="CG37" s="132">
        <f>SUM(Financials!IR44:IT44)</f>
        <v>376078.93306275265</v>
      </c>
      <c r="CH37" s="132">
        <f>SUM(Financials!IU44:IW44)</f>
        <v>376078.93306275265</v>
      </c>
      <c r="CI37" s="132">
        <f>SUM(Financials!IX44:IZ44)</f>
        <v>376078.93306275265</v>
      </c>
      <c r="CJ37" s="132">
        <f>SUM(Financials!JA44:JC44)</f>
        <v>376078.93306275265</v>
      </c>
      <c r="CK37" s="132">
        <f>SUM(Financials!JD44:JF44)</f>
        <v>376078.93306275265</v>
      </c>
      <c r="CL37" s="132">
        <f>SUM(Financials!JG44:JI44)</f>
        <v>376078.93306275265</v>
      </c>
      <c r="CM37" s="132">
        <f>SUM(Financials!JJ44:JL44)</f>
        <v>376078.93306275265</v>
      </c>
      <c r="CN37" s="132">
        <f>SUM(Financials!JM44:JO44)</f>
        <v>376078.93306275265</v>
      </c>
      <c r="CO37" s="132">
        <f>SUM(Financials!JP44:JR44)</f>
        <v>376078.93306275265</v>
      </c>
    </row>
    <row r="38" spans="1:93" x14ac:dyDescent="0.25">
      <c r="A38" s="152" t="str">
        <f>Financials!B45</f>
        <v xml:space="preserve">Land Rental </v>
      </c>
      <c r="B38" s="132">
        <f>SUM(Financials!C45:E45)</f>
        <v>0</v>
      </c>
      <c r="C38" s="132">
        <f>SUM(Financials!F45:H45)</f>
        <v>0</v>
      </c>
      <c r="D38" s="132">
        <f>SUM(Financials!I45:K45)</f>
        <v>0</v>
      </c>
      <c r="E38" s="132">
        <f>SUM(Financials!L45:N45)</f>
        <v>0</v>
      </c>
      <c r="F38" s="132">
        <f>SUM(Financials!O45:Q45)</f>
        <v>0</v>
      </c>
      <c r="G38" s="132">
        <f>SUM(Financials!R45:T45)</f>
        <v>25041.689814814818</v>
      </c>
      <c r="H38" s="132">
        <f>SUM(Financials!U45:W45)</f>
        <v>25167.107060571099</v>
      </c>
      <c r="I38" s="132">
        <f>SUM(Financials!X45:Z45)</f>
        <v>25293.152438280522</v>
      </c>
      <c r="J38" s="132">
        <f>SUM(Financials!AA45:AC45)</f>
        <v>25419.82909384017</v>
      </c>
      <c r="K38" s="132">
        <f>SUM(Financials!AD45:AF45)</f>
        <v>25547.140188902889</v>
      </c>
      <c r="L38" s="132">
        <f>SUM(Financials!AG45:AI45)</f>
        <v>25675.088900956111</v>
      </c>
      <c r="M38" s="132">
        <f>SUM(Financials!AJ45:AL45)</f>
        <v>25803.678423401227</v>
      </c>
      <c r="N38" s="132">
        <f>SUM(Financials!AM45:AO45)</f>
        <v>25932.911965633237</v>
      </c>
      <c r="O38" s="132">
        <f>SUM(Financials!AP45:AR45)</f>
        <v>26062.792753120906</v>
      </c>
      <c r="P38" s="132">
        <f>SUM(Financials!AS45:AU45)</f>
        <v>26193.324027487201</v>
      </c>
      <c r="Q38" s="132">
        <f>SUM(Financials!AV45:AX45)</f>
        <v>26324.509046590258</v>
      </c>
      <c r="R38" s="132">
        <f>SUM(Financials!AY45:BA45)</f>
        <v>26456.351084604667</v>
      </c>
      <c r="S38" s="132">
        <f>SUM(Financials!BB45:BD45)</f>
        <v>26588.853432103169</v>
      </c>
      <c r="T38" s="132">
        <f>SUM(Financials!BE45:BG45)</f>
        <v>26722.01939613884</v>
      </c>
      <c r="U38" s="132">
        <f>SUM(Financials!BH45:BJ45)</f>
        <v>26855.852300327555</v>
      </c>
      <c r="V38" s="132">
        <f>SUM(Financials!BK45:BM45)</f>
        <v>26990.35548493102</v>
      </c>
      <c r="W38" s="132">
        <f>SUM(Financials!BN45:BP45)</f>
        <v>27125.532306940069</v>
      </c>
      <c r="X38" s="132">
        <f>SUM(Financials!BQ45:BS45)</f>
        <v>27261.386140158502</v>
      </c>
      <c r="Y38" s="132">
        <f>SUM(Financials!BT45:BV45)</f>
        <v>27397.92037528726</v>
      </c>
      <c r="Z38" s="132">
        <f>SUM(Financials!BW45:BY45)</f>
        <v>27535.138420009047</v>
      </c>
      <c r="AA38" s="132">
        <f>SUM(Financials!BZ45:CB45)</f>
        <v>27673.043699073427</v>
      </c>
      <c r="AB38" s="132">
        <f>SUM(Financials!CC45:CE45)</f>
        <v>27811.639654382241</v>
      </c>
      <c r="AC38" s="132">
        <f>SUM(Financials!CF45:CH45)</f>
        <v>27950.929745075529</v>
      </c>
      <c r="AD38" s="132">
        <f>SUM(Financials!CI45:CK45)</f>
        <v>28090.917447617907</v>
      </c>
      <c r="AE38" s="132">
        <f>SUM(Financials!CL45:CN45)</f>
        <v>28231.606255885275</v>
      </c>
      <c r="AF38" s="132">
        <f>SUM(Financials!CO45:CQ45)</f>
        <v>28372.999681252055</v>
      </c>
      <c r="AG38" s="132">
        <f>SUM(Financials!CR45:CT45)</f>
        <v>28515.101252678811</v>
      </c>
      <c r="AH38" s="132">
        <f>SUM(Financials!CU45:CW45)</f>
        <v>28657.914516800342</v>
      </c>
      <c r="AI38" s="132">
        <f>SUM(Financials!CX45:CZ45)</f>
        <v>28801.443038014193</v>
      </c>
      <c r="AJ38" s="132">
        <f>SUM(Financials!DA45:DC45)</f>
        <v>28945.690398569594</v>
      </c>
      <c r="AK38" s="132">
        <f>SUM(Financials!DD45:DF45)</f>
        <v>29090.660198656926</v>
      </c>
      <c r="AL38" s="132">
        <f>SUM(Financials!DG45:DI45)</f>
        <v>29236.356056497523</v>
      </c>
      <c r="AM38" s="132">
        <f>SUM(Financials!DJ45:DL45)</f>
        <v>29382.781608433994</v>
      </c>
      <c r="AN38" s="132">
        <f>SUM(Financials!DM45:DO45)</f>
        <v>29529.940509020969</v>
      </c>
      <c r="AO38" s="132">
        <f>SUM(Financials!DP45:DR45)</f>
        <v>29677.836431116339</v>
      </c>
      <c r="AP38" s="132">
        <f>SUM(Financials!DS45:DU45)</f>
        <v>29826.47306597291</v>
      </c>
      <c r="AQ38" s="132">
        <f>SUM(Financials!DV45:DX45)</f>
        <v>29975.854123330519</v>
      </c>
      <c r="AR38" s="132">
        <f>SUM(Financials!DY45:EA45)</f>
        <v>30125.983331508643</v>
      </c>
      <c r="AS38" s="132">
        <f>SUM(Financials!EB45:ED45)</f>
        <v>30276.864437499433</v>
      </c>
      <c r="AT38" s="132">
        <f>SUM(Financials!EE45:EG45)</f>
        <v>30428.50120706125</v>
      </c>
      <c r="AU38" s="132">
        <f>SUM(Financials!EH45:EJ45)</f>
        <v>30580.897424812651</v>
      </c>
      <c r="AV38" s="132">
        <f>SUM(Financials!EK45:EM45)</f>
        <v>30734.056894326815</v>
      </c>
      <c r="AW38" s="132">
        <f>SUM(Financials!EN45:EP45)</f>
        <v>30887.983438226547</v>
      </c>
      <c r="AX38" s="132">
        <f>SUM(Financials!EQ45:ES45)</f>
        <v>31042.680898279592</v>
      </c>
      <c r="AY38" s="132">
        <f>SUM(Financials!ET45:EV45)</f>
        <v>31198.153135494602</v>
      </c>
      <c r="AZ38" s="132">
        <f>SUM(Financials!EW45:EY45)</f>
        <v>31354.404030217436</v>
      </c>
      <c r="BA38" s="132">
        <f>SUM(Financials!EZ45:FB45)</f>
        <v>31511.437482228059</v>
      </c>
      <c r="BB38" s="132">
        <f>SUM(Financials!FC45:FE45)</f>
        <v>31669.257410837839</v>
      </c>
      <c r="BC38" s="132">
        <f>SUM(Financials!FF45:FH45)</f>
        <v>31827.867754987397</v>
      </c>
      <c r="BD38" s="132">
        <f>SUM(Financials!FI45:FK45)</f>
        <v>31987.272473344874</v>
      </c>
      <c r="BE38" s="132">
        <f>SUM(Financials!FL45:FN45)</f>
        <v>32147.47554440477</v>
      </c>
      <c r="BF38" s="132">
        <f>SUM(Financials!FO45:FQ45)</f>
        <v>32308.480966587242</v>
      </c>
      <c r="BG38" s="132">
        <f>SUM(Financials!FR45:FT45)</f>
        <v>32470.292758337877</v>
      </c>
      <c r="BH38" s="132">
        <f>SUM(Financials!FU45:FW45)</f>
        <v>32632.914958227986</v>
      </c>
      <c r="BI38" s="132">
        <f>SUM(Financials!FX45:FZ45)</f>
        <v>32796.351625055431</v>
      </c>
      <c r="BJ38" s="132">
        <f>SUM(Financials!GA45:GC45)</f>
        <v>32960.606837945888</v>
      </c>
      <c r="BK38" s="132">
        <f>SUM(Financials!GD45:GF45)</f>
        <v>33125.684696454671</v>
      </c>
      <c r="BL38" s="132">
        <f>SUM(Financials!GG45:GI45)</f>
        <v>33291.589320669067</v>
      </c>
      <c r="BM38" s="132">
        <f>SUM(Financials!GJ45:GL45)</f>
        <v>33458.324851311161</v>
      </c>
      <c r="BN38" s="132">
        <f>SUM(Financials!GM45:GO45)</f>
        <v>33625.895449841133</v>
      </c>
      <c r="BO38" s="132">
        <f>SUM(Financials!GP45:GR45)</f>
        <v>33794.305298561201</v>
      </c>
      <c r="BP38" s="132">
        <f>SUM(Financials!GS45:GU45)</f>
        <v>33963.55860071996</v>
      </c>
      <c r="BQ38" s="132">
        <f>SUM(Financials!GV45:GX45)</f>
        <v>34133.659580617263</v>
      </c>
      <c r="BR38" s="132">
        <f>SUM(Financials!GY45:HA45)</f>
        <v>34304.61248370973</v>
      </c>
      <c r="BS38" s="132">
        <f>SUM(Financials!HB45:HD45)</f>
        <v>34476.421576716639</v>
      </c>
      <c r="BT38" s="132">
        <f>SUM(Financials!HE45:HG45)</f>
        <v>34649.091147726431</v>
      </c>
      <c r="BU38" s="132">
        <f>SUM(Financials!HH45:HJ45)</f>
        <v>34822.625506303753</v>
      </c>
      <c r="BV38" s="132">
        <f>SUM(Financials!HK45:HM45)</f>
        <v>34997.028983597025</v>
      </c>
      <c r="BW38" s="132">
        <f>SUM(Financials!HN45:HP45)</f>
        <v>35172.305932446499</v>
      </c>
      <c r="BX38" s="132">
        <f>SUM(Financials!HQ45:HS45)</f>
        <v>35348.460727492922</v>
      </c>
      <c r="BY38" s="132">
        <f>SUM(Financials!HT45:HV45)</f>
        <v>35525.497765286738</v>
      </c>
      <c r="BZ38" s="132">
        <f>SUM(Financials!HW45:HY45)</f>
        <v>35703.42146439779</v>
      </c>
      <c r="CA38" s="132">
        <f>SUM(Financials!HZ45:IB45)</f>
        <v>35882.236265525607</v>
      </c>
      <c r="CB38" s="132">
        <f>SUM(Financials!IC45:IE45)</f>
        <v>36061.946631610255</v>
      </c>
      <c r="CC38" s="132">
        <f>SUM(Financials!IF45:IH45)</f>
        <v>36242.557047943701</v>
      </c>
      <c r="CD38" s="132">
        <f>SUM(Financials!II45:IK45)</f>
        <v>36424.072022281776</v>
      </c>
      <c r="CE38" s="132">
        <f>SUM(Financials!IL45:IN45)</f>
        <v>36606.496084956671</v>
      </c>
      <c r="CF38" s="132">
        <f>SUM(Financials!IO45:IQ45)</f>
        <v>36789.833788990029</v>
      </c>
      <c r="CG38" s="132">
        <f>SUM(Financials!IR45:IT45)</f>
        <v>36974.089710206521</v>
      </c>
      <c r="CH38" s="132">
        <f>SUM(Financials!IU45:IW45)</f>
        <v>37159.268447348157</v>
      </c>
      <c r="CI38" s="132">
        <f>SUM(Financials!IX45:IZ45)</f>
        <v>37345.37462218896</v>
      </c>
      <c r="CJ38" s="132">
        <f>SUM(Financials!JA45:JC45)</f>
        <v>37532.41287965035</v>
      </c>
      <c r="CK38" s="132">
        <f>SUM(Financials!JD45:JF45)</f>
        <v>37720.38788791711</v>
      </c>
      <c r="CL38" s="132">
        <f>SUM(Financials!JG45:JI45)</f>
        <v>37909.304338553862</v>
      </c>
      <c r="CM38" s="132">
        <f>SUM(Financials!JJ45:JL45)</f>
        <v>38099.166946622157</v>
      </c>
      <c r="CN38" s="132">
        <f>SUM(Financials!JM45:JO45)</f>
        <v>38289.980450798204</v>
      </c>
      <c r="CO38" s="132">
        <f>SUM(Financials!JP45:JR45)</f>
        <v>38481.749613491054</v>
      </c>
    </row>
    <row r="39" spans="1:93" x14ac:dyDescent="0.25">
      <c r="A39" s="152" t="str">
        <f>Financials!B46</f>
        <v>IT  outsourced</v>
      </c>
      <c r="B39" s="132">
        <f>SUM(Financials!C46:E46)</f>
        <v>0</v>
      </c>
      <c r="C39" s="132">
        <f>SUM(Financials!F46:H46)</f>
        <v>0</v>
      </c>
      <c r="D39" s="132">
        <f>SUM(Financials!I46:K46)</f>
        <v>0</v>
      </c>
      <c r="E39" s="132">
        <f>SUM(Financials!L46:N46)</f>
        <v>0</v>
      </c>
      <c r="F39" s="132">
        <f>SUM(Financials!O46:Q46)</f>
        <v>0</v>
      </c>
      <c r="G39" s="132">
        <f>SUM(Financials!R46:T46)</f>
        <v>20033.351851851854</v>
      </c>
      <c r="H39" s="132">
        <f>SUM(Financials!U46:W46)</f>
        <v>13433.630062037126</v>
      </c>
      <c r="I39" s="132">
        <f>SUM(Financials!X46:Z46)</f>
        <v>20234.521950624414</v>
      </c>
      <c r="J39" s="132">
        <f>SUM(Financials!AA46:AC46)</f>
        <v>20335.863275072137</v>
      </c>
      <c r="K39" s="132">
        <f>SUM(Financials!AD46:AF46)</f>
        <v>20437.712151122309</v>
      </c>
      <c r="L39" s="132">
        <f>SUM(Financials!AG46:AI46)</f>
        <v>20540.071120764889</v>
      </c>
      <c r="M39" s="132">
        <f>SUM(Financials!AJ46:AL46)</f>
        <v>20642.94273872098</v>
      </c>
      <c r="N39" s="132">
        <f>SUM(Financials!AM46:AO46)</f>
        <v>20746.329572506591</v>
      </c>
      <c r="O39" s="132">
        <f>SUM(Financials!AP46:AR46)</f>
        <v>20850.234202496722</v>
      </c>
      <c r="P39" s="132">
        <f>SUM(Financials!AS46:AU46)</f>
        <v>20954.659221989757</v>
      </c>
      <c r="Q39" s="132">
        <f>SUM(Financials!AV46:AX46)</f>
        <v>21059.607237272205</v>
      </c>
      <c r="R39" s="132">
        <f>SUM(Financials!AY46:BA46)</f>
        <v>21165.080867683733</v>
      </c>
      <c r="S39" s="132">
        <f>SUM(Financials!BB46:BD46)</f>
        <v>21271.082745682535</v>
      </c>
      <c r="T39" s="132">
        <f>SUM(Financials!BE46:BG46)</f>
        <v>21377.615516911072</v>
      </c>
      <c r="U39" s="132">
        <f>SUM(Financials!BH46:BJ46)</f>
        <v>21484.681840262045</v>
      </c>
      <c r="V39" s="132">
        <f>SUM(Financials!BK46:BM46)</f>
        <v>21592.284387944816</v>
      </c>
      <c r="W39" s="132">
        <f>SUM(Financials!BN46:BP46)</f>
        <v>21700.425845552058</v>
      </c>
      <c r="X39" s="132">
        <f>SUM(Financials!BQ46:BS46)</f>
        <v>21809.108912126801</v>
      </c>
      <c r="Y39" s="132">
        <f>SUM(Financials!BT46:BV46)</f>
        <v>21918.336300229807</v>
      </c>
      <c r="Z39" s="132">
        <f>SUM(Financials!BW46:BY46)</f>
        <v>22028.110736007238</v>
      </c>
      <c r="AA39" s="132">
        <f>SUM(Financials!BZ46:CB46)</f>
        <v>22138.434959258742</v>
      </c>
      <c r="AB39" s="132">
        <f>SUM(Financials!CC46:CE46)</f>
        <v>22249.311723505791</v>
      </c>
      <c r="AC39" s="132">
        <f>SUM(Financials!CF46:CH46)</f>
        <v>22360.743796060422</v>
      </c>
      <c r="AD39" s="132">
        <f>SUM(Financials!CI46:CK46)</f>
        <v>22472.733958094323</v>
      </c>
      <c r="AE39" s="132">
        <f>SUM(Financials!CL46:CN46)</f>
        <v>22585.285004708221</v>
      </c>
      <c r="AF39" s="132">
        <f>SUM(Financials!CO46:CQ46)</f>
        <v>22698.399745001643</v>
      </c>
      <c r="AG39" s="132">
        <f>SUM(Financials!CR46:CT46)</f>
        <v>22812.081002143048</v>
      </c>
      <c r="AH39" s="132">
        <f>SUM(Financials!CU46:CW46)</f>
        <v>22926.33161344027</v>
      </c>
      <c r="AI39" s="132">
        <f>SUM(Financials!CX46:CZ46)</f>
        <v>23041.154430411349</v>
      </c>
      <c r="AJ39" s="132">
        <f>SUM(Financials!DA46:DC46)</f>
        <v>23156.552318855676</v>
      </c>
      <c r="AK39" s="132">
        <f>SUM(Financials!DD46:DF46)</f>
        <v>23272.528158925543</v>
      </c>
      <c r="AL39" s="132">
        <f>SUM(Financials!DG46:DI46)</f>
        <v>23389.08484519802</v>
      </c>
      <c r="AM39" s="132">
        <f>SUM(Financials!DJ46:DL46)</f>
        <v>23506.225286747194</v>
      </c>
      <c r="AN39" s="132">
        <f>SUM(Financials!DM46:DO46)</f>
        <v>23623.952407216773</v>
      </c>
      <c r="AO39" s="132">
        <f>SUM(Financials!DP46:DR46)</f>
        <v>23742.269144893071</v>
      </c>
      <c r="AP39" s="132">
        <f>SUM(Financials!DS46:DU46)</f>
        <v>23861.178452778324</v>
      </c>
      <c r="AQ39" s="132">
        <f>SUM(Financials!DV46:DX46)</f>
        <v>23980.683298664415</v>
      </c>
      <c r="AR39" s="132">
        <f>SUM(Financials!DY46:EA46)</f>
        <v>24100.786665206917</v>
      </c>
      <c r="AS39" s="132">
        <f>SUM(Financials!EB46:ED46)</f>
        <v>24221.491549999548</v>
      </c>
      <c r="AT39" s="132">
        <f>SUM(Financials!EE46:EG46)</f>
        <v>24342.800965649003</v>
      </c>
      <c r="AU39" s="132">
        <f>SUM(Financials!EH46:EJ46)</f>
        <v>24464.717939850118</v>
      </c>
      <c r="AV39" s="132">
        <f>SUM(Financials!EK46:EM46)</f>
        <v>24587.245515461454</v>
      </c>
      <c r="AW39" s="132">
        <f>SUM(Financials!EN46:EP46)</f>
        <v>24710.386750581238</v>
      </c>
      <c r="AX39" s="132">
        <f>SUM(Financials!EQ46:ES46)</f>
        <v>24834.144718623676</v>
      </c>
      <c r="AY39" s="132">
        <f>SUM(Financials!ET46:EV46)</f>
        <v>24958.522508395683</v>
      </c>
      <c r="AZ39" s="132">
        <f>SUM(Financials!EW46:EY46)</f>
        <v>25083.52322417395</v>
      </c>
      <c r="BA39" s="132">
        <f>SUM(Financials!EZ46:FB46)</f>
        <v>25209.149985782446</v>
      </c>
      <c r="BB39" s="132">
        <f>SUM(Financials!FC46:FE46)</f>
        <v>25335.405928670272</v>
      </c>
      <c r="BC39" s="132">
        <f>SUM(Financials!FF46:FH46)</f>
        <v>25462.294203989914</v>
      </c>
      <c r="BD39" s="132">
        <f>SUM(Financials!FI46:FK46)</f>
        <v>25589.817978675899</v>
      </c>
      <c r="BE39" s="132">
        <f>SUM(Financials!FL46:FN46)</f>
        <v>25717.980435523816</v>
      </c>
      <c r="BF39" s="132">
        <f>SUM(Financials!FO46:FQ46)</f>
        <v>25846.784773269792</v>
      </c>
      <c r="BG39" s="132">
        <f>SUM(Financials!FR46:FT46)</f>
        <v>25976.234206670299</v>
      </c>
      <c r="BH39" s="132">
        <f>SUM(Financials!FU46:FW46)</f>
        <v>26106.331966582391</v>
      </c>
      <c r="BI39" s="132">
        <f>SUM(Financials!FX46:FZ46)</f>
        <v>26237.081300044341</v>
      </c>
      <c r="BJ39" s="132">
        <f>SUM(Financials!GA46:GC46)</f>
        <v>26368.485470356703</v>
      </c>
      <c r="BK39" s="132">
        <f>SUM(Financials!GD46:GF46)</f>
        <v>26500.547757163735</v>
      </c>
      <c r="BL39" s="132">
        <f>SUM(Financials!GG46:GI46)</f>
        <v>26633.271456535258</v>
      </c>
      <c r="BM39" s="132">
        <f>SUM(Financials!GJ46:GL46)</f>
        <v>26766.65988104893</v>
      </c>
      <c r="BN39" s="132">
        <f>SUM(Financials!GM46:GO46)</f>
        <v>26900.716359872909</v>
      </c>
      <c r="BO39" s="132">
        <f>SUM(Financials!GP46:GR46)</f>
        <v>27035.444238848962</v>
      </c>
      <c r="BP39" s="132">
        <f>SUM(Financials!GS46:GU46)</f>
        <v>27170.846880575966</v>
      </c>
      <c r="BQ39" s="132">
        <f>SUM(Financials!GV46:GX46)</f>
        <v>27306.927664493807</v>
      </c>
      <c r="BR39" s="132">
        <f>SUM(Financials!GY46:HA46)</f>
        <v>27443.689986967787</v>
      </c>
      <c r="BS39" s="132">
        <f>SUM(Financials!HB46:HD46)</f>
        <v>27581.137261373311</v>
      </c>
      <c r="BT39" s="132">
        <f>SUM(Financials!HE46:HG46)</f>
        <v>27719.272918181145</v>
      </c>
      <c r="BU39" s="132">
        <f>SUM(Financials!HH46:HJ46)</f>
        <v>27858.100405042998</v>
      </c>
      <c r="BV39" s="132">
        <f>SUM(Financials!HK46:HM46)</f>
        <v>27997.623186877623</v>
      </c>
      <c r="BW39" s="132">
        <f>SUM(Financials!HN46:HP46)</f>
        <v>28137.844745957198</v>
      </c>
      <c r="BX39" s="132">
        <f>SUM(Financials!HQ46:HS46)</f>
        <v>28278.768581994336</v>
      </c>
      <c r="BY39" s="132">
        <f>SUM(Financials!HT46:HV46)</f>
        <v>28420.398212229393</v>
      </c>
      <c r="BZ39" s="132">
        <f>SUM(Financials!HW46:HY46)</f>
        <v>28562.737171518231</v>
      </c>
      <c r="CA39" s="132">
        <f>SUM(Financials!HZ46:IB46)</f>
        <v>28705.789012420486</v>
      </c>
      <c r="CB39" s="132">
        <f>SUM(Financials!IC46:IE46)</f>
        <v>28849.557305288206</v>
      </c>
      <c r="CC39" s="132">
        <f>SUM(Financials!IF46:IH46)</f>
        <v>28994.045638354961</v>
      </c>
      <c r="CD39" s="132">
        <f>SUM(Financials!II46:IK46)</f>
        <v>29139.257617825424</v>
      </c>
      <c r="CE39" s="132">
        <f>SUM(Financials!IL46:IN46)</f>
        <v>29285.196867965336</v>
      </c>
      <c r="CF39" s="132">
        <f>SUM(Financials!IO46:IQ46)</f>
        <v>29431.867031192021</v>
      </c>
      <c r="CG39" s="132">
        <f>SUM(Financials!IR46:IT46)</f>
        <v>29579.271768165221</v>
      </c>
      <c r="CH39" s="132">
        <f>SUM(Financials!IU46:IW46)</f>
        <v>29727.414757878531</v>
      </c>
      <c r="CI39" s="132">
        <f>SUM(Financials!IX46:IZ46)</f>
        <v>29876.299697751165</v>
      </c>
      <c r="CJ39" s="132">
        <f>SUM(Financials!JA46:JC46)</f>
        <v>30025.930303720277</v>
      </c>
      <c r="CK39" s="132">
        <f>SUM(Financials!JD46:JF46)</f>
        <v>30176.310310333683</v>
      </c>
      <c r="CL39" s="132">
        <f>SUM(Financials!JG46:JI46)</f>
        <v>30327.443470843085</v>
      </c>
      <c r="CM39" s="132">
        <f>SUM(Financials!JJ46:JL46)</f>
        <v>30479.33355729773</v>
      </c>
      <c r="CN39" s="132">
        <f>SUM(Financials!JM46:JO46)</f>
        <v>30631.984360638566</v>
      </c>
      <c r="CO39" s="132">
        <f>SUM(Financials!JP46:JR46)</f>
        <v>30785.399690792841</v>
      </c>
    </row>
    <row r="40" spans="1:93" x14ac:dyDescent="0.25">
      <c r="A40" s="152" t="str">
        <f>Financials!B47</f>
        <v>Utilities</v>
      </c>
      <c r="B40" s="132">
        <f>SUM(Financials!C47:E47)</f>
        <v>0</v>
      </c>
      <c r="C40" s="132">
        <f>SUM(Financials!F47:H47)</f>
        <v>0</v>
      </c>
      <c r="D40" s="132">
        <f>SUM(Financials!I47:K47)</f>
        <v>0</v>
      </c>
      <c r="E40" s="132">
        <f>SUM(Financials!L47:N47)</f>
        <v>0</v>
      </c>
      <c r="F40" s="132">
        <f>SUM(Financials!O47:Q47)</f>
        <v>0</v>
      </c>
      <c r="G40" s="132">
        <f>SUM(Financials!R47:T47)</f>
        <v>50083.379629629635</v>
      </c>
      <c r="H40" s="132">
        <f>SUM(Financials!U47:W47)</f>
        <v>50334.214121142199</v>
      </c>
      <c r="I40" s="132">
        <f>SUM(Financials!X47:Z47)</f>
        <v>50586.304876561044</v>
      </c>
      <c r="J40" s="132">
        <f>SUM(Financials!AA47:AC47)</f>
        <v>50839.658187680339</v>
      </c>
      <c r="K40" s="132">
        <f>SUM(Financials!AD47:AF47)</f>
        <v>51094.280377805779</v>
      </c>
      <c r="L40" s="132">
        <f>SUM(Financials!AG47:AI47)</f>
        <v>51350.177801912221</v>
      </c>
      <c r="M40" s="132">
        <f>SUM(Financials!AJ47:AL47)</f>
        <v>51607.356846802453</v>
      </c>
      <c r="N40" s="132">
        <f>SUM(Financials!AM47:AO47)</f>
        <v>51865.823931266474</v>
      </c>
      <c r="O40" s="132">
        <f>SUM(Financials!AP47:AR47)</f>
        <v>52125.585506241812</v>
      </c>
      <c r="P40" s="132">
        <f>SUM(Financials!AS47:AU47)</f>
        <v>52386.648054974401</v>
      </c>
      <c r="Q40" s="132">
        <f>SUM(Financials!AV47:AX47)</f>
        <v>52649.018093180515</v>
      </c>
      <c r="R40" s="132">
        <f>SUM(Financials!AY47:BA47)</f>
        <v>52912.702169209333</v>
      </c>
      <c r="S40" s="132">
        <f>SUM(Financials!BB47:BD47)</f>
        <v>53177.706864206339</v>
      </c>
      <c r="T40" s="132">
        <f>SUM(Financials!BE47:BG47)</f>
        <v>53444.038792277679</v>
      </c>
      <c r="U40" s="132">
        <f>SUM(Financials!BH47:BJ47)</f>
        <v>53711.70460065511</v>
      </c>
      <c r="V40" s="132">
        <f>SUM(Financials!BK47:BM47)</f>
        <v>53980.710969862041</v>
      </c>
      <c r="W40" s="132">
        <f>SUM(Financials!BN47:BP47)</f>
        <v>54251.064613880138</v>
      </c>
      <c r="X40" s="132">
        <f>SUM(Financials!BQ47:BS47)</f>
        <v>54522.772280317004</v>
      </c>
      <c r="Y40" s="132">
        <f>SUM(Financials!BT47:BV47)</f>
        <v>54795.84075057452</v>
      </c>
      <c r="Z40" s="132">
        <f>SUM(Financials!BW47:BY47)</f>
        <v>55070.276840018094</v>
      </c>
      <c r="AA40" s="132">
        <f>SUM(Financials!BZ47:CB47)</f>
        <v>55346.087398146854</v>
      </c>
      <c r="AB40" s="132">
        <f>SUM(Financials!CC47:CE47)</f>
        <v>55623.279308764482</v>
      </c>
      <c r="AC40" s="132">
        <f>SUM(Financials!CF47:CH47)</f>
        <v>55901.859490151059</v>
      </c>
      <c r="AD40" s="132">
        <f>SUM(Financials!CI47:CK47)</f>
        <v>56181.834895235814</v>
      </c>
      <c r="AE40" s="132">
        <f>SUM(Financials!CL47:CN47)</f>
        <v>56463.212511770551</v>
      </c>
      <c r="AF40" s="132">
        <f>SUM(Financials!CO47:CQ47)</f>
        <v>56745.99936250411</v>
      </c>
      <c r="AG40" s="132">
        <f>SUM(Financials!CR47:CT47)</f>
        <v>57030.202505357622</v>
      </c>
      <c r="AH40" s="132">
        <f>SUM(Financials!CU47:CW47)</f>
        <v>57315.829033600683</v>
      </c>
      <c r="AI40" s="132">
        <f>SUM(Financials!CX47:CZ47)</f>
        <v>57602.886076028386</v>
      </c>
      <c r="AJ40" s="132">
        <f>SUM(Financials!DA47:DC47)</f>
        <v>57891.380797139187</v>
      </c>
      <c r="AK40" s="132">
        <f>SUM(Financials!DD47:DF47)</f>
        <v>58181.320397313852</v>
      </c>
      <c r="AL40" s="132">
        <f>SUM(Financials!DG47:DI47)</f>
        <v>58472.712112995046</v>
      </c>
      <c r="AM40" s="132">
        <f>SUM(Financials!DJ47:DL47)</f>
        <v>58765.563216867988</v>
      </c>
      <c r="AN40" s="132">
        <f>SUM(Financials!DM47:DO47)</f>
        <v>59059.881018041939</v>
      </c>
      <c r="AO40" s="132">
        <f>SUM(Financials!DP47:DR47)</f>
        <v>59355.672862232677</v>
      </c>
      <c r="AP40" s="132">
        <f>SUM(Financials!DS47:DU47)</f>
        <v>59652.946131945821</v>
      </c>
      <c r="AQ40" s="132">
        <f>SUM(Financials!DV47:DX47)</f>
        <v>59951.708246661037</v>
      </c>
      <c r="AR40" s="132">
        <f>SUM(Financials!DY47:EA47)</f>
        <v>60251.966663017287</v>
      </c>
      <c r="AS40" s="132">
        <f>SUM(Financials!EB47:ED47)</f>
        <v>60553.728874998866</v>
      </c>
      <c r="AT40" s="132">
        <f>SUM(Financials!EE47:EG47)</f>
        <v>60857.0024141225</v>
      </c>
      <c r="AU40" s="132">
        <f>SUM(Financials!EH47:EJ47)</f>
        <v>61161.794849625301</v>
      </c>
      <c r="AV40" s="132">
        <f>SUM(Financials!EK47:EM47)</f>
        <v>61468.113788653631</v>
      </c>
      <c r="AW40" s="132">
        <f>SUM(Financials!EN47:EP47)</f>
        <v>61775.966876453094</v>
      </c>
      <c r="AX40" s="132">
        <f>SUM(Financials!EQ47:ES47)</f>
        <v>62085.361796559184</v>
      </c>
      <c r="AY40" s="132">
        <f>SUM(Financials!ET47:EV47)</f>
        <v>62396.306270989204</v>
      </c>
      <c r="AZ40" s="132">
        <f>SUM(Financials!EW47:EY47)</f>
        <v>62708.808060434872</v>
      </c>
      <c r="BA40" s="132">
        <f>SUM(Financials!EZ47:FB47)</f>
        <v>63022.874964456118</v>
      </c>
      <c r="BB40" s="132">
        <f>SUM(Financials!FC47:FE47)</f>
        <v>63338.514821675679</v>
      </c>
      <c r="BC40" s="132">
        <f>SUM(Financials!FF47:FH47)</f>
        <v>63655.735509974795</v>
      </c>
      <c r="BD40" s="132">
        <f>SUM(Financials!FI47:FK47)</f>
        <v>63974.544946689748</v>
      </c>
      <c r="BE40" s="132">
        <f>SUM(Financials!FL47:FN47)</f>
        <v>64294.951088809539</v>
      </c>
      <c r="BF40" s="132">
        <f>SUM(Financials!FO47:FQ47)</f>
        <v>64616.961933174483</v>
      </c>
      <c r="BG40" s="132">
        <f>SUM(Financials!FR47:FT47)</f>
        <v>64940.585516675754</v>
      </c>
      <c r="BH40" s="132">
        <f>SUM(Financials!FU47:FW47)</f>
        <v>65265.829916455972</v>
      </c>
      <c r="BI40" s="132">
        <f>SUM(Financials!FX47:FZ47)</f>
        <v>65592.703250110862</v>
      </c>
      <c r="BJ40" s="132">
        <f>SUM(Financials!GA47:GC47)</f>
        <v>65921.213675891777</v>
      </c>
      <c r="BK40" s="132">
        <f>SUM(Financials!GD47:GF47)</f>
        <v>66251.369392909342</v>
      </c>
      <c r="BL40" s="132">
        <f>SUM(Financials!GG47:GI47)</f>
        <v>66583.178641338134</v>
      </c>
      <c r="BM40" s="132">
        <f>SUM(Financials!GJ47:GL47)</f>
        <v>66916.649702622322</v>
      </c>
      <c r="BN40" s="132">
        <f>SUM(Financials!GM47:GO47)</f>
        <v>67251.790899682266</v>
      </c>
      <c r="BO40" s="132">
        <f>SUM(Financials!GP47:GR47)</f>
        <v>67588.610597122402</v>
      </c>
      <c r="BP40" s="132">
        <f>SUM(Financials!GS47:GU47)</f>
        <v>67927.11720143992</v>
      </c>
      <c r="BQ40" s="132">
        <f>SUM(Financials!GV47:GX47)</f>
        <v>68267.319161234525</v>
      </c>
      <c r="BR40" s="132">
        <f>SUM(Financials!GY47:HA47)</f>
        <v>68609.224967419461</v>
      </c>
      <c r="BS40" s="132">
        <f>SUM(Financials!HB47:HD47)</f>
        <v>68952.843153433278</v>
      </c>
      <c r="BT40" s="132">
        <f>SUM(Financials!HE47:HG47)</f>
        <v>69298.182295452862</v>
      </c>
      <c r="BU40" s="132">
        <f>SUM(Financials!HH47:HJ47)</f>
        <v>69645.251012607507</v>
      </c>
      <c r="BV40" s="132">
        <f>SUM(Financials!HK47:HM47)</f>
        <v>69994.05796719405</v>
      </c>
      <c r="BW40" s="132">
        <f>SUM(Financials!HN47:HP47)</f>
        <v>70344.611864892999</v>
      </c>
      <c r="BX40" s="132">
        <f>SUM(Financials!HQ47:HS47)</f>
        <v>70696.921454985844</v>
      </c>
      <c r="BY40" s="132">
        <f>SUM(Financials!HT47:HV47)</f>
        <v>71050.995530573477</v>
      </c>
      <c r="BZ40" s="132">
        <f>SUM(Financials!HW47:HY47)</f>
        <v>71406.842928795581</v>
      </c>
      <c r="CA40" s="132">
        <f>SUM(Financials!HZ47:IB47)</f>
        <v>71764.472531051215</v>
      </c>
      <c r="CB40" s="132">
        <f>SUM(Financials!IC47:IE47)</f>
        <v>72123.893263220511</v>
      </c>
      <c r="CC40" s="132">
        <f>SUM(Financials!IF47:IH47)</f>
        <v>72485.114095887402</v>
      </c>
      <c r="CD40" s="132">
        <f>SUM(Financials!II47:IK47)</f>
        <v>72848.144044563553</v>
      </c>
      <c r="CE40" s="132">
        <f>SUM(Financials!IL47:IN47)</f>
        <v>73212.992169913341</v>
      </c>
      <c r="CF40" s="132">
        <f>SUM(Financials!IO47:IQ47)</f>
        <v>73579.667577980057</v>
      </c>
      <c r="CG40" s="132">
        <f>SUM(Financials!IR47:IT47)</f>
        <v>73948.179420413042</v>
      </c>
      <c r="CH40" s="132">
        <f>SUM(Financials!IU47:IW47)</f>
        <v>74318.536894696314</v>
      </c>
      <c r="CI40" s="132">
        <f>SUM(Financials!IX47:IZ47)</f>
        <v>74690.749244377919</v>
      </c>
      <c r="CJ40" s="132">
        <f>SUM(Financials!JA47:JC47)</f>
        <v>75064.8257593007</v>
      </c>
      <c r="CK40" s="132">
        <f>SUM(Financials!JD47:JF47)</f>
        <v>75440.77577583422</v>
      </c>
      <c r="CL40" s="132">
        <f>SUM(Financials!JG47:JI47)</f>
        <v>75818.608677107724</v>
      </c>
      <c r="CM40" s="132">
        <f>SUM(Financials!JJ47:JL47)</f>
        <v>76198.333893244315</v>
      </c>
      <c r="CN40" s="132">
        <f>SUM(Financials!JM47:JO47)</f>
        <v>76579.960901596409</v>
      </c>
      <c r="CO40" s="132">
        <f>SUM(Financials!JP47:JR47)</f>
        <v>76963.499226982109</v>
      </c>
    </row>
    <row r="41" spans="1:93" x14ac:dyDescent="0.25">
      <c r="A41" s="152" t="str">
        <f>Financials!B48</f>
        <v>OVD Fee for exporting</v>
      </c>
      <c r="B41" s="132">
        <f>SUM(Financials!C48:E48)</f>
        <v>0</v>
      </c>
      <c r="C41" s="132">
        <f>SUM(Financials!F48:H48)</f>
        <v>0</v>
      </c>
      <c r="D41" s="132">
        <f>SUM(Financials!I48:K48)</f>
        <v>0</v>
      </c>
      <c r="E41" s="132">
        <f>SUM(Financials!L48:N48)</f>
        <v>0</v>
      </c>
      <c r="F41" s="132">
        <f>SUM(Financials!O48:Q48)</f>
        <v>0</v>
      </c>
      <c r="G41" s="132">
        <f>SUM(Financials!R48:T48)</f>
        <v>0</v>
      </c>
      <c r="H41" s="132">
        <f>SUM(Financials!U48:W48)</f>
        <v>0</v>
      </c>
      <c r="I41" s="132">
        <f>SUM(Financials!X48:Z48)</f>
        <v>0</v>
      </c>
      <c r="J41" s="132">
        <f>SUM(Financials!AA48:AC48)</f>
        <v>0</v>
      </c>
      <c r="K41" s="132">
        <f>SUM(Financials!AD48:AF48)</f>
        <v>0</v>
      </c>
      <c r="L41" s="132">
        <f>SUM(Financials!AG48:AI48)</f>
        <v>0</v>
      </c>
      <c r="M41" s="132">
        <f>SUM(Financials!AJ48:AL48)</f>
        <v>0</v>
      </c>
      <c r="N41" s="132">
        <f>SUM(Financials!AM48:AO48)</f>
        <v>0</v>
      </c>
      <c r="O41" s="132">
        <f>SUM(Financials!AP48:AR48)</f>
        <v>0</v>
      </c>
      <c r="P41" s="132">
        <f>SUM(Financials!AS48:AU48)</f>
        <v>0</v>
      </c>
      <c r="Q41" s="132">
        <f>SUM(Financials!AV48:AX48)</f>
        <v>0</v>
      </c>
      <c r="R41" s="132">
        <f>SUM(Financials!AY48:BA48)</f>
        <v>0</v>
      </c>
      <c r="S41" s="132">
        <f>SUM(Financials!BB48:BD48)</f>
        <v>0</v>
      </c>
      <c r="T41" s="132">
        <f>SUM(Financials!BE48:BG48)</f>
        <v>0</v>
      </c>
      <c r="U41" s="132">
        <f>SUM(Financials!BH48:BJ48)</f>
        <v>0</v>
      </c>
      <c r="V41" s="132">
        <f>SUM(Financials!BK48:BM48)</f>
        <v>0</v>
      </c>
      <c r="W41" s="132">
        <f>SUM(Financials!BN48:BP48)</f>
        <v>0</v>
      </c>
      <c r="X41" s="132">
        <f>SUM(Financials!BQ48:BS48)</f>
        <v>0</v>
      </c>
      <c r="Y41" s="132">
        <f>SUM(Financials!BT48:BV48)</f>
        <v>0</v>
      </c>
      <c r="Z41" s="132">
        <f>SUM(Financials!BW48:BY48)</f>
        <v>0</v>
      </c>
      <c r="AA41" s="132">
        <f>SUM(Financials!BZ48:CB48)</f>
        <v>0</v>
      </c>
      <c r="AB41" s="132">
        <f>SUM(Financials!CC48:CE48)</f>
        <v>0</v>
      </c>
      <c r="AC41" s="132">
        <f>SUM(Financials!CF48:CH48)</f>
        <v>0</v>
      </c>
      <c r="AD41" s="132">
        <f>SUM(Financials!CI48:CK48)</f>
        <v>0</v>
      </c>
      <c r="AE41" s="132">
        <f>SUM(Financials!CL48:CN48)</f>
        <v>0</v>
      </c>
      <c r="AF41" s="132">
        <f>SUM(Financials!CO48:CQ48)</f>
        <v>0</v>
      </c>
      <c r="AG41" s="132">
        <f>SUM(Financials!CR48:CT48)</f>
        <v>0</v>
      </c>
      <c r="AH41" s="132">
        <f>SUM(Financials!CU48:CW48)</f>
        <v>0</v>
      </c>
      <c r="AI41" s="132">
        <f>SUM(Financials!CX48:CZ48)</f>
        <v>0</v>
      </c>
      <c r="AJ41" s="132">
        <f>SUM(Financials!DA48:DC48)</f>
        <v>0</v>
      </c>
      <c r="AK41" s="132">
        <f>SUM(Financials!DD48:DF48)</f>
        <v>0</v>
      </c>
      <c r="AL41" s="132">
        <f>SUM(Financials!DG48:DI48)</f>
        <v>0</v>
      </c>
      <c r="AM41" s="132">
        <f>SUM(Financials!DJ48:DL48)</f>
        <v>0</v>
      </c>
      <c r="AN41" s="132">
        <f>SUM(Financials!DM48:DO48)</f>
        <v>0</v>
      </c>
      <c r="AO41" s="132">
        <f>SUM(Financials!DP48:DR48)</f>
        <v>0</v>
      </c>
      <c r="AP41" s="132">
        <f>SUM(Financials!DS48:DU48)</f>
        <v>0</v>
      </c>
      <c r="AQ41" s="132">
        <f>SUM(Financials!DV48:DX48)</f>
        <v>0</v>
      </c>
      <c r="AR41" s="132">
        <f>SUM(Financials!DY48:EA48)</f>
        <v>0</v>
      </c>
      <c r="AS41" s="132">
        <f>SUM(Financials!EB48:ED48)</f>
        <v>0</v>
      </c>
      <c r="AT41" s="132">
        <f>SUM(Financials!EE48:EG48)</f>
        <v>0</v>
      </c>
      <c r="AU41" s="132">
        <f>SUM(Financials!EH48:EJ48)</f>
        <v>0</v>
      </c>
      <c r="AV41" s="132">
        <f>SUM(Financials!EK48:EM48)</f>
        <v>0</v>
      </c>
      <c r="AW41" s="132">
        <f>SUM(Financials!EN48:EP48)</f>
        <v>0</v>
      </c>
      <c r="AX41" s="132">
        <f>SUM(Financials!EQ48:ES48)</f>
        <v>0</v>
      </c>
      <c r="AY41" s="132">
        <f>SUM(Financials!ET48:EV48)</f>
        <v>0</v>
      </c>
      <c r="AZ41" s="132">
        <f>SUM(Financials!EW48:EY48)</f>
        <v>0</v>
      </c>
      <c r="BA41" s="132">
        <f>SUM(Financials!EZ48:FB48)</f>
        <v>0</v>
      </c>
      <c r="BB41" s="132">
        <f>SUM(Financials!FC48:FE48)</f>
        <v>0</v>
      </c>
      <c r="BC41" s="132">
        <f>SUM(Financials!FF48:FH48)</f>
        <v>0</v>
      </c>
      <c r="BD41" s="132">
        <f>SUM(Financials!FI48:FK48)</f>
        <v>0</v>
      </c>
      <c r="BE41" s="132">
        <f>SUM(Financials!FL48:FN48)</f>
        <v>0</v>
      </c>
      <c r="BF41" s="132">
        <f>SUM(Financials!FO48:FQ48)</f>
        <v>0</v>
      </c>
      <c r="BG41" s="132">
        <f>SUM(Financials!FR48:FT48)</f>
        <v>0</v>
      </c>
      <c r="BH41" s="132">
        <f>SUM(Financials!FU48:FW48)</f>
        <v>0</v>
      </c>
      <c r="BI41" s="132">
        <f>SUM(Financials!FX48:FZ48)</f>
        <v>0</v>
      </c>
      <c r="BJ41" s="132">
        <f>SUM(Financials!GA48:GC48)</f>
        <v>0</v>
      </c>
      <c r="BK41" s="132">
        <f>SUM(Financials!GD48:GF48)</f>
        <v>0</v>
      </c>
      <c r="BL41" s="132">
        <f>SUM(Financials!GG48:GI48)</f>
        <v>0</v>
      </c>
      <c r="BM41" s="132">
        <f>SUM(Financials!GJ48:GL48)</f>
        <v>0</v>
      </c>
      <c r="BN41" s="132">
        <f>SUM(Financials!GM48:GO48)</f>
        <v>0</v>
      </c>
      <c r="BO41" s="132">
        <f>SUM(Financials!GP48:GR48)</f>
        <v>0</v>
      </c>
      <c r="BP41" s="132">
        <f>SUM(Financials!GS48:GU48)</f>
        <v>0</v>
      </c>
      <c r="BQ41" s="132">
        <f>SUM(Financials!GV48:GX48)</f>
        <v>0</v>
      </c>
      <c r="BR41" s="132">
        <f>SUM(Financials!GY48:HA48)</f>
        <v>0</v>
      </c>
      <c r="BS41" s="132">
        <f>SUM(Financials!HB48:HD48)</f>
        <v>0</v>
      </c>
      <c r="BT41" s="132">
        <f>SUM(Financials!HE48:HG48)</f>
        <v>0</v>
      </c>
      <c r="BU41" s="132">
        <f>SUM(Financials!HH48:HJ48)</f>
        <v>0</v>
      </c>
      <c r="BV41" s="132">
        <f>SUM(Financials!HK48:HM48)</f>
        <v>0</v>
      </c>
      <c r="BW41" s="132">
        <f>SUM(Financials!HN48:HP48)</f>
        <v>0</v>
      </c>
      <c r="BX41" s="132">
        <f>SUM(Financials!HQ48:HS48)</f>
        <v>0</v>
      </c>
      <c r="BY41" s="132">
        <f>SUM(Financials!HT48:HV48)</f>
        <v>0</v>
      </c>
      <c r="BZ41" s="132">
        <f>SUM(Financials!HW48:HY48)</f>
        <v>0</v>
      </c>
      <c r="CA41" s="132">
        <f>SUM(Financials!HZ48:IB48)</f>
        <v>0</v>
      </c>
      <c r="CB41" s="132">
        <f>SUM(Financials!IC48:IE48)</f>
        <v>0</v>
      </c>
      <c r="CC41" s="132">
        <f>SUM(Financials!IF48:IH48)</f>
        <v>0</v>
      </c>
      <c r="CD41" s="132">
        <f>SUM(Financials!II48:IK48)</f>
        <v>0</v>
      </c>
      <c r="CE41" s="132">
        <f>SUM(Financials!IL48:IN48)</f>
        <v>0</v>
      </c>
      <c r="CF41" s="132">
        <f>SUM(Financials!IO48:IQ48)</f>
        <v>0</v>
      </c>
      <c r="CG41" s="132">
        <f>SUM(Financials!IR48:IT48)</f>
        <v>0</v>
      </c>
      <c r="CH41" s="132">
        <f>SUM(Financials!IU48:IW48)</f>
        <v>0</v>
      </c>
      <c r="CI41" s="132">
        <f>SUM(Financials!IX48:IZ48)</f>
        <v>0</v>
      </c>
      <c r="CJ41" s="132">
        <f>SUM(Financials!JA48:JC48)</f>
        <v>0</v>
      </c>
      <c r="CK41" s="132">
        <f>SUM(Financials!JD48:JF48)</f>
        <v>0</v>
      </c>
      <c r="CL41" s="132">
        <f>SUM(Financials!JG48:JI48)</f>
        <v>0</v>
      </c>
      <c r="CM41" s="132">
        <f>SUM(Financials!JJ48:JL48)</f>
        <v>0</v>
      </c>
      <c r="CN41" s="132">
        <f>SUM(Financials!JM48:JO48)</f>
        <v>0</v>
      </c>
      <c r="CO41" s="132">
        <f>SUM(Financials!JP48:JR48)</f>
        <v>0</v>
      </c>
    </row>
    <row r="42" spans="1:93" x14ac:dyDescent="0.25">
      <c r="A42" s="152" t="str">
        <f>Financials!B49</f>
        <v>Electricity</v>
      </c>
      <c r="B42" s="132">
        <f>SUM(Financials!C49:E49)</f>
        <v>0</v>
      </c>
      <c r="C42" s="132">
        <f>SUM(Financials!F49:H49)</f>
        <v>0</v>
      </c>
      <c r="D42" s="132">
        <f>SUM(Financials!I49:K49)</f>
        <v>0</v>
      </c>
      <c r="E42" s="132">
        <f>SUM(Financials!L49:N49)</f>
        <v>0</v>
      </c>
      <c r="F42" s="132">
        <f>SUM(Financials!O49:Q49)</f>
        <v>0</v>
      </c>
      <c r="G42" s="132">
        <f>SUM(Financials!R49:T49)</f>
        <v>0</v>
      </c>
      <c r="H42" s="132">
        <f>SUM(Financials!U49:W49)</f>
        <v>0</v>
      </c>
      <c r="I42" s="132">
        <f>SUM(Financials!X49:Z49)</f>
        <v>0</v>
      </c>
      <c r="J42" s="132">
        <f>SUM(Financials!AA49:AC49)</f>
        <v>0</v>
      </c>
      <c r="K42" s="132">
        <f>SUM(Financials!AD49:AF49)</f>
        <v>0</v>
      </c>
      <c r="L42" s="132">
        <f>SUM(Financials!AG49:AI49)</f>
        <v>0</v>
      </c>
      <c r="M42" s="132">
        <f>SUM(Financials!AJ49:AL49)</f>
        <v>0</v>
      </c>
      <c r="N42" s="132">
        <f>SUM(Financials!AM49:AO49)</f>
        <v>0</v>
      </c>
      <c r="O42" s="132">
        <f>SUM(Financials!AP49:AR49)</f>
        <v>0</v>
      </c>
      <c r="P42" s="132">
        <f>SUM(Financials!AS49:AU49)</f>
        <v>0</v>
      </c>
      <c r="Q42" s="132">
        <f>SUM(Financials!AV49:AX49)</f>
        <v>0</v>
      </c>
      <c r="R42" s="132">
        <f>SUM(Financials!AY49:BA49)</f>
        <v>0</v>
      </c>
      <c r="S42" s="132">
        <f>SUM(Financials!BB49:BD49)</f>
        <v>0</v>
      </c>
      <c r="T42" s="132">
        <f>SUM(Financials!BE49:BG49)</f>
        <v>0</v>
      </c>
      <c r="U42" s="132">
        <f>SUM(Financials!BH49:BJ49)</f>
        <v>0</v>
      </c>
      <c r="V42" s="132">
        <f>SUM(Financials!BK49:BM49)</f>
        <v>0</v>
      </c>
      <c r="W42" s="132">
        <f>SUM(Financials!BN49:BP49)</f>
        <v>0</v>
      </c>
      <c r="X42" s="132">
        <f>SUM(Financials!BQ49:BS49)</f>
        <v>0</v>
      </c>
      <c r="Y42" s="132">
        <f>SUM(Financials!BT49:BV49)</f>
        <v>0</v>
      </c>
      <c r="Z42" s="132">
        <f>SUM(Financials!BW49:BY49)</f>
        <v>0</v>
      </c>
      <c r="AA42" s="132">
        <f>SUM(Financials!BZ49:CB49)</f>
        <v>0</v>
      </c>
      <c r="AB42" s="132">
        <f>SUM(Financials!CC49:CE49)</f>
        <v>0</v>
      </c>
      <c r="AC42" s="132">
        <f>SUM(Financials!CF49:CH49)</f>
        <v>0</v>
      </c>
      <c r="AD42" s="132">
        <f>SUM(Financials!CI49:CK49)</f>
        <v>0</v>
      </c>
      <c r="AE42" s="132">
        <f>SUM(Financials!CL49:CN49)</f>
        <v>0</v>
      </c>
      <c r="AF42" s="132">
        <f>SUM(Financials!CO49:CQ49)</f>
        <v>0</v>
      </c>
      <c r="AG42" s="132">
        <f>SUM(Financials!CR49:CT49)</f>
        <v>0</v>
      </c>
      <c r="AH42" s="132">
        <f>SUM(Financials!CU49:CW49)</f>
        <v>0</v>
      </c>
      <c r="AI42" s="132">
        <f>SUM(Financials!CX49:CZ49)</f>
        <v>0</v>
      </c>
      <c r="AJ42" s="132">
        <f>SUM(Financials!DA49:DC49)</f>
        <v>0</v>
      </c>
      <c r="AK42" s="132">
        <f>SUM(Financials!DD49:DF49)</f>
        <v>0</v>
      </c>
      <c r="AL42" s="132">
        <f>SUM(Financials!DG49:DI49)</f>
        <v>0</v>
      </c>
      <c r="AM42" s="132">
        <f>SUM(Financials!DJ49:DL49)</f>
        <v>0</v>
      </c>
      <c r="AN42" s="132">
        <f>SUM(Financials!DM49:DO49)</f>
        <v>0</v>
      </c>
      <c r="AO42" s="132">
        <f>SUM(Financials!DP49:DR49)</f>
        <v>0</v>
      </c>
      <c r="AP42" s="132">
        <f>SUM(Financials!DS49:DU49)</f>
        <v>0</v>
      </c>
      <c r="AQ42" s="132">
        <f>SUM(Financials!DV49:DX49)</f>
        <v>0</v>
      </c>
      <c r="AR42" s="132">
        <f>SUM(Financials!DY49:EA49)</f>
        <v>0</v>
      </c>
      <c r="AS42" s="132">
        <f>SUM(Financials!EB49:ED49)</f>
        <v>0</v>
      </c>
      <c r="AT42" s="132">
        <f>SUM(Financials!EE49:EG49)</f>
        <v>0</v>
      </c>
      <c r="AU42" s="132">
        <f>SUM(Financials!EH49:EJ49)</f>
        <v>0</v>
      </c>
      <c r="AV42" s="132">
        <f>SUM(Financials!EK49:EM49)</f>
        <v>0</v>
      </c>
      <c r="AW42" s="132">
        <f>SUM(Financials!EN49:EP49)</f>
        <v>0</v>
      </c>
      <c r="AX42" s="132">
        <f>SUM(Financials!EQ49:ES49)</f>
        <v>0</v>
      </c>
      <c r="AY42" s="132">
        <f>SUM(Financials!ET49:EV49)</f>
        <v>0</v>
      </c>
      <c r="AZ42" s="132">
        <f>SUM(Financials!EW49:EY49)</f>
        <v>0</v>
      </c>
      <c r="BA42" s="132">
        <f>SUM(Financials!EZ49:FB49)</f>
        <v>0</v>
      </c>
      <c r="BB42" s="132">
        <f>SUM(Financials!FC49:FE49)</f>
        <v>0</v>
      </c>
      <c r="BC42" s="132">
        <f>SUM(Financials!FF49:FH49)</f>
        <v>0</v>
      </c>
      <c r="BD42" s="132">
        <f>SUM(Financials!FI49:FK49)</f>
        <v>0</v>
      </c>
      <c r="BE42" s="132">
        <f>SUM(Financials!FL49:FN49)</f>
        <v>0</v>
      </c>
      <c r="BF42" s="132">
        <f>SUM(Financials!FO49:FQ49)</f>
        <v>0</v>
      </c>
      <c r="BG42" s="132">
        <f>SUM(Financials!FR49:FT49)</f>
        <v>0</v>
      </c>
      <c r="BH42" s="132">
        <f>SUM(Financials!FU49:FW49)</f>
        <v>0</v>
      </c>
      <c r="BI42" s="132">
        <f>SUM(Financials!FX49:FZ49)</f>
        <v>0</v>
      </c>
      <c r="BJ42" s="132">
        <f>SUM(Financials!GA49:GC49)</f>
        <v>0</v>
      </c>
      <c r="BK42" s="132">
        <f>SUM(Financials!GD49:GF49)</f>
        <v>0</v>
      </c>
      <c r="BL42" s="132">
        <f>SUM(Financials!GG49:GI49)</f>
        <v>0</v>
      </c>
      <c r="BM42" s="132">
        <f>SUM(Financials!GJ49:GL49)</f>
        <v>0</v>
      </c>
      <c r="BN42" s="132">
        <f>SUM(Financials!GM49:GO49)</f>
        <v>0</v>
      </c>
      <c r="BO42" s="132">
        <f>SUM(Financials!GP49:GR49)</f>
        <v>0</v>
      </c>
      <c r="BP42" s="132">
        <f>SUM(Financials!GS49:GU49)</f>
        <v>0</v>
      </c>
      <c r="BQ42" s="132">
        <f>SUM(Financials!GV49:GX49)</f>
        <v>0</v>
      </c>
      <c r="BR42" s="132">
        <f>SUM(Financials!GY49:HA49)</f>
        <v>0</v>
      </c>
      <c r="BS42" s="132">
        <f>SUM(Financials!HB49:HD49)</f>
        <v>0</v>
      </c>
      <c r="BT42" s="132">
        <f>SUM(Financials!HE49:HG49)</f>
        <v>0</v>
      </c>
      <c r="BU42" s="132">
        <f>SUM(Financials!HH49:HJ49)</f>
        <v>0</v>
      </c>
      <c r="BV42" s="132">
        <f>SUM(Financials!HK49:HM49)</f>
        <v>0</v>
      </c>
      <c r="BW42" s="132">
        <f>SUM(Financials!HN49:HP49)</f>
        <v>0</v>
      </c>
      <c r="BX42" s="132">
        <f>SUM(Financials!HQ49:HS49)</f>
        <v>0</v>
      </c>
      <c r="BY42" s="132">
        <f>SUM(Financials!HT49:HV49)</f>
        <v>0</v>
      </c>
      <c r="BZ42" s="132">
        <f>SUM(Financials!HW49:HY49)</f>
        <v>0</v>
      </c>
      <c r="CA42" s="132">
        <f>SUM(Financials!HZ49:IB49)</f>
        <v>0</v>
      </c>
      <c r="CB42" s="132">
        <f>SUM(Financials!IC49:IE49)</f>
        <v>0</v>
      </c>
      <c r="CC42" s="132">
        <f>SUM(Financials!IF49:IH49)</f>
        <v>0</v>
      </c>
      <c r="CD42" s="132">
        <f>SUM(Financials!II49:IK49)</f>
        <v>0</v>
      </c>
      <c r="CE42" s="132">
        <f>SUM(Financials!IL49:IN49)</f>
        <v>0</v>
      </c>
      <c r="CF42" s="132">
        <f>SUM(Financials!IO49:IQ49)</f>
        <v>0</v>
      </c>
      <c r="CG42" s="132">
        <f>SUM(Financials!IR49:IT49)</f>
        <v>0</v>
      </c>
      <c r="CH42" s="132">
        <f>SUM(Financials!IU49:IW49)</f>
        <v>0</v>
      </c>
      <c r="CI42" s="132">
        <f>SUM(Financials!IX49:IZ49)</f>
        <v>0</v>
      </c>
      <c r="CJ42" s="132">
        <f>SUM(Financials!JA49:JC49)</f>
        <v>0</v>
      </c>
      <c r="CK42" s="132">
        <f>SUM(Financials!JD49:JF49)</f>
        <v>0</v>
      </c>
      <c r="CL42" s="132">
        <f>SUM(Financials!JG49:JI49)</f>
        <v>0</v>
      </c>
      <c r="CM42" s="132">
        <f>SUM(Financials!JJ49:JL49)</f>
        <v>0</v>
      </c>
      <c r="CN42" s="132">
        <f>SUM(Financials!JM49:JO49)</f>
        <v>0</v>
      </c>
      <c r="CO42" s="132">
        <f>SUM(Financials!JP49:JR49)</f>
        <v>0</v>
      </c>
    </row>
    <row r="43" spans="1:93" x14ac:dyDescent="0.25">
      <c r="A43" s="152" t="str">
        <f>Financials!B50</f>
        <v>Accounting &amp; Auditing</v>
      </c>
      <c r="B43" s="132">
        <f>SUM(Financials!C50:E50)</f>
        <v>0</v>
      </c>
      <c r="C43" s="132">
        <f>SUM(Financials!F50:H50)</f>
        <v>0</v>
      </c>
      <c r="D43" s="132">
        <f>SUM(Financials!I50:K50)</f>
        <v>0</v>
      </c>
      <c r="E43" s="132">
        <f>SUM(Financials!L50:N50)</f>
        <v>0</v>
      </c>
      <c r="F43" s="132">
        <f>SUM(Financials!O50:Q50)</f>
        <v>0</v>
      </c>
      <c r="G43" s="132">
        <f>SUM(Financials!R50:T50)</f>
        <v>21285.436342592591</v>
      </c>
      <c r="H43" s="132">
        <f>SUM(Financials!U50:W50)</f>
        <v>21392.041001485435</v>
      </c>
      <c r="I43" s="132">
        <f>SUM(Financials!X50:Z50)</f>
        <v>21499.179572538436</v>
      </c>
      <c r="J43" s="132">
        <f>SUM(Financials!AA50:AC50)</f>
        <v>21606.854729764142</v>
      </c>
      <c r="K43" s="132">
        <f>SUM(Financials!AD50:AF50)</f>
        <v>21715.069160567451</v>
      </c>
      <c r="L43" s="132">
        <f>SUM(Financials!AG50:AI50)</f>
        <v>21823.825565812695</v>
      </c>
      <c r="M43" s="132">
        <f>SUM(Financials!AJ50:AL50)</f>
        <v>21933.126659891041</v>
      </c>
      <c r="N43" s="132">
        <f>SUM(Financials!AM50:AO50)</f>
        <v>22042.97517078825</v>
      </c>
      <c r="O43" s="132">
        <f>SUM(Financials!AP50:AR50)</f>
        <v>22153.373840152766</v>
      </c>
      <c r="P43" s="132">
        <f>SUM(Financials!AS50:AU50)</f>
        <v>22264.325423364116</v>
      </c>
      <c r="Q43" s="132">
        <f>SUM(Financials!AV50:AX50)</f>
        <v>22375.832689601717</v>
      </c>
      <c r="R43" s="132">
        <f>SUM(Financials!AY50:BA50)</f>
        <v>22487.898421913964</v>
      </c>
      <c r="S43" s="132">
        <f>SUM(Financials!BB50:BD50)</f>
        <v>22600.525417287692</v>
      </c>
      <c r="T43" s="132">
        <f>SUM(Financials!BE50:BG50)</f>
        <v>22713.716486718011</v>
      </c>
      <c r="U43" s="132">
        <f>SUM(Financials!BH50:BJ50)</f>
        <v>22827.474455278418</v>
      </c>
      <c r="V43" s="132">
        <f>SUM(Financials!BK50:BM50)</f>
        <v>22941.802162191365</v>
      </c>
      <c r="W43" s="132">
        <f>SUM(Financials!BN50:BP50)</f>
        <v>23056.702460899058</v>
      </c>
      <c r="X43" s="132">
        <f>SUM(Financials!BQ50:BS50)</f>
        <v>23172.178219134727</v>
      </c>
      <c r="Y43" s="132">
        <f>SUM(Financials!BT50:BV50)</f>
        <v>23288.232318994167</v>
      </c>
      <c r="Z43" s="132">
        <f>SUM(Financials!BW50:BY50)</f>
        <v>23404.867657007686</v>
      </c>
      <c r="AA43" s="132">
        <f>SUM(Financials!BZ50:CB50)</f>
        <v>23522.087144212412</v>
      </c>
      <c r="AB43" s="132">
        <f>SUM(Financials!CC50:CE50)</f>
        <v>23639.893706224899</v>
      </c>
      <c r="AC43" s="132">
        <f>SUM(Financials!CF50:CH50)</f>
        <v>23758.290283314196</v>
      </c>
      <c r="AD43" s="132">
        <f>SUM(Financials!CI50:CK50)</f>
        <v>23877.279830475218</v>
      </c>
      <c r="AE43" s="132">
        <f>SUM(Financials!CL50:CN50)</f>
        <v>23996.865317502481</v>
      </c>
      <c r="AF43" s="132">
        <f>SUM(Financials!CO50:CQ50)</f>
        <v>24117.049729064245</v>
      </c>
      <c r="AG43" s="132">
        <f>SUM(Financials!CR50:CT50)</f>
        <v>24237.836064776988</v>
      </c>
      <c r="AH43" s="132">
        <f>SUM(Financials!CU50:CW50)</f>
        <v>24359.227339280289</v>
      </c>
      <c r="AI43" s="132">
        <f>SUM(Financials!CX50:CZ50)</f>
        <v>24481.226582312054</v>
      </c>
      <c r="AJ43" s="132">
        <f>SUM(Financials!DA50:DC50)</f>
        <v>24603.836838784155</v>
      </c>
      <c r="AK43" s="132">
        <f>SUM(Financials!DD50:DF50)</f>
        <v>24727.061168858389</v>
      </c>
      <c r="AL43" s="132">
        <f>SUM(Financials!DG50:DI50)</f>
        <v>24850.902648022893</v>
      </c>
      <c r="AM43" s="132">
        <f>SUM(Financials!DJ50:DL50)</f>
        <v>24975.364367168891</v>
      </c>
      <c r="AN43" s="132">
        <f>SUM(Financials!DM50:DO50)</f>
        <v>25100.449432667818</v>
      </c>
      <c r="AO43" s="132">
        <f>SUM(Financials!DP50:DR50)</f>
        <v>25226.160966448886</v>
      </c>
      <c r="AP43" s="132">
        <f>SUM(Financials!DS50:DU50)</f>
        <v>25352.502106076969</v>
      </c>
      <c r="AQ43" s="132">
        <f>SUM(Financials!DV50:DX50)</f>
        <v>25479.47600483094</v>
      </c>
      <c r="AR43" s="132">
        <f>SUM(Financials!DY50:EA50)</f>
        <v>25607.085831782344</v>
      </c>
      <c r="AS43" s="132">
        <f>SUM(Financials!EB50:ED50)</f>
        <v>25735.334771874521</v>
      </c>
      <c r="AT43" s="132">
        <f>SUM(Financials!EE50:EG50)</f>
        <v>25864.226026002059</v>
      </c>
      <c r="AU43" s="132">
        <f>SUM(Financials!EH50:EJ50)</f>
        <v>25993.76281109075</v>
      </c>
      <c r="AV43" s="132">
        <f>SUM(Financials!EK50:EM50)</f>
        <v>26123.94836017779</v>
      </c>
      <c r="AW43" s="132">
        <f>SUM(Financials!EN50:EP50)</f>
        <v>26254.785922492563</v>
      </c>
      <c r="AX43" s="132">
        <f>SUM(Financials!EQ50:ES50)</f>
        <v>26386.278763537652</v>
      </c>
      <c r="AY43" s="132">
        <f>SUM(Financials!ET50:EV50)</f>
        <v>26518.430165170408</v>
      </c>
      <c r="AZ43" s="132">
        <f>SUM(Financials!EW50:EY50)</f>
        <v>26651.243425684817</v>
      </c>
      <c r="BA43" s="132">
        <f>SUM(Financials!EZ50:FB50)</f>
        <v>26784.721859893849</v>
      </c>
      <c r="BB43" s="132">
        <f>SUM(Financials!FC50:FE50)</f>
        <v>26918.868799212163</v>
      </c>
      <c r="BC43" s="132">
        <f>SUM(Financials!FF50:FH50)</f>
        <v>27053.687591739283</v>
      </c>
      <c r="BD43" s="132">
        <f>SUM(Financials!FI50:FK50)</f>
        <v>27189.181602343138</v>
      </c>
      <c r="BE43" s="132">
        <f>SUM(Financials!FL50:FN50)</f>
        <v>27325.354212744049</v>
      </c>
      <c r="BF43" s="132">
        <f>SUM(Financials!FO50:FQ50)</f>
        <v>27462.208821599153</v>
      </c>
      <c r="BG43" s="132">
        <f>SUM(Financials!FR50:FT50)</f>
        <v>27599.74884458719</v>
      </c>
      <c r="BH43" s="132">
        <f>SUM(Financials!FU50:FW50)</f>
        <v>27737.977714493783</v>
      </c>
      <c r="BI43" s="132">
        <f>SUM(Financials!FX50:FZ50)</f>
        <v>27876.898881297107</v>
      </c>
      <c r="BJ43" s="132">
        <f>SUM(Financials!GA50:GC50)</f>
        <v>28016.515812254002</v>
      </c>
      <c r="BK43" s="132">
        <f>SUM(Financials!GD50:GF50)</f>
        <v>28156.831991986466</v>
      </c>
      <c r="BL43" s="132">
        <f>SUM(Financials!GG50:GI50)</f>
        <v>28297.850922568708</v>
      </c>
      <c r="BM43" s="132">
        <f>SUM(Financials!GJ50:GL50)</f>
        <v>28439.576123614483</v>
      </c>
      <c r="BN43" s="132">
        <f>SUM(Financials!GM50:GO50)</f>
        <v>28582.011132364962</v>
      </c>
      <c r="BO43" s="132">
        <f>SUM(Financials!GP50:GR50)</f>
        <v>28725.15950377702</v>
      </c>
      <c r="BP43" s="132">
        <f>SUM(Financials!GS50:GU50)</f>
        <v>28869.024810611958</v>
      </c>
      <c r="BQ43" s="132">
        <f>SUM(Financials!GV50:GX50)</f>
        <v>29013.610643524673</v>
      </c>
      <c r="BR43" s="132">
        <f>SUM(Financials!GY50:HA50)</f>
        <v>29158.920611153269</v>
      </c>
      <c r="BS43" s="132">
        <f>SUM(Financials!HB50:HD50)</f>
        <v>29304.958340209141</v>
      </c>
      <c r="BT43" s="132">
        <f>SUM(Financials!HE50:HG50)</f>
        <v>29451.727475567459</v>
      </c>
      <c r="BU43" s="132">
        <f>SUM(Financials!HH50:HJ50)</f>
        <v>29599.231680358193</v>
      </c>
      <c r="BV43" s="132">
        <f>SUM(Financials!HK50:HM50)</f>
        <v>29747.474636057472</v>
      </c>
      <c r="BW43" s="132">
        <f>SUM(Financials!HN50:HP50)</f>
        <v>29896.460042579522</v>
      </c>
      <c r="BX43" s="132">
        <f>SUM(Financials!HQ50:HS50)</f>
        <v>30046.191618368979</v>
      </c>
      <c r="BY43" s="132">
        <f>SUM(Financials!HT50:HV50)</f>
        <v>30196.673100493725</v>
      </c>
      <c r="BZ43" s="132">
        <f>SUM(Financials!HW50:HY50)</f>
        <v>30347.908244738122</v>
      </c>
      <c r="CA43" s="132">
        <f>SUM(Financials!HZ50:IB50)</f>
        <v>30499.900825696765</v>
      </c>
      <c r="CB43" s="132">
        <f>SUM(Financials!IC50:IE50)</f>
        <v>30652.654636868712</v>
      </c>
      <c r="CC43" s="132">
        <f>SUM(Financials!IF50:IH50)</f>
        <v>30806.173490752139</v>
      </c>
      <c r="CD43" s="132">
        <f>SUM(Financials!II50:IK50)</f>
        <v>30960.461218939505</v>
      </c>
      <c r="CE43" s="132">
        <f>SUM(Financials!IL50:IN50)</f>
        <v>31115.52167221317</v>
      </c>
      <c r="CF43" s="132">
        <f>SUM(Financials!IO50:IQ50)</f>
        <v>31271.358720641521</v>
      </c>
      <c r="CG43" s="132">
        <f>SUM(Financials!IR50:IT50)</f>
        <v>31427.976253675541</v>
      </c>
      <c r="CH43" s="132">
        <f>SUM(Financials!IU50:IW50)</f>
        <v>31585.378180245934</v>
      </c>
      <c r="CI43" s="132">
        <f>SUM(Financials!IX50:IZ50)</f>
        <v>31743.56842886061</v>
      </c>
      <c r="CJ43" s="132">
        <f>SUM(Financials!JA50:JC50)</f>
        <v>31902.550947702795</v>
      </c>
      <c r="CK43" s="132">
        <f>SUM(Financials!JD50:JF50)</f>
        <v>32062.329704729535</v>
      </c>
      <c r="CL43" s="132">
        <f>SUM(Financials!JG50:JI50)</f>
        <v>32222.908687770778</v>
      </c>
      <c r="CM43" s="132">
        <f>SUM(Financials!JJ50:JL50)</f>
        <v>32384.291904628833</v>
      </c>
      <c r="CN43" s="132">
        <f>SUM(Financials!JM50:JO50)</f>
        <v>32546.483383178471</v>
      </c>
      <c r="CO43" s="132">
        <f>SUM(Financials!JP50:JR50)</f>
        <v>32709.487171467394</v>
      </c>
    </row>
    <row r="44" spans="1:93" x14ac:dyDescent="0.25">
      <c r="A44" s="152" t="str">
        <f>Financials!B51</f>
        <v>Office Supplies</v>
      </c>
      <c r="B44" s="132">
        <f>SUM(Financials!C51:E51)</f>
        <v>0</v>
      </c>
      <c r="C44" s="132">
        <f>SUM(Financials!F51:H51)</f>
        <v>0</v>
      </c>
      <c r="D44" s="132">
        <f>SUM(Financials!I51:K51)</f>
        <v>0</v>
      </c>
      <c r="E44" s="132">
        <f>SUM(Financials!L51:N51)</f>
        <v>0</v>
      </c>
      <c r="F44" s="132">
        <f>SUM(Financials!O51:Q51)</f>
        <v>0</v>
      </c>
      <c r="G44" s="132">
        <f>SUM(Financials!R51:T51)</f>
        <v>18781.267361111113</v>
      </c>
      <c r="H44" s="132">
        <f>SUM(Financials!U51:W51)</f>
        <v>18875.330295428324</v>
      </c>
      <c r="I44" s="132">
        <f>SUM(Financials!X51:Z51)</f>
        <v>18969.864328710388</v>
      </c>
      <c r="J44" s="132">
        <f>SUM(Financials!AA51:AC51)</f>
        <v>19064.871820380125</v>
      </c>
      <c r="K44" s="132">
        <f>SUM(Financials!AD51:AF51)</f>
        <v>19160.355141677166</v>
      </c>
      <c r="L44" s="132">
        <f>SUM(Financials!AG51:AI51)</f>
        <v>19256.316675717084</v>
      </c>
      <c r="M44" s="132">
        <f>SUM(Financials!AJ51:AL51)</f>
        <v>19352.758817550919</v>
      </c>
      <c r="N44" s="132">
        <f>SUM(Financials!AM51:AO51)</f>
        <v>19449.683974224929</v>
      </c>
      <c r="O44" s="132">
        <f>SUM(Financials!AP51:AR51)</f>
        <v>19547.094564840674</v>
      </c>
      <c r="P44" s="132">
        <f>SUM(Financials!AS51:AU51)</f>
        <v>19644.993020615399</v>
      </c>
      <c r="Q44" s="132">
        <f>SUM(Financials!AV51:AX51)</f>
        <v>19743.381784942692</v>
      </c>
      <c r="R44" s="132">
        <f>SUM(Financials!AY51:BA51)</f>
        <v>19842.263313453499</v>
      </c>
      <c r="S44" s="132">
        <f>SUM(Financials!BB51:BD51)</f>
        <v>19941.640074077375</v>
      </c>
      <c r="T44" s="132">
        <f>SUM(Financials!BE51:BG51)</f>
        <v>20041.514547104125</v>
      </c>
      <c r="U44" s="132">
        <f>SUM(Financials!BH51:BJ51)</f>
        <v>20141.889225245664</v>
      </c>
      <c r="V44" s="132">
        <f>SUM(Financials!BK51:BM51)</f>
        <v>20242.766613698266</v>
      </c>
      <c r="W44" s="132">
        <f>SUM(Financials!BN51:BP51)</f>
        <v>20344.149230205054</v>
      </c>
      <c r="X44" s="132">
        <f>SUM(Financials!BQ51:BS51)</f>
        <v>20446.03960511888</v>
      </c>
      <c r="Y44" s="132">
        <f>SUM(Financials!BT51:BV51)</f>
        <v>20548.440281465442</v>
      </c>
      <c r="Z44" s="132">
        <f>SUM(Financials!BW51:BY51)</f>
        <v>20651.353815006787</v>
      </c>
      <c r="AA44" s="132">
        <f>SUM(Financials!BZ51:CB51)</f>
        <v>20754.782774305069</v>
      </c>
      <c r="AB44" s="132">
        <f>SUM(Financials!CC51:CE51)</f>
        <v>20858.729740786679</v>
      </c>
      <c r="AC44" s="132">
        <f>SUM(Financials!CF51:CH51)</f>
        <v>20963.197308806644</v>
      </c>
      <c r="AD44" s="132">
        <f>SUM(Financials!CI51:CK51)</f>
        <v>21068.188085713427</v>
      </c>
      <c r="AE44" s="132">
        <f>SUM(Financials!CL51:CN51)</f>
        <v>21173.704691913954</v>
      </c>
      <c r="AF44" s="132">
        <f>SUM(Financials!CO51:CQ51)</f>
        <v>21279.749760939041</v>
      </c>
      <c r="AG44" s="132">
        <f>SUM(Financials!CR51:CT51)</f>
        <v>21386.325939509105</v>
      </c>
      <c r="AH44" s="132">
        <f>SUM(Financials!CU51:CW51)</f>
        <v>21493.435887600255</v>
      </c>
      <c r="AI44" s="132">
        <f>SUM(Financials!CX51:CZ51)</f>
        <v>21601.082278510639</v>
      </c>
      <c r="AJ44" s="132">
        <f>SUM(Financials!DA51:DC51)</f>
        <v>21709.267798927194</v>
      </c>
      <c r="AK44" s="132">
        <f>SUM(Financials!DD51:DF51)</f>
        <v>21817.995148992693</v>
      </c>
      <c r="AL44" s="132">
        <f>SUM(Financials!DG51:DI51)</f>
        <v>21927.26704237314</v>
      </c>
      <c r="AM44" s="132">
        <f>SUM(Financials!DJ51:DL51)</f>
        <v>22037.086206325494</v>
      </c>
      <c r="AN44" s="132">
        <f>SUM(Financials!DM51:DO51)</f>
        <v>22147.455381765725</v>
      </c>
      <c r="AO44" s="132">
        <f>SUM(Financials!DP51:DR51)</f>
        <v>22258.377323337252</v>
      </c>
      <c r="AP44" s="132">
        <f>SUM(Financials!DS51:DU51)</f>
        <v>22369.854799479679</v>
      </c>
      <c r="AQ44" s="132">
        <f>SUM(Financials!DV51:DX51)</f>
        <v>22481.89059249789</v>
      </c>
      <c r="AR44" s="132">
        <f>SUM(Financials!DY51:EA51)</f>
        <v>22594.487498631483</v>
      </c>
      <c r="AS44" s="132">
        <f>SUM(Financials!EB51:ED51)</f>
        <v>22707.648328124575</v>
      </c>
      <c r="AT44" s="132">
        <f>SUM(Financials!EE51:EG51)</f>
        <v>22821.375905295936</v>
      </c>
      <c r="AU44" s="132">
        <f>SUM(Financials!EH51:EJ51)</f>
        <v>22935.673068609485</v>
      </c>
      <c r="AV44" s="132">
        <f>SUM(Financials!EK51:EM51)</f>
        <v>23050.542670745112</v>
      </c>
      <c r="AW44" s="132">
        <f>SUM(Financials!EN51:EP51)</f>
        <v>23165.987578669909</v>
      </c>
      <c r="AX44" s="132">
        <f>SUM(Financials!EQ51:ES51)</f>
        <v>23282.010673709694</v>
      </c>
      <c r="AY44" s="132">
        <f>SUM(Financials!ET51:EV51)</f>
        <v>23398.614851620951</v>
      </c>
      <c r="AZ44" s="132">
        <f>SUM(Financials!EW51:EY51)</f>
        <v>23515.803022663073</v>
      </c>
      <c r="BA44" s="132">
        <f>SUM(Financials!EZ51:FB51)</f>
        <v>23633.578111671042</v>
      </c>
      <c r="BB44" s="132">
        <f>SUM(Financials!FC51:FE51)</f>
        <v>23751.943058128381</v>
      </c>
      <c r="BC44" s="132">
        <f>SUM(Financials!FF51:FH51)</f>
        <v>23870.900816240544</v>
      </c>
      <c r="BD44" s="132">
        <f>SUM(Financials!FI51:FK51)</f>
        <v>23990.454355008653</v>
      </c>
      <c r="BE44" s="132">
        <f>SUM(Financials!FL51:FN51)</f>
        <v>24110.606658303575</v>
      </c>
      <c r="BF44" s="132">
        <f>SUM(Financials!FO51:FQ51)</f>
        <v>24231.36072494043</v>
      </c>
      <c r="BG44" s="132">
        <f>SUM(Financials!FR51:FT51)</f>
        <v>24352.719568753404</v>
      </c>
      <c r="BH44" s="132">
        <f>SUM(Financials!FU51:FW51)</f>
        <v>24474.686218670988</v>
      </c>
      <c r="BI44" s="132">
        <f>SUM(Financials!FX51:FZ51)</f>
        <v>24597.263718791568</v>
      </c>
      <c r="BJ44" s="132">
        <f>SUM(Financials!GA51:GC51)</f>
        <v>24720.455128459413</v>
      </c>
      <c r="BK44" s="132">
        <f>SUM(Financials!GD51:GF51)</f>
        <v>24844.263522341003</v>
      </c>
      <c r="BL44" s="132">
        <f>SUM(Financials!GG51:GI51)</f>
        <v>24968.691990501804</v>
      </c>
      <c r="BM44" s="132">
        <f>SUM(Financials!GJ51:GL51)</f>
        <v>25093.743638483364</v>
      </c>
      <c r="BN44" s="132">
        <f>SUM(Financials!GM51:GO51)</f>
        <v>25219.42158738085</v>
      </c>
      <c r="BO44" s="132">
        <f>SUM(Financials!GP51:GR51)</f>
        <v>25345.728973920901</v>
      </c>
      <c r="BP44" s="132">
        <f>SUM(Financials!GS51:GU51)</f>
        <v>25472.668950539963</v>
      </c>
      <c r="BQ44" s="132">
        <f>SUM(Financials!GV51:GX51)</f>
        <v>25600.244685462945</v>
      </c>
      <c r="BR44" s="132">
        <f>SUM(Financials!GY51:HA51)</f>
        <v>25728.459362782298</v>
      </c>
      <c r="BS44" s="132">
        <f>SUM(Financials!HB51:HD51)</f>
        <v>25857.316182537481</v>
      </c>
      <c r="BT44" s="132">
        <f>SUM(Financials!HE51:HG51)</f>
        <v>25986.818360794816</v>
      </c>
      <c r="BU44" s="132">
        <f>SUM(Financials!HH51:HJ51)</f>
        <v>26116.969129727815</v>
      </c>
      <c r="BV44" s="132">
        <f>SUM(Financials!HK51:HM51)</f>
        <v>26247.771737697767</v>
      </c>
      <c r="BW44" s="132">
        <f>SUM(Financials!HN51:HP51)</f>
        <v>26379.229449334867</v>
      </c>
      <c r="BX44" s="132">
        <f>SUM(Financials!HQ51:HS51)</f>
        <v>26511.345545619693</v>
      </c>
      <c r="BY44" s="132">
        <f>SUM(Financials!HT51:HV51)</f>
        <v>26644.123323965054</v>
      </c>
      <c r="BZ44" s="132">
        <f>SUM(Financials!HW51:HY51)</f>
        <v>26777.566098298346</v>
      </c>
      <c r="CA44" s="132">
        <f>SUM(Financials!HZ51:IB51)</f>
        <v>26911.677199144207</v>
      </c>
      <c r="CB44" s="132">
        <f>SUM(Financials!IC51:IE51)</f>
        <v>27046.45997370769</v>
      </c>
      <c r="CC44" s="132">
        <f>SUM(Financials!IF51:IH51)</f>
        <v>27181.917785957772</v>
      </c>
      <c r="CD44" s="132">
        <f>SUM(Financials!II51:IK51)</f>
        <v>27318.054016711332</v>
      </c>
      <c r="CE44" s="132">
        <f>SUM(Financials!IL51:IN51)</f>
        <v>27454.872063717499</v>
      </c>
      <c r="CF44" s="132">
        <f>SUM(Financials!IO51:IQ51)</f>
        <v>27592.375341742518</v>
      </c>
      <c r="CG44" s="132">
        <f>SUM(Financials!IR51:IT51)</f>
        <v>27730.567282654891</v>
      </c>
      <c r="CH44" s="132">
        <f>SUM(Financials!IU51:IW51)</f>
        <v>27869.451335511123</v>
      </c>
      <c r="CI44" s="132">
        <f>SUM(Financials!IX51:IZ51)</f>
        <v>28009.030966641716</v>
      </c>
      <c r="CJ44" s="132">
        <f>SUM(Financials!JA51:JC51)</f>
        <v>28149.309659737759</v>
      </c>
      <c r="CK44" s="132">
        <f>SUM(Financials!JD51:JF51)</f>
        <v>28290.290915937825</v>
      </c>
      <c r="CL44" s="132">
        <f>SUM(Financials!JG51:JI51)</f>
        <v>28431.978253915389</v>
      </c>
      <c r="CM44" s="132">
        <f>SUM(Financials!JJ51:JL51)</f>
        <v>28574.375209966616</v>
      </c>
      <c r="CN44" s="132">
        <f>SUM(Financials!JM51:JO51)</f>
        <v>28717.485338098653</v>
      </c>
      <c r="CO44" s="132">
        <f>SUM(Financials!JP51:JR51)</f>
        <v>28861.312210118289</v>
      </c>
    </row>
    <row r="45" spans="1:93" x14ac:dyDescent="0.25">
      <c r="A45" s="152" t="str">
        <f>Financials!B52</f>
        <v>Gas Transmission Costs</v>
      </c>
      <c r="B45" s="132">
        <f>SUM(Financials!C52:E52)</f>
        <v>0</v>
      </c>
      <c r="C45" s="132">
        <f>SUM(Financials!F52:H52)</f>
        <v>0</v>
      </c>
      <c r="D45" s="132">
        <f>SUM(Financials!I52:K52)</f>
        <v>0</v>
      </c>
      <c r="E45" s="132">
        <f>SUM(Financials!L52:N52)</f>
        <v>0</v>
      </c>
      <c r="F45" s="132">
        <f>SUM(Financials!O52:Q52)</f>
        <v>0</v>
      </c>
      <c r="G45" s="132">
        <f>SUM(Financials!R52:T52)</f>
        <v>0</v>
      </c>
      <c r="H45" s="132">
        <f>SUM(Financials!U52:W52)</f>
        <v>0</v>
      </c>
      <c r="I45" s="132">
        <f>SUM(Financials!X52:Z52)</f>
        <v>0</v>
      </c>
      <c r="J45" s="132">
        <f>SUM(Financials!AA52:AC52)</f>
        <v>0</v>
      </c>
      <c r="K45" s="132">
        <f>SUM(Financials!AD52:AF52)</f>
        <v>0</v>
      </c>
      <c r="L45" s="132">
        <f>SUM(Financials!AG52:AI52)</f>
        <v>0</v>
      </c>
      <c r="M45" s="132">
        <f>SUM(Financials!AJ52:AL52)</f>
        <v>0</v>
      </c>
      <c r="N45" s="132">
        <f>SUM(Financials!AM52:AO52)</f>
        <v>0</v>
      </c>
      <c r="O45" s="132">
        <f>SUM(Financials!AP52:AR52)</f>
        <v>0</v>
      </c>
      <c r="P45" s="132">
        <f>SUM(Financials!AS52:AU52)</f>
        <v>0</v>
      </c>
      <c r="Q45" s="132">
        <f>SUM(Financials!AV52:AX52)</f>
        <v>0</v>
      </c>
      <c r="R45" s="132">
        <f>SUM(Financials!AY52:BA52)</f>
        <v>0</v>
      </c>
      <c r="S45" s="132">
        <f>SUM(Financials!BB52:BD52)</f>
        <v>0</v>
      </c>
      <c r="T45" s="132">
        <f>SUM(Financials!BE52:BG52)</f>
        <v>0</v>
      </c>
      <c r="U45" s="132">
        <f>SUM(Financials!BH52:BJ52)</f>
        <v>0</v>
      </c>
      <c r="V45" s="132">
        <f>SUM(Financials!BK52:BM52)</f>
        <v>0</v>
      </c>
      <c r="W45" s="132">
        <f>SUM(Financials!BN52:BP52)</f>
        <v>0</v>
      </c>
      <c r="X45" s="132">
        <f>SUM(Financials!BQ52:BS52)</f>
        <v>0</v>
      </c>
      <c r="Y45" s="132">
        <f>SUM(Financials!BT52:BV52)</f>
        <v>0</v>
      </c>
      <c r="Z45" s="132">
        <f>SUM(Financials!BW52:BY52)</f>
        <v>0</v>
      </c>
      <c r="AA45" s="132">
        <f>SUM(Financials!BZ52:CB52)</f>
        <v>0</v>
      </c>
      <c r="AB45" s="132">
        <f>SUM(Financials!CC52:CE52)</f>
        <v>0</v>
      </c>
      <c r="AC45" s="132">
        <f>SUM(Financials!CF52:CH52)</f>
        <v>0</v>
      </c>
      <c r="AD45" s="132">
        <f>SUM(Financials!CI52:CK52)</f>
        <v>0</v>
      </c>
      <c r="AE45" s="132">
        <f>SUM(Financials!CL52:CN52)</f>
        <v>0</v>
      </c>
      <c r="AF45" s="132">
        <f>SUM(Financials!CO52:CQ52)</f>
        <v>0</v>
      </c>
      <c r="AG45" s="132">
        <f>SUM(Financials!CR52:CT52)</f>
        <v>0</v>
      </c>
      <c r="AH45" s="132">
        <f>SUM(Financials!CU52:CW52)</f>
        <v>0</v>
      </c>
      <c r="AI45" s="132">
        <f>SUM(Financials!CX52:CZ52)</f>
        <v>0</v>
      </c>
      <c r="AJ45" s="132">
        <f>SUM(Financials!DA52:DC52)</f>
        <v>0</v>
      </c>
      <c r="AK45" s="132">
        <f>SUM(Financials!DD52:DF52)</f>
        <v>0</v>
      </c>
      <c r="AL45" s="132">
        <f>SUM(Financials!DG52:DI52)</f>
        <v>0</v>
      </c>
      <c r="AM45" s="132">
        <f>SUM(Financials!DJ52:DL52)</f>
        <v>0</v>
      </c>
      <c r="AN45" s="132">
        <f>SUM(Financials!DM52:DO52)</f>
        <v>0</v>
      </c>
      <c r="AO45" s="132">
        <f>SUM(Financials!DP52:DR52)</f>
        <v>0</v>
      </c>
      <c r="AP45" s="132">
        <f>SUM(Financials!DS52:DU52)</f>
        <v>0</v>
      </c>
      <c r="AQ45" s="132">
        <f>SUM(Financials!DV52:DX52)</f>
        <v>0</v>
      </c>
      <c r="AR45" s="132">
        <f>SUM(Financials!DY52:EA52)</f>
        <v>0</v>
      </c>
      <c r="AS45" s="132">
        <f>SUM(Financials!EB52:ED52)</f>
        <v>0</v>
      </c>
      <c r="AT45" s="132">
        <f>SUM(Financials!EE52:EG52)</f>
        <v>0</v>
      </c>
      <c r="AU45" s="132">
        <f>SUM(Financials!EH52:EJ52)</f>
        <v>0</v>
      </c>
      <c r="AV45" s="132">
        <f>SUM(Financials!EK52:EM52)</f>
        <v>0</v>
      </c>
      <c r="AW45" s="132">
        <f>SUM(Financials!EN52:EP52)</f>
        <v>0</v>
      </c>
      <c r="AX45" s="132">
        <f>SUM(Financials!EQ52:ES52)</f>
        <v>0</v>
      </c>
      <c r="AY45" s="132">
        <f>SUM(Financials!ET52:EV52)</f>
        <v>0</v>
      </c>
      <c r="AZ45" s="132">
        <f>SUM(Financials!EW52:EY52)</f>
        <v>0</v>
      </c>
      <c r="BA45" s="132">
        <f>SUM(Financials!EZ52:FB52)</f>
        <v>0</v>
      </c>
      <c r="BB45" s="132">
        <f>SUM(Financials!FC52:FE52)</f>
        <v>0</v>
      </c>
      <c r="BC45" s="132">
        <f>SUM(Financials!FF52:FH52)</f>
        <v>0</v>
      </c>
      <c r="BD45" s="132">
        <f>SUM(Financials!FI52:FK52)</f>
        <v>0</v>
      </c>
      <c r="BE45" s="132">
        <f>SUM(Financials!FL52:FN52)</f>
        <v>0</v>
      </c>
      <c r="BF45" s="132">
        <f>SUM(Financials!FO52:FQ52)</f>
        <v>0</v>
      </c>
      <c r="BG45" s="132">
        <f>SUM(Financials!FR52:FT52)</f>
        <v>0</v>
      </c>
      <c r="BH45" s="132">
        <f>SUM(Financials!FU52:FW52)</f>
        <v>0</v>
      </c>
      <c r="BI45" s="132">
        <f>SUM(Financials!FX52:FZ52)</f>
        <v>0</v>
      </c>
      <c r="BJ45" s="132">
        <f>SUM(Financials!GA52:GC52)</f>
        <v>0</v>
      </c>
      <c r="BK45" s="132">
        <f>SUM(Financials!GD52:GF52)</f>
        <v>0</v>
      </c>
      <c r="BL45" s="132">
        <f>SUM(Financials!GG52:GI52)</f>
        <v>0</v>
      </c>
      <c r="BM45" s="132">
        <f>SUM(Financials!GJ52:GL52)</f>
        <v>0</v>
      </c>
      <c r="BN45" s="132">
        <f>SUM(Financials!GM52:GO52)</f>
        <v>0</v>
      </c>
      <c r="BO45" s="132">
        <f>SUM(Financials!GP52:GR52)</f>
        <v>0</v>
      </c>
      <c r="BP45" s="132">
        <f>SUM(Financials!GS52:GU52)</f>
        <v>0</v>
      </c>
      <c r="BQ45" s="132">
        <f>SUM(Financials!GV52:GX52)</f>
        <v>0</v>
      </c>
      <c r="BR45" s="132">
        <f>SUM(Financials!GY52:HA52)</f>
        <v>0</v>
      </c>
      <c r="BS45" s="132">
        <f>SUM(Financials!HB52:HD52)</f>
        <v>0</v>
      </c>
      <c r="BT45" s="132">
        <f>SUM(Financials!HE52:HG52)</f>
        <v>0</v>
      </c>
      <c r="BU45" s="132">
        <f>SUM(Financials!HH52:HJ52)</f>
        <v>0</v>
      </c>
      <c r="BV45" s="132">
        <f>SUM(Financials!HK52:HM52)</f>
        <v>0</v>
      </c>
      <c r="BW45" s="132">
        <f>SUM(Financials!HN52:HP52)</f>
        <v>0</v>
      </c>
      <c r="BX45" s="132">
        <f>SUM(Financials!HQ52:HS52)</f>
        <v>0</v>
      </c>
      <c r="BY45" s="132">
        <f>SUM(Financials!HT52:HV52)</f>
        <v>0</v>
      </c>
      <c r="BZ45" s="132">
        <f>SUM(Financials!HW52:HY52)</f>
        <v>0</v>
      </c>
      <c r="CA45" s="132">
        <f>SUM(Financials!HZ52:IB52)</f>
        <v>0</v>
      </c>
      <c r="CB45" s="132">
        <f>SUM(Financials!IC52:IE52)</f>
        <v>0</v>
      </c>
      <c r="CC45" s="132">
        <f>SUM(Financials!IF52:IH52)</f>
        <v>0</v>
      </c>
      <c r="CD45" s="132">
        <f>SUM(Financials!II52:IK52)</f>
        <v>0</v>
      </c>
      <c r="CE45" s="132">
        <f>SUM(Financials!IL52:IN52)</f>
        <v>0</v>
      </c>
      <c r="CF45" s="132">
        <f>SUM(Financials!IO52:IQ52)</f>
        <v>0</v>
      </c>
      <c r="CG45" s="132">
        <f>SUM(Financials!IR52:IT52)</f>
        <v>0</v>
      </c>
      <c r="CH45" s="132">
        <f>SUM(Financials!IU52:IW52)</f>
        <v>0</v>
      </c>
      <c r="CI45" s="132">
        <f>SUM(Financials!IX52:IZ52)</f>
        <v>0</v>
      </c>
      <c r="CJ45" s="132">
        <f>SUM(Financials!JA52:JC52)</f>
        <v>0</v>
      </c>
      <c r="CK45" s="132">
        <f>SUM(Financials!JD52:JF52)</f>
        <v>0</v>
      </c>
      <c r="CL45" s="132">
        <f>SUM(Financials!JG52:JI52)</f>
        <v>0</v>
      </c>
      <c r="CM45" s="132">
        <f>SUM(Financials!JJ52:JL52)</f>
        <v>0</v>
      </c>
      <c r="CN45" s="132">
        <f>SUM(Financials!JM52:JO52)</f>
        <v>0</v>
      </c>
      <c r="CO45" s="132">
        <f>SUM(Financials!JP52:JR52)</f>
        <v>0</v>
      </c>
    </row>
    <row r="46" spans="1:93" x14ac:dyDescent="0.25">
      <c r="A46" s="152" t="str">
        <f>Financials!B53</f>
        <v>Permit  Renewals</v>
      </c>
      <c r="B46" s="132">
        <f>SUM(Financials!C53:E53)</f>
        <v>0</v>
      </c>
      <c r="C46" s="132">
        <f>SUM(Financials!F53:H53)</f>
        <v>0</v>
      </c>
      <c r="D46" s="132">
        <f>SUM(Financials!I53:K53)</f>
        <v>0</v>
      </c>
      <c r="E46" s="132">
        <f>SUM(Financials!L53:N53)</f>
        <v>0</v>
      </c>
      <c r="F46" s="132">
        <f>SUM(Financials!O53:Q53)</f>
        <v>0</v>
      </c>
      <c r="G46" s="132">
        <f>SUM(Financials!R53:T53)</f>
        <v>18781.267361111113</v>
      </c>
      <c r="H46" s="132">
        <f>SUM(Financials!U53:W53)</f>
        <v>18875.330295428324</v>
      </c>
      <c r="I46" s="132">
        <f>SUM(Financials!X53:Z53)</f>
        <v>18969.864328710388</v>
      </c>
      <c r="J46" s="132">
        <f>SUM(Financials!AA53:AC53)</f>
        <v>19064.871820380125</v>
      </c>
      <c r="K46" s="132">
        <f>SUM(Financials!AD53:AF53)</f>
        <v>19160.355141677166</v>
      </c>
      <c r="L46" s="132">
        <f>SUM(Financials!AG53:AI53)</f>
        <v>19256.316675717084</v>
      </c>
      <c r="M46" s="132">
        <f>SUM(Financials!AJ53:AL53)</f>
        <v>19352.758817550919</v>
      </c>
      <c r="N46" s="132">
        <f>SUM(Financials!AM53:AO53)</f>
        <v>19449.683974224929</v>
      </c>
      <c r="O46" s="132">
        <f>SUM(Financials!AP53:AR53)</f>
        <v>19547.094564840674</v>
      </c>
      <c r="P46" s="132">
        <f>SUM(Financials!AS53:AU53)</f>
        <v>19644.993020615399</v>
      </c>
      <c r="Q46" s="132">
        <f>SUM(Financials!AV53:AX53)</f>
        <v>19743.381784942692</v>
      </c>
      <c r="R46" s="132">
        <f>SUM(Financials!AY53:BA53)</f>
        <v>19842.263313453499</v>
      </c>
      <c r="S46" s="132">
        <f>SUM(Financials!BB53:BD53)</f>
        <v>19941.640074077375</v>
      </c>
      <c r="T46" s="132">
        <f>SUM(Financials!BE53:BG53)</f>
        <v>20041.514547104125</v>
      </c>
      <c r="U46" s="132">
        <f>SUM(Financials!BH53:BJ53)</f>
        <v>20141.889225245664</v>
      </c>
      <c r="V46" s="132">
        <f>SUM(Financials!BK53:BM53)</f>
        <v>20242.766613698266</v>
      </c>
      <c r="W46" s="132">
        <f>SUM(Financials!BN53:BP53)</f>
        <v>20344.149230205054</v>
      </c>
      <c r="X46" s="132">
        <f>SUM(Financials!BQ53:BS53)</f>
        <v>20446.03960511888</v>
      </c>
      <c r="Y46" s="132">
        <f>SUM(Financials!BT53:BV53)</f>
        <v>20548.440281465442</v>
      </c>
      <c r="Z46" s="132">
        <f>SUM(Financials!BW53:BY53)</f>
        <v>20651.353815006787</v>
      </c>
      <c r="AA46" s="132">
        <f>SUM(Financials!BZ53:CB53)</f>
        <v>20754.782774305069</v>
      </c>
      <c r="AB46" s="132">
        <f>SUM(Financials!CC53:CE53)</f>
        <v>20858.729740786679</v>
      </c>
      <c r="AC46" s="132">
        <f>SUM(Financials!CF53:CH53)</f>
        <v>20963.197308806644</v>
      </c>
      <c r="AD46" s="132">
        <f>SUM(Financials!CI53:CK53)</f>
        <v>21068.188085713427</v>
      </c>
      <c r="AE46" s="132">
        <f>SUM(Financials!CL53:CN53)</f>
        <v>21173.704691913954</v>
      </c>
      <c r="AF46" s="132">
        <f>SUM(Financials!CO53:CQ53)</f>
        <v>21279.749760939041</v>
      </c>
      <c r="AG46" s="132">
        <f>SUM(Financials!CR53:CT53)</f>
        <v>21386.325939509105</v>
      </c>
      <c r="AH46" s="132">
        <f>SUM(Financials!CU53:CW53)</f>
        <v>21493.435887600255</v>
      </c>
      <c r="AI46" s="132">
        <f>SUM(Financials!CX53:CZ53)</f>
        <v>21601.082278510639</v>
      </c>
      <c r="AJ46" s="132">
        <f>SUM(Financials!DA53:DC53)</f>
        <v>21709.267798927194</v>
      </c>
      <c r="AK46" s="132">
        <f>SUM(Financials!DD53:DF53)</f>
        <v>21817.995148992693</v>
      </c>
      <c r="AL46" s="132">
        <f>SUM(Financials!DG53:DI53)</f>
        <v>21927.26704237314</v>
      </c>
      <c r="AM46" s="132">
        <f>SUM(Financials!DJ53:DL53)</f>
        <v>22037.086206325494</v>
      </c>
      <c r="AN46" s="132">
        <f>SUM(Financials!DM53:DO53)</f>
        <v>22147.455381765725</v>
      </c>
      <c r="AO46" s="132">
        <f>SUM(Financials!DP53:DR53)</f>
        <v>22258.377323337252</v>
      </c>
      <c r="AP46" s="132">
        <f>SUM(Financials!DS53:DU53)</f>
        <v>22369.854799479679</v>
      </c>
      <c r="AQ46" s="132">
        <f>SUM(Financials!DV53:DX53)</f>
        <v>22481.89059249789</v>
      </c>
      <c r="AR46" s="132">
        <f>SUM(Financials!DY53:EA53)</f>
        <v>22594.487498631483</v>
      </c>
      <c r="AS46" s="132">
        <f>SUM(Financials!EB53:ED53)</f>
        <v>22707.648328124575</v>
      </c>
      <c r="AT46" s="132">
        <f>SUM(Financials!EE53:EG53)</f>
        <v>22821.375905295936</v>
      </c>
      <c r="AU46" s="132">
        <f>SUM(Financials!EH53:EJ53)</f>
        <v>22935.673068609485</v>
      </c>
      <c r="AV46" s="132">
        <f>SUM(Financials!EK53:EM53)</f>
        <v>23050.542670745112</v>
      </c>
      <c r="AW46" s="132">
        <f>SUM(Financials!EN53:EP53)</f>
        <v>23165.987578669909</v>
      </c>
      <c r="AX46" s="132">
        <f>SUM(Financials!EQ53:ES53)</f>
        <v>23282.010673709694</v>
      </c>
      <c r="AY46" s="132">
        <f>SUM(Financials!ET53:EV53)</f>
        <v>23398.614851620951</v>
      </c>
      <c r="AZ46" s="132">
        <f>SUM(Financials!EW53:EY53)</f>
        <v>23515.803022663073</v>
      </c>
      <c r="BA46" s="132">
        <f>SUM(Financials!EZ53:FB53)</f>
        <v>23633.578111671042</v>
      </c>
      <c r="BB46" s="132">
        <f>SUM(Financials!FC53:FE53)</f>
        <v>23751.943058128381</v>
      </c>
      <c r="BC46" s="132">
        <f>SUM(Financials!FF53:FH53)</f>
        <v>23870.900816240544</v>
      </c>
      <c r="BD46" s="132">
        <f>SUM(Financials!FI53:FK53)</f>
        <v>23990.454355008653</v>
      </c>
      <c r="BE46" s="132">
        <f>SUM(Financials!FL53:FN53)</f>
        <v>24110.606658303575</v>
      </c>
      <c r="BF46" s="132">
        <f>SUM(Financials!FO53:FQ53)</f>
        <v>24231.36072494043</v>
      </c>
      <c r="BG46" s="132">
        <f>SUM(Financials!FR53:FT53)</f>
        <v>24352.719568753404</v>
      </c>
      <c r="BH46" s="132">
        <f>SUM(Financials!FU53:FW53)</f>
        <v>24474.686218670988</v>
      </c>
      <c r="BI46" s="132">
        <f>SUM(Financials!FX53:FZ53)</f>
        <v>24597.263718791568</v>
      </c>
      <c r="BJ46" s="132">
        <f>SUM(Financials!GA53:GC53)</f>
        <v>24720.455128459413</v>
      </c>
      <c r="BK46" s="132">
        <f>SUM(Financials!GD53:GF53)</f>
        <v>24844.263522341003</v>
      </c>
      <c r="BL46" s="132">
        <f>SUM(Financials!GG53:GI53)</f>
        <v>24968.691990501804</v>
      </c>
      <c r="BM46" s="132">
        <f>SUM(Financials!GJ53:GL53)</f>
        <v>25093.743638483364</v>
      </c>
      <c r="BN46" s="132">
        <f>SUM(Financials!GM53:GO53)</f>
        <v>25219.42158738085</v>
      </c>
      <c r="BO46" s="132">
        <f>SUM(Financials!GP53:GR53)</f>
        <v>25345.728973920901</v>
      </c>
      <c r="BP46" s="132">
        <f>SUM(Financials!GS53:GU53)</f>
        <v>25472.668950539963</v>
      </c>
      <c r="BQ46" s="132">
        <f>SUM(Financials!GV53:GX53)</f>
        <v>25600.244685462945</v>
      </c>
      <c r="BR46" s="132">
        <f>SUM(Financials!GY53:HA53)</f>
        <v>25728.459362782298</v>
      </c>
      <c r="BS46" s="132">
        <f>SUM(Financials!HB53:HD53)</f>
        <v>25857.316182537481</v>
      </c>
      <c r="BT46" s="132">
        <f>SUM(Financials!HE53:HG53)</f>
        <v>25986.818360794816</v>
      </c>
      <c r="BU46" s="132">
        <f>SUM(Financials!HH53:HJ53)</f>
        <v>26116.969129727815</v>
      </c>
      <c r="BV46" s="132">
        <f>SUM(Financials!HK53:HM53)</f>
        <v>26247.771737697767</v>
      </c>
      <c r="BW46" s="132">
        <f>SUM(Financials!HN53:HP53)</f>
        <v>26379.229449334867</v>
      </c>
      <c r="BX46" s="132">
        <f>SUM(Financials!HQ53:HS53)</f>
        <v>26511.345545619693</v>
      </c>
      <c r="BY46" s="132">
        <f>SUM(Financials!HT53:HV53)</f>
        <v>26644.123323965054</v>
      </c>
      <c r="BZ46" s="132">
        <f>SUM(Financials!HW53:HY53)</f>
        <v>26777.566098298346</v>
      </c>
      <c r="CA46" s="132">
        <f>SUM(Financials!HZ53:IB53)</f>
        <v>26911.677199144207</v>
      </c>
      <c r="CB46" s="132">
        <f>SUM(Financials!IC53:IE53)</f>
        <v>27046.45997370769</v>
      </c>
      <c r="CC46" s="132">
        <f>SUM(Financials!IF53:IH53)</f>
        <v>27181.917785957772</v>
      </c>
      <c r="CD46" s="132">
        <f>SUM(Financials!II53:IK53)</f>
        <v>27318.054016711332</v>
      </c>
      <c r="CE46" s="132">
        <f>SUM(Financials!IL53:IN53)</f>
        <v>27454.872063717499</v>
      </c>
      <c r="CF46" s="132">
        <f>SUM(Financials!IO53:IQ53)</f>
        <v>27592.375341742518</v>
      </c>
      <c r="CG46" s="132">
        <f>SUM(Financials!IR53:IT53)</f>
        <v>27730.567282654891</v>
      </c>
      <c r="CH46" s="132">
        <f>SUM(Financials!IU53:IW53)</f>
        <v>27869.451335511123</v>
      </c>
      <c r="CI46" s="132">
        <f>SUM(Financials!IX53:IZ53)</f>
        <v>28009.030966641716</v>
      </c>
      <c r="CJ46" s="132">
        <f>SUM(Financials!JA53:JC53)</f>
        <v>28149.309659737759</v>
      </c>
      <c r="CK46" s="132">
        <f>SUM(Financials!JD53:JF53)</f>
        <v>28290.290915937825</v>
      </c>
      <c r="CL46" s="132">
        <f>SUM(Financials!JG53:JI53)</f>
        <v>28431.978253915389</v>
      </c>
      <c r="CM46" s="132">
        <f>SUM(Financials!JJ53:JL53)</f>
        <v>28574.375209966616</v>
      </c>
      <c r="CN46" s="132">
        <f>SUM(Financials!JM53:JO53)</f>
        <v>28717.485338098653</v>
      </c>
      <c r="CO46" s="132">
        <f>SUM(Financials!JP53:JR53)</f>
        <v>28861.312210118289</v>
      </c>
    </row>
    <row r="47" spans="1:93" x14ac:dyDescent="0.25">
      <c r="A47" s="152" t="str">
        <f>Financials!B54</f>
        <v>Property Taxes</v>
      </c>
      <c r="B47" s="132">
        <f>SUM(Financials!C54:E54)</f>
        <v>0</v>
      </c>
      <c r="C47" s="132">
        <f>SUM(Financials!F54:H54)</f>
        <v>0</v>
      </c>
      <c r="D47" s="132">
        <f>SUM(Financials!I54:K54)</f>
        <v>0</v>
      </c>
      <c r="E47" s="132">
        <f>SUM(Financials!L54:N54)</f>
        <v>0</v>
      </c>
      <c r="F47" s="132">
        <f>SUM(Financials!O54:Q54)</f>
        <v>0</v>
      </c>
      <c r="G47" s="132">
        <f>SUM(Financials!R54:T54)</f>
        <v>21285.436342592591</v>
      </c>
      <c r="H47" s="132">
        <f>SUM(Financials!U54:W54)</f>
        <v>21392.041001485435</v>
      </c>
      <c r="I47" s="132">
        <f>SUM(Financials!X54:Z54)</f>
        <v>21499.179572538436</v>
      </c>
      <c r="J47" s="132">
        <f>SUM(Financials!AA54:AC54)</f>
        <v>21606.854729764142</v>
      </c>
      <c r="K47" s="132">
        <f>SUM(Financials!AD54:AF54)</f>
        <v>21715.069160567451</v>
      </c>
      <c r="L47" s="132">
        <f>SUM(Financials!AG54:AI54)</f>
        <v>21823.825565812695</v>
      </c>
      <c r="M47" s="132">
        <f>SUM(Financials!AJ54:AL54)</f>
        <v>21933.126659891041</v>
      </c>
      <c r="N47" s="132">
        <f>SUM(Financials!AM54:AO54)</f>
        <v>22042.97517078825</v>
      </c>
      <c r="O47" s="132">
        <f>SUM(Financials!AP54:AR54)</f>
        <v>22153.373840152766</v>
      </c>
      <c r="P47" s="132">
        <f>SUM(Financials!AS54:AU54)</f>
        <v>22264.325423364116</v>
      </c>
      <c r="Q47" s="132">
        <f>SUM(Financials!AV54:AX54)</f>
        <v>22375.832689601717</v>
      </c>
      <c r="R47" s="132">
        <f>SUM(Financials!AY54:BA54)</f>
        <v>22487.898421913964</v>
      </c>
      <c r="S47" s="132">
        <f>SUM(Financials!BB54:BD54)</f>
        <v>22600.525417287692</v>
      </c>
      <c r="T47" s="132">
        <f>SUM(Financials!BE54:BG54)</f>
        <v>22713.716486718011</v>
      </c>
      <c r="U47" s="132">
        <f>SUM(Financials!BH54:BJ54)</f>
        <v>22827.474455278418</v>
      </c>
      <c r="V47" s="132">
        <f>SUM(Financials!BK54:BM54)</f>
        <v>22941.802162191365</v>
      </c>
      <c r="W47" s="132">
        <f>SUM(Financials!BN54:BP54)</f>
        <v>23056.702460899058</v>
      </c>
      <c r="X47" s="132">
        <f>SUM(Financials!BQ54:BS54)</f>
        <v>23172.178219134727</v>
      </c>
      <c r="Y47" s="132">
        <f>SUM(Financials!BT54:BV54)</f>
        <v>23288.232318994167</v>
      </c>
      <c r="Z47" s="132">
        <f>SUM(Financials!BW54:BY54)</f>
        <v>23404.867657007686</v>
      </c>
      <c r="AA47" s="132">
        <f>SUM(Financials!BZ54:CB54)</f>
        <v>23522.087144212412</v>
      </c>
      <c r="AB47" s="132">
        <f>SUM(Financials!CC54:CE54)</f>
        <v>23639.893706224899</v>
      </c>
      <c r="AC47" s="132">
        <f>SUM(Financials!CF54:CH54)</f>
        <v>23758.290283314196</v>
      </c>
      <c r="AD47" s="132">
        <f>SUM(Financials!CI54:CK54)</f>
        <v>23877.279830475218</v>
      </c>
      <c r="AE47" s="132">
        <f>SUM(Financials!CL54:CN54)</f>
        <v>23996.865317502481</v>
      </c>
      <c r="AF47" s="132">
        <f>SUM(Financials!CO54:CQ54)</f>
        <v>24117.049729064245</v>
      </c>
      <c r="AG47" s="132">
        <f>SUM(Financials!CR54:CT54)</f>
        <v>24237.836064776988</v>
      </c>
      <c r="AH47" s="132">
        <f>SUM(Financials!CU54:CW54)</f>
        <v>24359.227339280289</v>
      </c>
      <c r="AI47" s="132">
        <f>SUM(Financials!CX54:CZ54)</f>
        <v>24481.226582312054</v>
      </c>
      <c r="AJ47" s="132">
        <f>SUM(Financials!DA54:DC54)</f>
        <v>24603.836838784155</v>
      </c>
      <c r="AK47" s="132">
        <f>SUM(Financials!DD54:DF54)</f>
        <v>24727.061168858389</v>
      </c>
      <c r="AL47" s="132">
        <f>SUM(Financials!DG54:DI54)</f>
        <v>24850.902648022893</v>
      </c>
      <c r="AM47" s="132">
        <f>SUM(Financials!DJ54:DL54)</f>
        <v>24975.364367168891</v>
      </c>
      <c r="AN47" s="132">
        <f>SUM(Financials!DM54:DO54)</f>
        <v>25100.449432667818</v>
      </c>
      <c r="AO47" s="132">
        <f>SUM(Financials!DP54:DR54)</f>
        <v>25226.160966448886</v>
      </c>
      <c r="AP47" s="132">
        <f>SUM(Financials!DS54:DU54)</f>
        <v>25352.502106076969</v>
      </c>
      <c r="AQ47" s="132">
        <f>SUM(Financials!DV54:DX54)</f>
        <v>25479.47600483094</v>
      </c>
      <c r="AR47" s="132">
        <f>SUM(Financials!DY54:EA54)</f>
        <v>25607.085831782344</v>
      </c>
      <c r="AS47" s="132">
        <f>SUM(Financials!EB54:ED54)</f>
        <v>25735.334771874521</v>
      </c>
      <c r="AT47" s="132">
        <f>SUM(Financials!EE54:EG54)</f>
        <v>25864.226026002059</v>
      </c>
      <c r="AU47" s="132">
        <f>SUM(Financials!EH54:EJ54)</f>
        <v>25993.76281109075</v>
      </c>
      <c r="AV47" s="132">
        <f>SUM(Financials!EK54:EM54)</f>
        <v>26123.94836017779</v>
      </c>
      <c r="AW47" s="132">
        <f>SUM(Financials!EN54:EP54)</f>
        <v>26254.785922492563</v>
      </c>
      <c r="AX47" s="132">
        <f>SUM(Financials!EQ54:ES54)</f>
        <v>26386.278763537652</v>
      </c>
      <c r="AY47" s="132">
        <f>SUM(Financials!ET54:EV54)</f>
        <v>26518.430165170408</v>
      </c>
      <c r="AZ47" s="132">
        <f>SUM(Financials!EW54:EY54)</f>
        <v>26651.243425684817</v>
      </c>
      <c r="BA47" s="132">
        <f>SUM(Financials!EZ54:FB54)</f>
        <v>26784.721859893849</v>
      </c>
      <c r="BB47" s="132">
        <f>SUM(Financials!FC54:FE54)</f>
        <v>26918.868799212163</v>
      </c>
      <c r="BC47" s="132">
        <f>SUM(Financials!FF54:FH54)</f>
        <v>27053.687591739283</v>
      </c>
      <c r="BD47" s="132">
        <f>SUM(Financials!FI54:FK54)</f>
        <v>27189.181602343138</v>
      </c>
      <c r="BE47" s="132">
        <f>SUM(Financials!FL54:FN54)</f>
        <v>27325.354212744049</v>
      </c>
      <c r="BF47" s="132">
        <f>SUM(Financials!FO54:FQ54)</f>
        <v>27462.208821599153</v>
      </c>
      <c r="BG47" s="132">
        <f>SUM(Financials!FR54:FT54)</f>
        <v>27599.74884458719</v>
      </c>
      <c r="BH47" s="132">
        <f>SUM(Financials!FU54:FW54)</f>
        <v>27737.977714493783</v>
      </c>
      <c r="BI47" s="132">
        <f>SUM(Financials!FX54:FZ54)</f>
        <v>27876.898881297107</v>
      </c>
      <c r="BJ47" s="132">
        <f>SUM(Financials!GA54:GC54)</f>
        <v>28016.515812254002</v>
      </c>
      <c r="BK47" s="132">
        <f>SUM(Financials!GD54:GF54)</f>
        <v>28156.831991986466</v>
      </c>
      <c r="BL47" s="132">
        <f>SUM(Financials!GG54:GI54)</f>
        <v>28297.850922568708</v>
      </c>
      <c r="BM47" s="132">
        <f>SUM(Financials!GJ54:GL54)</f>
        <v>28439.576123614483</v>
      </c>
      <c r="BN47" s="132">
        <f>SUM(Financials!GM54:GO54)</f>
        <v>28582.011132364962</v>
      </c>
      <c r="BO47" s="132">
        <f>SUM(Financials!GP54:GR54)</f>
        <v>28725.15950377702</v>
      </c>
      <c r="BP47" s="132">
        <f>SUM(Financials!GS54:GU54)</f>
        <v>28869.024810611958</v>
      </c>
      <c r="BQ47" s="132">
        <f>SUM(Financials!GV54:GX54)</f>
        <v>29013.610643524673</v>
      </c>
      <c r="BR47" s="132">
        <f>SUM(Financials!GY54:HA54)</f>
        <v>29158.920611153269</v>
      </c>
      <c r="BS47" s="132">
        <f>SUM(Financials!HB54:HD54)</f>
        <v>29304.958340209141</v>
      </c>
      <c r="BT47" s="132">
        <f>SUM(Financials!HE54:HG54)</f>
        <v>29451.727475567459</v>
      </c>
      <c r="BU47" s="132">
        <f>SUM(Financials!HH54:HJ54)</f>
        <v>29599.231680358193</v>
      </c>
      <c r="BV47" s="132">
        <f>SUM(Financials!HK54:HM54)</f>
        <v>29747.474636057472</v>
      </c>
      <c r="BW47" s="132">
        <f>SUM(Financials!HN54:HP54)</f>
        <v>29896.460042579522</v>
      </c>
      <c r="BX47" s="132">
        <f>SUM(Financials!HQ54:HS54)</f>
        <v>30046.191618368979</v>
      </c>
      <c r="BY47" s="132">
        <f>SUM(Financials!HT54:HV54)</f>
        <v>30196.673100493725</v>
      </c>
      <c r="BZ47" s="132">
        <f>SUM(Financials!HW54:HY54)</f>
        <v>30347.908244738122</v>
      </c>
      <c r="CA47" s="132">
        <f>SUM(Financials!HZ54:IB54)</f>
        <v>30499.900825696765</v>
      </c>
      <c r="CB47" s="132">
        <f>SUM(Financials!IC54:IE54)</f>
        <v>30652.654636868712</v>
      </c>
      <c r="CC47" s="132">
        <f>SUM(Financials!IF54:IH54)</f>
        <v>30806.173490752139</v>
      </c>
      <c r="CD47" s="132">
        <f>SUM(Financials!II54:IK54)</f>
        <v>30960.461218939505</v>
      </c>
      <c r="CE47" s="132">
        <f>SUM(Financials!IL54:IN54)</f>
        <v>31115.52167221317</v>
      </c>
      <c r="CF47" s="132">
        <f>SUM(Financials!IO54:IQ54)</f>
        <v>31271.358720641521</v>
      </c>
      <c r="CG47" s="132">
        <f>SUM(Financials!IR54:IT54)</f>
        <v>31427.976253675541</v>
      </c>
      <c r="CH47" s="132">
        <f>SUM(Financials!IU54:IW54)</f>
        <v>31585.378180245934</v>
      </c>
      <c r="CI47" s="132">
        <f>SUM(Financials!IX54:IZ54)</f>
        <v>31743.56842886061</v>
      </c>
      <c r="CJ47" s="132">
        <f>SUM(Financials!JA54:JC54)</f>
        <v>31902.550947702795</v>
      </c>
      <c r="CK47" s="132">
        <f>SUM(Financials!JD54:JF54)</f>
        <v>32062.329704729535</v>
      </c>
      <c r="CL47" s="132">
        <f>SUM(Financials!JG54:JI54)</f>
        <v>32222.908687770778</v>
      </c>
      <c r="CM47" s="132">
        <f>SUM(Financials!JJ54:JL54)</f>
        <v>32384.291904628833</v>
      </c>
      <c r="CN47" s="132">
        <f>SUM(Financials!JM54:JO54)</f>
        <v>32546.483383178471</v>
      </c>
      <c r="CO47" s="132">
        <f>SUM(Financials!JP54:JR54)</f>
        <v>32709.487171467394</v>
      </c>
    </row>
    <row r="48" spans="1:93" x14ac:dyDescent="0.25">
      <c r="A48" s="152" t="str">
        <f>Financials!B55</f>
        <v>Miscellaneous</v>
      </c>
      <c r="B48" s="132">
        <f>SUM(Financials!C55:E55)</f>
        <v>0</v>
      </c>
      <c r="C48" s="132">
        <f>SUM(Financials!F55:H55)</f>
        <v>0</v>
      </c>
      <c r="D48" s="132">
        <f>SUM(Financials!I55:K55)</f>
        <v>0</v>
      </c>
      <c r="E48" s="132">
        <f>SUM(Financials!L55:N55)</f>
        <v>0</v>
      </c>
      <c r="F48" s="132">
        <f>SUM(Financials!O55:Q55)</f>
        <v>0</v>
      </c>
      <c r="G48" s="132">
        <f>SUM(Financials!R55:T55)</f>
        <v>25041.689814814818</v>
      </c>
      <c r="H48" s="132">
        <f>SUM(Financials!U55:W55)</f>
        <v>25167.107060571099</v>
      </c>
      <c r="I48" s="132">
        <f>SUM(Financials!X55:Z55)</f>
        <v>25293.152438280522</v>
      </c>
      <c r="J48" s="132">
        <f>SUM(Financials!AA55:AC55)</f>
        <v>25419.82909384017</v>
      </c>
      <c r="K48" s="132">
        <f>SUM(Financials!AD55:AF55)</f>
        <v>25547.140188902889</v>
      </c>
      <c r="L48" s="132">
        <f>SUM(Financials!AG55:AI55)</f>
        <v>25675.088900956111</v>
      </c>
      <c r="M48" s="132">
        <f>SUM(Financials!AJ55:AL55)</f>
        <v>25803.678423401227</v>
      </c>
      <c r="N48" s="132">
        <f>SUM(Financials!AM55:AO55)</f>
        <v>25932.911965633237</v>
      </c>
      <c r="O48" s="132">
        <f>SUM(Financials!AP55:AR55)</f>
        <v>26062.792753120906</v>
      </c>
      <c r="P48" s="132">
        <f>SUM(Financials!AS55:AU55)</f>
        <v>26193.324027487201</v>
      </c>
      <c r="Q48" s="132">
        <f>SUM(Financials!AV55:AX55)</f>
        <v>26324.509046590258</v>
      </c>
      <c r="R48" s="132">
        <f>SUM(Financials!AY55:BA55)</f>
        <v>26456.351084604667</v>
      </c>
      <c r="S48" s="132">
        <f>SUM(Financials!BB55:BD55)</f>
        <v>26588.853432103169</v>
      </c>
      <c r="T48" s="132">
        <f>SUM(Financials!BE55:BG55)</f>
        <v>26722.01939613884</v>
      </c>
      <c r="U48" s="132">
        <f>SUM(Financials!BH55:BJ55)</f>
        <v>26855.852300327555</v>
      </c>
      <c r="V48" s="132">
        <f>SUM(Financials!BK55:BM55)</f>
        <v>26990.35548493102</v>
      </c>
      <c r="W48" s="132">
        <f>SUM(Financials!BN55:BP55)</f>
        <v>27125.532306940069</v>
      </c>
      <c r="X48" s="132">
        <f>SUM(Financials!BQ55:BS55)</f>
        <v>27261.386140158502</v>
      </c>
      <c r="Y48" s="132">
        <f>SUM(Financials!BT55:BV55)</f>
        <v>27397.92037528726</v>
      </c>
      <c r="Z48" s="132">
        <f>SUM(Financials!BW55:BY55)</f>
        <v>27535.138420009047</v>
      </c>
      <c r="AA48" s="132">
        <f>SUM(Financials!BZ55:CB55)</f>
        <v>27673.043699073427</v>
      </c>
      <c r="AB48" s="132">
        <f>SUM(Financials!CC55:CE55)</f>
        <v>27811.639654382241</v>
      </c>
      <c r="AC48" s="132">
        <f>SUM(Financials!CF55:CH55)</f>
        <v>27950.929745075529</v>
      </c>
      <c r="AD48" s="132">
        <f>SUM(Financials!CI55:CK55)</f>
        <v>28090.917447617907</v>
      </c>
      <c r="AE48" s="132">
        <f>SUM(Financials!CL55:CN55)</f>
        <v>28231.606255885275</v>
      </c>
      <c r="AF48" s="132">
        <f>SUM(Financials!CO55:CQ55)</f>
        <v>28372.999681252055</v>
      </c>
      <c r="AG48" s="132">
        <f>SUM(Financials!CR55:CT55)</f>
        <v>28515.101252678811</v>
      </c>
      <c r="AH48" s="132">
        <f>SUM(Financials!CU55:CW55)</f>
        <v>28657.914516800342</v>
      </c>
      <c r="AI48" s="132">
        <f>SUM(Financials!CX55:CZ55)</f>
        <v>28801.443038014193</v>
      </c>
      <c r="AJ48" s="132">
        <f>SUM(Financials!DA55:DC55)</f>
        <v>28945.690398569594</v>
      </c>
      <c r="AK48" s="132">
        <f>SUM(Financials!DD55:DF55)</f>
        <v>29090.660198656926</v>
      </c>
      <c r="AL48" s="132">
        <f>SUM(Financials!DG55:DI55)</f>
        <v>29236.356056497523</v>
      </c>
      <c r="AM48" s="132">
        <f>SUM(Financials!DJ55:DL55)</f>
        <v>29382.781608433994</v>
      </c>
      <c r="AN48" s="132">
        <f>SUM(Financials!DM55:DO55)</f>
        <v>29529.940509020969</v>
      </c>
      <c r="AO48" s="132">
        <f>SUM(Financials!DP55:DR55)</f>
        <v>29677.836431116339</v>
      </c>
      <c r="AP48" s="132">
        <f>SUM(Financials!DS55:DU55)</f>
        <v>29826.47306597291</v>
      </c>
      <c r="AQ48" s="132">
        <f>SUM(Financials!DV55:DX55)</f>
        <v>29975.854123330519</v>
      </c>
      <c r="AR48" s="132">
        <f>SUM(Financials!DY55:EA55)</f>
        <v>30125.983331508643</v>
      </c>
      <c r="AS48" s="132">
        <f>SUM(Financials!EB55:ED55)</f>
        <v>30276.864437499433</v>
      </c>
      <c r="AT48" s="132">
        <f>SUM(Financials!EE55:EG55)</f>
        <v>30428.50120706125</v>
      </c>
      <c r="AU48" s="132">
        <f>SUM(Financials!EH55:EJ55)</f>
        <v>30580.897424812651</v>
      </c>
      <c r="AV48" s="132">
        <f>SUM(Financials!EK55:EM55)</f>
        <v>30734.056894326815</v>
      </c>
      <c r="AW48" s="132">
        <f>SUM(Financials!EN55:EP55)</f>
        <v>30887.983438226547</v>
      </c>
      <c r="AX48" s="132">
        <f>SUM(Financials!EQ55:ES55)</f>
        <v>31042.680898279592</v>
      </c>
      <c r="AY48" s="132">
        <f>SUM(Financials!ET55:EV55)</f>
        <v>31198.153135494602</v>
      </c>
      <c r="AZ48" s="132">
        <f>SUM(Financials!EW55:EY55)</f>
        <v>31354.404030217436</v>
      </c>
      <c r="BA48" s="132">
        <f>SUM(Financials!EZ55:FB55)</f>
        <v>31511.437482228059</v>
      </c>
      <c r="BB48" s="132">
        <f>SUM(Financials!FC55:FE55)</f>
        <v>31669.257410837839</v>
      </c>
      <c r="BC48" s="132">
        <f>SUM(Financials!FF55:FH55)</f>
        <v>31827.867754987397</v>
      </c>
      <c r="BD48" s="132">
        <f>SUM(Financials!FI55:FK55)</f>
        <v>31987.272473344874</v>
      </c>
      <c r="BE48" s="132">
        <f>SUM(Financials!FL55:FN55)</f>
        <v>32147.47554440477</v>
      </c>
      <c r="BF48" s="132">
        <f>SUM(Financials!FO55:FQ55)</f>
        <v>32308.480966587242</v>
      </c>
      <c r="BG48" s="132">
        <f>SUM(Financials!FR55:FT55)</f>
        <v>32470.292758337877</v>
      </c>
      <c r="BH48" s="132">
        <f>SUM(Financials!FU55:FW55)</f>
        <v>32632.914958227986</v>
      </c>
      <c r="BI48" s="132">
        <f>SUM(Financials!FX55:FZ55)</f>
        <v>32796.351625055431</v>
      </c>
      <c r="BJ48" s="132">
        <f>SUM(Financials!GA55:GC55)</f>
        <v>32960.606837945888</v>
      </c>
      <c r="BK48" s="132">
        <f>SUM(Financials!GD55:GF55)</f>
        <v>33125.684696454671</v>
      </c>
      <c r="BL48" s="132">
        <f>SUM(Financials!GG55:GI55)</f>
        <v>33291.589320669067</v>
      </c>
      <c r="BM48" s="132">
        <f>SUM(Financials!GJ55:GL55)</f>
        <v>33458.324851311161</v>
      </c>
      <c r="BN48" s="132">
        <f>SUM(Financials!GM55:GO55)</f>
        <v>33625.895449841133</v>
      </c>
      <c r="BO48" s="132">
        <f>SUM(Financials!GP55:GR55)</f>
        <v>33794.305298561201</v>
      </c>
      <c r="BP48" s="132">
        <f>SUM(Financials!GS55:GU55)</f>
        <v>33963.55860071996</v>
      </c>
      <c r="BQ48" s="132">
        <f>SUM(Financials!GV55:GX55)</f>
        <v>34133.659580617263</v>
      </c>
      <c r="BR48" s="132">
        <f>SUM(Financials!GY55:HA55)</f>
        <v>34304.61248370973</v>
      </c>
      <c r="BS48" s="132">
        <f>SUM(Financials!HB55:HD55)</f>
        <v>34476.421576716639</v>
      </c>
      <c r="BT48" s="132">
        <f>SUM(Financials!HE55:HG55)</f>
        <v>34649.091147726431</v>
      </c>
      <c r="BU48" s="132">
        <f>SUM(Financials!HH55:HJ55)</f>
        <v>34822.625506303753</v>
      </c>
      <c r="BV48" s="132">
        <f>SUM(Financials!HK55:HM55)</f>
        <v>34997.028983597025</v>
      </c>
      <c r="BW48" s="132">
        <f>SUM(Financials!HN55:HP55)</f>
        <v>35172.305932446499</v>
      </c>
      <c r="BX48" s="132">
        <f>SUM(Financials!HQ55:HS55)</f>
        <v>35348.460727492922</v>
      </c>
      <c r="BY48" s="132">
        <f>SUM(Financials!HT55:HV55)</f>
        <v>35525.497765286738</v>
      </c>
      <c r="BZ48" s="132">
        <f>SUM(Financials!HW55:HY55)</f>
        <v>35703.42146439779</v>
      </c>
      <c r="CA48" s="132">
        <f>SUM(Financials!HZ55:IB55)</f>
        <v>35882.236265525607</v>
      </c>
      <c r="CB48" s="132">
        <f>SUM(Financials!IC55:IE55)</f>
        <v>36061.946631610255</v>
      </c>
      <c r="CC48" s="132">
        <f>SUM(Financials!IF55:IH55)</f>
        <v>36242.557047943701</v>
      </c>
      <c r="CD48" s="132">
        <f>SUM(Financials!II55:IK55)</f>
        <v>36424.072022281776</v>
      </c>
      <c r="CE48" s="132">
        <f>SUM(Financials!IL55:IN55)</f>
        <v>36606.496084956671</v>
      </c>
      <c r="CF48" s="132">
        <f>SUM(Financials!IO55:IQ55)</f>
        <v>36789.833788990029</v>
      </c>
      <c r="CG48" s="132">
        <f>SUM(Financials!IR55:IT55)</f>
        <v>36974.089710206521</v>
      </c>
      <c r="CH48" s="132">
        <f>SUM(Financials!IU55:IW55)</f>
        <v>37159.268447348157</v>
      </c>
      <c r="CI48" s="132">
        <f>SUM(Financials!IX55:IZ55)</f>
        <v>37345.37462218896</v>
      </c>
      <c r="CJ48" s="132">
        <f>SUM(Financials!JA55:JC55)</f>
        <v>37532.41287965035</v>
      </c>
      <c r="CK48" s="132">
        <f>SUM(Financials!JD55:JF55)</f>
        <v>37720.38788791711</v>
      </c>
      <c r="CL48" s="132">
        <f>SUM(Financials!JG55:JI55)</f>
        <v>37909.304338553862</v>
      </c>
      <c r="CM48" s="132">
        <f>SUM(Financials!JJ55:JL55)</f>
        <v>38099.166946622157</v>
      </c>
      <c r="CN48" s="132">
        <f>SUM(Financials!JM55:JO55)</f>
        <v>38289.980450798204</v>
      </c>
      <c r="CO48" s="132">
        <f>SUM(Financials!JP55:JR55)</f>
        <v>38481.749613491054</v>
      </c>
    </row>
    <row r="49" spans="1:93" x14ac:dyDescent="0.25">
      <c r="A49" s="160" t="str">
        <f>Financials!B56</f>
        <v>Total Expenses</v>
      </c>
      <c r="B49" s="161">
        <f>SUM(B33:B48)</f>
        <v>1805949.4496267724</v>
      </c>
      <c r="C49" s="161">
        <f t="shared" ref="C49:BN49" si="7">SUM(C33:C48)</f>
        <v>1805949.4496267724</v>
      </c>
      <c r="D49" s="161">
        <f t="shared" si="7"/>
        <v>1805949.4496267724</v>
      </c>
      <c r="E49" s="161">
        <f t="shared" si="7"/>
        <v>1805949.4496267724</v>
      </c>
      <c r="F49" s="161">
        <f t="shared" si="7"/>
        <v>1877854.0693867514</v>
      </c>
      <c r="G49" s="161">
        <f t="shared" si="7"/>
        <v>4202160.430775323</v>
      </c>
      <c r="H49" s="161">
        <f t="shared" si="7"/>
        <v>4204098.3395616012</v>
      </c>
      <c r="I49" s="161">
        <f t="shared" si="7"/>
        <v>4219472.1077391934</v>
      </c>
      <c r="J49" s="161">
        <f t="shared" si="7"/>
        <v>4137295.448016772</v>
      </c>
      <c r="K49" s="161">
        <f t="shared" si="7"/>
        <v>4146041.1385187004</v>
      </c>
      <c r="L49" s="161">
        <f t="shared" si="7"/>
        <v>4154823.0602275617</v>
      </c>
      <c r="M49" s="161">
        <f t="shared" si="7"/>
        <v>4163641.3756602933</v>
      </c>
      <c r="N49" s="161">
        <f t="shared" si="7"/>
        <v>4075039.7907431787</v>
      </c>
      <c r="O49" s="161">
        <f t="shared" si="7"/>
        <v>3564449.2068352336</v>
      </c>
      <c r="P49" s="161">
        <f t="shared" si="7"/>
        <v>3592567.3747094199</v>
      </c>
      <c r="Q49" s="161">
        <f t="shared" si="7"/>
        <v>3599027.2717289948</v>
      </c>
      <c r="R49" s="161">
        <f t="shared" si="7"/>
        <v>3501010.2450292953</v>
      </c>
      <c r="S49" s="161">
        <f t="shared" si="7"/>
        <v>3507519.5840118108</v>
      </c>
      <c r="T49" s="161">
        <f t="shared" si="7"/>
        <v>3514053.8009338565</v>
      </c>
      <c r="U49" s="161">
        <f t="shared" si="7"/>
        <v>3520613.001068891</v>
      </c>
      <c r="V49" s="161">
        <f t="shared" si="7"/>
        <v>3415141.2690554676</v>
      </c>
      <c r="W49" s="161">
        <f t="shared" si="7"/>
        <v>3421750.7533547231</v>
      </c>
      <c r="X49" s="161">
        <f t="shared" si="7"/>
        <v>3428385.5395698408</v>
      </c>
      <c r="Y49" s="161">
        <f t="shared" si="7"/>
        <v>3435045.7349035745</v>
      </c>
      <c r="Z49" s="161">
        <f t="shared" si="7"/>
        <v>3321574.8871062007</v>
      </c>
      <c r="AA49" s="161">
        <f t="shared" si="7"/>
        <v>3328286.2242400344</v>
      </c>
      <c r="AB49" s="161">
        <f t="shared" si="7"/>
        <v>3335023.2950384733</v>
      </c>
      <c r="AC49" s="161">
        <f t="shared" si="7"/>
        <v>3341786.2086705407</v>
      </c>
      <c r="AD49" s="161">
        <f t="shared" si="7"/>
        <v>3219732.387428625</v>
      </c>
      <c r="AE49" s="161">
        <f t="shared" si="7"/>
        <v>3226547.3162270919</v>
      </c>
      <c r="AF49" s="161">
        <f t="shared" si="7"/>
        <v>3233388.418360306</v>
      </c>
      <c r="AG49" s="161">
        <f t="shared" si="7"/>
        <v>3240255.8050012635</v>
      </c>
      <c r="AH49" s="161">
        <f t="shared" si="7"/>
        <v>3108992.8521678611</v>
      </c>
      <c r="AI49" s="161">
        <f t="shared" si="7"/>
        <v>3115913.1433735727</v>
      </c>
      <c r="AJ49" s="161">
        <f t="shared" si="7"/>
        <v>3122860.0556574962</v>
      </c>
      <c r="AK49" s="161">
        <f t="shared" si="7"/>
        <v>3129833.7022350379</v>
      </c>
      <c r="AL49" s="161">
        <f t="shared" si="7"/>
        <v>2988690.0995844021</v>
      </c>
      <c r="AM49" s="161">
        <f t="shared" si="7"/>
        <v>2995717.5564646684</v>
      </c>
      <c r="AN49" s="161">
        <f t="shared" si="7"/>
        <v>3002772.0903948364</v>
      </c>
      <c r="AO49" s="161">
        <f t="shared" si="7"/>
        <v>3009853.8166719298</v>
      </c>
      <c r="AP49" s="161">
        <f t="shared" si="7"/>
        <v>2858109.4050968266</v>
      </c>
      <c r="AQ49" s="161">
        <f t="shared" si="7"/>
        <v>2865245.8640678339</v>
      </c>
      <c r="AR49" s="161">
        <f t="shared" si="7"/>
        <v>2872409.8644466097</v>
      </c>
      <c r="AS49" s="161">
        <f t="shared" si="7"/>
        <v>2879601.5236517671</v>
      </c>
      <c r="AT49" s="161">
        <f t="shared" si="7"/>
        <v>2791752.5444400748</v>
      </c>
      <c r="AU49" s="161">
        <f t="shared" si="7"/>
        <v>2798999.8757033315</v>
      </c>
      <c r="AV49" s="161">
        <f t="shared" si="7"/>
        <v>2806275.2212794637</v>
      </c>
      <c r="AW49" s="161">
        <f t="shared" si="7"/>
        <v>2813578.7007494308</v>
      </c>
      <c r="AX49" s="161">
        <f t="shared" si="7"/>
        <v>2757937.7176279421</v>
      </c>
      <c r="AY49" s="161">
        <f t="shared" si="7"/>
        <v>2765297.8258192525</v>
      </c>
      <c r="AZ49" s="161">
        <f t="shared" si="7"/>
        <v>2772686.42994001</v>
      </c>
      <c r="BA49" s="161">
        <f t="shared" si="7"/>
        <v>2780103.6517750779</v>
      </c>
      <c r="BB49" s="161">
        <f t="shared" si="7"/>
        <v>2720024.5942778783</v>
      </c>
      <c r="BC49" s="161">
        <f t="shared" si="7"/>
        <v>2727499.419129075</v>
      </c>
      <c r="BD49" s="161">
        <f t="shared" si="7"/>
        <v>2735003.2304052161</v>
      </c>
      <c r="BE49" s="161">
        <f t="shared" si="7"/>
        <v>2742536.1521374471</v>
      </c>
      <c r="BF49" s="161">
        <f t="shared" si="7"/>
        <v>2677691.9004247417</v>
      </c>
      <c r="BG49" s="161">
        <f t="shared" si="7"/>
        <v>2685283.4174384484</v>
      </c>
      <c r="BH49" s="161">
        <f t="shared" si="7"/>
        <v>2692904.420422276</v>
      </c>
      <c r="BI49" s="161">
        <f t="shared" si="7"/>
        <v>2700555.0356968613</v>
      </c>
      <c r="BJ49" s="161">
        <f t="shared" si="7"/>
        <v>2630594.7165365973</v>
      </c>
      <c r="BK49" s="161">
        <f t="shared" si="7"/>
        <v>2638304.9376742654</v>
      </c>
      <c r="BL49" s="161">
        <f t="shared" si="7"/>
        <v>2646045.1535510262</v>
      </c>
      <c r="BM49" s="161">
        <f t="shared" si="7"/>
        <v>2653815.4928210699</v>
      </c>
      <c r="BN49" s="161">
        <f t="shared" si="7"/>
        <v>2634508.0597671322</v>
      </c>
      <c r="BO49" s="161">
        <f t="shared" ref="BO49:CO49" si="8">SUM(BO33:BO48)</f>
        <v>2642339.0341506316</v>
      </c>
      <c r="BP49" s="161">
        <f t="shared" si="8"/>
        <v>2650200.5214435342</v>
      </c>
      <c r="BQ49" s="161">
        <f t="shared" si="8"/>
        <v>2658092.6526785148</v>
      </c>
      <c r="BR49" s="161">
        <f t="shared" si="8"/>
        <v>2666015.5594899934</v>
      </c>
      <c r="BS49" s="161">
        <f t="shared" si="8"/>
        <v>2673969.3741170117</v>
      </c>
      <c r="BT49" s="161">
        <f t="shared" si="8"/>
        <v>2681954.2294061258</v>
      </c>
      <c r="BU49" s="161">
        <f t="shared" si="8"/>
        <v>2689970.2588143107</v>
      </c>
      <c r="BV49" s="161">
        <f t="shared" si="8"/>
        <v>2698017.5964118796</v>
      </c>
      <c r="BW49" s="161">
        <f t="shared" si="8"/>
        <v>2706096.3768854197</v>
      </c>
      <c r="BX49" s="161">
        <f t="shared" si="8"/>
        <v>2714206.7355407379</v>
      </c>
      <c r="BY49" s="161">
        <f t="shared" si="8"/>
        <v>2722348.8083058284</v>
      </c>
      <c r="BZ49" s="161">
        <f t="shared" si="8"/>
        <v>2730522.7317338418</v>
      </c>
      <c r="CA49" s="161">
        <f t="shared" si="8"/>
        <v>2738728.6430060887</v>
      </c>
      <c r="CB49" s="161">
        <f t="shared" si="8"/>
        <v>2746966.679935032</v>
      </c>
      <c r="CC49" s="161">
        <f t="shared" si="8"/>
        <v>2755236.9809673214</v>
      </c>
      <c r="CD49" s="161">
        <f t="shared" si="8"/>
        <v>2763539.6851868234</v>
      </c>
      <c r="CE49" s="161">
        <f t="shared" si="8"/>
        <v>2771874.9323176672</v>
      </c>
      <c r="CF49" s="161">
        <f t="shared" si="8"/>
        <v>2780242.8627273245</v>
      </c>
      <c r="CG49" s="161">
        <f t="shared" si="8"/>
        <v>2788643.6174296732</v>
      </c>
      <c r="CH49" s="161">
        <f t="shared" si="8"/>
        <v>2797077.338088104</v>
      </c>
      <c r="CI49" s="161">
        <f t="shared" si="8"/>
        <v>2805544.1670186305</v>
      </c>
      <c r="CJ49" s="161">
        <f t="shared" si="8"/>
        <v>2814044.2471930142</v>
      </c>
      <c r="CK49" s="161">
        <f t="shared" si="8"/>
        <v>2822577.7222419023</v>
      </c>
      <c r="CL49" s="161">
        <f t="shared" si="8"/>
        <v>2831144.7364579951</v>
      </c>
      <c r="CM49" s="161">
        <f t="shared" si="8"/>
        <v>2839745.4347992013</v>
      </c>
      <c r="CN49" s="161">
        <f t="shared" si="8"/>
        <v>2848379.9628918455</v>
      </c>
      <c r="CO49" s="161">
        <f t="shared" si="8"/>
        <v>2857048.4670338547</v>
      </c>
    </row>
    <row r="50" spans="1:93" ht="15.75" thickBot="1" x14ac:dyDescent="0.3">
      <c r="A50" t="s">
        <v>266</v>
      </c>
    </row>
    <row r="51" spans="1:93" x14ac:dyDescent="0.25">
      <c r="A51" s="158" t="str">
        <f>Financials!B58</f>
        <v>EBITDA</v>
      </c>
      <c r="B51" s="159">
        <f>SUM(B30-B49)</f>
        <v>-1805949.4496267724</v>
      </c>
      <c r="C51" s="159">
        <f t="shared" ref="C51:BN51" si="9">SUM(C30-C49)</f>
        <v>-1805949.4496267724</v>
      </c>
      <c r="D51" s="159">
        <f t="shared" si="9"/>
        <v>-1805949.4496267724</v>
      </c>
      <c r="E51" s="159">
        <f t="shared" si="9"/>
        <v>-1805949.4496267724</v>
      </c>
      <c r="F51" s="159">
        <f t="shared" si="9"/>
        <v>-1877854.0693867514</v>
      </c>
      <c r="G51" s="159">
        <f t="shared" si="9"/>
        <v>9650788.9029996395</v>
      </c>
      <c r="H51" s="159">
        <f t="shared" si="9"/>
        <v>9872736.6876874268</v>
      </c>
      <c r="I51" s="159">
        <f t="shared" si="9"/>
        <v>9929901.1657287721</v>
      </c>
      <c r="J51" s="159">
        <f t="shared" si="9"/>
        <v>9775542.7427359316</v>
      </c>
      <c r="K51" s="159">
        <f t="shared" si="9"/>
        <v>15420162.918616304</v>
      </c>
      <c r="L51" s="159">
        <f t="shared" si="9"/>
        <v>15699496.029034864</v>
      </c>
      <c r="M51" s="159">
        <f t="shared" si="9"/>
        <v>15764680.097583272</v>
      </c>
      <c r="N51" s="159">
        <f t="shared" si="9"/>
        <v>15492551.591175884</v>
      </c>
      <c r="O51" s="159">
        <f t="shared" si="9"/>
        <v>16294225.836721949</v>
      </c>
      <c r="P51" s="159">
        <f t="shared" si="9"/>
        <v>16558912.180605844</v>
      </c>
      <c r="Q51" s="159">
        <f t="shared" si="9"/>
        <v>16627948.35800696</v>
      </c>
      <c r="R51" s="159">
        <f t="shared" si="9"/>
        <v>16580886.085905856</v>
      </c>
      <c r="S51" s="159">
        <f t="shared" si="9"/>
        <v>16649529.784384012</v>
      </c>
      <c r="T51" s="159">
        <f t="shared" si="9"/>
        <v>16940584.212975543</v>
      </c>
      <c r="U51" s="159">
        <f t="shared" si="9"/>
        <v>17011044.926879857</v>
      </c>
      <c r="V51" s="159">
        <f t="shared" si="9"/>
        <v>16745626.593461599</v>
      </c>
      <c r="W51" s="159">
        <f t="shared" si="9"/>
        <v>17039695.433378514</v>
      </c>
      <c r="X51" s="159">
        <f t="shared" si="9"/>
        <v>17335529.991089802</v>
      </c>
      <c r="Y51" s="159">
        <f t="shared" si="9"/>
        <v>17407444.307134949</v>
      </c>
      <c r="Z51" s="159">
        <f t="shared" si="9"/>
        <v>17144790.785811208</v>
      </c>
      <c r="AA51" s="159">
        <f t="shared" si="9"/>
        <v>17443700.834480256</v>
      </c>
      <c r="AB51" s="159">
        <f t="shared" si="9"/>
        <v>17744412.319773797</v>
      </c>
      <c r="AC51" s="159">
        <f t="shared" si="9"/>
        <v>17817809.89340578</v>
      </c>
      <c r="AD51" s="159">
        <f t="shared" si="9"/>
        <v>17558399.39078974</v>
      </c>
      <c r="AE51" s="159">
        <f t="shared" si="9"/>
        <v>17862248.681894079</v>
      </c>
      <c r="AF51" s="159">
        <f t="shared" si="9"/>
        <v>18167935.850207783</v>
      </c>
      <c r="AG51" s="159">
        <f t="shared" si="9"/>
        <v>18242846.938617419</v>
      </c>
      <c r="AH51" s="159">
        <f t="shared" si="9"/>
        <v>17987197.829310283</v>
      </c>
      <c r="AI51" s="159">
        <f t="shared" si="9"/>
        <v>18296086.378464434</v>
      </c>
      <c r="AJ51" s="159">
        <f t="shared" si="9"/>
        <v>18606849.98174366</v>
      </c>
      <c r="AK51" s="159">
        <f t="shared" si="9"/>
        <v>18683305.456044223</v>
      </c>
      <c r="AL51" s="159">
        <f t="shared" si="9"/>
        <v>18431979.299184598</v>
      </c>
      <c r="AM51" s="159">
        <f t="shared" si="9"/>
        <v>18746009.143970385</v>
      </c>
      <c r="AN51" s="159">
        <f t="shared" si="9"/>
        <v>19061951.970998261</v>
      </c>
      <c r="AO51" s="159">
        <f t="shared" si="9"/>
        <v>19139983.328649268</v>
      </c>
      <c r="AP51" s="159">
        <f t="shared" si="9"/>
        <v>18893588.10480389</v>
      </c>
      <c r="AQ51" s="159">
        <f t="shared" si="9"/>
        <v>19212863.345614921</v>
      </c>
      <c r="AR51" s="159">
        <f t="shared" si="9"/>
        <v>19534090.263156965</v>
      </c>
      <c r="AS51" s="159">
        <f t="shared" si="9"/>
        <v>19613729.64063907</v>
      </c>
      <c r="AT51" s="159">
        <f t="shared" si="9"/>
        <v>19297654.665728025</v>
      </c>
      <c r="AU51" s="159">
        <f t="shared" si="9"/>
        <v>19622281.507438827</v>
      </c>
      <c r="AV51" s="159">
        <f t="shared" si="9"/>
        <v>19948899.50221841</v>
      </c>
      <c r="AW51" s="159">
        <f t="shared" si="9"/>
        <v>20030179.687964398</v>
      </c>
      <c r="AX51" s="159">
        <f t="shared" si="9"/>
        <v>19675995.645514831</v>
      </c>
      <c r="AY51" s="159">
        <f t="shared" si="9"/>
        <v>20006082.4399914</v>
      </c>
      <c r="AZ51" s="159">
        <f t="shared" si="9"/>
        <v>20338200.661512796</v>
      </c>
      <c r="BA51" s="159">
        <f t="shared" si="9"/>
        <v>20421155.109099969</v>
      </c>
      <c r="BB51" s="159">
        <f t="shared" si="9"/>
        <v>20065388.960252788</v>
      </c>
      <c r="BC51" s="159">
        <f t="shared" si="9"/>
        <v>20401046.249721557</v>
      </c>
      <c r="BD51" s="159">
        <f t="shared" si="9"/>
        <v>20738776.053957641</v>
      </c>
      <c r="BE51" s="159">
        <f t="shared" si="9"/>
        <v>20823438.895566799</v>
      </c>
      <c r="BF51" s="159">
        <f t="shared" si="9"/>
        <v>20466296.246691793</v>
      </c>
      <c r="BG51" s="159">
        <f t="shared" si="9"/>
        <v>20807636.807984244</v>
      </c>
      <c r="BH51" s="159">
        <f t="shared" si="9"/>
        <v>21151091.801946368</v>
      </c>
      <c r="BI51" s="159">
        <f t="shared" si="9"/>
        <v>21237497.862092782</v>
      </c>
      <c r="BJ51" s="159">
        <f t="shared" si="9"/>
        <v>20879205.62028091</v>
      </c>
      <c r="BK51" s="159">
        <f t="shared" si="9"/>
        <v>21226344.509971626</v>
      </c>
      <c r="BL51" s="159">
        <f t="shared" si="9"/>
        <v>21575640.59717942</v>
      </c>
      <c r="BM51" s="159">
        <f t="shared" si="9"/>
        <v>21663825.40672129</v>
      </c>
      <c r="BN51" s="159">
        <f t="shared" si="9"/>
        <v>21248488.150100898</v>
      </c>
      <c r="BO51" s="159">
        <f t="shared" ref="BO51:CO51" si="10">SUM(BO30-BO49)</f>
        <v>21601542.750557024</v>
      </c>
      <c r="BP51" s="159">
        <f t="shared" si="10"/>
        <v>21956798.177426357</v>
      </c>
      <c r="BQ51" s="159">
        <f t="shared" si="10"/>
        <v>22046797.987856377</v>
      </c>
      <c r="BR51" s="159">
        <f t="shared" si="10"/>
        <v>21597709.241669081</v>
      </c>
      <c r="BS51" s="159">
        <f t="shared" si="10"/>
        <v>21956799.308029588</v>
      </c>
      <c r="BT51" s="159">
        <f t="shared" si="10"/>
        <v>22318134.711197142</v>
      </c>
      <c r="BU51" s="159">
        <f t="shared" si="10"/>
        <v>22409986.50922288</v>
      </c>
      <c r="BV51" s="159">
        <f t="shared" si="10"/>
        <v>21954120.55734298</v>
      </c>
      <c r="BW51" s="159">
        <f t="shared" si="10"/>
        <v>22319368.265446536</v>
      </c>
      <c r="BX51" s="159">
        <f t="shared" si="10"/>
        <v>22686906.720049977</v>
      </c>
      <c r="BY51" s="159">
        <f t="shared" si="10"/>
        <v>22780648.242468879</v>
      </c>
      <c r="BZ51" s="159">
        <f t="shared" si="10"/>
        <v>22317868.647877038</v>
      </c>
      <c r="CA51" s="159">
        <f t="shared" si="10"/>
        <v>22689398.643157668</v>
      </c>
      <c r="CB51" s="159">
        <f t="shared" si="10"/>
        <v>23063265.712090649</v>
      </c>
      <c r="CC51" s="159">
        <f t="shared" si="10"/>
        <v>23158935.460965648</v>
      </c>
      <c r="CD51" s="159">
        <f t="shared" si="10"/>
        <v>22689103.036330696</v>
      </c>
      <c r="CE51" s="159">
        <f t="shared" si="10"/>
        <v>23067042.48370064</v>
      </c>
      <c r="CF51" s="159">
        <f t="shared" si="10"/>
        <v>23447366.267862353</v>
      </c>
      <c r="CG51" s="159">
        <f t="shared" si="10"/>
        <v>23545003.526004173</v>
      </c>
      <c r="CH51" s="159">
        <f t="shared" si="10"/>
        <v>23067976.278205819</v>
      </c>
      <c r="CI51" s="159">
        <f t="shared" si="10"/>
        <v>23452454.912945673</v>
      </c>
      <c r="CJ51" s="159">
        <f t="shared" si="10"/>
        <v>23839366.102505028</v>
      </c>
      <c r="CK51" s="159">
        <f t="shared" si="10"/>
        <v>23939010.94926732</v>
      </c>
      <c r="CL51" s="159">
        <f t="shared" si="10"/>
        <v>23454644.022799432</v>
      </c>
      <c r="CM51" s="159">
        <f t="shared" si="10"/>
        <v>23845794.202475764</v>
      </c>
      <c r="CN51" s="159">
        <f t="shared" si="10"/>
        <v>24239426.129170656</v>
      </c>
      <c r="CO51" s="159">
        <f t="shared" si="10"/>
        <v>24341119.456564296</v>
      </c>
    </row>
    <row r="52" spans="1:93" x14ac:dyDescent="0.25">
      <c r="A52" t="s">
        <v>266</v>
      </c>
    </row>
    <row r="53" spans="1:93" x14ac:dyDescent="0.25">
      <c r="A53" t="str">
        <f>Financials!B60</f>
        <v>Capital Expenditures</v>
      </c>
      <c r="B53" s="132">
        <f>SUM(Financials!C60:E60)</f>
        <v>0</v>
      </c>
      <c r="C53" s="132">
        <f>SUM(Financials!F60:H60)</f>
        <v>0</v>
      </c>
      <c r="D53" s="132">
        <f>SUM(Financials!I60:K60)</f>
        <v>0</v>
      </c>
      <c r="E53" s="132">
        <f>SUM(Financials!L60:N60)</f>
        <v>0</v>
      </c>
      <c r="F53" s="132">
        <f>SUM(Financials!O60:Q60)</f>
        <v>0</v>
      </c>
      <c r="G53" s="132">
        <f>SUM(Financials!R60:T60)</f>
        <v>0</v>
      </c>
      <c r="H53" s="132">
        <f>SUM(Financials!U60:W60)</f>
        <v>0</v>
      </c>
      <c r="I53" s="132">
        <f>SUM(Financials!X60:Z60)</f>
        <v>0</v>
      </c>
      <c r="J53" s="132">
        <f>SUM(Financials!AA60:AC60)</f>
        <v>0</v>
      </c>
      <c r="K53" s="132">
        <f>SUM(Financials!AD60:AF60)</f>
        <v>0</v>
      </c>
      <c r="L53" s="132">
        <f>SUM(Financials!AG60:AI60)</f>
        <v>0</v>
      </c>
      <c r="M53" s="132">
        <f>SUM(Financials!AJ60:AL60)</f>
        <v>0</v>
      </c>
      <c r="N53" s="132">
        <f>SUM(Financials!AM60:AO60)</f>
        <v>0</v>
      </c>
      <c r="O53" s="132">
        <f>SUM(Financials!AP60:AR60)</f>
        <v>0</v>
      </c>
      <c r="P53" s="132">
        <f>SUM(Financials!AS60:AU60)</f>
        <v>0</v>
      </c>
      <c r="Q53" s="132">
        <f>SUM(Financials!AV60:AX60)</f>
        <v>0</v>
      </c>
      <c r="R53" s="132">
        <f>SUM(Financials!AY60:BA60)</f>
        <v>0</v>
      </c>
      <c r="S53" s="132">
        <f>SUM(Financials!BB60:BD60)</f>
        <v>0</v>
      </c>
      <c r="T53" s="132">
        <f>SUM(Financials!BE60:BG60)</f>
        <v>0</v>
      </c>
      <c r="U53" s="132">
        <f>SUM(Financials!BH60:BJ60)</f>
        <v>0</v>
      </c>
      <c r="V53" s="132">
        <f>SUM(Financials!BK60:BM60)</f>
        <v>0</v>
      </c>
      <c r="W53" s="132">
        <f>SUM(Financials!BN60:BP60)</f>
        <v>0</v>
      </c>
      <c r="X53" s="132">
        <f>SUM(Financials!BQ60:BS60)</f>
        <v>0</v>
      </c>
      <c r="Y53" s="132">
        <f>SUM(Financials!BT60:BV60)</f>
        <v>0</v>
      </c>
      <c r="Z53" s="132">
        <f>SUM(Financials!BW60:BY60)</f>
        <v>0</v>
      </c>
      <c r="AA53" s="132">
        <f>SUM(Financials!BZ60:CB60)</f>
        <v>0</v>
      </c>
      <c r="AB53" s="132">
        <f>SUM(Financials!CC60:CE60)</f>
        <v>0</v>
      </c>
      <c r="AC53" s="132">
        <f>SUM(Financials!CF60:CH60)</f>
        <v>0</v>
      </c>
      <c r="AD53" s="132">
        <f>SUM(Financials!CI60:CK60)</f>
        <v>250000</v>
      </c>
      <c r="AE53" s="132">
        <f>SUM(Financials!CL60:CN60)</f>
        <v>250000</v>
      </c>
      <c r="AF53" s="132">
        <f>SUM(Financials!CO60:CQ60)</f>
        <v>250000</v>
      </c>
      <c r="AG53" s="132">
        <f>SUM(Financials!CR60:CT60)</f>
        <v>250000</v>
      </c>
      <c r="AH53" s="132">
        <f>SUM(Financials!CU60:CW60)</f>
        <v>250000</v>
      </c>
      <c r="AI53" s="132">
        <f>SUM(Financials!CX60:CZ60)</f>
        <v>250000</v>
      </c>
      <c r="AJ53" s="132">
        <f>SUM(Financials!DA60:DC60)</f>
        <v>250000</v>
      </c>
      <c r="AK53" s="132">
        <f>SUM(Financials!DD60:DF60)</f>
        <v>250000</v>
      </c>
      <c r="AL53" s="132">
        <f>SUM(Financials!DG60:DI60)</f>
        <v>250000</v>
      </c>
      <c r="AM53" s="132">
        <f>SUM(Financials!DJ60:DL60)</f>
        <v>250000</v>
      </c>
      <c r="AN53" s="132">
        <f>SUM(Financials!DM60:DO60)</f>
        <v>250000</v>
      </c>
      <c r="AO53" s="132">
        <f>SUM(Financials!DP60:DR60)</f>
        <v>250000</v>
      </c>
      <c r="AP53" s="132">
        <f>SUM(Financials!DS60:DU60)</f>
        <v>250000</v>
      </c>
      <c r="AQ53" s="132">
        <f>SUM(Financials!DV60:DX60)</f>
        <v>250000</v>
      </c>
      <c r="AR53" s="132">
        <f>SUM(Financials!DY60:EA60)</f>
        <v>250000</v>
      </c>
      <c r="AS53" s="132">
        <f>SUM(Financials!EB60:ED60)</f>
        <v>250000</v>
      </c>
      <c r="AT53" s="132">
        <f>SUM(Financials!EE60:EG60)</f>
        <v>250000</v>
      </c>
      <c r="AU53" s="132">
        <f>SUM(Financials!EH60:EJ60)</f>
        <v>250000</v>
      </c>
      <c r="AV53" s="132">
        <f>SUM(Financials!EK60:EM60)</f>
        <v>250000</v>
      </c>
      <c r="AW53" s="132">
        <f>SUM(Financials!EN60:EP60)</f>
        <v>250000</v>
      </c>
      <c r="AX53" s="132">
        <f>SUM(Financials!EQ60:ES60)</f>
        <v>250000</v>
      </c>
      <c r="AY53" s="132">
        <f>SUM(Financials!ET60:EV60)</f>
        <v>250000</v>
      </c>
      <c r="AZ53" s="132">
        <f>SUM(Financials!EW60:EY60)</f>
        <v>250000</v>
      </c>
      <c r="BA53" s="132">
        <f>SUM(Financials!EZ60:FB60)</f>
        <v>250000</v>
      </c>
      <c r="BB53" s="132">
        <f>SUM(Financials!FC60:FE60)</f>
        <v>250000</v>
      </c>
      <c r="BC53" s="132">
        <f>SUM(Financials!FF60:FH60)</f>
        <v>250000</v>
      </c>
      <c r="BD53" s="132">
        <f>SUM(Financials!FI60:FK60)</f>
        <v>250000</v>
      </c>
      <c r="BE53" s="132">
        <f>SUM(Financials!FL60:FN60)</f>
        <v>250000</v>
      </c>
      <c r="BF53" s="132">
        <f>SUM(Financials!FO60:FQ60)</f>
        <v>250000</v>
      </c>
      <c r="BG53" s="132">
        <f>SUM(Financials!FR60:FT60)</f>
        <v>250000</v>
      </c>
      <c r="BH53" s="132">
        <f>SUM(Financials!FU60:FW60)</f>
        <v>250000</v>
      </c>
      <c r="BI53" s="132">
        <f>SUM(Financials!FX60:FZ60)</f>
        <v>250000</v>
      </c>
      <c r="BJ53" s="132">
        <f>SUM(Financials!GA60:GC60)</f>
        <v>250000</v>
      </c>
      <c r="BK53" s="132">
        <f>SUM(Financials!GD60:GF60)</f>
        <v>250000</v>
      </c>
      <c r="BL53" s="132">
        <f>SUM(Financials!GG60:GI60)</f>
        <v>250000</v>
      </c>
      <c r="BM53" s="132">
        <f>SUM(Financials!GJ60:GL60)</f>
        <v>250000</v>
      </c>
      <c r="BN53" s="132">
        <f>SUM(Financials!GM60:GO60)</f>
        <v>250000</v>
      </c>
      <c r="BO53" s="132">
        <f>SUM(Financials!GP60:GR60)</f>
        <v>250000</v>
      </c>
      <c r="BP53" s="132">
        <f>SUM(Financials!GS60:GU60)</f>
        <v>250000</v>
      </c>
      <c r="BQ53" s="132">
        <f>SUM(Financials!GV60:GX60)</f>
        <v>250000</v>
      </c>
      <c r="BR53" s="132">
        <f>SUM(Financials!GY60:HA60)</f>
        <v>250000</v>
      </c>
      <c r="BS53" s="132">
        <f>SUM(Financials!HB60:HD60)</f>
        <v>250000</v>
      </c>
      <c r="BT53" s="132">
        <f>SUM(Financials!HE60:HG60)</f>
        <v>250000</v>
      </c>
      <c r="BU53" s="132">
        <f>SUM(Financials!HH60:HJ60)</f>
        <v>250000</v>
      </c>
      <c r="BV53" s="132">
        <f>SUM(Financials!HK60:HM60)</f>
        <v>250000</v>
      </c>
      <c r="BW53" s="132">
        <f>SUM(Financials!HN60:HP60)</f>
        <v>250000</v>
      </c>
      <c r="BX53" s="132">
        <f>SUM(Financials!HQ60:HS60)</f>
        <v>250000</v>
      </c>
      <c r="BY53" s="132">
        <f>SUM(Financials!HT60:HV60)</f>
        <v>250000</v>
      </c>
      <c r="BZ53" s="132">
        <f>SUM(Financials!HW60:HY60)</f>
        <v>250000</v>
      </c>
      <c r="CA53" s="132">
        <f>SUM(Financials!HZ60:IB60)</f>
        <v>250000</v>
      </c>
      <c r="CB53" s="132">
        <f>SUM(Financials!IC60:IE60)</f>
        <v>250000</v>
      </c>
      <c r="CC53" s="132">
        <f>SUM(Financials!IF60:IH60)</f>
        <v>250000</v>
      </c>
      <c r="CD53" s="132">
        <f>SUM(Financials!II60:IK60)</f>
        <v>250000</v>
      </c>
      <c r="CE53" s="132">
        <f>SUM(Financials!IL60:IN60)</f>
        <v>250000</v>
      </c>
      <c r="CF53" s="132">
        <f>SUM(Financials!IO60:IQ60)</f>
        <v>250000</v>
      </c>
      <c r="CG53" s="132">
        <f>SUM(Financials!IR60:IT60)</f>
        <v>250000</v>
      </c>
      <c r="CH53" s="132">
        <f>SUM(Financials!IU60:IW60)</f>
        <v>250000</v>
      </c>
      <c r="CI53" s="132">
        <f>SUM(Financials!IX60:IZ60)</f>
        <v>250000</v>
      </c>
      <c r="CJ53" s="132">
        <f>SUM(Financials!JA60:JC60)</f>
        <v>250000</v>
      </c>
      <c r="CK53" s="132">
        <f>SUM(Financials!JD60:JF60)</f>
        <v>250000</v>
      </c>
      <c r="CL53" s="132">
        <f>SUM(Financials!JG60:JI60)</f>
        <v>250000</v>
      </c>
      <c r="CM53" s="132">
        <f>SUM(Financials!JJ60:JL60)</f>
        <v>250000</v>
      </c>
      <c r="CN53" s="132">
        <f>SUM(Financials!JM60:JO60)</f>
        <v>250000</v>
      </c>
      <c r="CO53" s="132">
        <f>SUM(Financials!JP60:JR60)</f>
        <v>250000</v>
      </c>
    </row>
    <row r="54" spans="1:93" x14ac:dyDescent="0.25">
      <c r="A54" t="s">
        <v>266</v>
      </c>
    </row>
    <row r="55" spans="1:93" x14ac:dyDescent="0.25">
      <c r="A55" t="str">
        <f>Financials!B62</f>
        <v>Depreciation Year</v>
      </c>
      <c r="B55" s="167">
        <f>SUM(Financials!C62:E62)</f>
        <v>0</v>
      </c>
      <c r="C55" s="167">
        <f>SUM(Financials!F62:H62)</f>
        <v>0</v>
      </c>
      <c r="D55" s="167">
        <f>SUM(Financials!I62:K62)</f>
        <v>0</v>
      </c>
      <c r="E55" s="167">
        <f>SUM(Financials!L62:N62)</f>
        <v>0</v>
      </c>
      <c r="F55" s="167">
        <f>SUM(Financials!O62:Q62)</f>
        <v>0</v>
      </c>
      <c r="G55" s="167">
        <f>SUM(Financials!R62:T62)</f>
        <v>3</v>
      </c>
      <c r="H55" s="167">
        <f>SUM(Financials!U62:W62)</f>
        <v>3</v>
      </c>
      <c r="I55" s="167">
        <f>SUM(Financials!X62:Z62)</f>
        <v>3</v>
      </c>
      <c r="J55" s="167">
        <f>SUM(Financials!AA62:AC62)</f>
        <v>3</v>
      </c>
      <c r="K55" s="167">
        <f>SUM(Financials!AD62:AF62)</f>
        <v>6</v>
      </c>
      <c r="L55" s="167">
        <f>SUM(Financials!AG62:AI62)</f>
        <v>6</v>
      </c>
      <c r="M55" s="167">
        <f>SUM(Financials!AJ62:AL62)</f>
        <v>6</v>
      </c>
      <c r="N55" s="167">
        <f>SUM(Financials!AM62:AO62)</f>
        <v>6</v>
      </c>
      <c r="O55" s="167">
        <f>SUM(Financials!AP62:AR62)</f>
        <v>9</v>
      </c>
      <c r="P55" s="167">
        <f>SUM(Financials!AS62:AU62)</f>
        <v>9</v>
      </c>
      <c r="Q55" s="167">
        <f>SUM(Financials!AV62:AX62)</f>
        <v>9</v>
      </c>
      <c r="R55" s="167">
        <f>SUM(Financials!AY62:BA62)</f>
        <v>9</v>
      </c>
      <c r="S55" s="167">
        <f>SUM(Financials!BB62:BD62)</f>
        <v>12</v>
      </c>
      <c r="T55" s="167">
        <f>SUM(Financials!BE62:BG62)</f>
        <v>12</v>
      </c>
      <c r="U55" s="167">
        <f>SUM(Financials!BH62:BJ62)</f>
        <v>12</v>
      </c>
      <c r="V55" s="167">
        <f>SUM(Financials!BK62:BM62)</f>
        <v>12</v>
      </c>
      <c r="W55" s="167">
        <f>SUM(Financials!BN62:BP62)</f>
        <v>15</v>
      </c>
      <c r="X55" s="167">
        <f>SUM(Financials!BQ62:BS62)</f>
        <v>15</v>
      </c>
      <c r="Y55" s="167">
        <f>SUM(Financials!BT62:BV62)</f>
        <v>15</v>
      </c>
      <c r="Z55" s="167">
        <f>SUM(Financials!BW62:BY62)</f>
        <v>15</v>
      </c>
      <c r="AA55" s="167">
        <f>SUM(Financials!BZ62:CB62)</f>
        <v>18</v>
      </c>
      <c r="AB55" s="167">
        <f>SUM(Financials!CC62:CE62)</f>
        <v>18</v>
      </c>
      <c r="AC55" s="167">
        <f>SUM(Financials!CF62:CH62)</f>
        <v>18</v>
      </c>
      <c r="AD55" s="167">
        <f>SUM(Financials!CI62:CK62)</f>
        <v>18</v>
      </c>
      <c r="AE55" s="167">
        <f>SUM(Financials!CL62:CN62)</f>
        <v>21</v>
      </c>
      <c r="AF55" s="167">
        <f>SUM(Financials!CO62:CQ62)</f>
        <v>21</v>
      </c>
      <c r="AG55" s="167">
        <f>SUM(Financials!CR62:CT62)</f>
        <v>21</v>
      </c>
      <c r="AH55" s="167">
        <f>SUM(Financials!CU62:CW62)</f>
        <v>21</v>
      </c>
      <c r="AI55" s="167">
        <f>SUM(Financials!CX62:CZ62)</f>
        <v>24</v>
      </c>
      <c r="AJ55" s="167">
        <f>SUM(Financials!DA62:DC62)</f>
        <v>24</v>
      </c>
      <c r="AK55" s="167">
        <f>SUM(Financials!DD62:DF62)</f>
        <v>24</v>
      </c>
      <c r="AL55" s="167">
        <f>SUM(Financials!DG62:DI62)</f>
        <v>24</v>
      </c>
      <c r="AM55" s="167">
        <f>SUM(Financials!DJ62:DL62)</f>
        <v>27</v>
      </c>
      <c r="AN55" s="167">
        <f>SUM(Financials!DM62:DO62)</f>
        <v>27</v>
      </c>
      <c r="AO55" s="167">
        <f>SUM(Financials!DP62:DR62)</f>
        <v>27</v>
      </c>
      <c r="AP55" s="167">
        <f>SUM(Financials!DS62:DU62)</f>
        <v>27</v>
      </c>
      <c r="AQ55" s="167">
        <f>SUM(Financials!DV62:DX62)</f>
        <v>30</v>
      </c>
      <c r="AR55" s="167">
        <f>SUM(Financials!DY62:EA62)</f>
        <v>30</v>
      </c>
      <c r="AS55" s="167">
        <f>SUM(Financials!EB62:ED62)</f>
        <v>30</v>
      </c>
      <c r="AT55" s="167">
        <f>SUM(Financials!EE62:EG62)</f>
        <v>30</v>
      </c>
      <c r="AU55" s="167">
        <f>SUM(Financials!EH62:EJ62)</f>
        <v>0</v>
      </c>
      <c r="AV55" s="167">
        <f>SUM(Financials!EK62:EM62)</f>
        <v>0</v>
      </c>
      <c r="AW55" s="167">
        <f>SUM(Financials!EN62:EP62)</f>
        <v>0</v>
      </c>
      <c r="AX55" s="167">
        <f>SUM(Financials!EQ62:ES62)</f>
        <v>0</v>
      </c>
      <c r="AY55" s="167">
        <f>SUM(Financials!ET62:EV62)</f>
        <v>0</v>
      </c>
      <c r="AZ55" s="167">
        <f>SUM(Financials!EW62:EY62)</f>
        <v>0</v>
      </c>
      <c r="BA55" s="167">
        <f>SUM(Financials!EZ62:FB62)</f>
        <v>0</v>
      </c>
      <c r="BB55" s="167">
        <f>SUM(Financials!FC62:FE62)</f>
        <v>0</v>
      </c>
      <c r="BC55" s="167">
        <f>SUM(Financials!FF62:FH62)</f>
        <v>0</v>
      </c>
      <c r="BD55" s="167">
        <f>SUM(Financials!FI62:FK62)</f>
        <v>0</v>
      </c>
      <c r="BE55" s="167">
        <f>SUM(Financials!FL62:FN62)</f>
        <v>0</v>
      </c>
      <c r="BF55" s="167">
        <f>SUM(Financials!FO62:FQ62)</f>
        <v>0</v>
      </c>
      <c r="BG55" s="167">
        <f>SUM(Financials!FR62:FT62)</f>
        <v>0</v>
      </c>
      <c r="BH55" s="167">
        <f>SUM(Financials!FU62:FW62)</f>
        <v>0</v>
      </c>
      <c r="BI55" s="167">
        <f>SUM(Financials!FX62:FZ62)</f>
        <v>0</v>
      </c>
      <c r="BJ55" s="167">
        <f>SUM(Financials!GA62:GC62)</f>
        <v>0</v>
      </c>
      <c r="BK55" s="167">
        <f>SUM(Financials!GD62:GF62)</f>
        <v>0</v>
      </c>
      <c r="BL55" s="167">
        <f>SUM(Financials!GG62:GI62)</f>
        <v>0</v>
      </c>
      <c r="BM55" s="167">
        <f>SUM(Financials!GJ62:GL62)</f>
        <v>0</v>
      </c>
      <c r="BN55" s="167">
        <f>SUM(Financials!GM62:GO62)</f>
        <v>0</v>
      </c>
      <c r="BO55" s="167">
        <f>SUM(Financials!GP62:GR62)</f>
        <v>0</v>
      </c>
      <c r="BP55" s="167">
        <f>SUM(Financials!GS62:GU62)</f>
        <v>0</v>
      </c>
      <c r="BQ55" s="167">
        <f>SUM(Financials!GV62:GX62)</f>
        <v>0</v>
      </c>
      <c r="BR55" s="167">
        <f>SUM(Financials!GY62:HA62)</f>
        <v>0</v>
      </c>
      <c r="BS55" s="167">
        <f>SUM(Financials!HB62:HD62)</f>
        <v>0</v>
      </c>
      <c r="BT55" s="167">
        <f>SUM(Financials!HE62:HG62)</f>
        <v>0</v>
      </c>
      <c r="BU55" s="167">
        <f>SUM(Financials!HH62:HJ62)</f>
        <v>0</v>
      </c>
      <c r="BV55" s="167">
        <f>SUM(Financials!HK62:HM62)</f>
        <v>0</v>
      </c>
      <c r="BW55" s="167">
        <f>SUM(Financials!HN62:HP62)</f>
        <v>0</v>
      </c>
      <c r="BX55" s="167">
        <f>SUM(Financials!HQ62:HS62)</f>
        <v>0</v>
      </c>
      <c r="BY55" s="167">
        <f>SUM(Financials!HT62:HV62)</f>
        <v>0</v>
      </c>
      <c r="BZ55" s="167">
        <f>SUM(Financials!HW62:HY62)</f>
        <v>0</v>
      </c>
      <c r="CA55" s="167">
        <f>SUM(Financials!HZ62:IB62)</f>
        <v>0</v>
      </c>
      <c r="CB55" s="167">
        <f>SUM(Financials!IC62:IE62)</f>
        <v>0</v>
      </c>
      <c r="CC55" s="167">
        <f>SUM(Financials!IF62:IH62)</f>
        <v>0</v>
      </c>
      <c r="CD55" s="167">
        <f>SUM(Financials!II62:IK62)</f>
        <v>0</v>
      </c>
      <c r="CE55" s="167">
        <f>SUM(Financials!IL62:IN62)</f>
        <v>0</v>
      </c>
      <c r="CF55" s="167">
        <f>SUM(Financials!IO62:IQ62)</f>
        <v>0</v>
      </c>
      <c r="CG55" s="167">
        <f>SUM(Financials!IR62:IT62)</f>
        <v>0</v>
      </c>
      <c r="CH55" s="167">
        <f>SUM(Financials!IU62:IW62)</f>
        <v>0</v>
      </c>
      <c r="CI55" s="167">
        <f>SUM(Financials!IX62:IZ62)</f>
        <v>0</v>
      </c>
      <c r="CJ55" s="167">
        <f>SUM(Financials!JA62:JC62)</f>
        <v>0</v>
      </c>
      <c r="CK55" s="167">
        <f>SUM(Financials!JD62:JF62)</f>
        <v>0</v>
      </c>
      <c r="CL55" s="167">
        <f>SUM(Financials!JG62:JI62)</f>
        <v>0</v>
      </c>
      <c r="CM55" s="167">
        <f>SUM(Financials!JJ62:JL62)</f>
        <v>0</v>
      </c>
      <c r="CN55" s="167">
        <f>SUM(Financials!JM62:JO62)</f>
        <v>0</v>
      </c>
      <c r="CO55" s="167">
        <f>SUM(Financials!JP62:JR62)</f>
        <v>0</v>
      </c>
    </row>
    <row r="56" spans="1:93" x14ac:dyDescent="0.25">
      <c r="A56" t="str">
        <f>Financials!B63</f>
        <v>Initial CapEx Depreciation</v>
      </c>
      <c r="B56" s="132">
        <f>SUM(Financials!C63:E63)</f>
        <v>0</v>
      </c>
      <c r="C56" s="132">
        <f>SUM(Financials!F63:H63)</f>
        <v>0</v>
      </c>
      <c r="D56" s="132">
        <f>SUM(Financials!I63:K63)</f>
        <v>0</v>
      </c>
      <c r="E56" s="132">
        <f>SUM(Financials!L63:N63)</f>
        <v>0</v>
      </c>
      <c r="F56" s="132">
        <f>SUM(Financials!O63:Q63)</f>
        <v>0</v>
      </c>
      <c r="G56" s="132">
        <f>SUM(Financials!R63:T63)</f>
        <v>9097431.5983964279</v>
      </c>
      <c r="H56" s="132">
        <f>SUM(Financials!U63:W63)</f>
        <v>9097431.5983964279</v>
      </c>
      <c r="I56" s="132">
        <f>SUM(Financials!X63:Z63)</f>
        <v>9097431.5983964279</v>
      </c>
      <c r="J56" s="132">
        <f>SUM(Financials!AA63:AC63)</f>
        <v>9097431.5983964279</v>
      </c>
      <c r="K56" s="132">
        <f>SUM(Financials!AD63:AF63)</f>
        <v>9097431.5983964279</v>
      </c>
      <c r="L56" s="132">
        <f>SUM(Financials!AG63:AI63)</f>
        <v>9097431.5983964279</v>
      </c>
      <c r="M56" s="132">
        <f>SUM(Financials!AJ63:AL63)</f>
        <v>9097431.5983964279</v>
      </c>
      <c r="N56" s="132">
        <f>SUM(Financials!AM63:AO63)</f>
        <v>9097431.5983964279</v>
      </c>
      <c r="O56" s="132">
        <f>SUM(Financials!AP63:AR63)</f>
        <v>9097431.5983964279</v>
      </c>
      <c r="P56" s="132">
        <f>SUM(Financials!AS63:AU63)</f>
        <v>9097431.5983964279</v>
      </c>
      <c r="Q56" s="132">
        <f>SUM(Financials!AV63:AX63)</f>
        <v>9097431.5983964279</v>
      </c>
      <c r="R56" s="132">
        <f>SUM(Financials!AY63:BA63)</f>
        <v>9097431.5983964279</v>
      </c>
      <c r="S56" s="132">
        <f>SUM(Financials!BB63:BD63)</f>
        <v>9097431.5983964279</v>
      </c>
      <c r="T56" s="132">
        <f>SUM(Financials!BE63:BG63)</f>
        <v>9097431.5983964279</v>
      </c>
      <c r="U56" s="132">
        <f>SUM(Financials!BH63:BJ63)</f>
        <v>9097431.5983964279</v>
      </c>
      <c r="V56" s="132">
        <f>SUM(Financials!BK63:BM63)</f>
        <v>9097431.5983964279</v>
      </c>
      <c r="W56" s="132">
        <f>SUM(Financials!BN63:BP63)</f>
        <v>9097431.5983964279</v>
      </c>
      <c r="X56" s="132">
        <f>SUM(Financials!BQ63:BS63)</f>
        <v>9097431.5983964279</v>
      </c>
      <c r="Y56" s="132">
        <f>SUM(Financials!BT63:BV63)</f>
        <v>9097431.5983964279</v>
      </c>
      <c r="Z56" s="132">
        <f>SUM(Financials!BW63:BY63)</f>
        <v>9097431.5983964279</v>
      </c>
      <c r="AA56" s="132">
        <f>SUM(Financials!BZ63:CB63)</f>
        <v>9097431.5983964279</v>
      </c>
      <c r="AB56" s="132">
        <f>SUM(Financials!CC63:CE63)</f>
        <v>9097431.5983964279</v>
      </c>
      <c r="AC56" s="132">
        <f>SUM(Financials!CF63:CH63)</f>
        <v>9097431.5983964279</v>
      </c>
      <c r="AD56" s="132">
        <f>SUM(Financials!CI63:CK63)</f>
        <v>9097431.5983964279</v>
      </c>
      <c r="AE56" s="132">
        <f>SUM(Financials!CL63:CN63)</f>
        <v>9097431.5983964279</v>
      </c>
      <c r="AF56" s="132">
        <f>SUM(Financials!CO63:CQ63)</f>
        <v>9097431.5983964279</v>
      </c>
      <c r="AG56" s="132">
        <f>SUM(Financials!CR63:CT63)</f>
        <v>9097431.5983964279</v>
      </c>
      <c r="AH56" s="132">
        <f>SUM(Financials!CU63:CW63)</f>
        <v>9097431.5983964279</v>
      </c>
      <c r="AI56" s="132">
        <f>SUM(Financials!CX63:CZ63)</f>
        <v>0</v>
      </c>
      <c r="AJ56" s="132">
        <f>SUM(Financials!DA63:DC63)</f>
        <v>0</v>
      </c>
      <c r="AK56" s="132">
        <f>SUM(Financials!DD63:DF63)</f>
        <v>0</v>
      </c>
      <c r="AL56" s="132">
        <f>SUM(Financials!DG63:DI63)</f>
        <v>0</v>
      </c>
      <c r="AM56" s="132">
        <f>SUM(Financials!DJ63:DL63)</f>
        <v>0</v>
      </c>
      <c r="AN56" s="132">
        <f>SUM(Financials!DM63:DO63)</f>
        <v>0</v>
      </c>
      <c r="AO56" s="132">
        <f>SUM(Financials!DP63:DR63)</f>
        <v>0</v>
      </c>
      <c r="AP56" s="132">
        <f>SUM(Financials!DS63:DU63)</f>
        <v>0</v>
      </c>
      <c r="AQ56" s="132">
        <f>SUM(Financials!DV63:DX63)</f>
        <v>0</v>
      </c>
      <c r="AR56" s="132">
        <f>SUM(Financials!DY63:EA63)</f>
        <v>0</v>
      </c>
      <c r="AS56" s="132">
        <f>SUM(Financials!EB63:ED63)</f>
        <v>0</v>
      </c>
      <c r="AT56" s="132">
        <f>SUM(Financials!EE63:EG63)</f>
        <v>0</v>
      </c>
      <c r="AU56" s="132">
        <f>SUM(Financials!EH63:EJ63)</f>
        <v>0</v>
      </c>
      <c r="AV56" s="132">
        <f>SUM(Financials!EK63:EM63)</f>
        <v>0</v>
      </c>
      <c r="AW56" s="132">
        <f>SUM(Financials!EN63:EP63)</f>
        <v>0</v>
      </c>
      <c r="AX56" s="132">
        <f>SUM(Financials!EQ63:ES63)</f>
        <v>0</v>
      </c>
      <c r="AY56" s="132">
        <f>SUM(Financials!ET63:EV63)</f>
        <v>0</v>
      </c>
      <c r="AZ56" s="132">
        <f>SUM(Financials!EW63:EY63)</f>
        <v>0</v>
      </c>
      <c r="BA56" s="132">
        <f>SUM(Financials!EZ63:FB63)</f>
        <v>0</v>
      </c>
      <c r="BB56" s="132">
        <f>SUM(Financials!FC63:FE63)</f>
        <v>0</v>
      </c>
      <c r="BC56" s="132">
        <f>SUM(Financials!FF63:FH63)</f>
        <v>0</v>
      </c>
      <c r="BD56" s="132">
        <f>SUM(Financials!FI63:FK63)</f>
        <v>0</v>
      </c>
      <c r="BE56" s="132">
        <f>SUM(Financials!FL63:FN63)</f>
        <v>0</v>
      </c>
      <c r="BF56" s="132">
        <f>SUM(Financials!FO63:FQ63)</f>
        <v>0</v>
      </c>
      <c r="BG56" s="132">
        <f>SUM(Financials!FR63:FT63)</f>
        <v>0</v>
      </c>
      <c r="BH56" s="132">
        <f>SUM(Financials!FU63:FW63)</f>
        <v>0</v>
      </c>
      <c r="BI56" s="132">
        <f>SUM(Financials!FX63:FZ63)</f>
        <v>0</v>
      </c>
      <c r="BJ56" s="132">
        <f>SUM(Financials!GA63:GC63)</f>
        <v>0</v>
      </c>
      <c r="BK56" s="132">
        <f>SUM(Financials!GD63:GF63)</f>
        <v>0</v>
      </c>
      <c r="BL56" s="132">
        <f>SUM(Financials!GG63:GI63)</f>
        <v>0</v>
      </c>
      <c r="BM56" s="132">
        <f>SUM(Financials!GJ63:GL63)</f>
        <v>0</v>
      </c>
      <c r="BN56" s="132">
        <f>SUM(Financials!GM63:GO63)</f>
        <v>0</v>
      </c>
      <c r="BO56" s="132">
        <f>SUM(Financials!GP63:GR63)</f>
        <v>0</v>
      </c>
      <c r="BP56" s="132">
        <f>SUM(Financials!GS63:GU63)</f>
        <v>0</v>
      </c>
      <c r="BQ56" s="132">
        <f>SUM(Financials!GV63:GX63)</f>
        <v>0</v>
      </c>
      <c r="BR56" s="132">
        <f>SUM(Financials!GY63:HA63)</f>
        <v>0</v>
      </c>
      <c r="BS56" s="132">
        <f>SUM(Financials!HB63:HD63)</f>
        <v>0</v>
      </c>
      <c r="BT56" s="132">
        <f>SUM(Financials!HE63:HG63)</f>
        <v>0</v>
      </c>
      <c r="BU56" s="132">
        <f>SUM(Financials!HH63:HJ63)</f>
        <v>0</v>
      </c>
      <c r="BV56" s="132">
        <f>SUM(Financials!HK63:HM63)</f>
        <v>0</v>
      </c>
      <c r="BW56" s="132">
        <f>SUM(Financials!HN63:HP63)</f>
        <v>0</v>
      </c>
      <c r="BX56" s="132">
        <f>SUM(Financials!HQ63:HS63)</f>
        <v>0</v>
      </c>
      <c r="BY56" s="132">
        <f>SUM(Financials!HT63:HV63)</f>
        <v>0</v>
      </c>
      <c r="BZ56" s="132">
        <f>SUM(Financials!HW63:HY63)</f>
        <v>0</v>
      </c>
      <c r="CA56" s="132">
        <f>SUM(Financials!HZ63:IB63)</f>
        <v>0</v>
      </c>
      <c r="CB56" s="132">
        <f>SUM(Financials!IC63:IE63)</f>
        <v>0</v>
      </c>
      <c r="CC56" s="132">
        <f>SUM(Financials!IF63:IH63)</f>
        <v>0</v>
      </c>
      <c r="CD56" s="132">
        <f>SUM(Financials!II63:IK63)</f>
        <v>0</v>
      </c>
      <c r="CE56" s="132">
        <f>SUM(Financials!IL63:IN63)</f>
        <v>0</v>
      </c>
      <c r="CF56" s="132">
        <f>SUM(Financials!IO63:IQ63)</f>
        <v>0</v>
      </c>
      <c r="CG56" s="132">
        <f>SUM(Financials!IR63:IT63)</f>
        <v>0</v>
      </c>
      <c r="CH56" s="132">
        <f>SUM(Financials!IU63:IW63)</f>
        <v>0</v>
      </c>
      <c r="CI56" s="132">
        <f>SUM(Financials!IX63:IZ63)</f>
        <v>0</v>
      </c>
      <c r="CJ56" s="132">
        <f>SUM(Financials!JA63:JC63)</f>
        <v>0</v>
      </c>
      <c r="CK56" s="132">
        <f>SUM(Financials!JD63:JF63)</f>
        <v>0</v>
      </c>
      <c r="CL56" s="132">
        <f>SUM(Financials!JG63:JI63)</f>
        <v>0</v>
      </c>
      <c r="CM56" s="132">
        <f>SUM(Financials!JJ63:JL63)</f>
        <v>0</v>
      </c>
      <c r="CN56" s="132">
        <f>SUM(Financials!JM63:JO63)</f>
        <v>0</v>
      </c>
      <c r="CO56" s="132">
        <f>SUM(Financials!JP63:JR63)</f>
        <v>0</v>
      </c>
    </row>
    <row r="57" spans="1:93" x14ac:dyDescent="0.25">
      <c r="A57" t="str">
        <f>Financials!B64</f>
        <v>Maintenance CapEx Depreciation</v>
      </c>
      <c r="B57" s="132">
        <f>SUM(Financials!C64:E64)</f>
        <v>0</v>
      </c>
      <c r="C57" s="132">
        <f>SUM(Financials!F64:H64)</f>
        <v>0</v>
      </c>
      <c r="D57" s="132">
        <f>SUM(Financials!I64:K64)</f>
        <v>0</v>
      </c>
      <c r="E57" s="132">
        <f>SUM(Financials!L64:N64)</f>
        <v>0</v>
      </c>
      <c r="F57" s="132">
        <f>SUM(Financials!O64:Q64)</f>
        <v>0</v>
      </c>
      <c r="G57" s="132">
        <f>SUM(Financials!R64:T64)</f>
        <v>0</v>
      </c>
      <c r="H57" s="132">
        <f>SUM(Financials!U64:W64)</f>
        <v>0</v>
      </c>
      <c r="I57" s="132">
        <f>SUM(Financials!X64:Z64)</f>
        <v>0</v>
      </c>
      <c r="J57" s="132">
        <f>SUM(Financials!AA64:AC64)</f>
        <v>0</v>
      </c>
      <c r="K57" s="132">
        <f>SUM(Financials!AD64:AF64)</f>
        <v>0</v>
      </c>
      <c r="L57" s="132">
        <f>SUM(Financials!AG64:AI64)</f>
        <v>0</v>
      </c>
      <c r="M57" s="132">
        <f>SUM(Financials!AJ64:AL64)</f>
        <v>0</v>
      </c>
      <c r="N57" s="132">
        <f>SUM(Financials!AM64:AO64)</f>
        <v>0</v>
      </c>
      <c r="O57" s="132">
        <f>SUM(Financials!AP64:AR64)</f>
        <v>0</v>
      </c>
      <c r="P57" s="132">
        <f>SUM(Financials!AS64:AU64)</f>
        <v>0</v>
      </c>
      <c r="Q57" s="132">
        <f>SUM(Financials!AV64:AX64)</f>
        <v>0</v>
      </c>
      <c r="R57" s="132">
        <f>SUM(Financials!AY64:BA64)</f>
        <v>0</v>
      </c>
      <c r="S57" s="132">
        <f>SUM(Financials!BB64:BD64)</f>
        <v>0</v>
      </c>
      <c r="T57" s="132">
        <f>SUM(Financials!BE64:BG64)</f>
        <v>0</v>
      </c>
      <c r="U57" s="132">
        <f>SUM(Financials!BH64:BJ64)</f>
        <v>0</v>
      </c>
      <c r="V57" s="132">
        <f>SUM(Financials!BK64:BM64)</f>
        <v>0</v>
      </c>
      <c r="W57" s="132">
        <f>SUM(Financials!BN64:BP64)</f>
        <v>0</v>
      </c>
      <c r="X57" s="132">
        <f>SUM(Financials!BQ64:BS64)</f>
        <v>0</v>
      </c>
      <c r="Y57" s="132">
        <f>SUM(Financials!BT64:BV64)</f>
        <v>0</v>
      </c>
      <c r="Z57" s="132">
        <f>SUM(Financials!BW64:BY64)</f>
        <v>0</v>
      </c>
      <c r="AA57" s="132">
        <f>SUM(Financials!BZ64:CB64)</f>
        <v>0</v>
      </c>
      <c r="AB57" s="132">
        <f>SUM(Financials!CC64:CE64)</f>
        <v>0</v>
      </c>
      <c r="AC57" s="132">
        <f>SUM(Financials!CF64:CH64)</f>
        <v>0</v>
      </c>
      <c r="AD57" s="132">
        <f>SUM(Financials!CI64:CK64)</f>
        <v>35714.285714285717</v>
      </c>
      <c r="AE57" s="132">
        <f>SUM(Financials!CL64:CN64)</f>
        <v>35714.285714285717</v>
      </c>
      <c r="AF57" s="132">
        <f>SUM(Financials!CO64:CQ64)</f>
        <v>35714.285714285717</v>
      </c>
      <c r="AG57" s="132">
        <f>SUM(Financials!CR64:CT64)</f>
        <v>35714.285714285717</v>
      </c>
      <c r="AH57" s="132">
        <f>SUM(Financials!CU64:CW64)</f>
        <v>71428.571428571435</v>
      </c>
      <c r="AI57" s="132">
        <f>SUM(Financials!CX64:CZ64)</f>
        <v>71428.571428571435</v>
      </c>
      <c r="AJ57" s="132">
        <f>SUM(Financials!DA64:DC64)</f>
        <v>71428.571428571435</v>
      </c>
      <c r="AK57" s="132">
        <f>SUM(Financials!DD64:DF64)</f>
        <v>71428.571428571435</v>
      </c>
      <c r="AL57" s="132">
        <f>SUM(Financials!DG64:DI64)</f>
        <v>107142.85714285716</v>
      </c>
      <c r="AM57" s="132">
        <f>SUM(Financials!DJ64:DL64)</f>
        <v>107142.85714285716</v>
      </c>
      <c r="AN57" s="132">
        <f>SUM(Financials!DM64:DO64)</f>
        <v>107142.85714285716</v>
      </c>
      <c r="AO57" s="132">
        <f>SUM(Financials!DP64:DR64)</f>
        <v>107142.85714285716</v>
      </c>
      <c r="AP57" s="132">
        <f>SUM(Financials!DS64:DU64)</f>
        <v>142857.14285714287</v>
      </c>
      <c r="AQ57" s="132">
        <f>SUM(Financials!DV64:DX64)</f>
        <v>142857.14285714287</v>
      </c>
      <c r="AR57" s="132">
        <f>SUM(Financials!DY64:EA64)</f>
        <v>142857.14285714287</v>
      </c>
      <c r="AS57" s="132">
        <f>SUM(Financials!EB64:ED64)</f>
        <v>142857.14285714287</v>
      </c>
      <c r="AT57" s="132">
        <f>SUM(Financials!EE64:EG64)</f>
        <v>178571.42857142858</v>
      </c>
      <c r="AU57" s="132">
        <f>SUM(Financials!EH64:EJ64)</f>
        <v>178571.42857142858</v>
      </c>
      <c r="AV57" s="132">
        <f>SUM(Financials!EK64:EM64)</f>
        <v>178571.42857142858</v>
      </c>
      <c r="AW57" s="132">
        <f>SUM(Financials!EN64:EP64)</f>
        <v>178571.42857142858</v>
      </c>
      <c r="AX57" s="132">
        <f>SUM(Financials!EQ64:ES64)</f>
        <v>214285.71428571432</v>
      </c>
      <c r="AY57" s="132">
        <f>SUM(Financials!ET64:EV64)</f>
        <v>214285.71428571432</v>
      </c>
      <c r="AZ57" s="132">
        <f>SUM(Financials!EW64:EY64)</f>
        <v>214285.71428571432</v>
      </c>
      <c r="BA57" s="132">
        <f>SUM(Financials!EZ64:FB64)</f>
        <v>214285.71428571432</v>
      </c>
      <c r="BB57" s="132">
        <f>SUM(Financials!FC64:FE64)</f>
        <v>250000</v>
      </c>
      <c r="BC57" s="132">
        <f>SUM(Financials!FF64:FH64)</f>
        <v>250000</v>
      </c>
      <c r="BD57" s="132">
        <f>SUM(Financials!FI64:FK64)</f>
        <v>250000</v>
      </c>
      <c r="BE57" s="132">
        <f>SUM(Financials!FL64:FN64)</f>
        <v>250000</v>
      </c>
      <c r="BF57" s="132">
        <f>SUM(Financials!FO64:FQ64)</f>
        <v>250000</v>
      </c>
      <c r="BG57" s="132">
        <f>SUM(Financials!FR64:FT64)</f>
        <v>250000</v>
      </c>
      <c r="BH57" s="132">
        <f>SUM(Financials!FU64:FW64)</f>
        <v>250000</v>
      </c>
      <c r="BI57" s="132">
        <f>SUM(Financials!FX64:FZ64)</f>
        <v>250000</v>
      </c>
      <c r="BJ57" s="132">
        <f>SUM(Financials!GA64:GC64)</f>
        <v>250000</v>
      </c>
      <c r="BK57" s="132">
        <f>SUM(Financials!GD64:GF64)</f>
        <v>250000</v>
      </c>
      <c r="BL57" s="132">
        <f>SUM(Financials!GG64:GI64)</f>
        <v>250000</v>
      </c>
      <c r="BM57" s="132">
        <f>SUM(Financials!GJ64:GL64)</f>
        <v>250000</v>
      </c>
      <c r="BN57" s="132">
        <f>SUM(Financials!GM64:GO64)</f>
        <v>250000</v>
      </c>
      <c r="BO57" s="132">
        <f>SUM(Financials!GP64:GR64)</f>
        <v>250000</v>
      </c>
      <c r="BP57" s="132">
        <f>SUM(Financials!GS64:GU64)</f>
        <v>250000</v>
      </c>
      <c r="BQ57" s="132">
        <f>SUM(Financials!GV64:GX64)</f>
        <v>250000</v>
      </c>
      <c r="BR57" s="132">
        <f>SUM(Financials!GY64:HA64)</f>
        <v>250000</v>
      </c>
      <c r="BS57" s="132">
        <f>SUM(Financials!HB64:HD64)</f>
        <v>250000</v>
      </c>
      <c r="BT57" s="132">
        <f>SUM(Financials!HE64:HG64)</f>
        <v>250000</v>
      </c>
      <c r="BU57" s="132">
        <f>SUM(Financials!HH64:HJ64)</f>
        <v>250000</v>
      </c>
      <c r="BV57" s="132">
        <f>SUM(Financials!HK64:HM64)</f>
        <v>250000</v>
      </c>
      <c r="BW57" s="132">
        <f>SUM(Financials!HN64:HP64)</f>
        <v>250000</v>
      </c>
      <c r="BX57" s="132">
        <f>SUM(Financials!HQ64:HS64)</f>
        <v>250000</v>
      </c>
      <c r="BY57" s="132">
        <f>SUM(Financials!HT64:HV64)</f>
        <v>250000</v>
      </c>
      <c r="BZ57" s="132">
        <f>SUM(Financials!HW64:HY64)</f>
        <v>250000</v>
      </c>
      <c r="CA57" s="132">
        <f>SUM(Financials!HZ64:IB64)</f>
        <v>250000</v>
      </c>
      <c r="CB57" s="132">
        <f>SUM(Financials!IC64:IE64)</f>
        <v>250000</v>
      </c>
      <c r="CC57" s="132">
        <f>SUM(Financials!IF64:IH64)</f>
        <v>250000</v>
      </c>
      <c r="CD57" s="132">
        <f>SUM(Financials!II64:IK64)</f>
        <v>250000</v>
      </c>
      <c r="CE57" s="132">
        <f>SUM(Financials!IL64:IN64)</f>
        <v>250000</v>
      </c>
      <c r="CF57" s="132">
        <f>SUM(Financials!IO64:IQ64)</f>
        <v>250000</v>
      </c>
      <c r="CG57" s="132">
        <f>SUM(Financials!IR64:IT64)</f>
        <v>250000</v>
      </c>
      <c r="CH57" s="132">
        <f>SUM(Financials!IU64:IW64)</f>
        <v>250000</v>
      </c>
      <c r="CI57" s="132">
        <f>SUM(Financials!IX64:IZ64)</f>
        <v>250000</v>
      </c>
      <c r="CJ57" s="132">
        <f>SUM(Financials!JA64:JC64)</f>
        <v>250000</v>
      </c>
      <c r="CK57" s="132">
        <f>SUM(Financials!JD64:JF64)</f>
        <v>250000</v>
      </c>
      <c r="CL57" s="132">
        <f>SUM(Financials!JG64:JI64)</f>
        <v>250000</v>
      </c>
      <c r="CM57" s="132">
        <f>SUM(Financials!JJ64:JL64)</f>
        <v>250000</v>
      </c>
      <c r="CN57" s="132">
        <f>SUM(Financials!JM64:JO64)</f>
        <v>250000</v>
      </c>
      <c r="CO57" s="132">
        <f>SUM(Financials!JP64:JR64)</f>
        <v>250000</v>
      </c>
    </row>
    <row r="58" spans="1:93" ht="15.75" thickBot="1" x14ac:dyDescent="0.3">
      <c r="A58" t="str">
        <f>Financials!B65</f>
        <v>Amortization</v>
      </c>
      <c r="B58" s="132">
        <f>SUM(Financials!C65:E65)</f>
        <v>0</v>
      </c>
      <c r="C58" s="132">
        <f>SUM(Financials!F65:H65)</f>
        <v>0</v>
      </c>
      <c r="D58" s="132">
        <f>SUM(Financials!I65:K65)</f>
        <v>0</v>
      </c>
      <c r="E58" s="132">
        <f>SUM(Financials!L65:N65)</f>
        <v>0</v>
      </c>
      <c r="F58" s="132">
        <f>SUM(Financials!O65:Q65)</f>
        <v>0</v>
      </c>
      <c r="G58" s="132">
        <f>SUM(Financials!R65:T65)</f>
        <v>611347.40341223998</v>
      </c>
      <c r="H58" s="132">
        <f>SUM(Financials!U65:W65)</f>
        <v>611347.40341223998</v>
      </c>
      <c r="I58" s="132">
        <f>SUM(Financials!X65:Z65)</f>
        <v>611347.40341223998</v>
      </c>
      <c r="J58" s="132">
        <f>SUM(Financials!AA65:AC65)</f>
        <v>50945.616951019998</v>
      </c>
      <c r="K58" s="132">
        <f>SUM(Financials!AD65:AF65)</f>
        <v>50945.616951019998</v>
      </c>
      <c r="L58" s="132">
        <f>SUM(Financials!AG65:AI65)</f>
        <v>50945.616951019998</v>
      </c>
      <c r="M58" s="132">
        <f>SUM(Financials!AJ65:AL65)</f>
        <v>50945.616951019998</v>
      </c>
      <c r="N58" s="132">
        <f>SUM(Financials!AM65:AO65)</f>
        <v>50945.616951019998</v>
      </c>
      <c r="O58" s="132">
        <f>SUM(Financials!AP65:AR65)</f>
        <v>50945.616951019998</v>
      </c>
      <c r="P58" s="132">
        <f>SUM(Financials!AS65:AU65)</f>
        <v>50945.616951019998</v>
      </c>
      <c r="Q58" s="132">
        <f>SUM(Financials!AV65:AX65)</f>
        <v>50945.616951019998</v>
      </c>
      <c r="R58" s="132">
        <f>SUM(Financials!AY65:BA65)</f>
        <v>50945.616951019998</v>
      </c>
      <c r="S58" s="132">
        <f>SUM(Financials!BB65:BD65)</f>
        <v>50945.616951019998</v>
      </c>
      <c r="T58" s="132">
        <f>SUM(Financials!BE65:BG65)</f>
        <v>50945.616951019998</v>
      </c>
      <c r="U58" s="132">
        <f>SUM(Financials!BH65:BJ65)</f>
        <v>50945.616951019998</v>
      </c>
      <c r="V58" s="132">
        <f>SUM(Financials!BK65:BM65)</f>
        <v>50945.616951019998</v>
      </c>
      <c r="W58" s="132">
        <f>SUM(Financials!BN65:BP65)</f>
        <v>50945.616951019998</v>
      </c>
      <c r="X58" s="132">
        <f>SUM(Financials!BQ65:BS65)</f>
        <v>50945.616951019998</v>
      </c>
      <c r="Y58" s="132">
        <f>SUM(Financials!BT65:BV65)</f>
        <v>50945.616951019998</v>
      </c>
      <c r="Z58" s="132">
        <f>SUM(Financials!BW65:BY65)</f>
        <v>50945.616951019998</v>
      </c>
      <c r="AA58" s="132">
        <f>SUM(Financials!BZ65:CB65)</f>
        <v>50945.616951019998</v>
      </c>
      <c r="AB58" s="132">
        <f>SUM(Financials!CC65:CE65)</f>
        <v>50945.616951019998</v>
      </c>
      <c r="AC58" s="132">
        <f>SUM(Financials!CF65:CH65)</f>
        <v>50945.616951019998</v>
      </c>
      <c r="AD58" s="132">
        <f>SUM(Financials!CI65:CK65)</f>
        <v>50945.616951019998</v>
      </c>
      <c r="AE58" s="132">
        <f>SUM(Financials!CL65:CN65)</f>
        <v>50945.616951019998</v>
      </c>
      <c r="AF58" s="132">
        <f>SUM(Financials!CO65:CQ65)</f>
        <v>50945.616951019998</v>
      </c>
      <c r="AG58" s="132">
        <f>SUM(Financials!CR65:CT65)</f>
        <v>50945.616951019998</v>
      </c>
      <c r="AH58" s="132">
        <f>SUM(Financials!CU65:CW65)</f>
        <v>50945.616951019998</v>
      </c>
      <c r="AI58" s="132">
        <f>SUM(Financials!CX65:CZ65)</f>
        <v>50945.616951019998</v>
      </c>
      <c r="AJ58" s="132">
        <f>SUM(Financials!DA65:DC65)</f>
        <v>50945.616951019998</v>
      </c>
      <c r="AK58" s="132">
        <f>SUM(Financials!DD65:DF65)</f>
        <v>50945.616951019998</v>
      </c>
      <c r="AL58" s="132">
        <f>SUM(Financials!DG65:DI65)</f>
        <v>50945.616951019998</v>
      </c>
      <c r="AM58" s="132">
        <f>SUM(Financials!DJ65:DL65)</f>
        <v>50945.616951019998</v>
      </c>
      <c r="AN58" s="132">
        <f>SUM(Financials!DM65:DO65)</f>
        <v>50945.616951019998</v>
      </c>
      <c r="AO58" s="132">
        <f>SUM(Financials!DP65:DR65)</f>
        <v>50945.616951019998</v>
      </c>
      <c r="AP58" s="132">
        <f>SUM(Financials!DS65:DU65)</f>
        <v>50945.616951019998</v>
      </c>
      <c r="AQ58" s="132">
        <f>SUM(Financials!DV65:DX65)</f>
        <v>50945.616951019998</v>
      </c>
      <c r="AR58" s="132">
        <f>SUM(Financials!DY65:EA65)</f>
        <v>50945.616951019998</v>
      </c>
      <c r="AS58" s="132">
        <f>SUM(Financials!EB65:ED65)</f>
        <v>50945.616951019998</v>
      </c>
      <c r="AT58" s="132">
        <f>SUM(Financials!EE65:EG65)</f>
        <v>50945.616951019998</v>
      </c>
      <c r="AU58" s="132">
        <f>SUM(Financials!EH65:EJ65)</f>
        <v>50945.616951019998</v>
      </c>
      <c r="AV58" s="132">
        <f>SUM(Financials!EK65:EM65)</f>
        <v>50945.616951019998</v>
      </c>
      <c r="AW58" s="132">
        <f>SUM(Financials!EN65:EP65)</f>
        <v>50945.616951019998</v>
      </c>
      <c r="AX58" s="132">
        <f>SUM(Financials!EQ65:ES65)</f>
        <v>50945.616951019998</v>
      </c>
      <c r="AY58" s="132">
        <f>SUM(Financials!ET65:EV65)</f>
        <v>50945.616951019998</v>
      </c>
      <c r="AZ58" s="132">
        <f>SUM(Financials!EW65:EY65)</f>
        <v>50945.616951019998</v>
      </c>
      <c r="BA58" s="132">
        <f>SUM(Financials!EZ65:FB65)</f>
        <v>50945.616951019998</v>
      </c>
      <c r="BB58" s="132">
        <f>SUM(Financials!FC65:FE65)</f>
        <v>50945.616951019998</v>
      </c>
      <c r="BC58" s="132">
        <f>SUM(Financials!FF65:FH65)</f>
        <v>50945.616951019998</v>
      </c>
      <c r="BD58" s="132">
        <f>SUM(Financials!FI65:FK65)</f>
        <v>50945.616951019998</v>
      </c>
      <c r="BE58" s="132">
        <f>SUM(Financials!FL65:FN65)</f>
        <v>50945.616951019998</v>
      </c>
      <c r="BF58" s="132">
        <f>SUM(Financials!FO65:FQ65)</f>
        <v>50945.616951019998</v>
      </c>
      <c r="BG58" s="132">
        <f>SUM(Financials!FR65:FT65)</f>
        <v>50945.616951019998</v>
      </c>
      <c r="BH58" s="132">
        <f>SUM(Financials!FU65:FW65)</f>
        <v>50945.616951019998</v>
      </c>
      <c r="BI58" s="132">
        <f>SUM(Financials!FX65:FZ65)</f>
        <v>50945.616951019998</v>
      </c>
      <c r="BJ58" s="132">
        <f>SUM(Financials!GA65:GC65)</f>
        <v>50945.616951019998</v>
      </c>
      <c r="BK58" s="132">
        <f>SUM(Financials!GD65:GF65)</f>
        <v>50945.616951019998</v>
      </c>
      <c r="BL58" s="132">
        <f>SUM(Financials!GG65:GI65)</f>
        <v>50945.616951019998</v>
      </c>
      <c r="BM58" s="132">
        <f>SUM(Financials!GJ65:GL65)</f>
        <v>50945.616951019998</v>
      </c>
      <c r="BN58" s="132">
        <f>SUM(Financials!GM65:GO65)</f>
        <v>50945.616951019998</v>
      </c>
      <c r="BO58" s="132">
        <f>SUM(Financials!GP65:GR65)</f>
        <v>50945.616951019998</v>
      </c>
      <c r="BP58" s="132">
        <f>SUM(Financials!GS65:GU65)</f>
        <v>50945.616951019998</v>
      </c>
      <c r="BQ58" s="132">
        <f>SUM(Financials!GV65:GX65)</f>
        <v>50945.616951019998</v>
      </c>
      <c r="BR58" s="132">
        <f>SUM(Financials!GY65:HA65)</f>
        <v>50945.616951019998</v>
      </c>
      <c r="BS58" s="132">
        <f>SUM(Financials!HB65:HD65)</f>
        <v>50945.616951019998</v>
      </c>
      <c r="BT58" s="132">
        <f>SUM(Financials!HE65:HG65)</f>
        <v>50945.616951019998</v>
      </c>
      <c r="BU58" s="132">
        <f>SUM(Financials!HH65:HJ65)</f>
        <v>50945.616951019998</v>
      </c>
      <c r="BV58" s="132">
        <f>SUM(Financials!HK65:HM65)</f>
        <v>50945.616951019998</v>
      </c>
      <c r="BW58" s="132">
        <f>SUM(Financials!HN65:HP65)</f>
        <v>50945.616951019998</v>
      </c>
      <c r="BX58" s="132">
        <f>SUM(Financials!HQ65:HS65)</f>
        <v>50945.616951019998</v>
      </c>
      <c r="BY58" s="132">
        <f>SUM(Financials!HT65:HV65)</f>
        <v>50945.616951019998</v>
      </c>
      <c r="BZ58" s="132">
        <f>SUM(Financials!HW65:HY65)</f>
        <v>50945.616951019998</v>
      </c>
      <c r="CA58" s="132">
        <f>SUM(Financials!HZ65:IB65)</f>
        <v>50945.616951019998</v>
      </c>
      <c r="CB58" s="132">
        <f>SUM(Financials!IC65:IE65)</f>
        <v>50945.616951019998</v>
      </c>
      <c r="CC58" s="132">
        <f>SUM(Financials!IF65:IH65)</f>
        <v>50945.616951019998</v>
      </c>
      <c r="CD58" s="132">
        <f>SUM(Financials!II65:IK65)</f>
        <v>50945.616951019998</v>
      </c>
      <c r="CE58" s="132">
        <f>SUM(Financials!IL65:IN65)</f>
        <v>50945.616951019998</v>
      </c>
      <c r="CF58" s="132">
        <f>SUM(Financials!IO65:IQ65)</f>
        <v>50945.616951019998</v>
      </c>
      <c r="CG58" s="132">
        <f>SUM(Financials!IR65:IT65)</f>
        <v>50945.616951019998</v>
      </c>
      <c r="CH58" s="132">
        <f>SUM(Financials!IU65:IW65)</f>
        <v>50945.616951019998</v>
      </c>
      <c r="CI58" s="132">
        <f>SUM(Financials!IX65:IZ65)</f>
        <v>50945.616951019998</v>
      </c>
      <c r="CJ58" s="132">
        <f>SUM(Financials!JA65:JC65)</f>
        <v>50945.616951019998</v>
      </c>
      <c r="CK58" s="132">
        <f>SUM(Financials!JD65:JF65)</f>
        <v>50945.616951019998</v>
      </c>
      <c r="CL58" s="132">
        <f>SUM(Financials!JG65:JI65)</f>
        <v>50945.616951019998</v>
      </c>
      <c r="CM58" s="132">
        <f>SUM(Financials!JJ65:JL65)</f>
        <v>50945.616951019998</v>
      </c>
      <c r="CN58" s="132">
        <f>SUM(Financials!JM65:JO65)</f>
        <v>50945.616951019998</v>
      </c>
      <c r="CO58" s="132">
        <f>SUM(Financials!JP65:JR65)</f>
        <v>50945.616951019998</v>
      </c>
    </row>
    <row r="59" spans="1:93" x14ac:dyDescent="0.25">
      <c r="A59" s="162" t="str">
        <f>Financials!B66</f>
        <v>Total Depreciation &amp; Amortization</v>
      </c>
      <c r="B59" s="166">
        <f>SUM(B55:B58)</f>
        <v>0</v>
      </c>
      <c r="C59" s="166">
        <f t="shared" ref="C59:BN59" si="11">SUM(C55:C58)</f>
        <v>0</v>
      </c>
      <c r="D59" s="166">
        <f t="shared" si="11"/>
        <v>0</v>
      </c>
      <c r="E59" s="166">
        <f t="shared" si="11"/>
        <v>0</v>
      </c>
      <c r="F59" s="166">
        <f t="shared" si="11"/>
        <v>0</v>
      </c>
      <c r="G59" s="166">
        <f t="shared" si="11"/>
        <v>9708782.0018086676</v>
      </c>
      <c r="H59" s="166">
        <f t="shared" si="11"/>
        <v>9708782.0018086676</v>
      </c>
      <c r="I59" s="166">
        <f t="shared" si="11"/>
        <v>9708782.0018086676</v>
      </c>
      <c r="J59" s="166">
        <f t="shared" si="11"/>
        <v>9148380.2153474484</v>
      </c>
      <c r="K59" s="166">
        <f t="shared" si="11"/>
        <v>9148383.2153474484</v>
      </c>
      <c r="L59" s="166">
        <f t="shared" si="11"/>
        <v>9148383.2153474484</v>
      </c>
      <c r="M59" s="166">
        <f t="shared" si="11"/>
        <v>9148383.2153474484</v>
      </c>
      <c r="N59" s="166">
        <f t="shared" si="11"/>
        <v>9148383.2153474484</v>
      </c>
      <c r="O59" s="166">
        <f t="shared" si="11"/>
        <v>9148386.2153474484</v>
      </c>
      <c r="P59" s="166">
        <f t="shared" si="11"/>
        <v>9148386.2153474484</v>
      </c>
      <c r="Q59" s="166">
        <f t="shared" si="11"/>
        <v>9148386.2153474484</v>
      </c>
      <c r="R59" s="166">
        <f t="shared" si="11"/>
        <v>9148386.2153474484</v>
      </c>
      <c r="S59" s="166">
        <f t="shared" si="11"/>
        <v>9148389.2153474484</v>
      </c>
      <c r="T59" s="166">
        <f t="shared" si="11"/>
        <v>9148389.2153474484</v>
      </c>
      <c r="U59" s="166">
        <f t="shared" si="11"/>
        <v>9148389.2153474484</v>
      </c>
      <c r="V59" s="166">
        <f t="shared" si="11"/>
        <v>9148389.2153474484</v>
      </c>
      <c r="W59" s="166">
        <f t="shared" si="11"/>
        <v>9148392.2153474484</v>
      </c>
      <c r="X59" s="166">
        <f t="shared" si="11"/>
        <v>9148392.2153474484</v>
      </c>
      <c r="Y59" s="166">
        <f t="shared" si="11"/>
        <v>9148392.2153474484</v>
      </c>
      <c r="Z59" s="166">
        <f t="shared" si="11"/>
        <v>9148392.2153474484</v>
      </c>
      <c r="AA59" s="166">
        <f t="shared" si="11"/>
        <v>9148395.2153474484</v>
      </c>
      <c r="AB59" s="166">
        <f t="shared" si="11"/>
        <v>9148395.2153474484</v>
      </c>
      <c r="AC59" s="166">
        <f t="shared" si="11"/>
        <v>9148395.2153474484</v>
      </c>
      <c r="AD59" s="166">
        <f t="shared" si="11"/>
        <v>9184109.5010617338</v>
      </c>
      <c r="AE59" s="166">
        <f t="shared" si="11"/>
        <v>9184112.5010617338</v>
      </c>
      <c r="AF59" s="166">
        <f t="shared" si="11"/>
        <v>9184112.5010617338</v>
      </c>
      <c r="AG59" s="166">
        <f t="shared" si="11"/>
        <v>9184112.5010617338</v>
      </c>
      <c r="AH59" s="166">
        <f t="shared" si="11"/>
        <v>9219826.7867760193</v>
      </c>
      <c r="AI59" s="166">
        <f t="shared" si="11"/>
        <v>122398.18837959143</v>
      </c>
      <c r="AJ59" s="166">
        <f t="shared" si="11"/>
        <v>122398.18837959143</v>
      </c>
      <c r="AK59" s="166">
        <f t="shared" si="11"/>
        <v>122398.18837959143</v>
      </c>
      <c r="AL59" s="166">
        <f t="shared" si="11"/>
        <v>158112.47409387716</v>
      </c>
      <c r="AM59" s="166">
        <f t="shared" si="11"/>
        <v>158115.47409387716</v>
      </c>
      <c r="AN59" s="166">
        <f t="shared" si="11"/>
        <v>158115.47409387716</v>
      </c>
      <c r="AO59" s="166">
        <f t="shared" si="11"/>
        <v>158115.47409387716</v>
      </c>
      <c r="AP59" s="166">
        <f t="shared" si="11"/>
        <v>193829.75980816287</v>
      </c>
      <c r="AQ59" s="166">
        <f t="shared" si="11"/>
        <v>193832.75980816287</v>
      </c>
      <c r="AR59" s="166">
        <f t="shared" si="11"/>
        <v>193832.75980816287</v>
      </c>
      <c r="AS59" s="166">
        <f t="shared" si="11"/>
        <v>193832.75980816287</v>
      </c>
      <c r="AT59" s="166">
        <f t="shared" si="11"/>
        <v>229547.04552244858</v>
      </c>
      <c r="AU59" s="166">
        <f t="shared" si="11"/>
        <v>229517.04552244858</v>
      </c>
      <c r="AV59" s="166">
        <f t="shared" si="11"/>
        <v>229517.04552244858</v>
      </c>
      <c r="AW59" s="166">
        <f t="shared" si="11"/>
        <v>229517.04552244858</v>
      </c>
      <c r="AX59" s="166">
        <f t="shared" si="11"/>
        <v>265231.33123673429</v>
      </c>
      <c r="AY59" s="166">
        <f t="shared" si="11"/>
        <v>265231.33123673429</v>
      </c>
      <c r="AZ59" s="166">
        <f t="shared" si="11"/>
        <v>265231.33123673429</v>
      </c>
      <c r="BA59" s="166">
        <f t="shared" si="11"/>
        <v>265231.33123673429</v>
      </c>
      <c r="BB59" s="166">
        <f t="shared" si="11"/>
        <v>300945.61695101997</v>
      </c>
      <c r="BC59" s="166">
        <f t="shared" si="11"/>
        <v>300945.61695101997</v>
      </c>
      <c r="BD59" s="166">
        <f t="shared" si="11"/>
        <v>300945.61695101997</v>
      </c>
      <c r="BE59" s="166">
        <f t="shared" si="11"/>
        <v>300945.61695101997</v>
      </c>
      <c r="BF59" s="166">
        <f t="shared" si="11"/>
        <v>300945.61695101997</v>
      </c>
      <c r="BG59" s="166">
        <f t="shared" si="11"/>
        <v>300945.61695101997</v>
      </c>
      <c r="BH59" s="166">
        <f t="shared" si="11"/>
        <v>300945.61695101997</v>
      </c>
      <c r="BI59" s="166">
        <f t="shared" si="11"/>
        <v>300945.61695101997</v>
      </c>
      <c r="BJ59" s="166">
        <f t="shared" si="11"/>
        <v>300945.61695101997</v>
      </c>
      <c r="BK59" s="166">
        <f t="shared" si="11"/>
        <v>300945.61695101997</v>
      </c>
      <c r="BL59" s="166">
        <f t="shared" si="11"/>
        <v>300945.61695101997</v>
      </c>
      <c r="BM59" s="166">
        <f t="shared" si="11"/>
        <v>300945.61695101997</v>
      </c>
      <c r="BN59" s="166">
        <f t="shared" si="11"/>
        <v>300945.61695101997</v>
      </c>
      <c r="BO59" s="166">
        <f t="shared" ref="BO59:CO59" si="12">SUM(BO55:BO58)</f>
        <v>300945.61695101997</v>
      </c>
      <c r="BP59" s="166">
        <f t="shared" si="12"/>
        <v>300945.61695101997</v>
      </c>
      <c r="BQ59" s="166">
        <f t="shared" si="12"/>
        <v>300945.61695101997</v>
      </c>
      <c r="BR59" s="166">
        <f t="shared" si="12"/>
        <v>300945.61695101997</v>
      </c>
      <c r="BS59" s="166">
        <f t="shared" si="12"/>
        <v>300945.61695101997</v>
      </c>
      <c r="BT59" s="166">
        <f t="shared" si="12"/>
        <v>300945.61695101997</v>
      </c>
      <c r="BU59" s="166">
        <f t="shared" si="12"/>
        <v>300945.61695101997</v>
      </c>
      <c r="BV59" s="166">
        <f t="shared" si="12"/>
        <v>300945.61695101997</v>
      </c>
      <c r="BW59" s="166">
        <f t="shared" si="12"/>
        <v>300945.61695101997</v>
      </c>
      <c r="BX59" s="166">
        <f t="shared" si="12"/>
        <v>300945.61695101997</v>
      </c>
      <c r="BY59" s="166">
        <f t="shared" si="12"/>
        <v>300945.61695101997</v>
      </c>
      <c r="BZ59" s="166">
        <f t="shared" si="12"/>
        <v>300945.61695101997</v>
      </c>
      <c r="CA59" s="166">
        <f t="shared" si="12"/>
        <v>300945.61695101997</v>
      </c>
      <c r="CB59" s="166">
        <f t="shared" si="12"/>
        <v>300945.61695101997</v>
      </c>
      <c r="CC59" s="166">
        <f t="shared" si="12"/>
        <v>300945.61695101997</v>
      </c>
      <c r="CD59" s="166">
        <f t="shared" si="12"/>
        <v>300945.61695101997</v>
      </c>
      <c r="CE59" s="166">
        <f t="shared" si="12"/>
        <v>300945.61695101997</v>
      </c>
      <c r="CF59" s="166">
        <f t="shared" si="12"/>
        <v>300945.61695101997</v>
      </c>
      <c r="CG59" s="166">
        <f t="shared" si="12"/>
        <v>300945.61695101997</v>
      </c>
      <c r="CH59" s="166">
        <f t="shared" si="12"/>
        <v>300945.61695101997</v>
      </c>
      <c r="CI59" s="166">
        <f t="shared" si="12"/>
        <v>300945.61695101997</v>
      </c>
      <c r="CJ59" s="166">
        <f t="shared" si="12"/>
        <v>300945.61695101997</v>
      </c>
      <c r="CK59" s="166">
        <f t="shared" si="12"/>
        <v>300945.61695101997</v>
      </c>
      <c r="CL59" s="166">
        <f t="shared" si="12"/>
        <v>300945.61695101997</v>
      </c>
      <c r="CM59" s="166">
        <f t="shared" si="12"/>
        <v>300945.61695101997</v>
      </c>
      <c r="CN59" s="166">
        <f t="shared" si="12"/>
        <v>300945.61695101997</v>
      </c>
      <c r="CO59" s="166">
        <f t="shared" si="12"/>
        <v>300945.61695101997</v>
      </c>
    </row>
    <row r="60" spans="1:93" ht="15.75" thickBot="1" x14ac:dyDescent="0.3">
      <c r="A60" t="s">
        <v>266</v>
      </c>
    </row>
    <row r="61" spans="1:93" x14ac:dyDescent="0.25">
      <c r="A61" s="164" t="str">
        <f>Financials!B68</f>
        <v>EBIT</v>
      </c>
      <c r="B61" s="165">
        <f>SUM(B51-B59)</f>
        <v>-1805949.4496267724</v>
      </c>
      <c r="C61" s="165">
        <f t="shared" ref="C61:BN61" si="13">SUM(C51-C59)</f>
        <v>-1805949.4496267724</v>
      </c>
      <c r="D61" s="165">
        <f t="shared" si="13"/>
        <v>-1805949.4496267724</v>
      </c>
      <c r="E61" s="165">
        <f t="shared" si="13"/>
        <v>-1805949.4496267724</v>
      </c>
      <c r="F61" s="165">
        <f t="shared" si="13"/>
        <v>-1877854.0693867514</v>
      </c>
      <c r="G61" s="165">
        <f t="shared" si="13"/>
        <v>-57993.098809028044</v>
      </c>
      <c r="H61" s="165">
        <f t="shared" si="13"/>
        <v>163954.68587875925</v>
      </c>
      <c r="I61" s="165">
        <f t="shared" si="13"/>
        <v>221119.1639201045</v>
      </c>
      <c r="J61" s="165">
        <f t="shared" si="13"/>
        <v>627162.52738848329</v>
      </c>
      <c r="K61" s="165">
        <f t="shared" si="13"/>
        <v>6271779.7032688558</v>
      </c>
      <c r="L61" s="165">
        <f t="shared" si="13"/>
        <v>6551112.8136874158</v>
      </c>
      <c r="M61" s="165">
        <f t="shared" si="13"/>
        <v>6616296.8822358232</v>
      </c>
      <c r="N61" s="165">
        <f t="shared" si="13"/>
        <v>6344168.3758284356</v>
      </c>
      <c r="O61" s="165">
        <f t="shared" si="13"/>
        <v>7145839.6213745009</v>
      </c>
      <c r="P61" s="165">
        <f t="shared" si="13"/>
        <v>7410525.9652583953</v>
      </c>
      <c r="Q61" s="165">
        <f t="shared" si="13"/>
        <v>7479562.1426595114</v>
      </c>
      <c r="R61" s="165">
        <f t="shared" si="13"/>
        <v>7432499.8705584072</v>
      </c>
      <c r="S61" s="165">
        <f t="shared" si="13"/>
        <v>7501140.5690365639</v>
      </c>
      <c r="T61" s="165">
        <f t="shared" si="13"/>
        <v>7792194.9976280946</v>
      </c>
      <c r="U61" s="165">
        <f t="shared" si="13"/>
        <v>7862655.7115324084</v>
      </c>
      <c r="V61" s="165">
        <f t="shared" si="13"/>
        <v>7597237.3781141508</v>
      </c>
      <c r="W61" s="165">
        <f t="shared" si="13"/>
        <v>7891303.2180310655</v>
      </c>
      <c r="X61" s="165">
        <f t="shared" si="13"/>
        <v>8187137.7757423539</v>
      </c>
      <c r="Y61" s="165">
        <f t="shared" si="13"/>
        <v>8259052.0917875003</v>
      </c>
      <c r="Z61" s="165">
        <f t="shared" si="13"/>
        <v>7996398.5704637598</v>
      </c>
      <c r="AA61" s="165">
        <f t="shared" si="13"/>
        <v>8295305.6191328075</v>
      </c>
      <c r="AB61" s="165">
        <f t="shared" si="13"/>
        <v>8596017.1044263486</v>
      </c>
      <c r="AC61" s="165">
        <f t="shared" si="13"/>
        <v>8669414.6780583318</v>
      </c>
      <c r="AD61" s="165">
        <f t="shared" si="13"/>
        <v>8374289.889728006</v>
      </c>
      <c r="AE61" s="165">
        <f t="shared" si="13"/>
        <v>8678136.180832345</v>
      </c>
      <c r="AF61" s="165">
        <f t="shared" si="13"/>
        <v>8983823.3491460495</v>
      </c>
      <c r="AG61" s="165">
        <f t="shared" si="13"/>
        <v>9058734.4375556856</v>
      </c>
      <c r="AH61" s="165">
        <f t="shared" si="13"/>
        <v>8767371.0425342638</v>
      </c>
      <c r="AI61" s="165">
        <f t="shared" si="13"/>
        <v>18173688.190084841</v>
      </c>
      <c r="AJ61" s="165">
        <f t="shared" si="13"/>
        <v>18484451.793364067</v>
      </c>
      <c r="AK61" s="165">
        <f t="shared" si="13"/>
        <v>18560907.26766463</v>
      </c>
      <c r="AL61" s="165">
        <f t="shared" si="13"/>
        <v>18273866.825090721</v>
      </c>
      <c r="AM61" s="165">
        <f t="shared" si="13"/>
        <v>18587893.669876508</v>
      </c>
      <c r="AN61" s="165">
        <f t="shared" si="13"/>
        <v>18903836.496904384</v>
      </c>
      <c r="AO61" s="165">
        <f t="shared" si="13"/>
        <v>18981867.854555391</v>
      </c>
      <c r="AP61" s="165">
        <f t="shared" si="13"/>
        <v>18699758.344995726</v>
      </c>
      <c r="AQ61" s="165">
        <f t="shared" si="13"/>
        <v>19019030.585806757</v>
      </c>
      <c r="AR61" s="165">
        <f t="shared" si="13"/>
        <v>19340257.503348801</v>
      </c>
      <c r="AS61" s="165">
        <f t="shared" si="13"/>
        <v>19419896.880830906</v>
      </c>
      <c r="AT61" s="165">
        <f t="shared" si="13"/>
        <v>19068107.620205577</v>
      </c>
      <c r="AU61" s="165">
        <f t="shared" si="13"/>
        <v>19392764.46191638</v>
      </c>
      <c r="AV61" s="165">
        <f t="shared" si="13"/>
        <v>19719382.456695963</v>
      </c>
      <c r="AW61" s="165">
        <f t="shared" si="13"/>
        <v>19800662.642441951</v>
      </c>
      <c r="AX61" s="165">
        <f t="shared" si="13"/>
        <v>19410764.314278096</v>
      </c>
      <c r="AY61" s="165">
        <f t="shared" si="13"/>
        <v>19740851.108754665</v>
      </c>
      <c r="AZ61" s="165">
        <f t="shared" si="13"/>
        <v>20072969.330276061</v>
      </c>
      <c r="BA61" s="165">
        <f t="shared" si="13"/>
        <v>20155923.777863234</v>
      </c>
      <c r="BB61" s="165">
        <f t="shared" si="13"/>
        <v>19764443.343301769</v>
      </c>
      <c r="BC61" s="165">
        <f t="shared" si="13"/>
        <v>20100100.632770538</v>
      </c>
      <c r="BD61" s="165">
        <f t="shared" si="13"/>
        <v>20437830.437006623</v>
      </c>
      <c r="BE61" s="165">
        <f t="shared" si="13"/>
        <v>20522493.27861578</v>
      </c>
      <c r="BF61" s="165">
        <f t="shared" si="13"/>
        <v>20165350.629740775</v>
      </c>
      <c r="BG61" s="165">
        <f t="shared" si="13"/>
        <v>20506691.191033226</v>
      </c>
      <c r="BH61" s="165">
        <f t="shared" si="13"/>
        <v>20850146.184995349</v>
      </c>
      <c r="BI61" s="165">
        <f t="shared" si="13"/>
        <v>20936552.245141763</v>
      </c>
      <c r="BJ61" s="165">
        <f t="shared" si="13"/>
        <v>20578260.003329892</v>
      </c>
      <c r="BK61" s="165">
        <f t="shared" si="13"/>
        <v>20925398.893020608</v>
      </c>
      <c r="BL61" s="165">
        <f t="shared" si="13"/>
        <v>21274694.980228402</v>
      </c>
      <c r="BM61" s="165">
        <f t="shared" si="13"/>
        <v>21362879.789770272</v>
      </c>
      <c r="BN61" s="165">
        <f t="shared" si="13"/>
        <v>20947542.533149879</v>
      </c>
      <c r="BO61" s="165">
        <f t="shared" ref="BO61:CO61" si="14">SUM(BO51-BO59)</f>
        <v>21300597.133606005</v>
      </c>
      <c r="BP61" s="165">
        <f t="shared" si="14"/>
        <v>21655852.560475338</v>
      </c>
      <c r="BQ61" s="165">
        <f t="shared" si="14"/>
        <v>21745852.370905358</v>
      </c>
      <c r="BR61" s="165">
        <f t="shared" si="14"/>
        <v>21296763.624718063</v>
      </c>
      <c r="BS61" s="165">
        <f t="shared" si="14"/>
        <v>21655853.69107857</v>
      </c>
      <c r="BT61" s="165">
        <f t="shared" si="14"/>
        <v>22017189.094246123</v>
      </c>
      <c r="BU61" s="165">
        <f t="shared" si="14"/>
        <v>22109040.892271861</v>
      </c>
      <c r="BV61" s="165">
        <f t="shared" si="14"/>
        <v>21653174.940391961</v>
      </c>
      <c r="BW61" s="165">
        <f t="shared" si="14"/>
        <v>22018422.648495518</v>
      </c>
      <c r="BX61" s="165">
        <f t="shared" si="14"/>
        <v>22385961.103098959</v>
      </c>
      <c r="BY61" s="165">
        <f t="shared" si="14"/>
        <v>22479702.62551786</v>
      </c>
      <c r="BZ61" s="165">
        <f t="shared" si="14"/>
        <v>22016923.030926019</v>
      </c>
      <c r="CA61" s="165">
        <f t="shared" si="14"/>
        <v>22388453.02620665</v>
      </c>
      <c r="CB61" s="165">
        <f t="shared" si="14"/>
        <v>22762320.09513963</v>
      </c>
      <c r="CC61" s="165">
        <f t="shared" si="14"/>
        <v>22857989.84401463</v>
      </c>
      <c r="CD61" s="165">
        <f t="shared" si="14"/>
        <v>22388157.419379678</v>
      </c>
      <c r="CE61" s="165">
        <f t="shared" si="14"/>
        <v>22766096.866749622</v>
      </c>
      <c r="CF61" s="165">
        <f t="shared" si="14"/>
        <v>23146420.650911335</v>
      </c>
      <c r="CG61" s="165">
        <f t="shared" si="14"/>
        <v>23244057.909053154</v>
      </c>
      <c r="CH61" s="165">
        <f t="shared" si="14"/>
        <v>22767030.661254801</v>
      </c>
      <c r="CI61" s="165">
        <f t="shared" si="14"/>
        <v>23151509.295994654</v>
      </c>
      <c r="CJ61" s="165">
        <f t="shared" si="14"/>
        <v>23538420.48555401</v>
      </c>
      <c r="CK61" s="165">
        <f t="shared" si="14"/>
        <v>23638065.332316302</v>
      </c>
      <c r="CL61" s="165">
        <f t="shared" si="14"/>
        <v>23153698.405848414</v>
      </c>
      <c r="CM61" s="165">
        <f t="shared" si="14"/>
        <v>23544848.585524745</v>
      </c>
      <c r="CN61" s="165">
        <f t="shared" si="14"/>
        <v>23938480.512219638</v>
      </c>
      <c r="CO61" s="165">
        <f t="shared" si="14"/>
        <v>24040173.839613277</v>
      </c>
    </row>
    <row r="62" spans="1:93" x14ac:dyDescent="0.25">
      <c r="A62" t="s">
        <v>266</v>
      </c>
    </row>
    <row r="63" spans="1:93" x14ac:dyDescent="0.25">
      <c r="A63" t="str">
        <f>Financials!B70</f>
        <v>Interest Expense</v>
      </c>
      <c r="B63" s="132">
        <f>SUM(Financials!C70:E70)</f>
        <v>928869.17898386298</v>
      </c>
      <c r="C63" s="132">
        <f>SUM(Financials!F70:H70)</f>
        <v>1775540.9308539629</v>
      </c>
      <c r="D63" s="132">
        <f>SUM(Financials!I70:K70)</f>
        <v>2852164.1256241137</v>
      </c>
      <c r="E63" s="132">
        <f>SUM(Financials!L70:N70)</f>
        <v>3697667.1141180769</v>
      </c>
      <c r="F63" s="132">
        <f>SUM(Financials!O70:Q70)</f>
        <v>4140923.4278000938</v>
      </c>
      <c r="G63" s="132">
        <f>SUM(Financials!R70:T70)</f>
        <v>3394828.8940541334</v>
      </c>
      <c r="H63" s="132">
        <f>SUM(Financials!U70:W70)</f>
        <v>3348349.6150984028</v>
      </c>
      <c r="I63" s="132">
        <f>SUM(Financials!X70:Z70)</f>
        <v>3301052.1947752996</v>
      </c>
      <c r="J63" s="132">
        <f>SUM(Financials!AA70:AC70)</f>
        <v>3252922.2319298987</v>
      </c>
      <c r="K63" s="132">
        <f>SUM(Financials!AD70:AF70)</f>
        <v>3203945.071914088</v>
      </c>
      <c r="L63" s="132">
        <f>SUM(Financials!AG70:AI70)</f>
        <v>3154105.8021245087</v>
      </c>
      <c r="M63" s="132">
        <f>SUM(Financials!AJ70:AL70)</f>
        <v>3103389.2474619569</v>
      </c>
      <c r="N63" s="132">
        <f>SUM(Financials!AM70:AO70)</f>
        <v>3051779.9657108542</v>
      </c>
      <c r="O63" s="132">
        <f>SUM(Financials!AP70:AR70)</f>
        <v>2999262.2428373909</v>
      </c>
      <c r="P63" s="132">
        <f>SUM(Financials!AS70:AU70)</f>
        <v>2945820.0882049073</v>
      </c>
      <c r="Q63" s="132">
        <f>SUM(Financials!AV70:AX70)</f>
        <v>2891437.2297050501</v>
      </c>
      <c r="R63" s="132">
        <f>SUM(Financials!AY70:BA70)</f>
        <v>2836097.1088032275</v>
      </c>
      <c r="S63" s="132">
        <f>SUM(Financials!BB70:BD70)</f>
        <v>2779782.8754968564</v>
      </c>
      <c r="T63" s="132">
        <f>SUM(Financials!BE70:BG70)</f>
        <v>2722477.3831848595</v>
      </c>
      <c r="U63" s="132">
        <f>SUM(Financials!BH70:BJ70)</f>
        <v>2664163.1834468539</v>
      </c>
      <c r="V63" s="132">
        <f>SUM(Financials!BK70:BM70)</f>
        <v>2604822.5207304452</v>
      </c>
      <c r="W63" s="132">
        <f>SUM(Financials!BN70:BP70)</f>
        <v>2544437.3269449994</v>
      </c>
      <c r="X63" s="132">
        <f>SUM(Financials!BQ70:BS70)</f>
        <v>2482989.2159602619</v>
      </c>
      <c r="Y63" s="132">
        <f>SUM(Financials!BT70:BV70)</f>
        <v>2420459.4780081296</v>
      </c>
      <c r="Z63" s="132">
        <f>SUM(Financials!BW70:BY70)</f>
        <v>2356829.0739858886</v>
      </c>
      <c r="AA63" s="132">
        <f>SUM(Financials!BZ70:CB70)</f>
        <v>2292078.629659174</v>
      </c>
      <c r="AB63" s="132">
        <f>SUM(Financials!CC70:CE70)</f>
        <v>2226188.4297628868</v>
      </c>
      <c r="AC63" s="132">
        <f>SUM(Financials!CF70:CH70)</f>
        <v>2159138.4119982757</v>
      </c>
      <c r="AD63" s="132">
        <f>SUM(Financials!CI70:CK70)</f>
        <v>2090908.1609243518</v>
      </c>
      <c r="AE63" s="132">
        <f>SUM(Financials!CL70:CN70)</f>
        <v>2021476.9017417817</v>
      </c>
      <c r="AF63" s="132">
        <f>SUM(Financials!CO70:CQ70)</f>
        <v>1950823.4939673583</v>
      </c>
      <c r="AG63" s="132">
        <f>SUM(Financials!CR70:CT70)</f>
        <v>1878926.4249971306</v>
      </c>
      <c r="AH63" s="132">
        <f>SUM(Financials!CU70:CW70)</f>
        <v>1805763.803556232</v>
      </c>
      <c r="AI63" s="132">
        <f>SUM(Financials!CX70:CZ70)</f>
        <v>1731313.3530334039</v>
      </c>
      <c r="AJ63" s="132">
        <f>SUM(Financials!DA70:DC70)</f>
        <v>1655552.4046981987</v>
      </c>
      <c r="AK63" s="132">
        <f>SUM(Financials!DD70:DF70)</f>
        <v>1578457.8907987874</v>
      </c>
      <c r="AL63" s="132">
        <f>SUM(Financials!DG70:DI70)</f>
        <v>1500006.3375382717</v>
      </c>
      <c r="AM63" s="132">
        <f>SUM(Financials!DJ70:DL70)</f>
        <v>1420173.8579273648</v>
      </c>
      <c r="AN63" s="132">
        <f>SUM(Financials!DM70:DO70)</f>
        <v>1338936.1445112627</v>
      </c>
      <c r="AO63" s="132">
        <f>SUM(Financials!DP70:DR70)</f>
        <v>1256268.4619684909</v>
      </c>
      <c r="AP63" s="132">
        <f>SUM(Financials!DS70:DU70)</f>
        <v>1172145.6395794752</v>
      </c>
      <c r="AQ63" s="132">
        <f>SUM(Financials!DV70:DX70)</f>
        <v>1086542.0635625422</v>
      </c>
      <c r="AR63" s="132">
        <f>SUM(Financials!DY70:EA70)</f>
        <v>999431.6692750142</v>
      </c>
      <c r="AS63" s="132">
        <f>SUM(Financials!EB70:ED70)</f>
        <v>910787.9332770278</v>
      </c>
      <c r="AT63" s="132">
        <f>SUM(Financials!EE70:EG70)</f>
        <v>820583.8652556556</v>
      </c>
      <c r="AU63" s="132">
        <f>SUM(Financials!EH70:EJ70)</f>
        <v>748995.92113218666</v>
      </c>
      <c r="AV63" s="132">
        <f>SUM(Financials!EK70:EM70)</f>
        <v>716791.6496269207</v>
      </c>
      <c r="AW63" s="132">
        <f>SUM(Financials!EN70:EP70)</f>
        <v>684020.50945853093</v>
      </c>
      <c r="AX63" s="132">
        <f>SUM(Financials!EQ70:ES70)</f>
        <v>650672.52244504925</v>
      </c>
      <c r="AY63" s="132">
        <f>SUM(Financials!ET70:EV70)</f>
        <v>616737.53476573632</v>
      </c>
      <c r="AZ63" s="132">
        <f>SUM(Financials!EW70:EY70)</f>
        <v>582205.21386943851</v>
      </c>
      <c r="BA63" s="132">
        <f>SUM(Financials!EZ70:FB70)</f>
        <v>547065.04532852501</v>
      </c>
      <c r="BB63" s="132">
        <f>SUM(Financials!FC70:FE70)</f>
        <v>511306.32963744592</v>
      </c>
      <c r="BC63" s="132">
        <f>SUM(Financials!FF70:FH70)</f>
        <v>474918.17895494017</v>
      </c>
      <c r="BD63" s="132">
        <f>SUM(Financials!FI70:FK70)</f>
        <v>437889.51378889574</v>
      </c>
      <c r="BE63" s="132">
        <f>SUM(Financials!FL70:FN70)</f>
        <v>400209.05962285766</v>
      </c>
      <c r="BF63" s="132">
        <f>SUM(Financials!FO70:FQ70)</f>
        <v>361865.34348315554</v>
      </c>
      <c r="BG63" s="132">
        <f>SUM(Financials!FR70:FT70)</f>
        <v>322846.69044560252</v>
      </c>
      <c r="BH63" s="132">
        <f>SUM(Financials!FU70:FW70)</f>
        <v>283141.22008070617</v>
      </c>
      <c r="BI63" s="132">
        <f>SUM(Financials!FX70:FZ70)</f>
        <v>242736.84283630556</v>
      </c>
      <c r="BJ63" s="132">
        <f>SUM(Financials!GA70:GC70)</f>
        <v>201621.25635653586</v>
      </c>
      <c r="BK63" s="132">
        <f>SUM(Financials!GD70:GF70)</f>
        <v>159781.94173599672</v>
      </c>
      <c r="BL63" s="132">
        <f>SUM(Financials!GG70:GI70)</f>
        <v>117206.1597079871</v>
      </c>
      <c r="BM63" s="132">
        <f>SUM(Financials!GJ70:GL70)</f>
        <v>73880.946765642977</v>
      </c>
      <c r="BN63" s="132">
        <f>SUM(Financials!GM70:GO70)</f>
        <v>29793.11121479913</v>
      </c>
      <c r="BO63" s="132">
        <f>SUM(Financials!GP70:GR70)</f>
        <v>0</v>
      </c>
      <c r="BP63" s="132">
        <f>SUM(Financials!GS70:GU70)</f>
        <v>0</v>
      </c>
      <c r="BQ63" s="132">
        <f>SUM(Financials!GV70:GX70)</f>
        <v>0</v>
      </c>
      <c r="BR63" s="132">
        <f>SUM(Financials!GY70:HA70)</f>
        <v>0</v>
      </c>
      <c r="BS63" s="132">
        <f>SUM(Financials!HB70:HD70)</f>
        <v>0</v>
      </c>
      <c r="BT63" s="132">
        <f>SUM(Financials!HE70:HG70)</f>
        <v>0</v>
      </c>
      <c r="BU63" s="132">
        <f>SUM(Financials!HH70:HJ70)</f>
        <v>0</v>
      </c>
      <c r="BV63" s="132">
        <f>SUM(Financials!HK70:HM70)</f>
        <v>0</v>
      </c>
      <c r="BW63" s="132">
        <f>SUM(Financials!HN70:HP70)</f>
        <v>0</v>
      </c>
      <c r="BX63" s="132">
        <f>SUM(Financials!HQ70:HS70)</f>
        <v>0</v>
      </c>
      <c r="BY63" s="132">
        <f>SUM(Financials!HT70:HV70)</f>
        <v>0</v>
      </c>
      <c r="BZ63" s="132">
        <f>SUM(Financials!HW70:HY70)</f>
        <v>0</v>
      </c>
      <c r="CA63" s="132">
        <f>SUM(Financials!HZ70:IB70)</f>
        <v>0</v>
      </c>
      <c r="CB63" s="132">
        <f>SUM(Financials!IC70:IE70)</f>
        <v>0</v>
      </c>
      <c r="CC63" s="132">
        <f>SUM(Financials!IF70:IH70)</f>
        <v>0</v>
      </c>
      <c r="CD63" s="132">
        <f>SUM(Financials!II70:IK70)</f>
        <v>0</v>
      </c>
      <c r="CE63" s="132">
        <f>SUM(Financials!IL70:IN70)</f>
        <v>0</v>
      </c>
      <c r="CF63" s="132">
        <f>SUM(Financials!IO70:IQ70)</f>
        <v>0</v>
      </c>
      <c r="CG63" s="132">
        <f>SUM(Financials!IR70:IT70)</f>
        <v>0</v>
      </c>
      <c r="CH63" s="132">
        <f>SUM(Financials!IU70:IW70)</f>
        <v>0</v>
      </c>
      <c r="CI63" s="132">
        <f>SUM(Financials!IX70:IZ70)</f>
        <v>0</v>
      </c>
      <c r="CJ63" s="132">
        <f>SUM(Financials!JA70:JC70)</f>
        <v>0</v>
      </c>
      <c r="CK63" s="132">
        <f>SUM(Financials!JD70:JF70)</f>
        <v>0</v>
      </c>
      <c r="CL63" s="132">
        <f>SUM(Financials!JG70:JI70)</f>
        <v>0</v>
      </c>
      <c r="CM63" s="132">
        <f>SUM(Financials!JJ70:JL70)</f>
        <v>0</v>
      </c>
      <c r="CN63" s="132">
        <f>SUM(Financials!JM70:JO70)</f>
        <v>0</v>
      </c>
      <c r="CO63" s="132">
        <f>SUM(Financials!JP70:JR70)</f>
        <v>0</v>
      </c>
    </row>
    <row r="64" spans="1:93" ht="15.75" thickBot="1" x14ac:dyDescent="0.3">
      <c r="A64" t="s">
        <v>266</v>
      </c>
    </row>
    <row r="65" spans="1:93" x14ac:dyDescent="0.25">
      <c r="A65" s="164" t="str">
        <f>Financials!B72</f>
        <v>Earnings Before Taxes</v>
      </c>
      <c r="B65" s="165">
        <f>SUM(B61-B63)</f>
        <v>-2734818.6286106352</v>
      </c>
      <c r="C65" s="165">
        <f t="shared" ref="C65:BN65" si="15">SUM(C61-C63)</f>
        <v>-3581490.3804807356</v>
      </c>
      <c r="D65" s="165">
        <f t="shared" si="15"/>
        <v>-4658113.5752508864</v>
      </c>
      <c r="E65" s="165">
        <f t="shared" si="15"/>
        <v>-5503616.5637448495</v>
      </c>
      <c r="F65" s="165">
        <f t="shared" si="15"/>
        <v>-6018777.4971868452</v>
      </c>
      <c r="G65" s="165">
        <f t="shared" si="15"/>
        <v>-3452821.9928631615</v>
      </c>
      <c r="H65" s="165">
        <f t="shared" si="15"/>
        <v>-3184394.9292196436</v>
      </c>
      <c r="I65" s="165">
        <f t="shared" si="15"/>
        <v>-3079933.0308551951</v>
      </c>
      <c r="J65" s="165">
        <f t="shared" si="15"/>
        <v>-2625759.7045414154</v>
      </c>
      <c r="K65" s="165">
        <f t="shared" si="15"/>
        <v>3067834.6313547678</v>
      </c>
      <c r="L65" s="165">
        <f t="shared" si="15"/>
        <v>3397007.0115629071</v>
      </c>
      <c r="M65" s="165">
        <f t="shared" si="15"/>
        <v>3512907.6347738663</v>
      </c>
      <c r="N65" s="165">
        <f t="shared" si="15"/>
        <v>3292388.4101175815</v>
      </c>
      <c r="O65" s="165">
        <f t="shared" si="15"/>
        <v>4146577.3785371101</v>
      </c>
      <c r="P65" s="165">
        <f t="shared" si="15"/>
        <v>4464705.877053488</v>
      </c>
      <c r="Q65" s="165">
        <f t="shared" si="15"/>
        <v>4588124.9129544608</v>
      </c>
      <c r="R65" s="165">
        <f t="shared" si="15"/>
        <v>4596402.7617551796</v>
      </c>
      <c r="S65" s="165">
        <f t="shared" si="15"/>
        <v>4721357.693539707</v>
      </c>
      <c r="T65" s="165">
        <f t="shared" si="15"/>
        <v>5069717.6144432351</v>
      </c>
      <c r="U65" s="165">
        <f t="shared" si="15"/>
        <v>5198492.528085554</v>
      </c>
      <c r="V65" s="165">
        <f t="shared" si="15"/>
        <v>4992414.8573837057</v>
      </c>
      <c r="W65" s="165">
        <f t="shared" si="15"/>
        <v>5346865.8910860661</v>
      </c>
      <c r="X65" s="165">
        <f t="shared" si="15"/>
        <v>5704148.5597820915</v>
      </c>
      <c r="Y65" s="165">
        <f t="shared" si="15"/>
        <v>5838592.6137793707</v>
      </c>
      <c r="Z65" s="165">
        <f t="shared" si="15"/>
        <v>5639569.4964778712</v>
      </c>
      <c r="AA65" s="165">
        <f t="shared" si="15"/>
        <v>6003226.9894736335</v>
      </c>
      <c r="AB65" s="165">
        <f t="shared" si="15"/>
        <v>6369828.6746634617</v>
      </c>
      <c r="AC65" s="165">
        <f t="shared" si="15"/>
        <v>6510276.2660600562</v>
      </c>
      <c r="AD65" s="165">
        <f t="shared" si="15"/>
        <v>6283381.7288036542</v>
      </c>
      <c r="AE65" s="165">
        <f t="shared" si="15"/>
        <v>6656659.2790905628</v>
      </c>
      <c r="AF65" s="165">
        <f t="shared" si="15"/>
        <v>7032999.8551786914</v>
      </c>
      <c r="AG65" s="165">
        <f t="shared" si="15"/>
        <v>7179808.0125585552</v>
      </c>
      <c r="AH65" s="165">
        <f t="shared" si="15"/>
        <v>6961607.238978032</v>
      </c>
      <c r="AI65" s="165">
        <f t="shared" si="15"/>
        <v>16442374.837051436</v>
      </c>
      <c r="AJ65" s="165">
        <f t="shared" si="15"/>
        <v>16828899.38866587</v>
      </c>
      <c r="AK65" s="165">
        <f t="shared" si="15"/>
        <v>16982449.376865841</v>
      </c>
      <c r="AL65" s="165">
        <f t="shared" si="15"/>
        <v>16773860.487552449</v>
      </c>
      <c r="AM65" s="165">
        <f t="shared" si="15"/>
        <v>17167719.811949145</v>
      </c>
      <c r="AN65" s="165">
        <f t="shared" si="15"/>
        <v>17564900.352393121</v>
      </c>
      <c r="AO65" s="165">
        <f t="shared" si="15"/>
        <v>17725599.392586902</v>
      </c>
      <c r="AP65" s="165">
        <f t="shared" si="15"/>
        <v>17527612.705416251</v>
      </c>
      <c r="AQ65" s="165">
        <f t="shared" si="15"/>
        <v>17932488.522244215</v>
      </c>
      <c r="AR65" s="165">
        <f t="shared" si="15"/>
        <v>18340825.834073786</v>
      </c>
      <c r="AS65" s="165">
        <f t="shared" si="15"/>
        <v>18509108.947553877</v>
      </c>
      <c r="AT65" s="165">
        <f t="shared" si="15"/>
        <v>18247523.754949924</v>
      </c>
      <c r="AU65" s="165">
        <f t="shared" si="15"/>
        <v>18643768.540784191</v>
      </c>
      <c r="AV65" s="165">
        <f t="shared" si="15"/>
        <v>19002590.807069041</v>
      </c>
      <c r="AW65" s="165">
        <f t="shared" si="15"/>
        <v>19116642.13298342</v>
      </c>
      <c r="AX65" s="165">
        <f t="shared" si="15"/>
        <v>18760091.791833047</v>
      </c>
      <c r="AY65" s="165">
        <f t="shared" si="15"/>
        <v>19124113.573988929</v>
      </c>
      <c r="AZ65" s="165">
        <f t="shared" si="15"/>
        <v>19490764.116406623</v>
      </c>
      <c r="BA65" s="165">
        <f t="shared" si="15"/>
        <v>19608858.73253471</v>
      </c>
      <c r="BB65" s="165">
        <f t="shared" si="15"/>
        <v>19253137.013664324</v>
      </c>
      <c r="BC65" s="165">
        <f t="shared" si="15"/>
        <v>19625182.453815598</v>
      </c>
      <c r="BD65" s="165">
        <f t="shared" si="15"/>
        <v>19999940.923217725</v>
      </c>
      <c r="BE65" s="165">
        <f t="shared" si="15"/>
        <v>20122284.218992922</v>
      </c>
      <c r="BF65" s="165">
        <f t="shared" si="15"/>
        <v>19803485.286257621</v>
      </c>
      <c r="BG65" s="165">
        <f t="shared" si="15"/>
        <v>20183844.500587624</v>
      </c>
      <c r="BH65" s="165">
        <f t="shared" si="15"/>
        <v>20567004.964914642</v>
      </c>
      <c r="BI65" s="165">
        <f t="shared" si="15"/>
        <v>20693815.402305458</v>
      </c>
      <c r="BJ65" s="165">
        <f t="shared" si="15"/>
        <v>20376638.746973354</v>
      </c>
      <c r="BK65" s="165">
        <f t="shared" si="15"/>
        <v>20765616.95128461</v>
      </c>
      <c r="BL65" s="165">
        <f t="shared" si="15"/>
        <v>21157488.820520416</v>
      </c>
      <c r="BM65" s="165">
        <f t="shared" si="15"/>
        <v>21288998.843004629</v>
      </c>
      <c r="BN65" s="165">
        <f t="shared" si="15"/>
        <v>20917749.421935081</v>
      </c>
      <c r="BO65" s="165">
        <f t="shared" ref="BO65:CO65" si="16">SUM(BO61-BO63)</f>
        <v>21300597.133606005</v>
      </c>
      <c r="BP65" s="165">
        <f t="shared" si="16"/>
        <v>21655852.560475338</v>
      </c>
      <c r="BQ65" s="165">
        <f t="shared" si="16"/>
        <v>21745852.370905358</v>
      </c>
      <c r="BR65" s="165">
        <f t="shared" si="16"/>
        <v>21296763.624718063</v>
      </c>
      <c r="BS65" s="165">
        <f t="shared" si="16"/>
        <v>21655853.69107857</v>
      </c>
      <c r="BT65" s="165">
        <f t="shared" si="16"/>
        <v>22017189.094246123</v>
      </c>
      <c r="BU65" s="165">
        <f t="shared" si="16"/>
        <v>22109040.892271861</v>
      </c>
      <c r="BV65" s="165">
        <f t="shared" si="16"/>
        <v>21653174.940391961</v>
      </c>
      <c r="BW65" s="165">
        <f t="shared" si="16"/>
        <v>22018422.648495518</v>
      </c>
      <c r="BX65" s="165">
        <f t="shared" si="16"/>
        <v>22385961.103098959</v>
      </c>
      <c r="BY65" s="165">
        <f t="shared" si="16"/>
        <v>22479702.62551786</v>
      </c>
      <c r="BZ65" s="165">
        <f t="shared" si="16"/>
        <v>22016923.030926019</v>
      </c>
      <c r="CA65" s="165">
        <f t="shared" si="16"/>
        <v>22388453.02620665</v>
      </c>
      <c r="CB65" s="165">
        <f t="shared" si="16"/>
        <v>22762320.09513963</v>
      </c>
      <c r="CC65" s="165">
        <f t="shared" si="16"/>
        <v>22857989.84401463</v>
      </c>
      <c r="CD65" s="165">
        <f t="shared" si="16"/>
        <v>22388157.419379678</v>
      </c>
      <c r="CE65" s="165">
        <f t="shared" si="16"/>
        <v>22766096.866749622</v>
      </c>
      <c r="CF65" s="165">
        <f t="shared" si="16"/>
        <v>23146420.650911335</v>
      </c>
      <c r="CG65" s="165">
        <f t="shared" si="16"/>
        <v>23244057.909053154</v>
      </c>
      <c r="CH65" s="165">
        <f t="shared" si="16"/>
        <v>22767030.661254801</v>
      </c>
      <c r="CI65" s="165">
        <f t="shared" si="16"/>
        <v>23151509.295994654</v>
      </c>
      <c r="CJ65" s="165">
        <f t="shared" si="16"/>
        <v>23538420.48555401</v>
      </c>
      <c r="CK65" s="165">
        <f t="shared" si="16"/>
        <v>23638065.332316302</v>
      </c>
      <c r="CL65" s="165">
        <f t="shared" si="16"/>
        <v>23153698.405848414</v>
      </c>
      <c r="CM65" s="165">
        <f t="shared" si="16"/>
        <v>23544848.585524745</v>
      </c>
      <c r="CN65" s="165">
        <f t="shared" si="16"/>
        <v>23938480.512219638</v>
      </c>
      <c r="CO65" s="165">
        <f t="shared" si="16"/>
        <v>24040173.839613277</v>
      </c>
    </row>
    <row r="66" spans="1:93" x14ac:dyDescent="0.25">
      <c r="A66" t="s">
        <v>266</v>
      </c>
    </row>
    <row r="67" spans="1:93" x14ac:dyDescent="0.25">
      <c r="A67" s="134" t="str">
        <f>Financials!B74</f>
        <v>Income Taxes</v>
      </c>
    </row>
    <row r="68" spans="1:93" x14ac:dyDescent="0.25">
      <c r="A68" s="168" t="str">
        <f>Financials!B75</f>
        <v>Colorado</v>
      </c>
    </row>
    <row r="69" spans="1:93" ht="15.75" thickBot="1" x14ac:dyDescent="0.3">
      <c r="A69" s="152" t="str">
        <f>Financials!B76</f>
        <v>Tax Expense / Liability</v>
      </c>
      <c r="B69" s="132">
        <f>SUM(Financials!C76:E76)</f>
        <v>0</v>
      </c>
      <c r="C69" s="132">
        <f>SUM(Financials!F76:H76)</f>
        <v>0</v>
      </c>
      <c r="D69" s="132">
        <f>SUM(Financials!I76:K76)</f>
        <v>0</v>
      </c>
      <c r="E69" s="132">
        <f>SUM(Financials!L76:N76)</f>
        <v>0</v>
      </c>
      <c r="F69" s="132">
        <f>SUM(Financials!O76:Q76)</f>
        <v>0</v>
      </c>
      <c r="G69" s="132">
        <f>SUM(Financials!R76:T76)</f>
        <v>0</v>
      </c>
      <c r="H69" s="132">
        <f>SUM(Financials!U76:W76)</f>
        <v>0</v>
      </c>
      <c r="I69" s="132">
        <f>SUM(Financials!X76:Z76)</f>
        <v>0</v>
      </c>
      <c r="J69" s="132">
        <f>SUM(Financials!AA76:AC76)</f>
        <v>0</v>
      </c>
      <c r="K69" s="132">
        <f>SUM(Financials!AD76:AF76)</f>
        <v>0</v>
      </c>
      <c r="L69" s="132">
        <f>SUM(Financials!AG76:AI76)</f>
        <v>0</v>
      </c>
      <c r="M69" s="132">
        <f>SUM(Financials!AJ76:AL76)</f>
        <v>0</v>
      </c>
      <c r="N69" s="132">
        <f>SUM(Financials!AM76:AO76)</f>
        <v>0</v>
      </c>
      <c r="O69" s="132">
        <f>SUM(Financials!AP76:AR76)</f>
        <v>0</v>
      </c>
      <c r="P69" s="132">
        <f>SUM(Financials!AS76:AU76)</f>
        <v>0</v>
      </c>
      <c r="Q69" s="132">
        <f>SUM(Financials!AV76:AX76)</f>
        <v>0</v>
      </c>
      <c r="R69" s="132">
        <f>SUM(Financials!AY76:BA76)</f>
        <v>0</v>
      </c>
      <c r="S69" s="132">
        <f>SUM(Financials!BB76:BD76)</f>
        <v>0</v>
      </c>
      <c r="T69" s="132">
        <f>SUM(Financials!BE76:BG76)</f>
        <v>0</v>
      </c>
      <c r="U69" s="132">
        <f>SUM(Financials!BH76:BJ76)</f>
        <v>0</v>
      </c>
      <c r="V69" s="132">
        <f>SUM(Financials!BK76:BM76)</f>
        <v>0</v>
      </c>
      <c r="W69" s="132">
        <f>SUM(Financials!BN76:BP76)</f>
        <v>0</v>
      </c>
      <c r="X69" s="132">
        <f>SUM(Financials!BQ76:BS76)</f>
        <v>0</v>
      </c>
      <c r="Y69" s="132">
        <f>SUM(Financials!BT76:BV76)</f>
        <v>0</v>
      </c>
      <c r="Z69" s="132">
        <f>SUM(Financials!BW76:BY76)</f>
        <v>0</v>
      </c>
      <c r="AA69" s="132">
        <f>SUM(Financials!BZ76:CB76)</f>
        <v>0</v>
      </c>
      <c r="AB69" s="132">
        <f>SUM(Financials!CC76:CE76)</f>
        <v>0</v>
      </c>
      <c r="AC69" s="132">
        <f>SUM(Financials!CF76:CH76)</f>
        <v>0</v>
      </c>
      <c r="AD69" s="132">
        <f>SUM(Financials!CI76:CK76)</f>
        <v>0</v>
      </c>
      <c r="AE69" s="132">
        <f>SUM(Financials!CL76:CN76)</f>
        <v>0</v>
      </c>
      <c r="AF69" s="132">
        <f>SUM(Financials!CO76:CQ76)</f>
        <v>0</v>
      </c>
      <c r="AG69" s="132">
        <f>SUM(Financials!CR76:CT76)</f>
        <v>0</v>
      </c>
      <c r="AH69" s="132">
        <f>SUM(Financials!CU76:CW76)</f>
        <v>0</v>
      </c>
      <c r="AI69" s="132">
        <f>SUM(Financials!CX76:CZ76)</f>
        <v>0</v>
      </c>
      <c r="AJ69" s="132">
        <f>SUM(Financials!DA76:DC76)</f>
        <v>0</v>
      </c>
      <c r="AK69" s="132">
        <f>SUM(Financials!DD76:DF76)</f>
        <v>0</v>
      </c>
      <c r="AL69" s="132">
        <f>SUM(Financials!DG76:DI76)</f>
        <v>0</v>
      </c>
      <c r="AM69" s="132">
        <f>SUM(Financials!DJ76:DL76)</f>
        <v>0</v>
      </c>
      <c r="AN69" s="132">
        <f>SUM(Financials!DM76:DO76)</f>
        <v>0</v>
      </c>
      <c r="AO69" s="132">
        <f>SUM(Financials!DP76:DR76)</f>
        <v>0</v>
      </c>
      <c r="AP69" s="132">
        <f>SUM(Financials!DS76:DU76)</f>
        <v>0</v>
      </c>
      <c r="AQ69" s="132">
        <f>SUM(Financials!DV76:DX76)</f>
        <v>0</v>
      </c>
      <c r="AR69" s="132">
        <f>SUM(Financials!DY76:EA76)</f>
        <v>0</v>
      </c>
      <c r="AS69" s="132">
        <f>SUM(Financials!EB76:ED76)</f>
        <v>0</v>
      </c>
      <c r="AT69" s="132">
        <f>SUM(Financials!EE76:EG76)</f>
        <v>0</v>
      </c>
      <c r="AU69" s="132">
        <f>SUM(Financials!EH76:EJ76)</f>
        <v>0</v>
      </c>
      <c r="AV69" s="132">
        <f>SUM(Financials!EK76:EM76)</f>
        <v>0</v>
      </c>
      <c r="AW69" s="132">
        <f>SUM(Financials!EN76:EP76)</f>
        <v>0</v>
      </c>
      <c r="AX69" s="132">
        <f>SUM(Financials!EQ76:ES76)</f>
        <v>0</v>
      </c>
      <c r="AY69" s="132">
        <f>SUM(Financials!ET76:EV76)</f>
        <v>0</v>
      </c>
      <c r="AZ69" s="132">
        <f>SUM(Financials!EW76:EY76)</f>
        <v>0</v>
      </c>
      <c r="BA69" s="132">
        <f>SUM(Financials!EZ76:FB76)</f>
        <v>0</v>
      </c>
      <c r="BB69" s="132">
        <f>SUM(Financials!FC76:FE76)</f>
        <v>0</v>
      </c>
      <c r="BC69" s="132">
        <f>SUM(Financials!FF76:FH76)</f>
        <v>0</v>
      </c>
      <c r="BD69" s="132">
        <f>SUM(Financials!FI76:FK76)</f>
        <v>0</v>
      </c>
      <c r="BE69" s="132">
        <f>SUM(Financials!FL76:FN76)</f>
        <v>0</v>
      </c>
      <c r="BF69" s="132">
        <f>SUM(Financials!FO76:FQ76)</f>
        <v>0</v>
      </c>
      <c r="BG69" s="132">
        <f>SUM(Financials!FR76:FT76)</f>
        <v>0</v>
      </c>
      <c r="BH69" s="132">
        <f>SUM(Financials!FU76:FW76)</f>
        <v>0</v>
      </c>
      <c r="BI69" s="132">
        <f>SUM(Financials!FX76:FZ76)</f>
        <v>0</v>
      </c>
      <c r="BJ69" s="132">
        <f>SUM(Financials!GA76:GC76)</f>
        <v>0</v>
      </c>
      <c r="BK69" s="132">
        <f>SUM(Financials!GD76:GF76)</f>
        <v>0</v>
      </c>
      <c r="BL69" s="132">
        <f>SUM(Financials!GG76:GI76)</f>
        <v>0</v>
      </c>
      <c r="BM69" s="132">
        <f>SUM(Financials!GJ76:GL76)</f>
        <v>0</v>
      </c>
      <c r="BN69" s="132">
        <f>SUM(Financials!GM76:GO76)</f>
        <v>0</v>
      </c>
      <c r="BO69" s="132">
        <f>SUM(Financials!GP76:GR76)</f>
        <v>0</v>
      </c>
      <c r="BP69" s="132">
        <f>SUM(Financials!GS76:GU76)</f>
        <v>0</v>
      </c>
      <c r="BQ69" s="132">
        <f>SUM(Financials!GV76:GX76)</f>
        <v>0</v>
      </c>
      <c r="BR69" s="132">
        <f>SUM(Financials!GY76:HA76)</f>
        <v>0</v>
      </c>
      <c r="BS69" s="132">
        <f>SUM(Financials!HB76:HD76)</f>
        <v>0</v>
      </c>
      <c r="BT69" s="132">
        <f>SUM(Financials!HE76:HG76)</f>
        <v>0</v>
      </c>
      <c r="BU69" s="132">
        <f>SUM(Financials!HH76:HJ76)</f>
        <v>0</v>
      </c>
      <c r="BV69" s="132">
        <f>SUM(Financials!HK76:HM76)</f>
        <v>0</v>
      </c>
      <c r="BW69" s="132">
        <f>SUM(Financials!HN76:HP76)</f>
        <v>0</v>
      </c>
      <c r="BX69" s="132">
        <f>SUM(Financials!HQ76:HS76)</f>
        <v>0</v>
      </c>
      <c r="BY69" s="132">
        <f>SUM(Financials!HT76:HV76)</f>
        <v>0</v>
      </c>
      <c r="BZ69" s="132">
        <f>SUM(Financials!HW76:HY76)</f>
        <v>0</v>
      </c>
      <c r="CA69" s="132">
        <f>SUM(Financials!HZ76:IB76)</f>
        <v>0</v>
      </c>
      <c r="CB69" s="132">
        <f>SUM(Financials!IC76:IE76)</f>
        <v>0</v>
      </c>
      <c r="CC69" s="132">
        <f>SUM(Financials!IF76:IH76)</f>
        <v>0</v>
      </c>
      <c r="CD69" s="132">
        <f>SUM(Financials!II76:IK76)</f>
        <v>0</v>
      </c>
      <c r="CE69" s="132">
        <f>SUM(Financials!IL76:IN76)</f>
        <v>0</v>
      </c>
      <c r="CF69" s="132">
        <f>SUM(Financials!IO76:IQ76)</f>
        <v>0</v>
      </c>
      <c r="CG69" s="132">
        <f>SUM(Financials!IR76:IT76)</f>
        <v>0</v>
      </c>
      <c r="CH69" s="132">
        <f>SUM(Financials!IU76:IW76)</f>
        <v>0</v>
      </c>
      <c r="CI69" s="132">
        <f>SUM(Financials!IX76:IZ76)</f>
        <v>0</v>
      </c>
      <c r="CJ69" s="132">
        <f>SUM(Financials!JA76:JC76)</f>
        <v>0</v>
      </c>
      <c r="CK69" s="132">
        <f>SUM(Financials!JD76:JF76)</f>
        <v>0</v>
      </c>
      <c r="CL69" s="132">
        <f>SUM(Financials!JG76:JI76)</f>
        <v>0</v>
      </c>
      <c r="CM69" s="132">
        <f>SUM(Financials!JJ76:JL76)</f>
        <v>0</v>
      </c>
      <c r="CN69" s="132">
        <f>SUM(Financials!JM76:JO76)</f>
        <v>0</v>
      </c>
      <c r="CO69" s="132">
        <f>SUM(Financials!JP76:JR76)</f>
        <v>0</v>
      </c>
    </row>
    <row r="70" spans="1:93" x14ac:dyDescent="0.25">
      <c r="A70" s="162" t="str">
        <f>Financials!B77</f>
        <v>Total Colorado Tax Expense</v>
      </c>
      <c r="B70" s="169">
        <f>B69</f>
        <v>0</v>
      </c>
      <c r="C70" s="169">
        <f t="shared" ref="C70:BN70" si="17">C69</f>
        <v>0</v>
      </c>
      <c r="D70" s="169">
        <f t="shared" si="17"/>
        <v>0</v>
      </c>
      <c r="E70" s="169">
        <f t="shared" si="17"/>
        <v>0</v>
      </c>
      <c r="F70" s="169">
        <f t="shared" si="17"/>
        <v>0</v>
      </c>
      <c r="G70" s="169">
        <f t="shared" si="17"/>
        <v>0</v>
      </c>
      <c r="H70" s="169">
        <f t="shared" si="17"/>
        <v>0</v>
      </c>
      <c r="I70" s="169">
        <f t="shared" si="17"/>
        <v>0</v>
      </c>
      <c r="J70" s="169">
        <f t="shared" si="17"/>
        <v>0</v>
      </c>
      <c r="K70" s="169">
        <f t="shared" si="17"/>
        <v>0</v>
      </c>
      <c r="L70" s="169">
        <f t="shared" si="17"/>
        <v>0</v>
      </c>
      <c r="M70" s="169">
        <f t="shared" si="17"/>
        <v>0</v>
      </c>
      <c r="N70" s="169">
        <f t="shared" si="17"/>
        <v>0</v>
      </c>
      <c r="O70" s="169">
        <f t="shared" si="17"/>
        <v>0</v>
      </c>
      <c r="P70" s="169">
        <f t="shared" si="17"/>
        <v>0</v>
      </c>
      <c r="Q70" s="169">
        <f t="shared" si="17"/>
        <v>0</v>
      </c>
      <c r="R70" s="169">
        <f t="shared" si="17"/>
        <v>0</v>
      </c>
      <c r="S70" s="169">
        <f t="shared" si="17"/>
        <v>0</v>
      </c>
      <c r="T70" s="169">
        <f t="shared" si="17"/>
        <v>0</v>
      </c>
      <c r="U70" s="169">
        <f t="shared" si="17"/>
        <v>0</v>
      </c>
      <c r="V70" s="169">
        <f t="shared" si="17"/>
        <v>0</v>
      </c>
      <c r="W70" s="169">
        <f t="shared" si="17"/>
        <v>0</v>
      </c>
      <c r="X70" s="169">
        <f t="shared" si="17"/>
        <v>0</v>
      </c>
      <c r="Y70" s="169">
        <f t="shared" si="17"/>
        <v>0</v>
      </c>
      <c r="Z70" s="169">
        <f t="shared" si="17"/>
        <v>0</v>
      </c>
      <c r="AA70" s="169">
        <f t="shared" si="17"/>
        <v>0</v>
      </c>
      <c r="AB70" s="169">
        <f t="shared" si="17"/>
        <v>0</v>
      </c>
      <c r="AC70" s="169">
        <f t="shared" si="17"/>
        <v>0</v>
      </c>
      <c r="AD70" s="169">
        <f t="shared" si="17"/>
        <v>0</v>
      </c>
      <c r="AE70" s="169">
        <f t="shared" si="17"/>
        <v>0</v>
      </c>
      <c r="AF70" s="169">
        <f t="shared" si="17"/>
        <v>0</v>
      </c>
      <c r="AG70" s="169">
        <f t="shared" si="17"/>
        <v>0</v>
      </c>
      <c r="AH70" s="169">
        <f t="shared" si="17"/>
        <v>0</v>
      </c>
      <c r="AI70" s="169">
        <f t="shared" si="17"/>
        <v>0</v>
      </c>
      <c r="AJ70" s="169">
        <f t="shared" si="17"/>
        <v>0</v>
      </c>
      <c r="AK70" s="169">
        <f t="shared" si="17"/>
        <v>0</v>
      </c>
      <c r="AL70" s="169">
        <f t="shared" si="17"/>
        <v>0</v>
      </c>
      <c r="AM70" s="169">
        <f t="shared" si="17"/>
        <v>0</v>
      </c>
      <c r="AN70" s="169">
        <f t="shared" si="17"/>
        <v>0</v>
      </c>
      <c r="AO70" s="169">
        <f t="shared" si="17"/>
        <v>0</v>
      </c>
      <c r="AP70" s="169">
        <f t="shared" si="17"/>
        <v>0</v>
      </c>
      <c r="AQ70" s="169">
        <f t="shared" si="17"/>
        <v>0</v>
      </c>
      <c r="AR70" s="169">
        <f t="shared" si="17"/>
        <v>0</v>
      </c>
      <c r="AS70" s="169">
        <f t="shared" si="17"/>
        <v>0</v>
      </c>
      <c r="AT70" s="169">
        <f t="shared" si="17"/>
        <v>0</v>
      </c>
      <c r="AU70" s="169">
        <f t="shared" si="17"/>
        <v>0</v>
      </c>
      <c r="AV70" s="169">
        <f t="shared" si="17"/>
        <v>0</v>
      </c>
      <c r="AW70" s="169">
        <f t="shared" si="17"/>
        <v>0</v>
      </c>
      <c r="AX70" s="169">
        <f t="shared" si="17"/>
        <v>0</v>
      </c>
      <c r="AY70" s="169">
        <f t="shared" si="17"/>
        <v>0</v>
      </c>
      <c r="AZ70" s="169">
        <f t="shared" si="17"/>
        <v>0</v>
      </c>
      <c r="BA70" s="169">
        <f t="shared" si="17"/>
        <v>0</v>
      </c>
      <c r="BB70" s="169">
        <f t="shared" si="17"/>
        <v>0</v>
      </c>
      <c r="BC70" s="169">
        <f t="shared" si="17"/>
        <v>0</v>
      </c>
      <c r="BD70" s="169">
        <f t="shared" si="17"/>
        <v>0</v>
      </c>
      <c r="BE70" s="169">
        <f t="shared" si="17"/>
        <v>0</v>
      </c>
      <c r="BF70" s="169">
        <f t="shared" si="17"/>
        <v>0</v>
      </c>
      <c r="BG70" s="169">
        <f t="shared" si="17"/>
        <v>0</v>
      </c>
      <c r="BH70" s="169">
        <f t="shared" si="17"/>
        <v>0</v>
      </c>
      <c r="BI70" s="169">
        <f t="shared" si="17"/>
        <v>0</v>
      </c>
      <c r="BJ70" s="169">
        <f t="shared" si="17"/>
        <v>0</v>
      </c>
      <c r="BK70" s="169">
        <f t="shared" si="17"/>
        <v>0</v>
      </c>
      <c r="BL70" s="169">
        <f t="shared" si="17"/>
        <v>0</v>
      </c>
      <c r="BM70" s="169">
        <f t="shared" si="17"/>
        <v>0</v>
      </c>
      <c r="BN70" s="169">
        <f t="shared" si="17"/>
        <v>0</v>
      </c>
      <c r="BO70" s="169">
        <f t="shared" ref="BO70:CO70" si="18">BO69</f>
        <v>0</v>
      </c>
      <c r="BP70" s="169">
        <f t="shared" si="18"/>
        <v>0</v>
      </c>
      <c r="BQ70" s="169">
        <f t="shared" si="18"/>
        <v>0</v>
      </c>
      <c r="BR70" s="169">
        <f t="shared" si="18"/>
        <v>0</v>
      </c>
      <c r="BS70" s="169">
        <f t="shared" si="18"/>
        <v>0</v>
      </c>
      <c r="BT70" s="169">
        <f t="shared" si="18"/>
        <v>0</v>
      </c>
      <c r="BU70" s="169">
        <f t="shared" si="18"/>
        <v>0</v>
      </c>
      <c r="BV70" s="169">
        <f t="shared" si="18"/>
        <v>0</v>
      </c>
      <c r="BW70" s="169">
        <f t="shared" si="18"/>
        <v>0</v>
      </c>
      <c r="BX70" s="169">
        <f t="shared" si="18"/>
        <v>0</v>
      </c>
      <c r="BY70" s="169">
        <f t="shared" si="18"/>
        <v>0</v>
      </c>
      <c r="BZ70" s="169">
        <f t="shared" si="18"/>
        <v>0</v>
      </c>
      <c r="CA70" s="169">
        <f t="shared" si="18"/>
        <v>0</v>
      </c>
      <c r="CB70" s="169">
        <f t="shared" si="18"/>
        <v>0</v>
      </c>
      <c r="CC70" s="169">
        <f t="shared" si="18"/>
        <v>0</v>
      </c>
      <c r="CD70" s="169">
        <f t="shared" si="18"/>
        <v>0</v>
      </c>
      <c r="CE70" s="169">
        <f t="shared" si="18"/>
        <v>0</v>
      </c>
      <c r="CF70" s="169">
        <f t="shared" si="18"/>
        <v>0</v>
      </c>
      <c r="CG70" s="169">
        <f t="shared" si="18"/>
        <v>0</v>
      </c>
      <c r="CH70" s="169">
        <f t="shared" si="18"/>
        <v>0</v>
      </c>
      <c r="CI70" s="169">
        <f t="shared" si="18"/>
        <v>0</v>
      </c>
      <c r="CJ70" s="169">
        <f t="shared" si="18"/>
        <v>0</v>
      </c>
      <c r="CK70" s="169">
        <f t="shared" si="18"/>
        <v>0</v>
      </c>
      <c r="CL70" s="169">
        <f t="shared" si="18"/>
        <v>0</v>
      </c>
      <c r="CM70" s="169">
        <f t="shared" si="18"/>
        <v>0</v>
      </c>
      <c r="CN70" s="169">
        <f t="shared" si="18"/>
        <v>0</v>
      </c>
      <c r="CO70" s="169">
        <f t="shared" si="18"/>
        <v>0</v>
      </c>
    </row>
    <row r="71" spans="1:93" x14ac:dyDescent="0.25">
      <c r="A71" t="s">
        <v>266</v>
      </c>
    </row>
    <row r="72" spans="1:93" x14ac:dyDescent="0.25">
      <c r="A72" s="134" t="str">
        <f>Financials!B79</f>
        <v>Earning after State Taxes</v>
      </c>
      <c r="B72" s="132">
        <f>SUM(Financials!C79:E79)</f>
        <v>-2734818.6286106352</v>
      </c>
      <c r="C72" s="132">
        <f>SUM(Financials!F79:H79)</f>
        <v>-3581490.3804807356</v>
      </c>
      <c r="D72" s="132">
        <f>SUM(Financials!I79:K79)</f>
        <v>-4658113.5752508864</v>
      </c>
      <c r="E72" s="132">
        <f>SUM(Financials!L79:N79)</f>
        <v>-5503616.5637448486</v>
      </c>
      <c r="F72" s="132">
        <f>SUM(Financials!O79:Q79)</f>
        <v>-6018777.4971868452</v>
      </c>
      <c r="G72" s="132">
        <f>SUM(Financials!R79:T79)</f>
        <v>-3452818.9928631606</v>
      </c>
      <c r="H72" s="132">
        <f>SUM(Financials!U79:W79)</f>
        <v>-3184391.9292196459</v>
      </c>
      <c r="I72" s="132">
        <f>SUM(Financials!X79:Z79)</f>
        <v>-3079930.0308551951</v>
      </c>
      <c r="J72" s="132">
        <f>SUM(Financials!AA79:AC79)</f>
        <v>-2625756.7045414173</v>
      </c>
      <c r="K72" s="132">
        <f>SUM(Financials!AD79:AF79)</f>
        <v>3067840.6313547669</v>
      </c>
      <c r="L72" s="132">
        <f>SUM(Financials!AG79:AI79)</f>
        <v>3397013.0115629127</v>
      </c>
      <c r="M72" s="132">
        <f>SUM(Financials!AJ79:AL79)</f>
        <v>3512913.6347738653</v>
      </c>
      <c r="N72" s="132">
        <f>SUM(Financials!AM79:AO79)</f>
        <v>3292394.4101175852</v>
      </c>
      <c r="O72" s="132">
        <f>SUM(Financials!AP79:AR79)</f>
        <v>4146586.378537111</v>
      </c>
      <c r="P72" s="132">
        <f>SUM(Financials!AS79:AU79)</f>
        <v>4464714.8770534927</v>
      </c>
      <c r="Q72" s="132">
        <f>SUM(Financials!AV79:AX79)</f>
        <v>4588133.9129544627</v>
      </c>
      <c r="R72" s="132">
        <f>SUM(Financials!AY79:BA79)</f>
        <v>4596411.7617551778</v>
      </c>
      <c r="S72" s="132">
        <f>SUM(Financials!BB79:BD79)</f>
        <v>4721369.6935397089</v>
      </c>
      <c r="T72" s="132">
        <f>SUM(Financials!BE79:BG79)</f>
        <v>5069729.6144432304</v>
      </c>
      <c r="U72" s="132">
        <f>SUM(Financials!BH79:BJ79)</f>
        <v>5198504.5280855559</v>
      </c>
      <c r="V72" s="132">
        <f>SUM(Financials!BK79:BM79)</f>
        <v>4992426.8573837047</v>
      </c>
      <c r="W72" s="132">
        <f>SUM(Financials!BN79:BP79)</f>
        <v>5346880.8910860661</v>
      </c>
      <c r="X72" s="132">
        <f>SUM(Financials!BQ79:BS79)</f>
        <v>5704163.5597820897</v>
      </c>
      <c r="Y72" s="132">
        <f>SUM(Financials!BT79:BV79)</f>
        <v>5838607.6137793697</v>
      </c>
      <c r="Z72" s="132">
        <f>SUM(Financials!BW79:BY79)</f>
        <v>5639584.496477874</v>
      </c>
      <c r="AA72" s="132">
        <f>SUM(Financials!BZ79:CB79)</f>
        <v>6003244.9894736344</v>
      </c>
      <c r="AB72" s="132">
        <f>SUM(Financials!CC79:CE79)</f>
        <v>6369846.6746634617</v>
      </c>
      <c r="AC72" s="132">
        <f>SUM(Financials!CF79:CH79)</f>
        <v>6510294.2660600571</v>
      </c>
      <c r="AD72" s="132">
        <f>SUM(Financials!CI79:CK79)</f>
        <v>6283399.7288036533</v>
      </c>
      <c r="AE72" s="132">
        <f>SUM(Financials!CL79:CN79)</f>
        <v>6656680.2790905628</v>
      </c>
      <c r="AF72" s="132">
        <f>SUM(Financials!CO79:CQ79)</f>
        <v>7033020.8551786849</v>
      </c>
      <c r="AG72" s="132">
        <f>SUM(Financials!CR79:CT79)</f>
        <v>7179829.0125585524</v>
      </c>
      <c r="AH72" s="132">
        <f>SUM(Financials!CU79:CW79)</f>
        <v>6961628.238978032</v>
      </c>
      <c r="AI72" s="132">
        <f>SUM(Financials!CX79:CZ79)</f>
        <v>16442398.837051436</v>
      </c>
      <c r="AJ72" s="132">
        <f>SUM(Financials!DA79:DC79)</f>
        <v>16828923.38866587</v>
      </c>
      <c r="AK72" s="132">
        <f>SUM(Financials!DD79:DF79)</f>
        <v>16982473.376865849</v>
      </c>
      <c r="AL72" s="132">
        <f>SUM(Financials!DG79:DI79)</f>
        <v>16773884.487552444</v>
      </c>
      <c r="AM72" s="132">
        <f>SUM(Financials!DJ79:DL79)</f>
        <v>17167746.811949141</v>
      </c>
      <c r="AN72" s="132">
        <f>SUM(Financials!DM79:DO79)</f>
        <v>17564927.352393121</v>
      </c>
      <c r="AO72" s="132">
        <f>SUM(Financials!DP79:DR79)</f>
        <v>17725626.392586902</v>
      </c>
      <c r="AP72" s="132">
        <f>SUM(Financials!DS79:DU79)</f>
        <v>17527639.705416251</v>
      </c>
      <c r="AQ72" s="132">
        <f>SUM(Financials!DV79:DX79)</f>
        <v>17932518.522244215</v>
      </c>
      <c r="AR72" s="132">
        <f>SUM(Financials!DY79:EA79)</f>
        <v>18340855.834073789</v>
      </c>
      <c r="AS72" s="132">
        <f>SUM(Financials!EB79:ED79)</f>
        <v>18509138.947553877</v>
      </c>
      <c r="AT72" s="132">
        <f>SUM(Financials!EE79:EG79)</f>
        <v>18247553.754949924</v>
      </c>
      <c r="AU72" s="132">
        <f>SUM(Financials!EH79:EJ79)</f>
        <v>18643768.540784188</v>
      </c>
      <c r="AV72" s="132">
        <f>SUM(Financials!EK79:EM79)</f>
        <v>19002590.807069041</v>
      </c>
      <c r="AW72" s="132">
        <f>SUM(Financials!EN79:EP79)</f>
        <v>19116642.132983416</v>
      </c>
      <c r="AX72" s="132">
        <f>SUM(Financials!EQ79:ES79)</f>
        <v>18760091.791833051</v>
      </c>
      <c r="AY72" s="132">
        <f>SUM(Financials!ET79:EV79)</f>
        <v>19124113.573988929</v>
      </c>
      <c r="AZ72" s="132">
        <f>SUM(Financials!EW79:EY79)</f>
        <v>19490764.116406627</v>
      </c>
      <c r="BA72" s="132">
        <f>SUM(Financials!EZ79:FB79)</f>
        <v>19608858.732534714</v>
      </c>
      <c r="BB72" s="132">
        <f>SUM(Financials!FC79:FE79)</f>
        <v>19253137.013664324</v>
      </c>
      <c r="BC72" s="132">
        <f>SUM(Financials!FF79:FH79)</f>
        <v>19625182.453815594</v>
      </c>
      <c r="BD72" s="132">
        <f>SUM(Financials!FI79:FK79)</f>
        <v>19999940.923217725</v>
      </c>
      <c r="BE72" s="132">
        <f>SUM(Financials!FL79:FN79)</f>
        <v>20122284.218992922</v>
      </c>
      <c r="BF72" s="132">
        <f>SUM(Financials!FO79:FQ79)</f>
        <v>19803485.286257617</v>
      </c>
      <c r="BG72" s="132">
        <f>SUM(Financials!FR79:FT79)</f>
        <v>20183844.50058762</v>
      </c>
      <c r="BH72" s="132">
        <f>SUM(Financials!FU79:FW79)</f>
        <v>20567004.964914642</v>
      </c>
      <c r="BI72" s="132">
        <f>SUM(Financials!FX79:FZ79)</f>
        <v>20693815.402305454</v>
      </c>
      <c r="BJ72" s="132">
        <f>SUM(Financials!GA79:GC79)</f>
        <v>20376638.746973358</v>
      </c>
      <c r="BK72" s="132">
        <f>SUM(Financials!GD79:GF79)</f>
        <v>20765616.95128461</v>
      </c>
      <c r="BL72" s="132">
        <f>SUM(Financials!GG79:GI79)</f>
        <v>21157488.820520416</v>
      </c>
      <c r="BM72" s="132">
        <f>SUM(Financials!GJ79:GL79)</f>
        <v>21288998.843004633</v>
      </c>
      <c r="BN72" s="132">
        <f>SUM(Financials!GM79:GO79)</f>
        <v>20917749.421935081</v>
      </c>
      <c r="BO72" s="132">
        <f>SUM(Financials!GP79:GR79)</f>
        <v>21300597.133606002</v>
      </c>
      <c r="BP72" s="132">
        <f>SUM(Financials!GS79:GU79)</f>
        <v>21655852.560475342</v>
      </c>
      <c r="BQ72" s="132">
        <f>SUM(Financials!GV79:GX79)</f>
        <v>21745852.370905362</v>
      </c>
      <c r="BR72" s="132">
        <f>SUM(Financials!GY79:HA79)</f>
        <v>21296763.624718066</v>
      </c>
      <c r="BS72" s="132">
        <f>SUM(Financials!HB79:HD79)</f>
        <v>21655853.69107857</v>
      </c>
      <c r="BT72" s="132">
        <f>SUM(Financials!HE79:HG79)</f>
        <v>22017189.094246119</v>
      </c>
      <c r="BU72" s="132">
        <f>SUM(Financials!HH79:HJ79)</f>
        <v>22109040.892271861</v>
      </c>
      <c r="BV72" s="132">
        <f>SUM(Financials!HK79:HM79)</f>
        <v>21653174.940391958</v>
      </c>
      <c r="BW72" s="132">
        <f>SUM(Financials!HN79:HP79)</f>
        <v>22018422.648495521</v>
      </c>
      <c r="BX72" s="132">
        <f>SUM(Financials!HQ79:HS79)</f>
        <v>22385961.103098955</v>
      </c>
      <c r="BY72" s="132">
        <f>SUM(Financials!HT79:HV79)</f>
        <v>22479702.62551786</v>
      </c>
      <c r="BZ72" s="132">
        <f>SUM(Financials!HW79:HY79)</f>
        <v>22016923.030926015</v>
      </c>
      <c r="CA72" s="132">
        <f>SUM(Financials!HZ79:IB79)</f>
        <v>22388453.026206654</v>
      </c>
      <c r="CB72" s="132">
        <f>SUM(Financials!IC79:IE79)</f>
        <v>22762320.095139626</v>
      </c>
      <c r="CC72" s="132">
        <f>SUM(Financials!IF79:IH79)</f>
        <v>22857989.84401463</v>
      </c>
      <c r="CD72" s="132">
        <f>SUM(Financials!II79:IK79)</f>
        <v>22388157.419379674</v>
      </c>
      <c r="CE72" s="132">
        <f>SUM(Financials!IL79:IN79)</f>
        <v>22766096.866749618</v>
      </c>
      <c r="CF72" s="132">
        <f>SUM(Financials!IO79:IQ79)</f>
        <v>23146420.650911331</v>
      </c>
      <c r="CG72" s="132">
        <f>SUM(Financials!IR79:IT79)</f>
        <v>23244057.909053158</v>
      </c>
      <c r="CH72" s="132">
        <f>SUM(Financials!IU79:IW79)</f>
        <v>22767030.661254805</v>
      </c>
      <c r="CI72" s="132">
        <f>SUM(Financials!IX79:IZ79)</f>
        <v>23151509.295994651</v>
      </c>
      <c r="CJ72" s="132">
        <f>SUM(Financials!JA79:JC79)</f>
        <v>23538420.485554006</v>
      </c>
      <c r="CK72" s="132">
        <f>SUM(Financials!JD79:JF79)</f>
        <v>23638065.332316294</v>
      </c>
      <c r="CL72" s="132">
        <f>SUM(Financials!JG79:JI79)</f>
        <v>23153698.405848414</v>
      </c>
      <c r="CM72" s="132">
        <f>SUM(Financials!JJ79:JL79)</f>
        <v>23544848.585524745</v>
      </c>
      <c r="CN72" s="132">
        <f>SUM(Financials!JM79:JO79)</f>
        <v>23938480.512219638</v>
      </c>
      <c r="CO72" s="132">
        <f>SUM(Financials!JP79:JR79)</f>
        <v>24040173.83961327</v>
      </c>
    </row>
    <row r="73" spans="1:93" x14ac:dyDescent="0.25">
      <c r="A73" t="s">
        <v>266</v>
      </c>
    </row>
    <row r="74" spans="1:93" x14ac:dyDescent="0.25">
      <c r="A74" s="152" t="str">
        <f>Financials!B81</f>
        <v>Net Operating Loss Carryforward</v>
      </c>
      <c r="B74" s="132">
        <f>SUM(Financials!C81:E81)</f>
        <v>-5187426.718548758</v>
      </c>
      <c r="C74" s="132">
        <f>SUM(Financials!F81:H81)</f>
        <v>-15156743.603724394</v>
      </c>
      <c r="D74" s="132">
        <f>SUM(Financials!I81:K81)</f>
        <v>-28046093.137353793</v>
      </c>
      <c r="E74" s="132">
        <f>SUM(Financials!L81:N81)</f>
        <v>-43754903.241956741</v>
      </c>
      <c r="F74" s="132">
        <f>SUM(Financials!O81:Q81)</f>
        <v>-61471672.438635014</v>
      </c>
      <c r="G74" s="132">
        <f>SUM(Financials!R81:T81)</f>
        <v>-74420006.175901771</v>
      </c>
      <c r="H74" s="132">
        <f>SUM(Financials!U81:W81)</f>
        <v>-84082408.60682109</v>
      </c>
      <c r="I74" s="132">
        <f>SUM(Financials!X81:Z81)</f>
        <v>-93586890.411147997</v>
      </c>
      <c r="J74" s="132">
        <f>SUM(Financials!AA81:AC81)</f>
        <v>-101918593.99989414</v>
      </c>
      <c r="K74" s="132">
        <f>SUM(Financials!AD81:AF81)</f>
        <v>-102084823.42388217</v>
      </c>
      <c r="L74" s="132">
        <f>SUM(Financials!AG81:AI81)</f>
        <v>-94286444.461368084</v>
      </c>
      <c r="M74" s="132">
        <f>SUM(Financials!AJ81:AL81)</f>
        <v>-86213971.599281847</v>
      </c>
      <c r="N74" s="132">
        <f>SUM(Financials!AM81:AO81)</f>
        <v>-77959614.368392929</v>
      </c>
      <c r="O74" s="132">
        <f>SUM(Financials!AP81:AR81)</f>
        <v>-69357400.470635414</v>
      </c>
      <c r="P74" s="132">
        <f>SUM(Financials!AS81:AU81)</f>
        <v>-58993647.900654837</v>
      </c>
      <c r="Q74" s="132">
        <f>SUM(Financials!AV81:AX81)</f>
        <v>-48355279.003880344</v>
      </c>
      <c r="R74" s="132">
        <f>SUM(Financials!AY81:BA81)</f>
        <v>-37337370.481512226</v>
      </c>
      <c r="S74" s="132">
        <f>SUM(Financials!BB81:BD81)</f>
        <v>-26205812.837742984</v>
      </c>
      <c r="T74" s="132">
        <f>SUM(Financials!BE81:BG81)</f>
        <v>-14418430.308476493</v>
      </c>
      <c r="U74" s="132">
        <f>SUM(Financials!BH81:BJ81)</f>
        <v>-2873826.7557903975</v>
      </c>
      <c r="V74" s="132">
        <f>SUM(Financials!BK81:BM81)</f>
        <v>0</v>
      </c>
      <c r="W74" s="132">
        <f>SUM(Financials!BN81:BP81)</f>
        <v>0</v>
      </c>
      <c r="X74" s="132">
        <f>SUM(Financials!BQ81:BS81)</f>
        <v>0</v>
      </c>
      <c r="Y74" s="132">
        <f>SUM(Financials!BT81:BV81)</f>
        <v>0</v>
      </c>
      <c r="Z74" s="132">
        <f>SUM(Financials!BW81:BY81)</f>
        <v>0</v>
      </c>
      <c r="AA74" s="132">
        <f>SUM(Financials!BZ81:CB81)</f>
        <v>0</v>
      </c>
      <c r="AB74" s="132">
        <f>SUM(Financials!CC81:CE81)</f>
        <v>0</v>
      </c>
      <c r="AC74" s="132">
        <f>SUM(Financials!CF81:CH81)</f>
        <v>0</v>
      </c>
      <c r="AD74" s="132">
        <f>SUM(Financials!CI81:CK81)</f>
        <v>0</v>
      </c>
      <c r="AE74" s="132">
        <f>SUM(Financials!CL81:CN81)</f>
        <v>0</v>
      </c>
      <c r="AF74" s="132">
        <f>SUM(Financials!CO81:CQ81)</f>
        <v>0</v>
      </c>
      <c r="AG74" s="132">
        <f>SUM(Financials!CR81:CT81)</f>
        <v>0</v>
      </c>
      <c r="AH74" s="132">
        <f>SUM(Financials!CU81:CW81)</f>
        <v>0</v>
      </c>
      <c r="AI74" s="132">
        <f>SUM(Financials!CX81:CZ81)</f>
        <v>0</v>
      </c>
      <c r="AJ74" s="132">
        <f>SUM(Financials!DA81:DC81)</f>
        <v>0</v>
      </c>
      <c r="AK74" s="132">
        <f>SUM(Financials!DD81:DF81)</f>
        <v>0</v>
      </c>
      <c r="AL74" s="132">
        <f>SUM(Financials!DG81:DI81)</f>
        <v>0</v>
      </c>
      <c r="AM74" s="132">
        <f>SUM(Financials!DJ81:DL81)</f>
        <v>0</v>
      </c>
      <c r="AN74" s="132">
        <f>SUM(Financials!DM81:DO81)</f>
        <v>0</v>
      </c>
      <c r="AO74" s="132">
        <f>SUM(Financials!DP81:DR81)</f>
        <v>0</v>
      </c>
      <c r="AP74" s="132">
        <f>SUM(Financials!DS81:DU81)</f>
        <v>0</v>
      </c>
      <c r="AQ74" s="132">
        <f>SUM(Financials!DV81:DX81)</f>
        <v>0</v>
      </c>
      <c r="AR74" s="132">
        <f>SUM(Financials!DY81:EA81)</f>
        <v>0</v>
      </c>
      <c r="AS74" s="132">
        <f>SUM(Financials!EB81:ED81)</f>
        <v>0</v>
      </c>
      <c r="AT74" s="132">
        <f>SUM(Financials!EE81:EG81)</f>
        <v>0</v>
      </c>
      <c r="AU74" s="132">
        <f>SUM(Financials!EH81:EJ81)</f>
        <v>0</v>
      </c>
      <c r="AV74" s="132">
        <f>SUM(Financials!EK81:EM81)</f>
        <v>0</v>
      </c>
      <c r="AW74" s="132">
        <f>SUM(Financials!EN81:EP81)</f>
        <v>0</v>
      </c>
      <c r="AX74" s="132">
        <f>SUM(Financials!EQ81:ES81)</f>
        <v>0</v>
      </c>
      <c r="AY74" s="132">
        <f>SUM(Financials!ET81:EV81)</f>
        <v>0</v>
      </c>
      <c r="AZ74" s="132">
        <f>SUM(Financials!EW81:EY81)</f>
        <v>0</v>
      </c>
      <c r="BA74" s="132">
        <f>SUM(Financials!EZ81:FB81)</f>
        <v>0</v>
      </c>
      <c r="BB74" s="132">
        <f>SUM(Financials!FC81:FE81)</f>
        <v>0</v>
      </c>
      <c r="BC74" s="132">
        <f>SUM(Financials!FF81:FH81)</f>
        <v>0</v>
      </c>
      <c r="BD74" s="132">
        <f>SUM(Financials!FI81:FK81)</f>
        <v>0</v>
      </c>
      <c r="BE74" s="132">
        <f>SUM(Financials!FL81:FN81)</f>
        <v>0</v>
      </c>
      <c r="BF74" s="132">
        <f>SUM(Financials!FO81:FQ81)</f>
        <v>0</v>
      </c>
      <c r="BG74" s="132">
        <f>SUM(Financials!FR81:FT81)</f>
        <v>0</v>
      </c>
      <c r="BH74" s="132">
        <f>SUM(Financials!FU81:FW81)</f>
        <v>0</v>
      </c>
      <c r="BI74" s="132">
        <f>SUM(Financials!FX81:FZ81)</f>
        <v>0</v>
      </c>
      <c r="BJ74" s="132">
        <f>SUM(Financials!GA81:GC81)</f>
        <v>0</v>
      </c>
      <c r="BK74" s="132">
        <f>SUM(Financials!GD81:GF81)</f>
        <v>0</v>
      </c>
      <c r="BL74" s="132">
        <f>SUM(Financials!GG81:GI81)</f>
        <v>0</v>
      </c>
      <c r="BM74" s="132">
        <f>SUM(Financials!GJ81:GL81)</f>
        <v>0</v>
      </c>
      <c r="BN74" s="132">
        <f>SUM(Financials!GM81:GO81)</f>
        <v>0</v>
      </c>
      <c r="BO74" s="132">
        <f>SUM(Financials!GP81:GR81)</f>
        <v>0</v>
      </c>
      <c r="BP74" s="132">
        <f>SUM(Financials!GS81:GU81)</f>
        <v>0</v>
      </c>
      <c r="BQ74" s="132">
        <f>SUM(Financials!GV81:GX81)</f>
        <v>0</v>
      </c>
      <c r="BR74" s="132">
        <f>SUM(Financials!GY81:HA81)</f>
        <v>0</v>
      </c>
      <c r="BS74" s="132">
        <f>SUM(Financials!HB81:HD81)</f>
        <v>0</v>
      </c>
      <c r="BT74" s="132">
        <f>SUM(Financials!HE81:HG81)</f>
        <v>0</v>
      </c>
      <c r="BU74" s="132">
        <f>SUM(Financials!HH81:HJ81)</f>
        <v>0</v>
      </c>
      <c r="BV74" s="132">
        <f>SUM(Financials!HK81:HM81)</f>
        <v>0</v>
      </c>
      <c r="BW74" s="132">
        <f>SUM(Financials!HN81:HP81)</f>
        <v>0</v>
      </c>
      <c r="BX74" s="132">
        <f>SUM(Financials!HQ81:HS81)</f>
        <v>0</v>
      </c>
      <c r="BY74" s="132">
        <f>SUM(Financials!HT81:HV81)</f>
        <v>0</v>
      </c>
      <c r="BZ74" s="132">
        <f>SUM(Financials!HW81:HY81)</f>
        <v>0</v>
      </c>
      <c r="CA74" s="132">
        <f>SUM(Financials!HZ81:IB81)</f>
        <v>0</v>
      </c>
      <c r="CB74" s="132">
        <f>SUM(Financials!IC81:IE81)</f>
        <v>0</v>
      </c>
      <c r="CC74" s="132">
        <f>SUM(Financials!IF81:IH81)</f>
        <v>0</v>
      </c>
      <c r="CD74" s="132">
        <f>SUM(Financials!II81:IK81)</f>
        <v>0</v>
      </c>
      <c r="CE74" s="132">
        <f>SUM(Financials!IL81:IN81)</f>
        <v>0</v>
      </c>
      <c r="CF74" s="132">
        <f>SUM(Financials!IO81:IQ81)</f>
        <v>0</v>
      </c>
      <c r="CG74" s="132">
        <f>SUM(Financials!IR81:IT81)</f>
        <v>0</v>
      </c>
      <c r="CH74" s="132">
        <f>SUM(Financials!IU81:IW81)</f>
        <v>0</v>
      </c>
      <c r="CI74" s="132">
        <f>SUM(Financials!IX81:IZ81)</f>
        <v>0</v>
      </c>
      <c r="CJ74" s="132">
        <f>SUM(Financials!JA81:JC81)</f>
        <v>0</v>
      </c>
      <c r="CK74" s="132">
        <f>SUM(Financials!JD81:JF81)</f>
        <v>0</v>
      </c>
      <c r="CL74" s="132">
        <f>SUM(Financials!JG81:JI81)</f>
        <v>0</v>
      </c>
      <c r="CM74" s="132">
        <f>SUM(Financials!JJ81:JL81)</f>
        <v>0</v>
      </c>
      <c r="CN74" s="132">
        <f>SUM(Financials!JM81:JO81)</f>
        <v>0</v>
      </c>
      <c r="CO74" s="132">
        <f>SUM(Financials!JP81:JR81)</f>
        <v>0</v>
      </c>
    </row>
    <row r="75" spans="1:93" ht="15.75" thickBot="1" x14ac:dyDescent="0.3">
      <c r="A75" s="152" t="str">
        <f>Financials!B82</f>
        <v>Net Operating Loss Utilization</v>
      </c>
      <c r="B75" s="132">
        <f>SUM(Financials!C82:E82)</f>
        <v>0</v>
      </c>
      <c r="C75" s="132">
        <f>SUM(Financials!F82:H82)</f>
        <v>0</v>
      </c>
      <c r="D75" s="132">
        <f>SUM(Financials!I82:K82)</f>
        <v>0</v>
      </c>
      <c r="E75" s="132">
        <f>SUM(Financials!L82:N82)</f>
        <v>0</v>
      </c>
      <c r="F75" s="132">
        <f>SUM(Financials!O82:Q82)</f>
        <v>0</v>
      </c>
      <c r="G75" s="132">
        <f>SUM(Financials!R82:T82)</f>
        <v>0</v>
      </c>
      <c r="H75" s="132">
        <f>SUM(Financials!U82:W82)</f>
        <v>0</v>
      </c>
      <c r="I75" s="132">
        <f>SUM(Financials!X82:Z82)</f>
        <v>0</v>
      </c>
      <c r="J75" s="132">
        <f>SUM(Financials!AA82:AC82)</f>
        <v>0</v>
      </c>
      <c r="K75" s="132">
        <f>SUM(Financials!AD82:AF82)</f>
        <v>2454272.5050838138</v>
      </c>
      <c r="L75" s="132">
        <f>SUM(Financials!AG82:AI82)</f>
        <v>2717610.4092503302</v>
      </c>
      <c r="M75" s="132">
        <f>SUM(Financials!AJ82:AL82)</f>
        <v>2810330.9078190923</v>
      </c>
      <c r="N75" s="132">
        <f>SUM(Financials!AM82:AO82)</f>
        <v>2633915.5280940686</v>
      </c>
      <c r="O75" s="132">
        <f>SUM(Financials!AP82:AR82)</f>
        <v>3317269.1028296892</v>
      </c>
      <c r="P75" s="132">
        <f>SUM(Financials!AS82:AU82)</f>
        <v>3571771.9016427938</v>
      </c>
      <c r="Q75" s="132">
        <f>SUM(Financials!AV82:AX82)</f>
        <v>3670507.1303635701</v>
      </c>
      <c r="R75" s="132">
        <f>SUM(Financials!AY82:BA82)</f>
        <v>3677129.4094041423</v>
      </c>
      <c r="S75" s="132">
        <f>SUM(Financials!BB82:BD82)</f>
        <v>3777095.7548317667</v>
      </c>
      <c r="T75" s="132">
        <f>SUM(Financials!BE82:BG82)</f>
        <v>4055783.6915545845</v>
      </c>
      <c r="U75" s="132">
        <f>SUM(Financials!BH82:BJ82)</f>
        <v>2154027.9618795207</v>
      </c>
      <c r="V75" s="132">
        <f>SUM(Financials!BK82:BM82)</f>
        <v>0</v>
      </c>
      <c r="W75" s="132">
        <f>SUM(Financials!BN82:BP82)</f>
        <v>0</v>
      </c>
      <c r="X75" s="132">
        <f>SUM(Financials!BQ82:BS82)</f>
        <v>0</v>
      </c>
      <c r="Y75" s="132">
        <f>SUM(Financials!BT82:BV82)</f>
        <v>0</v>
      </c>
      <c r="Z75" s="132">
        <f>SUM(Financials!BW82:BY82)</f>
        <v>0</v>
      </c>
      <c r="AA75" s="132">
        <f>SUM(Financials!BZ82:CB82)</f>
        <v>0</v>
      </c>
      <c r="AB75" s="132">
        <f>SUM(Financials!CC82:CE82)</f>
        <v>0</v>
      </c>
      <c r="AC75" s="132">
        <f>SUM(Financials!CF82:CH82)</f>
        <v>0</v>
      </c>
      <c r="AD75" s="132">
        <f>SUM(Financials!CI82:CK82)</f>
        <v>0</v>
      </c>
      <c r="AE75" s="132">
        <f>SUM(Financials!CL82:CN82)</f>
        <v>0</v>
      </c>
      <c r="AF75" s="132">
        <f>SUM(Financials!CO82:CQ82)</f>
        <v>0</v>
      </c>
      <c r="AG75" s="132">
        <f>SUM(Financials!CR82:CT82)</f>
        <v>0</v>
      </c>
      <c r="AH75" s="132">
        <f>SUM(Financials!CU82:CW82)</f>
        <v>0</v>
      </c>
      <c r="AI75" s="132">
        <f>SUM(Financials!CX82:CZ82)</f>
        <v>0</v>
      </c>
      <c r="AJ75" s="132">
        <f>SUM(Financials!DA82:DC82)</f>
        <v>0</v>
      </c>
      <c r="AK75" s="132">
        <f>SUM(Financials!DD82:DF82)</f>
        <v>0</v>
      </c>
      <c r="AL75" s="132">
        <f>SUM(Financials!DG82:DI82)</f>
        <v>0</v>
      </c>
      <c r="AM75" s="132">
        <f>SUM(Financials!DJ82:DL82)</f>
        <v>0</v>
      </c>
      <c r="AN75" s="132">
        <f>SUM(Financials!DM82:DO82)</f>
        <v>0</v>
      </c>
      <c r="AO75" s="132">
        <f>SUM(Financials!DP82:DR82)</f>
        <v>0</v>
      </c>
      <c r="AP75" s="132">
        <f>SUM(Financials!DS82:DU82)</f>
        <v>0</v>
      </c>
      <c r="AQ75" s="132">
        <f>SUM(Financials!DV82:DX82)</f>
        <v>0</v>
      </c>
      <c r="AR75" s="132">
        <f>SUM(Financials!DY82:EA82)</f>
        <v>0</v>
      </c>
      <c r="AS75" s="132">
        <f>SUM(Financials!EB82:ED82)</f>
        <v>0</v>
      </c>
      <c r="AT75" s="132">
        <f>SUM(Financials!EE82:EG82)</f>
        <v>0</v>
      </c>
      <c r="AU75" s="132">
        <f>SUM(Financials!EH82:EJ82)</f>
        <v>0</v>
      </c>
      <c r="AV75" s="132">
        <f>SUM(Financials!EK82:EM82)</f>
        <v>0</v>
      </c>
      <c r="AW75" s="132">
        <f>SUM(Financials!EN82:EP82)</f>
        <v>0</v>
      </c>
      <c r="AX75" s="132">
        <f>SUM(Financials!EQ82:ES82)</f>
        <v>0</v>
      </c>
      <c r="AY75" s="132">
        <f>SUM(Financials!ET82:EV82)</f>
        <v>0</v>
      </c>
      <c r="AZ75" s="132">
        <f>SUM(Financials!EW82:EY82)</f>
        <v>0</v>
      </c>
      <c r="BA75" s="132">
        <f>SUM(Financials!EZ82:FB82)</f>
        <v>0</v>
      </c>
      <c r="BB75" s="132">
        <f>SUM(Financials!FC82:FE82)</f>
        <v>0</v>
      </c>
      <c r="BC75" s="132">
        <f>SUM(Financials!FF82:FH82)</f>
        <v>0</v>
      </c>
      <c r="BD75" s="132">
        <f>SUM(Financials!FI82:FK82)</f>
        <v>0</v>
      </c>
      <c r="BE75" s="132">
        <f>SUM(Financials!FL82:FN82)</f>
        <v>0</v>
      </c>
      <c r="BF75" s="132">
        <f>SUM(Financials!FO82:FQ82)</f>
        <v>0</v>
      </c>
      <c r="BG75" s="132">
        <f>SUM(Financials!FR82:FT82)</f>
        <v>0</v>
      </c>
      <c r="BH75" s="132">
        <f>SUM(Financials!FU82:FW82)</f>
        <v>0</v>
      </c>
      <c r="BI75" s="132">
        <f>SUM(Financials!FX82:FZ82)</f>
        <v>0</v>
      </c>
      <c r="BJ75" s="132">
        <f>SUM(Financials!GA82:GC82)</f>
        <v>0</v>
      </c>
      <c r="BK75" s="132">
        <f>SUM(Financials!GD82:GF82)</f>
        <v>0</v>
      </c>
      <c r="BL75" s="132">
        <f>SUM(Financials!GG82:GI82)</f>
        <v>0</v>
      </c>
      <c r="BM75" s="132">
        <f>SUM(Financials!GJ82:GL82)</f>
        <v>0</v>
      </c>
      <c r="BN75" s="132">
        <f>SUM(Financials!GM82:GO82)</f>
        <v>0</v>
      </c>
      <c r="BO75" s="132">
        <f>SUM(Financials!GP82:GR82)</f>
        <v>0</v>
      </c>
      <c r="BP75" s="132">
        <f>SUM(Financials!GS82:GU82)</f>
        <v>0</v>
      </c>
      <c r="BQ75" s="132">
        <f>SUM(Financials!GV82:GX82)</f>
        <v>0</v>
      </c>
      <c r="BR75" s="132">
        <f>SUM(Financials!GY82:HA82)</f>
        <v>0</v>
      </c>
      <c r="BS75" s="132">
        <f>SUM(Financials!HB82:HD82)</f>
        <v>0</v>
      </c>
      <c r="BT75" s="132">
        <f>SUM(Financials!HE82:HG82)</f>
        <v>0</v>
      </c>
      <c r="BU75" s="132">
        <f>SUM(Financials!HH82:HJ82)</f>
        <v>0</v>
      </c>
      <c r="BV75" s="132">
        <f>SUM(Financials!HK82:HM82)</f>
        <v>0</v>
      </c>
      <c r="BW75" s="132">
        <f>SUM(Financials!HN82:HP82)</f>
        <v>0</v>
      </c>
      <c r="BX75" s="132">
        <f>SUM(Financials!HQ82:HS82)</f>
        <v>0</v>
      </c>
      <c r="BY75" s="132">
        <f>SUM(Financials!HT82:HV82)</f>
        <v>0</v>
      </c>
      <c r="BZ75" s="132">
        <f>SUM(Financials!HW82:HY82)</f>
        <v>0</v>
      </c>
      <c r="CA75" s="132">
        <f>SUM(Financials!HZ82:IB82)</f>
        <v>0</v>
      </c>
      <c r="CB75" s="132">
        <f>SUM(Financials!IC82:IE82)</f>
        <v>0</v>
      </c>
      <c r="CC75" s="132">
        <f>SUM(Financials!IF82:IH82)</f>
        <v>0</v>
      </c>
      <c r="CD75" s="132">
        <f>SUM(Financials!II82:IK82)</f>
        <v>0</v>
      </c>
      <c r="CE75" s="132">
        <f>SUM(Financials!IL82:IN82)</f>
        <v>0</v>
      </c>
      <c r="CF75" s="132">
        <f>SUM(Financials!IO82:IQ82)</f>
        <v>0</v>
      </c>
      <c r="CG75" s="132">
        <f>SUM(Financials!IR82:IT82)</f>
        <v>0</v>
      </c>
      <c r="CH75" s="132">
        <f>SUM(Financials!IU82:IW82)</f>
        <v>0</v>
      </c>
      <c r="CI75" s="132">
        <f>SUM(Financials!IX82:IZ82)</f>
        <v>0</v>
      </c>
      <c r="CJ75" s="132">
        <f>SUM(Financials!JA82:JC82)</f>
        <v>0</v>
      </c>
      <c r="CK75" s="132">
        <f>SUM(Financials!JD82:JF82)</f>
        <v>0</v>
      </c>
      <c r="CL75" s="132">
        <f>SUM(Financials!JG82:JI82)</f>
        <v>0</v>
      </c>
      <c r="CM75" s="132">
        <f>SUM(Financials!JJ82:JL82)</f>
        <v>0</v>
      </c>
      <c r="CN75" s="132">
        <f>SUM(Financials!JM82:JO82)</f>
        <v>0</v>
      </c>
      <c r="CO75" s="132">
        <f>SUM(Financials!JP82:JR82)</f>
        <v>0</v>
      </c>
    </row>
    <row r="76" spans="1:93" x14ac:dyDescent="0.25">
      <c r="A76" s="162" t="str">
        <f>Financials!B83</f>
        <v>Federal Taxable Income</v>
      </c>
      <c r="B76" s="166">
        <f>SUM(Financials!C83:E83)</f>
        <v>0</v>
      </c>
      <c r="C76" s="166">
        <f>SUM(Financials!F83:H83)</f>
        <v>0</v>
      </c>
      <c r="D76" s="166">
        <f>SUM(Financials!I83:K83)</f>
        <v>0</v>
      </c>
      <c r="E76" s="166">
        <f>SUM(Financials!L83:N83)</f>
        <v>0</v>
      </c>
      <c r="F76" s="166">
        <f>SUM(Financials!O83:Q83)</f>
        <v>0</v>
      </c>
      <c r="G76" s="166">
        <f>SUM(Financials!R83:T83)</f>
        <v>0</v>
      </c>
      <c r="H76" s="166">
        <f>SUM(Financials!U83:W83)</f>
        <v>0</v>
      </c>
      <c r="I76" s="166">
        <f>SUM(Financials!X83:Z83)</f>
        <v>0</v>
      </c>
      <c r="J76" s="166">
        <f>SUM(Financials!AA83:AC83)</f>
        <v>0</v>
      </c>
      <c r="K76" s="166">
        <f>SUM(Financials!AD83:AF83)</f>
        <v>613568.12627095333</v>
      </c>
      <c r="L76" s="166">
        <f>SUM(Financials!AG83:AI83)</f>
        <v>679402.60231258243</v>
      </c>
      <c r="M76" s="166">
        <f>SUM(Financials!AJ83:AL83)</f>
        <v>702582.72695477284</v>
      </c>
      <c r="N76" s="166">
        <f>SUM(Financials!AM83:AO83)</f>
        <v>658478.88202351693</v>
      </c>
      <c r="O76" s="166">
        <f>SUM(Financials!AP83:AR83)</f>
        <v>829317.27570742206</v>
      </c>
      <c r="P76" s="166">
        <f>SUM(Financials!AS83:AU83)</f>
        <v>892942.97541069845</v>
      </c>
      <c r="Q76" s="166">
        <f>SUM(Financials!AV83:AX83)</f>
        <v>917626.78259089217</v>
      </c>
      <c r="R76" s="166">
        <f>SUM(Financials!AY83:BA83)</f>
        <v>919282.35235103534</v>
      </c>
      <c r="S76" s="166">
        <f>SUM(Financials!BB83:BD83)</f>
        <v>944273.93870794144</v>
      </c>
      <c r="T76" s="166">
        <f>SUM(Financials!BE83:BG83)</f>
        <v>1013945.9228886459</v>
      </c>
      <c r="U76" s="166">
        <f>SUM(Financials!BH83:BJ83)</f>
        <v>3044476.5662060352</v>
      </c>
      <c r="V76" s="166">
        <f>SUM(Financials!BK83:BM83)</f>
        <v>4992426.8573837047</v>
      </c>
      <c r="W76" s="166">
        <f>SUM(Financials!BN83:BP83)</f>
        <v>5346880.8910860661</v>
      </c>
      <c r="X76" s="166">
        <f>SUM(Financials!BQ83:BS83)</f>
        <v>5704163.5597820897</v>
      </c>
      <c r="Y76" s="166">
        <f>SUM(Financials!BT83:BV83)</f>
        <v>5838607.6137793697</v>
      </c>
      <c r="Z76" s="166">
        <f>SUM(Financials!BW83:BY83)</f>
        <v>5639584.496477874</v>
      </c>
      <c r="AA76" s="166">
        <f>SUM(Financials!BZ83:CB83)</f>
        <v>6003244.9894736344</v>
      </c>
      <c r="AB76" s="166">
        <f>SUM(Financials!CC83:CE83)</f>
        <v>6369846.6746634617</v>
      </c>
      <c r="AC76" s="166">
        <f>SUM(Financials!CF83:CH83)</f>
        <v>6510294.2660600571</v>
      </c>
      <c r="AD76" s="166">
        <f>SUM(Financials!CI83:CK83)</f>
        <v>6283399.7288036533</v>
      </c>
      <c r="AE76" s="166">
        <f>SUM(Financials!CL83:CN83)</f>
        <v>6656680.2790905628</v>
      </c>
      <c r="AF76" s="166">
        <f>SUM(Financials!CO83:CQ83)</f>
        <v>7033020.8551786849</v>
      </c>
      <c r="AG76" s="166">
        <f>SUM(Financials!CR83:CT83)</f>
        <v>7179829.0125585524</v>
      </c>
      <c r="AH76" s="166">
        <f>SUM(Financials!CU83:CW83)</f>
        <v>6961628.238978032</v>
      </c>
      <c r="AI76" s="166">
        <f>SUM(Financials!CX83:CZ83)</f>
        <v>16442398.837051436</v>
      </c>
      <c r="AJ76" s="166">
        <f>SUM(Financials!DA83:DC83)</f>
        <v>16828923.38866587</v>
      </c>
      <c r="AK76" s="166">
        <f>SUM(Financials!DD83:DF83)</f>
        <v>16982473.376865849</v>
      </c>
      <c r="AL76" s="166">
        <f>SUM(Financials!DG83:DI83)</f>
        <v>16773884.487552444</v>
      </c>
      <c r="AM76" s="166">
        <f>SUM(Financials!DJ83:DL83)</f>
        <v>17167746.811949141</v>
      </c>
      <c r="AN76" s="166">
        <f>SUM(Financials!DM83:DO83)</f>
        <v>17564927.352393121</v>
      </c>
      <c r="AO76" s="166">
        <f>SUM(Financials!DP83:DR83)</f>
        <v>17725626.392586902</v>
      </c>
      <c r="AP76" s="166">
        <f>SUM(Financials!DS83:DU83)</f>
        <v>17527639.705416251</v>
      </c>
      <c r="AQ76" s="166">
        <f>SUM(Financials!DV83:DX83)</f>
        <v>17932518.522244215</v>
      </c>
      <c r="AR76" s="166">
        <f>SUM(Financials!DY83:EA83)</f>
        <v>18340855.834073789</v>
      </c>
      <c r="AS76" s="166">
        <f>SUM(Financials!EB83:ED83)</f>
        <v>18509138.947553877</v>
      </c>
      <c r="AT76" s="166">
        <f>SUM(Financials!EE83:EG83)</f>
        <v>18247553.754949924</v>
      </c>
      <c r="AU76" s="166">
        <f>SUM(Financials!EH83:EJ83)</f>
        <v>18643768.540784188</v>
      </c>
      <c r="AV76" s="166">
        <f>SUM(Financials!EK83:EM83)</f>
        <v>19002590.807069041</v>
      </c>
      <c r="AW76" s="166">
        <f>SUM(Financials!EN83:EP83)</f>
        <v>19116642.132983416</v>
      </c>
      <c r="AX76" s="166">
        <f>SUM(Financials!EQ83:ES83)</f>
        <v>18760091.791833051</v>
      </c>
      <c r="AY76" s="166">
        <f>SUM(Financials!ET83:EV83)</f>
        <v>19124113.573988929</v>
      </c>
      <c r="AZ76" s="166">
        <f>SUM(Financials!EW83:EY83)</f>
        <v>19490764.116406627</v>
      </c>
      <c r="BA76" s="166">
        <f>SUM(Financials!EZ83:FB83)</f>
        <v>19608858.732534714</v>
      </c>
      <c r="BB76" s="166">
        <f>SUM(Financials!FC83:FE83)</f>
        <v>19253137.013664324</v>
      </c>
      <c r="BC76" s="166">
        <f>SUM(Financials!FF83:FH83)</f>
        <v>19625182.453815594</v>
      </c>
      <c r="BD76" s="166">
        <f>SUM(Financials!FI83:FK83)</f>
        <v>19999940.923217725</v>
      </c>
      <c r="BE76" s="166">
        <f>SUM(Financials!FL83:FN83)</f>
        <v>20122284.218992922</v>
      </c>
      <c r="BF76" s="166">
        <f>SUM(Financials!FO83:FQ83)</f>
        <v>19803485.286257617</v>
      </c>
      <c r="BG76" s="166">
        <f>SUM(Financials!FR83:FT83)</f>
        <v>20183844.50058762</v>
      </c>
      <c r="BH76" s="166">
        <f>SUM(Financials!FU83:FW83)</f>
        <v>20567004.964914642</v>
      </c>
      <c r="BI76" s="166">
        <f>SUM(Financials!FX83:FZ83)</f>
        <v>20693815.402305454</v>
      </c>
      <c r="BJ76" s="166">
        <f>SUM(Financials!GA83:GC83)</f>
        <v>20376638.746973358</v>
      </c>
      <c r="BK76" s="166">
        <f>SUM(Financials!GD83:GF83)</f>
        <v>20765616.95128461</v>
      </c>
      <c r="BL76" s="166">
        <f>SUM(Financials!GG83:GI83)</f>
        <v>21157488.820520416</v>
      </c>
      <c r="BM76" s="166">
        <f>SUM(Financials!GJ83:GL83)</f>
        <v>21288998.843004633</v>
      </c>
      <c r="BN76" s="166">
        <f>SUM(Financials!GM83:GO83)</f>
        <v>20917749.421935081</v>
      </c>
      <c r="BO76" s="166">
        <f>SUM(Financials!GP83:GR83)</f>
        <v>21300597.133606002</v>
      </c>
      <c r="BP76" s="166">
        <f>SUM(Financials!GS83:GU83)</f>
        <v>21655852.560475342</v>
      </c>
      <c r="BQ76" s="166">
        <f>SUM(Financials!GV83:GX83)</f>
        <v>21745852.370905362</v>
      </c>
      <c r="BR76" s="166">
        <f>SUM(Financials!GY83:HA83)</f>
        <v>21296763.624718066</v>
      </c>
      <c r="BS76" s="166">
        <f>SUM(Financials!HB83:HD83)</f>
        <v>21655853.69107857</v>
      </c>
      <c r="BT76" s="166">
        <f>SUM(Financials!HE83:HG83)</f>
        <v>22017189.094246119</v>
      </c>
      <c r="BU76" s="166">
        <f>SUM(Financials!HH83:HJ83)</f>
        <v>22109040.892271861</v>
      </c>
      <c r="BV76" s="166">
        <f>SUM(Financials!HK83:HM83)</f>
        <v>21653174.940391958</v>
      </c>
      <c r="BW76" s="166">
        <f>SUM(Financials!HN83:HP83)</f>
        <v>22018422.648495521</v>
      </c>
      <c r="BX76" s="166">
        <f>SUM(Financials!HQ83:HS83)</f>
        <v>22385961.103098955</v>
      </c>
      <c r="BY76" s="166">
        <f>SUM(Financials!HT83:HV83)</f>
        <v>22479702.62551786</v>
      </c>
      <c r="BZ76" s="166">
        <f>SUM(Financials!HW83:HY83)</f>
        <v>22016923.030926015</v>
      </c>
      <c r="CA76" s="166">
        <f>SUM(Financials!HZ83:IB83)</f>
        <v>22388453.026206654</v>
      </c>
      <c r="CB76" s="166">
        <f>SUM(Financials!IC83:IE83)</f>
        <v>22762320.095139626</v>
      </c>
      <c r="CC76" s="166">
        <f>SUM(Financials!IF83:IH83)</f>
        <v>22857989.84401463</v>
      </c>
      <c r="CD76" s="166">
        <f>SUM(Financials!II83:IK83)</f>
        <v>22388157.419379674</v>
      </c>
      <c r="CE76" s="166">
        <f>SUM(Financials!IL83:IN83)</f>
        <v>22766096.866749618</v>
      </c>
      <c r="CF76" s="166">
        <f>SUM(Financials!IO83:IQ83)</f>
        <v>23146420.650911331</v>
      </c>
      <c r="CG76" s="166">
        <f>SUM(Financials!IR83:IT83)</f>
        <v>23244057.909053158</v>
      </c>
      <c r="CH76" s="166">
        <f>SUM(Financials!IU83:IW83)</f>
        <v>22767030.661254805</v>
      </c>
      <c r="CI76" s="166">
        <f>SUM(Financials!IX83:IZ83)</f>
        <v>23151509.295994651</v>
      </c>
      <c r="CJ76" s="166">
        <f>SUM(Financials!JA83:JC83)</f>
        <v>23538420.485554006</v>
      </c>
      <c r="CK76" s="166">
        <f>SUM(Financials!JD83:JF83)</f>
        <v>23638065.332316294</v>
      </c>
      <c r="CL76" s="166">
        <f>SUM(Financials!JG83:JI83)</f>
        <v>23153698.405848414</v>
      </c>
      <c r="CM76" s="166">
        <f>SUM(Financials!JJ83:JL83)</f>
        <v>23544848.585524745</v>
      </c>
      <c r="CN76" s="166">
        <f>SUM(Financials!JM83:JO83)</f>
        <v>23938480.512219638</v>
      </c>
      <c r="CO76" s="166">
        <f>SUM(Financials!JP83:JR83)</f>
        <v>24040173.83961327</v>
      </c>
    </row>
    <row r="77" spans="1:93" x14ac:dyDescent="0.25">
      <c r="A77" t="s">
        <v>266</v>
      </c>
    </row>
    <row r="78" spans="1:93" x14ac:dyDescent="0.25">
      <c r="A78" s="134" t="str">
        <f>Financials!B85</f>
        <v>Federal</v>
      </c>
    </row>
    <row r="79" spans="1:93" ht="15.75" thickBot="1" x14ac:dyDescent="0.3">
      <c r="A79" s="152" t="str">
        <f>Financials!B86</f>
        <v>Tax Expense / Liability</v>
      </c>
      <c r="B79" s="132">
        <f>SUM(Financials!C86:E86)</f>
        <v>0</v>
      </c>
      <c r="C79" s="132">
        <f>SUM(Financials!F86:H86)</f>
        <v>0</v>
      </c>
      <c r="D79" s="132">
        <f>SUM(Financials!I86:K86)</f>
        <v>0</v>
      </c>
      <c r="E79" s="132">
        <f>SUM(Financials!L86:N86)</f>
        <v>0</v>
      </c>
      <c r="F79" s="132">
        <f>SUM(Financials!O86:Q86)</f>
        <v>0</v>
      </c>
      <c r="G79" s="132">
        <f>SUM(Financials!R86:T86)</f>
        <v>0</v>
      </c>
      <c r="H79" s="132">
        <f>SUM(Financials!U86:W86)</f>
        <v>0</v>
      </c>
      <c r="I79" s="132">
        <f>SUM(Financials!X86:Z86)</f>
        <v>0</v>
      </c>
      <c r="J79" s="132">
        <f>SUM(Financials!AA86:AC86)</f>
        <v>0</v>
      </c>
      <c r="K79" s="132">
        <f>SUM(Financials!AD86:AF86)</f>
        <v>122713.62525419067</v>
      </c>
      <c r="L79" s="132">
        <f>SUM(Financials!AG86:AI86)</f>
        <v>135880.52046251649</v>
      </c>
      <c r="M79" s="132">
        <f>SUM(Financials!AJ86:AL86)</f>
        <v>140516.54539095456</v>
      </c>
      <c r="N79" s="132">
        <f>SUM(Financials!AM86:AO86)</f>
        <v>131695.77640470339</v>
      </c>
      <c r="O79" s="132">
        <f>SUM(Financials!AP86:AR86)</f>
        <v>165863.45514148442</v>
      </c>
      <c r="P79" s="132">
        <f>SUM(Financials!AS86:AU86)</f>
        <v>178588.59508213971</v>
      </c>
      <c r="Q79" s="132">
        <f>SUM(Financials!AV86:AX86)</f>
        <v>183525.35651817845</v>
      </c>
      <c r="R79" s="132">
        <f>SUM(Financials!AY86:BA86)</f>
        <v>183856.47047020707</v>
      </c>
      <c r="S79" s="132">
        <f>SUM(Financials!BB86:BD86)</f>
        <v>188854.78774158831</v>
      </c>
      <c r="T79" s="132">
        <f>SUM(Financials!BE86:BG86)</f>
        <v>202789.18457772917</v>
      </c>
      <c r="U79" s="132">
        <f>SUM(Financials!BH86:BJ86)</f>
        <v>608895.31324120716</v>
      </c>
      <c r="V79" s="132">
        <f>SUM(Financials!BK86:BM86)</f>
        <v>998485.37147674104</v>
      </c>
      <c r="W79" s="132">
        <f>SUM(Financials!BN86:BP86)</f>
        <v>1069376.1782172136</v>
      </c>
      <c r="X79" s="132">
        <f>SUM(Financials!BQ86:BS86)</f>
        <v>1140832.7119564181</v>
      </c>
      <c r="Y79" s="132">
        <f>SUM(Financials!BT86:BV86)</f>
        <v>1167721.5227558741</v>
      </c>
      <c r="Z79" s="132">
        <f>SUM(Financials!BW86:BY86)</f>
        <v>1127916.8992955748</v>
      </c>
      <c r="AA79" s="132">
        <f>SUM(Financials!BZ86:CB86)</f>
        <v>1200648.9978947272</v>
      </c>
      <c r="AB79" s="132">
        <f>SUM(Financials!CC86:CE86)</f>
        <v>1273969.3349326923</v>
      </c>
      <c r="AC79" s="132">
        <f>SUM(Financials!CF86:CH86)</f>
        <v>1302058.8532120115</v>
      </c>
      <c r="AD79" s="132">
        <f>SUM(Financials!CI86:CK86)</f>
        <v>1256679.9457607307</v>
      </c>
      <c r="AE79" s="132">
        <f>SUM(Financials!CL86:CN86)</f>
        <v>1331336.0558181126</v>
      </c>
      <c r="AF79" s="132">
        <f>SUM(Financials!CO86:CQ86)</f>
        <v>1406604.171035737</v>
      </c>
      <c r="AG79" s="132">
        <f>SUM(Financials!CR86:CT86)</f>
        <v>1435965.8025117104</v>
      </c>
      <c r="AH79" s="132">
        <f>SUM(Financials!CU86:CW86)</f>
        <v>1392325.6477956064</v>
      </c>
      <c r="AI79" s="132">
        <f>SUM(Financials!CX86:CZ86)</f>
        <v>3288479.7674102872</v>
      </c>
      <c r="AJ79" s="132">
        <f>SUM(Financials!DA86:DC86)</f>
        <v>3365784.6777331745</v>
      </c>
      <c r="AK79" s="132">
        <f>SUM(Financials!DD86:DF86)</f>
        <v>3396494.6753731696</v>
      </c>
      <c r="AL79" s="132">
        <f>SUM(Financials!DG86:DI86)</f>
        <v>3354776.8975104885</v>
      </c>
      <c r="AM79" s="132">
        <f>SUM(Financials!DJ86:DL86)</f>
        <v>3433549.3623898285</v>
      </c>
      <c r="AN79" s="132">
        <f>SUM(Financials!DM86:DO86)</f>
        <v>3512985.4704786241</v>
      </c>
      <c r="AO79" s="132">
        <f>SUM(Financials!DP86:DR86)</f>
        <v>3545125.2785173808</v>
      </c>
      <c r="AP79" s="132">
        <f>SUM(Financials!DS86:DU86)</f>
        <v>3505527.9410832506</v>
      </c>
      <c r="AQ79" s="132">
        <f>SUM(Financials!DV86:DX86)</f>
        <v>3586503.7044488434</v>
      </c>
      <c r="AR79" s="132">
        <f>SUM(Financials!DY86:EA86)</f>
        <v>3668171.1668147584</v>
      </c>
      <c r="AS79" s="132">
        <f>SUM(Financials!EB86:ED86)</f>
        <v>3701827.7895107754</v>
      </c>
      <c r="AT79" s="132">
        <f>SUM(Financials!EE86:EG86)</f>
        <v>3649510.7509899847</v>
      </c>
      <c r="AU79" s="132">
        <f>SUM(Financials!EH86:EJ86)</f>
        <v>3728753.7081568381</v>
      </c>
      <c r="AV79" s="132">
        <f>SUM(Financials!EK86:EM86)</f>
        <v>3800518.1614138084</v>
      </c>
      <c r="AW79" s="132">
        <f>SUM(Financials!EN86:EP86)</f>
        <v>3823328.4265966835</v>
      </c>
      <c r="AX79" s="132">
        <f>SUM(Financials!EQ86:ES86)</f>
        <v>3752018.3583666105</v>
      </c>
      <c r="AY79" s="132">
        <f>SUM(Financials!ET86:EV86)</f>
        <v>3824822.7147977864</v>
      </c>
      <c r="AZ79" s="132">
        <f>SUM(Financials!EW86:EY86)</f>
        <v>3898152.8232813259</v>
      </c>
      <c r="BA79" s="132">
        <f>SUM(Financials!EZ86:FB86)</f>
        <v>3921771.7465069429</v>
      </c>
      <c r="BB79" s="132">
        <f>SUM(Financials!FC86:FE86)</f>
        <v>3850627.402732865</v>
      </c>
      <c r="BC79" s="132">
        <f>SUM(Financials!FF86:FH86)</f>
        <v>3925036.4907631194</v>
      </c>
      <c r="BD79" s="132">
        <f>SUM(Financials!FI86:FK86)</f>
        <v>3999988.1846435452</v>
      </c>
      <c r="BE79" s="132">
        <f>SUM(Financials!FL86:FN86)</f>
        <v>4024456.8437985848</v>
      </c>
      <c r="BF79" s="132">
        <f>SUM(Financials!FO86:FQ86)</f>
        <v>3960697.0572515232</v>
      </c>
      <c r="BG79" s="132">
        <f>SUM(Financials!FR86:FT86)</f>
        <v>4036768.900117524</v>
      </c>
      <c r="BH79" s="132">
        <f>SUM(Financials!FU86:FW86)</f>
        <v>4113400.9929829286</v>
      </c>
      <c r="BI79" s="132">
        <f>SUM(Financials!FX86:FZ86)</f>
        <v>4138763.0804610914</v>
      </c>
      <c r="BJ79" s="132">
        <f>SUM(Financials!GA86:GC86)</f>
        <v>4075327.7493946711</v>
      </c>
      <c r="BK79" s="132">
        <f>SUM(Financials!GD86:GF86)</f>
        <v>4153123.3902569222</v>
      </c>
      <c r="BL79" s="132">
        <f>SUM(Financials!GG86:GI86)</f>
        <v>4231497.7641040841</v>
      </c>
      <c r="BM79" s="132">
        <f>SUM(Financials!GJ86:GL86)</f>
        <v>4257799.7686009277</v>
      </c>
      <c r="BN79" s="132">
        <f>SUM(Financials!GM86:GO86)</f>
        <v>4183549.8843870163</v>
      </c>
      <c r="BO79" s="132">
        <f>SUM(Financials!GP86:GR86)</f>
        <v>4260119.4267212003</v>
      </c>
      <c r="BP79" s="132">
        <f>SUM(Financials!GS86:GU86)</f>
        <v>4331170.5120950677</v>
      </c>
      <c r="BQ79" s="132">
        <f>SUM(Financials!GV86:GX86)</f>
        <v>4349170.4741810728</v>
      </c>
      <c r="BR79" s="132">
        <f>SUM(Financials!GY86:HA86)</f>
        <v>4259352.7249436136</v>
      </c>
      <c r="BS79" s="132">
        <f>SUM(Financials!HB86:HD86)</f>
        <v>4331170.7382157138</v>
      </c>
      <c r="BT79" s="132">
        <f>SUM(Financials!HE86:HG86)</f>
        <v>4403437.8188492246</v>
      </c>
      <c r="BU79" s="132">
        <f>SUM(Financials!HH86:HJ86)</f>
        <v>4421808.178454373</v>
      </c>
      <c r="BV79" s="132">
        <f>SUM(Financials!HK86:HM86)</f>
        <v>4330634.9880783912</v>
      </c>
      <c r="BW79" s="132">
        <f>SUM(Financials!HN86:HP86)</f>
        <v>4403684.5296991039</v>
      </c>
      <c r="BX79" s="132">
        <f>SUM(Financials!HQ86:HS86)</f>
        <v>4477192.2206197912</v>
      </c>
      <c r="BY79" s="132">
        <f>SUM(Financials!HT86:HV86)</f>
        <v>4495940.5251035718</v>
      </c>
      <c r="BZ79" s="132">
        <f>SUM(Financials!HW86:HY86)</f>
        <v>4403384.6061852034</v>
      </c>
      <c r="CA79" s="132">
        <f>SUM(Financials!HZ86:IB86)</f>
        <v>4477690.6052413303</v>
      </c>
      <c r="CB79" s="132">
        <f>SUM(Financials!IC86:IE86)</f>
        <v>4552464.0190279251</v>
      </c>
      <c r="CC79" s="132">
        <f>SUM(Financials!IF86:IH86)</f>
        <v>4571597.9688029261</v>
      </c>
      <c r="CD79" s="132">
        <f>SUM(Financials!II86:IK86)</f>
        <v>4477631.483875935</v>
      </c>
      <c r="CE79" s="132">
        <f>SUM(Financials!IL86:IN86)</f>
        <v>4553219.3733499236</v>
      </c>
      <c r="CF79" s="132">
        <f>SUM(Financials!IO86:IQ86)</f>
        <v>4629284.1301822662</v>
      </c>
      <c r="CG79" s="132">
        <f>SUM(Financials!IR86:IT86)</f>
        <v>4648811.5818106318</v>
      </c>
      <c r="CH79" s="132">
        <f>SUM(Financials!IU86:IW86)</f>
        <v>4553406.1322509609</v>
      </c>
      <c r="CI79" s="132">
        <f>SUM(Financials!IX86:IZ86)</f>
        <v>4630301.8591989297</v>
      </c>
      <c r="CJ79" s="132">
        <f>SUM(Financials!JA86:JC86)</f>
        <v>4707684.0971108023</v>
      </c>
      <c r="CK79" s="132">
        <f>SUM(Financials!JD86:JF86)</f>
        <v>4727613.06646326</v>
      </c>
      <c r="CL79" s="132">
        <f>SUM(Financials!JG86:JI86)</f>
        <v>4630739.6811696831</v>
      </c>
      <c r="CM79" s="132">
        <f>SUM(Financials!JJ86:JL86)</f>
        <v>4708969.71710495</v>
      </c>
      <c r="CN79" s="132">
        <f>SUM(Financials!JM86:JO86)</f>
        <v>4787696.1024439279</v>
      </c>
      <c r="CO79" s="132">
        <f>SUM(Financials!JP86:JR86)</f>
        <v>4808034.7679226547</v>
      </c>
    </row>
    <row r="80" spans="1:93" x14ac:dyDescent="0.25">
      <c r="A80" s="162" t="str">
        <f>Financials!B87</f>
        <v>Total Federal Expense</v>
      </c>
      <c r="B80" s="166">
        <f>B79</f>
        <v>0</v>
      </c>
      <c r="C80" s="166">
        <f t="shared" ref="C80:BN80" si="19">C79</f>
        <v>0</v>
      </c>
      <c r="D80" s="166">
        <f t="shared" si="19"/>
        <v>0</v>
      </c>
      <c r="E80" s="166">
        <f t="shared" si="19"/>
        <v>0</v>
      </c>
      <c r="F80" s="166">
        <f t="shared" si="19"/>
        <v>0</v>
      </c>
      <c r="G80" s="166">
        <f t="shared" si="19"/>
        <v>0</v>
      </c>
      <c r="H80" s="166">
        <f t="shared" si="19"/>
        <v>0</v>
      </c>
      <c r="I80" s="166">
        <f t="shared" si="19"/>
        <v>0</v>
      </c>
      <c r="J80" s="166">
        <f t="shared" si="19"/>
        <v>0</v>
      </c>
      <c r="K80" s="166">
        <f t="shared" si="19"/>
        <v>122713.62525419067</v>
      </c>
      <c r="L80" s="166">
        <f t="shared" si="19"/>
        <v>135880.52046251649</v>
      </c>
      <c r="M80" s="166">
        <f t="shared" si="19"/>
        <v>140516.54539095456</v>
      </c>
      <c r="N80" s="166">
        <f t="shared" si="19"/>
        <v>131695.77640470339</v>
      </c>
      <c r="O80" s="166">
        <f t="shared" si="19"/>
        <v>165863.45514148442</v>
      </c>
      <c r="P80" s="166">
        <f t="shared" si="19"/>
        <v>178588.59508213971</v>
      </c>
      <c r="Q80" s="166">
        <f t="shared" si="19"/>
        <v>183525.35651817845</v>
      </c>
      <c r="R80" s="166">
        <f t="shared" si="19"/>
        <v>183856.47047020707</v>
      </c>
      <c r="S80" s="166">
        <f t="shared" si="19"/>
        <v>188854.78774158831</v>
      </c>
      <c r="T80" s="166">
        <f t="shared" si="19"/>
        <v>202789.18457772917</v>
      </c>
      <c r="U80" s="166">
        <f t="shared" si="19"/>
        <v>608895.31324120716</v>
      </c>
      <c r="V80" s="166">
        <f t="shared" si="19"/>
        <v>998485.37147674104</v>
      </c>
      <c r="W80" s="166">
        <f t="shared" si="19"/>
        <v>1069376.1782172136</v>
      </c>
      <c r="X80" s="166">
        <f t="shared" si="19"/>
        <v>1140832.7119564181</v>
      </c>
      <c r="Y80" s="166">
        <f t="shared" si="19"/>
        <v>1167721.5227558741</v>
      </c>
      <c r="Z80" s="166">
        <f t="shared" si="19"/>
        <v>1127916.8992955748</v>
      </c>
      <c r="AA80" s="166">
        <f t="shared" si="19"/>
        <v>1200648.9978947272</v>
      </c>
      <c r="AB80" s="166">
        <f t="shared" si="19"/>
        <v>1273969.3349326923</v>
      </c>
      <c r="AC80" s="166">
        <f t="shared" si="19"/>
        <v>1302058.8532120115</v>
      </c>
      <c r="AD80" s="166">
        <f t="shared" si="19"/>
        <v>1256679.9457607307</v>
      </c>
      <c r="AE80" s="166">
        <f t="shared" si="19"/>
        <v>1331336.0558181126</v>
      </c>
      <c r="AF80" s="166">
        <f t="shared" si="19"/>
        <v>1406604.171035737</v>
      </c>
      <c r="AG80" s="166">
        <f t="shared" si="19"/>
        <v>1435965.8025117104</v>
      </c>
      <c r="AH80" s="166">
        <f t="shared" si="19"/>
        <v>1392325.6477956064</v>
      </c>
      <c r="AI80" s="166">
        <f t="shared" si="19"/>
        <v>3288479.7674102872</v>
      </c>
      <c r="AJ80" s="166">
        <f t="shared" si="19"/>
        <v>3365784.6777331745</v>
      </c>
      <c r="AK80" s="166">
        <f t="shared" si="19"/>
        <v>3396494.6753731696</v>
      </c>
      <c r="AL80" s="166">
        <f t="shared" si="19"/>
        <v>3354776.8975104885</v>
      </c>
      <c r="AM80" s="166">
        <f t="shared" si="19"/>
        <v>3433549.3623898285</v>
      </c>
      <c r="AN80" s="166">
        <f t="shared" si="19"/>
        <v>3512985.4704786241</v>
      </c>
      <c r="AO80" s="166">
        <f t="shared" si="19"/>
        <v>3545125.2785173808</v>
      </c>
      <c r="AP80" s="166">
        <f t="shared" si="19"/>
        <v>3505527.9410832506</v>
      </c>
      <c r="AQ80" s="166">
        <f t="shared" si="19"/>
        <v>3586503.7044488434</v>
      </c>
      <c r="AR80" s="166">
        <f t="shared" si="19"/>
        <v>3668171.1668147584</v>
      </c>
      <c r="AS80" s="166">
        <f t="shared" si="19"/>
        <v>3701827.7895107754</v>
      </c>
      <c r="AT80" s="166">
        <f t="shared" si="19"/>
        <v>3649510.7509899847</v>
      </c>
      <c r="AU80" s="166">
        <f t="shared" si="19"/>
        <v>3728753.7081568381</v>
      </c>
      <c r="AV80" s="166">
        <f t="shared" si="19"/>
        <v>3800518.1614138084</v>
      </c>
      <c r="AW80" s="166">
        <f t="shared" si="19"/>
        <v>3823328.4265966835</v>
      </c>
      <c r="AX80" s="166">
        <f t="shared" si="19"/>
        <v>3752018.3583666105</v>
      </c>
      <c r="AY80" s="166">
        <f t="shared" si="19"/>
        <v>3824822.7147977864</v>
      </c>
      <c r="AZ80" s="166">
        <f t="shared" si="19"/>
        <v>3898152.8232813259</v>
      </c>
      <c r="BA80" s="166">
        <f t="shared" si="19"/>
        <v>3921771.7465069429</v>
      </c>
      <c r="BB80" s="166">
        <f t="shared" si="19"/>
        <v>3850627.402732865</v>
      </c>
      <c r="BC80" s="166">
        <f t="shared" si="19"/>
        <v>3925036.4907631194</v>
      </c>
      <c r="BD80" s="166">
        <f t="shared" si="19"/>
        <v>3999988.1846435452</v>
      </c>
      <c r="BE80" s="166">
        <f t="shared" si="19"/>
        <v>4024456.8437985848</v>
      </c>
      <c r="BF80" s="166">
        <f t="shared" si="19"/>
        <v>3960697.0572515232</v>
      </c>
      <c r="BG80" s="166">
        <f t="shared" si="19"/>
        <v>4036768.900117524</v>
      </c>
      <c r="BH80" s="166">
        <f t="shared" si="19"/>
        <v>4113400.9929829286</v>
      </c>
      <c r="BI80" s="166">
        <f t="shared" si="19"/>
        <v>4138763.0804610914</v>
      </c>
      <c r="BJ80" s="166">
        <f t="shared" si="19"/>
        <v>4075327.7493946711</v>
      </c>
      <c r="BK80" s="166">
        <f t="shared" si="19"/>
        <v>4153123.3902569222</v>
      </c>
      <c r="BL80" s="166">
        <f t="shared" si="19"/>
        <v>4231497.7641040841</v>
      </c>
      <c r="BM80" s="166">
        <f t="shared" si="19"/>
        <v>4257799.7686009277</v>
      </c>
      <c r="BN80" s="166">
        <f t="shared" si="19"/>
        <v>4183549.8843870163</v>
      </c>
      <c r="BO80" s="166">
        <f t="shared" ref="BO80:CO80" si="20">BO79</f>
        <v>4260119.4267212003</v>
      </c>
      <c r="BP80" s="166">
        <f t="shared" si="20"/>
        <v>4331170.5120950677</v>
      </c>
      <c r="BQ80" s="166">
        <f t="shared" si="20"/>
        <v>4349170.4741810728</v>
      </c>
      <c r="BR80" s="166">
        <f t="shared" si="20"/>
        <v>4259352.7249436136</v>
      </c>
      <c r="BS80" s="166">
        <f t="shared" si="20"/>
        <v>4331170.7382157138</v>
      </c>
      <c r="BT80" s="166">
        <f t="shared" si="20"/>
        <v>4403437.8188492246</v>
      </c>
      <c r="BU80" s="166">
        <f t="shared" si="20"/>
        <v>4421808.178454373</v>
      </c>
      <c r="BV80" s="166">
        <f t="shared" si="20"/>
        <v>4330634.9880783912</v>
      </c>
      <c r="BW80" s="166">
        <f t="shared" si="20"/>
        <v>4403684.5296991039</v>
      </c>
      <c r="BX80" s="166">
        <f t="shared" si="20"/>
        <v>4477192.2206197912</v>
      </c>
      <c r="BY80" s="166">
        <f t="shared" si="20"/>
        <v>4495940.5251035718</v>
      </c>
      <c r="BZ80" s="166">
        <f t="shared" si="20"/>
        <v>4403384.6061852034</v>
      </c>
      <c r="CA80" s="166">
        <f t="shared" si="20"/>
        <v>4477690.6052413303</v>
      </c>
      <c r="CB80" s="166">
        <f t="shared" si="20"/>
        <v>4552464.0190279251</v>
      </c>
      <c r="CC80" s="166">
        <f t="shared" si="20"/>
        <v>4571597.9688029261</v>
      </c>
      <c r="CD80" s="166">
        <f t="shared" si="20"/>
        <v>4477631.483875935</v>
      </c>
      <c r="CE80" s="166">
        <f t="shared" si="20"/>
        <v>4553219.3733499236</v>
      </c>
      <c r="CF80" s="166">
        <f t="shared" si="20"/>
        <v>4629284.1301822662</v>
      </c>
      <c r="CG80" s="166">
        <f t="shared" si="20"/>
        <v>4648811.5818106318</v>
      </c>
      <c r="CH80" s="166">
        <f t="shared" si="20"/>
        <v>4553406.1322509609</v>
      </c>
      <c r="CI80" s="166">
        <f t="shared" si="20"/>
        <v>4630301.8591989297</v>
      </c>
      <c r="CJ80" s="166">
        <f t="shared" si="20"/>
        <v>4707684.0971108023</v>
      </c>
      <c r="CK80" s="166">
        <f t="shared" si="20"/>
        <v>4727613.06646326</v>
      </c>
      <c r="CL80" s="166">
        <f t="shared" si="20"/>
        <v>4630739.6811696831</v>
      </c>
      <c r="CM80" s="166">
        <f t="shared" si="20"/>
        <v>4708969.71710495</v>
      </c>
      <c r="CN80" s="166">
        <f t="shared" si="20"/>
        <v>4787696.1024439279</v>
      </c>
      <c r="CO80" s="166">
        <f t="shared" si="20"/>
        <v>4808034.7679226547</v>
      </c>
    </row>
    <row r="81" spans="1:93" x14ac:dyDescent="0.25">
      <c r="A81" t="s">
        <v>266</v>
      </c>
    </row>
    <row r="82" spans="1:93" x14ac:dyDescent="0.25">
      <c r="A82" t="str">
        <f>Financials!B89</f>
        <v>Total Tax Expense</v>
      </c>
      <c r="B82" s="132">
        <f>SUM(Financials!C89:E89)</f>
        <v>0</v>
      </c>
      <c r="C82" s="132">
        <f>SUM(Financials!F89:H89)</f>
        <v>0</v>
      </c>
      <c r="D82" s="132">
        <f>SUM(Financials!I89:K89)</f>
        <v>0</v>
      </c>
      <c r="E82" s="132">
        <f>SUM(Financials!L89:N89)</f>
        <v>0</v>
      </c>
      <c r="F82" s="132">
        <f>SUM(Financials!O89:Q89)</f>
        <v>0</v>
      </c>
      <c r="G82" s="132">
        <f>SUM(Financials!R89:T89)</f>
        <v>0</v>
      </c>
      <c r="H82" s="132">
        <f>SUM(Financials!U89:W89)</f>
        <v>0</v>
      </c>
      <c r="I82" s="132">
        <f>SUM(Financials!X89:Z89)</f>
        <v>0</v>
      </c>
      <c r="J82" s="132">
        <f>SUM(Financials!AA89:AC89)</f>
        <v>0</v>
      </c>
      <c r="K82" s="132">
        <f>SUM(Financials!AD89:AF89)</f>
        <v>0</v>
      </c>
      <c r="L82" s="132">
        <f>SUM(Financials!AG89:AI89)</f>
        <v>0</v>
      </c>
      <c r="M82" s="132">
        <f>SUM(Financials!AJ89:AL89)</f>
        <v>0</v>
      </c>
      <c r="N82" s="132">
        <f>SUM(Financials!AM89:AO89)</f>
        <v>0</v>
      </c>
      <c r="O82" s="132">
        <f>SUM(Financials!AP89:AR89)</f>
        <v>0</v>
      </c>
      <c r="P82" s="132">
        <f>SUM(Financials!AS89:AU89)</f>
        <v>0</v>
      </c>
      <c r="Q82" s="132">
        <f>SUM(Financials!AV89:AX89)</f>
        <v>0</v>
      </c>
      <c r="R82" s="132">
        <f>SUM(Financials!AY89:BA89)</f>
        <v>0</v>
      </c>
      <c r="S82" s="132">
        <f>SUM(Financials!BB89:BD89)</f>
        <v>0</v>
      </c>
      <c r="T82" s="132">
        <f>SUM(Financials!BE89:BG89)</f>
        <v>0</v>
      </c>
      <c r="U82" s="132">
        <f>SUM(Financials!BH89:BJ89)</f>
        <v>0</v>
      </c>
      <c r="V82" s="132">
        <f>SUM(Financials!BK89:BM89)</f>
        <v>0</v>
      </c>
      <c r="W82" s="132">
        <f>SUM(Financials!BN89:BP89)</f>
        <v>0</v>
      </c>
      <c r="X82" s="132">
        <f>SUM(Financials!BQ89:BS89)</f>
        <v>0</v>
      </c>
      <c r="Y82" s="132">
        <f>SUM(Financials!BT89:BV89)</f>
        <v>0</v>
      </c>
      <c r="Z82" s="132">
        <f>SUM(Financials!BW89:BY89)</f>
        <v>0</v>
      </c>
      <c r="AA82" s="132">
        <f>SUM(Financials!BZ89:CB89)</f>
        <v>0</v>
      </c>
      <c r="AB82" s="132">
        <f>SUM(Financials!CC89:CE89)</f>
        <v>0</v>
      </c>
      <c r="AC82" s="132">
        <f>SUM(Financials!CF89:CH89)</f>
        <v>0</v>
      </c>
      <c r="AD82" s="132">
        <f>SUM(Financials!CI89:CK89)</f>
        <v>0</v>
      </c>
      <c r="AE82" s="132">
        <f>SUM(Financials!CL89:CN89)</f>
        <v>0</v>
      </c>
      <c r="AF82" s="132">
        <f>SUM(Financials!CO89:CQ89)</f>
        <v>0</v>
      </c>
      <c r="AG82" s="132">
        <f>SUM(Financials!CR89:CT89)</f>
        <v>0</v>
      </c>
      <c r="AH82" s="132">
        <f>SUM(Financials!CU89:CW89)</f>
        <v>0</v>
      </c>
      <c r="AI82" s="132">
        <f>SUM(Financials!CX89:CZ89)</f>
        <v>0</v>
      </c>
      <c r="AJ82" s="132">
        <f>SUM(Financials!DA89:DC89)</f>
        <v>0</v>
      </c>
      <c r="AK82" s="132">
        <f>SUM(Financials!DD89:DF89)</f>
        <v>0</v>
      </c>
      <c r="AL82" s="132">
        <f>SUM(Financials!DG89:DI89)</f>
        <v>0</v>
      </c>
      <c r="AM82" s="132">
        <f>SUM(Financials!DJ89:DL89)</f>
        <v>0</v>
      </c>
      <c r="AN82" s="132">
        <f>SUM(Financials!DM89:DO89)</f>
        <v>0</v>
      </c>
      <c r="AO82" s="132">
        <f>SUM(Financials!DP89:DR89)</f>
        <v>1201366.5941631054</v>
      </c>
      <c r="AP82" s="132">
        <f>SUM(Financials!DS89:DU89)</f>
        <v>3505527.9410832506</v>
      </c>
      <c r="AQ82" s="132">
        <f>SUM(Financials!DV89:DX89)</f>
        <v>3586503.7044488434</v>
      </c>
      <c r="AR82" s="132">
        <f>SUM(Financials!DY89:EA89)</f>
        <v>3668171.1668147584</v>
      </c>
      <c r="AS82" s="132">
        <f>SUM(Financials!EB89:ED89)</f>
        <v>3701827.7895107754</v>
      </c>
      <c r="AT82" s="132">
        <f>SUM(Financials!EE89:EG89)</f>
        <v>3649510.7509899847</v>
      </c>
      <c r="AU82" s="132">
        <f>SUM(Financials!EH89:EJ89)</f>
        <v>3728753.7081568381</v>
      </c>
      <c r="AV82" s="132">
        <f>SUM(Financials!EK89:EM89)</f>
        <v>3800518.1614138084</v>
      </c>
      <c r="AW82" s="132">
        <f>SUM(Financials!EN89:EP89)</f>
        <v>3823328.4265966835</v>
      </c>
      <c r="AX82" s="132">
        <f>SUM(Financials!EQ89:ES89)</f>
        <v>3752018.3583666105</v>
      </c>
      <c r="AY82" s="132">
        <f>SUM(Financials!ET89:EV89)</f>
        <v>3824822.7147977864</v>
      </c>
      <c r="AZ82" s="132">
        <f>SUM(Financials!EW89:EY89)</f>
        <v>3898152.8232813259</v>
      </c>
      <c r="BA82" s="132">
        <f>SUM(Financials!EZ89:FB89)</f>
        <v>3921771.7465069429</v>
      </c>
      <c r="BB82" s="132">
        <f>SUM(Financials!FC89:FE89)</f>
        <v>3850627.402732865</v>
      </c>
      <c r="BC82" s="132">
        <f>SUM(Financials!FF89:FH89)</f>
        <v>3925036.4907631194</v>
      </c>
      <c r="BD82" s="132">
        <f>SUM(Financials!FI89:FK89)</f>
        <v>3999988.1846435452</v>
      </c>
      <c r="BE82" s="132">
        <f>SUM(Financials!FL89:FN89)</f>
        <v>4024456.8437985848</v>
      </c>
      <c r="BF82" s="132">
        <f>SUM(Financials!FO89:FQ89)</f>
        <v>3960697.0572515232</v>
      </c>
      <c r="BG82" s="132">
        <f>SUM(Financials!FR89:FT89)</f>
        <v>4036768.900117524</v>
      </c>
      <c r="BH82" s="132">
        <f>SUM(Financials!FU89:FW89)</f>
        <v>4113400.9929829286</v>
      </c>
      <c r="BI82" s="132">
        <f>SUM(Financials!FX89:FZ89)</f>
        <v>4138763.0804610914</v>
      </c>
      <c r="BJ82" s="132">
        <f>SUM(Financials!GA89:GC89)</f>
        <v>4075327.7493946711</v>
      </c>
      <c r="BK82" s="132">
        <f>SUM(Financials!GD89:GF89)</f>
        <v>4153123.3902569222</v>
      </c>
      <c r="BL82" s="132">
        <f>SUM(Financials!GG89:GI89)</f>
        <v>4231497.7641040841</v>
      </c>
      <c r="BM82" s="132">
        <f>SUM(Financials!GJ89:GL89)</f>
        <v>4257799.7686009277</v>
      </c>
      <c r="BN82" s="132">
        <f>SUM(Financials!GM89:GO89)</f>
        <v>4183549.8843870163</v>
      </c>
      <c r="BO82" s="132">
        <f>SUM(Financials!GP89:GR89)</f>
        <v>4260119.4267212003</v>
      </c>
      <c r="BP82" s="132">
        <f>SUM(Financials!GS89:GU89)</f>
        <v>4331170.5120950677</v>
      </c>
      <c r="BQ82" s="132">
        <f>SUM(Financials!GV89:GX89)</f>
        <v>4349170.4741810728</v>
      </c>
      <c r="BR82" s="132">
        <f>SUM(Financials!GY89:HA89)</f>
        <v>4259352.7249436136</v>
      </c>
      <c r="BS82" s="132">
        <f>SUM(Financials!HB89:HD89)</f>
        <v>4331170.7382157138</v>
      </c>
      <c r="BT82" s="132">
        <f>SUM(Financials!HE89:HG89)</f>
        <v>4403437.8188492246</v>
      </c>
      <c r="BU82" s="132">
        <f>SUM(Financials!HH89:HJ89)</f>
        <v>4421808.178454373</v>
      </c>
      <c r="BV82" s="132">
        <f>SUM(Financials!HK89:HM89)</f>
        <v>4330634.9880783912</v>
      </c>
      <c r="BW82" s="132">
        <f>SUM(Financials!HN89:HP89)</f>
        <v>4403684.5296991039</v>
      </c>
      <c r="BX82" s="132">
        <f>SUM(Financials!HQ89:HS89)</f>
        <v>4477192.2206197912</v>
      </c>
      <c r="BY82" s="132">
        <f>SUM(Financials!HT89:HV89)</f>
        <v>4495940.5251035718</v>
      </c>
      <c r="BZ82" s="132">
        <f>SUM(Financials!HW89:HY89)</f>
        <v>4403384.6061852034</v>
      </c>
      <c r="CA82" s="132">
        <f>SUM(Financials!HZ89:IB89)</f>
        <v>4477690.6052413303</v>
      </c>
      <c r="CB82" s="132">
        <f>SUM(Financials!IC89:IE89)</f>
        <v>4552464.0190279251</v>
      </c>
      <c r="CC82" s="132">
        <f>SUM(Financials!IF89:IH89)</f>
        <v>4571597.9688029261</v>
      </c>
      <c r="CD82" s="132">
        <f>SUM(Financials!II89:IK89)</f>
        <v>4477631.483875935</v>
      </c>
      <c r="CE82" s="132">
        <f>SUM(Financials!IL89:IN89)</f>
        <v>4553219.3733499236</v>
      </c>
      <c r="CF82" s="132">
        <f>SUM(Financials!IO89:IQ89)</f>
        <v>4629284.1301822662</v>
      </c>
      <c r="CG82" s="132">
        <f>SUM(Financials!IR89:IT89)</f>
        <v>4648811.5818106318</v>
      </c>
      <c r="CH82" s="132">
        <f>SUM(Financials!IU89:IW89)</f>
        <v>4553406.1322509609</v>
      </c>
      <c r="CI82" s="132">
        <f>SUM(Financials!IX89:IZ89)</f>
        <v>4630301.8591989297</v>
      </c>
      <c r="CJ82" s="132">
        <f>SUM(Financials!JA89:JC89)</f>
        <v>4707684.0971108023</v>
      </c>
      <c r="CK82" s="132">
        <f>SUM(Financials!JD89:JF89)</f>
        <v>4727613.06646326</v>
      </c>
      <c r="CL82" s="132">
        <f>SUM(Financials!JG89:JI89)</f>
        <v>4630739.6811696831</v>
      </c>
      <c r="CM82" s="132">
        <f>SUM(Financials!JJ89:JL89)</f>
        <v>4708969.71710495</v>
      </c>
      <c r="CN82" s="132">
        <f>SUM(Financials!JM89:JO89)</f>
        <v>4787696.1024439279</v>
      </c>
      <c r="CO82" s="132">
        <f>SUM(Financials!JP89:JR89)</f>
        <v>4808034.7679226547</v>
      </c>
    </row>
    <row r="83" spans="1:93" ht="15.75" thickBot="1" x14ac:dyDescent="0.3">
      <c r="A83" t="s">
        <v>266</v>
      </c>
    </row>
    <row r="84" spans="1:93" x14ac:dyDescent="0.25">
      <c r="A84" s="163" t="str">
        <f>Financials!B91</f>
        <v>Net Income</v>
      </c>
      <c r="B84" s="165">
        <f>SUM(Financials!C91:E91)</f>
        <v>-2734818.6286106352</v>
      </c>
      <c r="C84" s="165">
        <f>SUM(Financials!F91:H91)</f>
        <v>-3581490.3804807356</v>
      </c>
      <c r="D84" s="165">
        <f>SUM(Financials!I91:K91)</f>
        <v>-4658113.5752508864</v>
      </c>
      <c r="E84" s="165">
        <f>SUM(Financials!L91:N91)</f>
        <v>-5503616.5637448486</v>
      </c>
      <c r="F84" s="165">
        <f>SUM(Financials!O91:Q91)</f>
        <v>-6018777.4971868452</v>
      </c>
      <c r="G84" s="165">
        <f>SUM(Financials!R91:T91)</f>
        <v>-3452818.9928631606</v>
      </c>
      <c r="H84" s="165">
        <f>SUM(Financials!U91:W91)</f>
        <v>-3184391.9292196459</v>
      </c>
      <c r="I84" s="165">
        <f>SUM(Financials!X91:Z91)</f>
        <v>-3079930.0308551951</v>
      </c>
      <c r="J84" s="165">
        <f>SUM(Financials!AA91:AC91)</f>
        <v>-2625756.7045414173</v>
      </c>
      <c r="K84" s="165">
        <f>SUM(Financials!AD91:AF91)</f>
        <v>3067840.6313547669</v>
      </c>
      <c r="L84" s="165">
        <f>SUM(Financials!AG91:AI91)</f>
        <v>3397013.0115629127</v>
      </c>
      <c r="M84" s="165">
        <f>SUM(Financials!AJ91:AL91)</f>
        <v>3512913.6347738653</v>
      </c>
      <c r="N84" s="165">
        <f>SUM(Financials!AM91:AO91)</f>
        <v>3292394.4101175852</v>
      </c>
      <c r="O84" s="165">
        <f>SUM(Financials!AP91:AR91)</f>
        <v>4146586.378537111</v>
      </c>
      <c r="P84" s="165">
        <f>SUM(Financials!AS91:AU91)</f>
        <v>4464714.8770534927</v>
      </c>
      <c r="Q84" s="165">
        <f>SUM(Financials!AV91:AX91)</f>
        <v>4588133.9129544627</v>
      </c>
      <c r="R84" s="165">
        <f>SUM(Financials!AY91:BA91)</f>
        <v>4596411.7617551778</v>
      </c>
      <c r="S84" s="165">
        <f>SUM(Financials!BB91:BD91)</f>
        <v>4721369.6935397089</v>
      </c>
      <c r="T84" s="165">
        <f>SUM(Financials!BE91:BG91)</f>
        <v>5069729.6144432304</v>
      </c>
      <c r="U84" s="165">
        <f>SUM(Financials!BH91:BJ91)</f>
        <v>5198504.5280855559</v>
      </c>
      <c r="V84" s="165">
        <f>SUM(Financials!BK91:BM91)</f>
        <v>4992426.8573837047</v>
      </c>
      <c r="W84" s="165">
        <f>SUM(Financials!BN91:BP91)</f>
        <v>5346880.8910860661</v>
      </c>
      <c r="X84" s="165">
        <f>SUM(Financials!BQ91:BS91)</f>
        <v>5704163.5597820897</v>
      </c>
      <c r="Y84" s="165">
        <f>SUM(Financials!BT91:BV91)</f>
        <v>5838607.6137793697</v>
      </c>
      <c r="Z84" s="165">
        <f>SUM(Financials!BW91:BY91)</f>
        <v>5639584.496477874</v>
      </c>
      <c r="AA84" s="165">
        <f>SUM(Financials!BZ91:CB91)</f>
        <v>6003244.9894736344</v>
      </c>
      <c r="AB84" s="165">
        <f>SUM(Financials!CC91:CE91)</f>
        <v>6369846.6746634617</v>
      </c>
      <c r="AC84" s="165">
        <f>SUM(Financials!CF91:CH91)</f>
        <v>6510294.2660600571</v>
      </c>
      <c r="AD84" s="165">
        <f>SUM(Financials!CI91:CK91)</f>
        <v>6283399.7288036533</v>
      </c>
      <c r="AE84" s="165">
        <f>SUM(Financials!CL91:CN91)</f>
        <v>6656680.2790905628</v>
      </c>
      <c r="AF84" s="165">
        <f>SUM(Financials!CO91:CQ91)</f>
        <v>7033020.8551786849</v>
      </c>
      <c r="AG84" s="165">
        <f>SUM(Financials!CR91:CT91)</f>
        <v>7179829.0125585524</v>
      </c>
      <c r="AH84" s="165">
        <f>SUM(Financials!CU91:CW91)</f>
        <v>6961628.238978032</v>
      </c>
      <c r="AI84" s="165">
        <f>SUM(Financials!CX91:CZ91)</f>
        <v>16442398.837051436</v>
      </c>
      <c r="AJ84" s="165">
        <f>SUM(Financials!DA91:DC91)</f>
        <v>16828923.38866587</v>
      </c>
      <c r="AK84" s="165">
        <f>SUM(Financials!DD91:DF91)</f>
        <v>16982473.376865849</v>
      </c>
      <c r="AL84" s="165">
        <f>SUM(Financials!DG91:DI91)</f>
        <v>16773884.487552444</v>
      </c>
      <c r="AM84" s="165">
        <f>SUM(Financials!DJ91:DL91)</f>
        <v>17167746.811949141</v>
      </c>
      <c r="AN84" s="165">
        <f>SUM(Financials!DM91:DO91)</f>
        <v>17564927.352393121</v>
      </c>
      <c r="AO84" s="165">
        <f>SUM(Financials!DP91:DR91)</f>
        <v>16524259.798423799</v>
      </c>
      <c r="AP84" s="165">
        <f>SUM(Financials!DS91:DU91)</f>
        <v>14022111.764333002</v>
      </c>
      <c r="AQ84" s="165">
        <f>SUM(Financials!DV91:DX91)</f>
        <v>14346014.817795373</v>
      </c>
      <c r="AR84" s="165">
        <f>SUM(Financials!DY91:EA91)</f>
        <v>14672684.667259034</v>
      </c>
      <c r="AS84" s="165">
        <f>SUM(Financials!EB91:ED91)</f>
        <v>14807311.158043101</v>
      </c>
      <c r="AT84" s="165">
        <f>SUM(Financials!EE91:EG91)</f>
        <v>14598043.003959937</v>
      </c>
      <c r="AU84" s="165">
        <f>SUM(Financials!EH91:EJ91)</f>
        <v>14915014.832627352</v>
      </c>
      <c r="AV84" s="165">
        <f>SUM(Financials!EK91:EM91)</f>
        <v>15202072.645655233</v>
      </c>
      <c r="AW84" s="165">
        <f>SUM(Financials!EN91:EP91)</f>
        <v>15293313.706386732</v>
      </c>
      <c r="AX84" s="165">
        <f>SUM(Financials!EQ91:ES91)</f>
        <v>15008073.433466442</v>
      </c>
      <c r="AY84" s="165">
        <f>SUM(Financials!ET91:EV91)</f>
        <v>15299290.859191146</v>
      </c>
      <c r="AZ84" s="165">
        <f>SUM(Financials!EW91:EY91)</f>
        <v>15592611.293125303</v>
      </c>
      <c r="BA84" s="165">
        <f>SUM(Financials!EZ91:FB91)</f>
        <v>15687086.986027772</v>
      </c>
      <c r="BB84" s="165">
        <f>SUM(Financials!FC91:FE91)</f>
        <v>15402509.61093146</v>
      </c>
      <c r="BC84" s="165">
        <f>SUM(Financials!FF91:FH91)</f>
        <v>15700145.963052474</v>
      </c>
      <c r="BD84" s="165">
        <f>SUM(Financials!FI91:FK91)</f>
        <v>15999952.738574181</v>
      </c>
      <c r="BE84" s="165">
        <f>SUM(Financials!FL91:FN91)</f>
        <v>16097827.375194337</v>
      </c>
      <c r="BF84" s="165">
        <f>SUM(Financials!FO91:FQ91)</f>
        <v>15842788.229006093</v>
      </c>
      <c r="BG84" s="165">
        <f>SUM(Financials!FR91:FT91)</f>
        <v>16147075.600470094</v>
      </c>
      <c r="BH84" s="165">
        <f>SUM(Financials!FU91:FW91)</f>
        <v>16453603.971931715</v>
      </c>
      <c r="BI84" s="165">
        <f>SUM(Financials!FX91:FZ91)</f>
        <v>16555052.321844365</v>
      </c>
      <c r="BJ84" s="165">
        <f>SUM(Financials!GA91:GC91)</f>
        <v>16301310.997578684</v>
      </c>
      <c r="BK84" s="165">
        <f>SUM(Financials!GD91:GF91)</f>
        <v>16612493.561027687</v>
      </c>
      <c r="BL84" s="165">
        <f>SUM(Financials!GG91:GI91)</f>
        <v>16925991.056416333</v>
      </c>
      <c r="BM84" s="165">
        <f>SUM(Financials!GJ91:GL91)</f>
        <v>17031199.074403707</v>
      </c>
      <c r="BN84" s="165">
        <f>SUM(Financials!GM91:GO91)</f>
        <v>16734199.537548065</v>
      </c>
      <c r="BO84" s="165">
        <f>SUM(Financials!GP91:GR91)</f>
        <v>17040477.706884801</v>
      </c>
      <c r="BP84" s="165">
        <f>SUM(Financials!GS91:GU91)</f>
        <v>17324682.048380271</v>
      </c>
      <c r="BQ84" s="165">
        <f>SUM(Financials!GV91:GX91)</f>
        <v>17396681.896724291</v>
      </c>
      <c r="BR84" s="165">
        <f>SUM(Financials!GY91:HA91)</f>
        <v>17037410.899774455</v>
      </c>
      <c r="BS84" s="165">
        <f>SUM(Financials!HB91:HD91)</f>
        <v>17324682.952862855</v>
      </c>
      <c r="BT84" s="165">
        <f>SUM(Financials!HE91:HG91)</f>
        <v>17613751.275396898</v>
      </c>
      <c r="BU84" s="165">
        <f>SUM(Financials!HH91:HJ91)</f>
        <v>17687232.713817488</v>
      </c>
      <c r="BV84" s="165">
        <f>SUM(Financials!HK91:HM91)</f>
        <v>17322539.952313565</v>
      </c>
      <c r="BW84" s="165">
        <f>SUM(Financials!HN91:HP91)</f>
        <v>17614738.118796416</v>
      </c>
      <c r="BX84" s="165">
        <f>SUM(Financials!HQ91:HS91)</f>
        <v>17908768.882479165</v>
      </c>
      <c r="BY84" s="165">
        <f>SUM(Financials!HT91:HV91)</f>
        <v>17983762.100414287</v>
      </c>
      <c r="BZ84" s="165">
        <f>SUM(Financials!HW91:HY91)</f>
        <v>17613538.424740814</v>
      </c>
      <c r="CA84" s="165">
        <f>SUM(Financials!HZ91:IB91)</f>
        <v>17910762.420965321</v>
      </c>
      <c r="CB84" s="165">
        <f>SUM(Financials!IC91:IE91)</f>
        <v>18209856.0761117</v>
      </c>
      <c r="CC84" s="165">
        <f>SUM(Financials!IF91:IH91)</f>
        <v>18286391.875211705</v>
      </c>
      <c r="CD84" s="165">
        <f>SUM(Financials!II91:IK91)</f>
        <v>17910525.93550374</v>
      </c>
      <c r="CE84" s="165">
        <f>SUM(Financials!IL91:IN91)</f>
        <v>18212877.493399695</v>
      </c>
      <c r="CF84" s="165">
        <f>SUM(Financials!IO91:IQ91)</f>
        <v>18517136.520729065</v>
      </c>
      <c r="CG84" s="165">
        <f>SUM(Financials!IR91:IT91)</f>
        <v>18595246.327242527</v>
      </c>
      <c r="CH84" s="165">
        <f>SUM(Financials!IU91:IW91)</f>
        <v>18213624.529003844</v>
      </c>
      <c r="CI84" s="165">
        <f>SUM(Financials!IX91:IZ91)</f>
        <v>18521207.436795719</v>
      </c>
      <c r="CJ84" s="165">
        <f>SUM(Financials!JA91:JC91)</f>
        <v>18830736.388443209</v>
      </c>
      <c r="CK84" s="165">
        <f>SUM(Financials!JD91:JF91)</f>
        <v>18910452.265853036</v>
      </c>
      <c r="CL84" s="165">
        <f>SUM(Financials!JG91:JI91)</f>
        <v>18522958.724678729</v>
      </c>
      <c r="CM84" s="165">
        <f>SUM(Financials!JJ91:JL91)</f>
        <v>18835878.868419796</v>
      </c>
      <c r="CN84" s="165">
        <f>SUM(Financials!JM91:JO91)</f>
        <v>19150784.409775712</v>
      </c>
      <c r="CO84" s="165">
        <f>SUM(Financials!JP91:JR91)</f>
        <v>19232139.071690619</v>
      </c>
    </row>
    <row r="85" spans="1:93" x14ac:dyDescent="0.25">
      <c r="A85" t="s">
        <v>266</v>
      </c>
    </row>
    <row r="86" spans="1:93" x14ac:dyDescent="0.25">
      <c r="A86" t="s">
        <v>266</v>
      </c>
    </row>
    <row r="87" spans="1:93" x14ac:dyDescent="0.25">
      <c r="A87" s="134" t="str">
        <f>Financials!B94</f>
        <v>Cashflow Statement</v>
      </c>
    </row>
    <row r="88" spans="1:93" x14ac:dyDescent="0.25">
      <c r="A88" s="152" t="str">
        <f>Financials!B95</f>
        <v>Net Income</v>
      </c>
      <c r="B88" s="132">
        <f>SUM(Financials!C95:E95)</f>
        <v>-2734818.6286106352</v>
      </c>
      <c r="C88" s="132">
        <f>SUM(Financials!F95:H95)</f>
        <v>-3581490.3804807356</v>
      </c>
      <c r="D88" s="132">
        <f>SUM(Financials!I95:K95)</f>
        <v>-4658113.5752508864</v>
      </c>
      <c r="E88" s="132">
        <f>SUM(Financials!L95:N95)</f>
        <v>-5503616.5637448486</v>
      </c>
      <c r="F88" s="132">
        <f>SUM(Financials!O95:Q95)</f>
        <v>-6018777.4971868452</v>
      </c>
      <c r="G88" s="132">
        <f>SUM(Financials!R95:T95)</f>
        <v>-3452818.9928631606</v>
      </c>
      <c r="H88" s="132">
        <f>SUM(Financials!U95:W95)</f>
        <v>-3184391.9292196459</v>
      </c>
      <c r="I88" s="132">
        <f>SUM(Financials!X95:Z95)</f>
        <v>-3079930.0308551951</v>
      </c>
      <c r="J88" s="132">
        <f>SUM(Financials!AA95:AC95)</f>
        <v>-2625756.7045414173</v>
      </c>
      <c r="K88" s="132">
        <f>SUM(Financials!AD95:AF95)</f>
        <v>3067840.6313547669</v>
      </c>
      <c r="L88" s="132">
        <f>SUM(Financials!AG95:AI95)</f>
        <v>3397013.0115629127</v>
      </c>
      <c r="M88" s="132">
        <f>SUM(Financials!AJ95:AL95)</f>
        <v>3512913.6347738653</v>
      </c>
      <c r="N88" s="132">
        <f>SUM(Financials!AM95:AO95)</f>
        <v>3292394.4101175852</v>
      </c>
      <c r="O88" s="132">
        <f>SUM(Financials!AP95:AR95)</f>
        <v>4146586.378537111</v>
      </c>
      <c r="P88" s="132">
        <f>SUM(Financials!AS95:AU95)</f>
        <v>4464714.8770534927</v>
      </c>
      <c r="Q88" s="132">
        <f>SUM(Financials!AV95:AX95)</f>
        <v>4588133.9129544627</v>
      </c>
      <c r="R88" s="132">
        <f>SUM(Financials!AY95:BA95)</f>
        <v>4596411.7617551778</v>
      </c>
      <c r="S88" s="132">
        <f>SUM(Financials!BB95:BD95)</f>
        <v>4721369.6935397089</v>
      </c>
      <c r="T88" s="132">
        <f>SUM(Financials!BE95:BG95)</f>
        <v>5069729.6144432304</v>
      </c>
      <c r="U88" s="132">
        <f>SUM(Financials!BH95:BJ95)</f>
        <v>5198504.5280855559</v>
      </c>
      <c r="V88" s="132">
        <f>SUM(Financials!BK95:BM95)</f>
        <v>4992426.8573837047</v>
      </c>
      <c r="W88" s="132">
        <f>SUM(Financials!BN95:BP95)</f>
        <v>5346880.8910860661</v>
      </c>
      <c r="X88" s="132">
        <f>SUM(Financials!BQ95:BS95)</f>
        <v>5704163.5597820897</v>
      </c>
      <c r="Y88" s="132">
        <f>SUM(Financials!BT95:BV95)</f>
        <v>5838607.6137793697</v>
      </c>
      <c r="Z88" s="132">
        <f>SUM(Financials!BW95:BY95)</f>
        <v>5639584.496477874</v>
      </c>
      <c r="AA88" s="132">
        <f>SUM(Financials!BZ95:CB95)</f>
        <v>6003244.9894736344</v>
      </c>
      <c r="AB88" s="132">
        <f>SUM(Financials!CC95:CE95)</f>
        <v>6369846.6746634617</v>
      </c>
      <c r="AC88" s="132">
        <f>SUM(Financials!CF95:CH95)</f>
        <v>6510294.2660600571</v>
      </c>
      <c r="AD88" s="132">
        <f>SUM(Financials!CI95:CK95)</f>
        <v>6283399.7288036533</v>
      </c>
      <c r="AE88" s="132">
        <f>SUM(Financials!CL95:CN95)</f>
        <v>6656680.2790905628</v>
      </c>
      <c r="AF88" s="132">
        <f>SUM(Financials!CO95:CQ95)</f>
        <v>7033020.8551786849</v>
      </c>
      <c r="AG88" s="132">
        <f>SUM(Financials!CR95:CT95)</f>
        <v>7179829.0125585524</v>
      </c>
      <c r="AH88" s="132">
        <f>SUM(Financials!CU95:CW95)</f>
        <v>6961628.238978032</v>
      </c>
      <c r="AI88" s="132">
        <f>SUM(Financials!CX95:CZ95)</f>
        <v>16442398.837051436</v>
      </c>
      <c r="AJ88" s="132">
        <f>SUM(Financials!DA95:DC95)</f>
        <v>16828923.38866587</v>
      </c>
      <c r="AK88" s="132">
        <f>SUM(Financials!DD95:DF95)</f>
        <v>16982473.376865849</v>
      </c>
      <c r="AL88" s="132">
        <f>SUM(Financials!DG95:DI95)</f>
        <v>16773884.487552444</v>
      </c>
      <c r="AM88" s="132">
        <f>SUM(Financials!DJ95:DL95)</f>
        <v>17167746.811949141</v>
      </c>
      <c r="AN88" s="132">
        <f>SUM(Financials!DM95:DO95)</f>
        <v>17564927.352393121</v>
      </c>
      <c r="AO88" s="132">
        <f>SUM(Financials!DP95:DR95)</f>
        <v>16524259.798423799</v>
      </c>
      <c r="AP88" s="132">
        <f>SUM(Financials!DS95:DU95)</f>
        <v>14022111.764333002</v>
      </c>
      <c r="AQ88" s="132">
        <f>SUM(Financials!DV95:DX95)</f>
        <v>14346014.817795373</v>
      </c>
      <c r="AR88" s="132">
        <f>SUM(Financials!DY95:EA95)</f>
        <v>14672684.667259034</v>
      </c>
      <c r="AS88" s="132">
        <f>SUM(Financials!EB95:ED95)</f>
        <v>14807311.158043101</v>
      </c>
      <c r="AT88" s="132">
        <f>SUM(Financials!EE95:EG95)</f>
        <v>14598043.003959937</v>
      </c>
      <c r="AU88" s="132">
        <f>SUM(Financials!EH95:EJ95)</f>
        <v>14915014.832627352</v>
      </c>
      <c r="AV88" s="132">
        <f>SUM(Financials!EK95:EM95)</f>
        <v>15202072.645655233</v>
      </c>
      <c r="AW88" s="132">
        <f>SUM(Financials!EN95:EP95)</f>
        <v>15293313.706386732</v>
      </c>
      <c r="AX88" s="132">
        <f>SUM(Financials!EQ95:ES95)</f>
        <v>15008073.433466442</v>
      </c>
      <c r="AY88" s="132">
        <f>SUM(Financials!ET95:EV95)</f>
        <v>15299290.859191146</v>
      </c>
      <c r="AZ88" s="132">
        <f>SUM(Financials!EW95:EY95)</f>
        <v>15592611.293125303</v>
      </c>
      <c r="BA88" s="132">
        <f>SUM(Financials!EZ95:FB95)</f>
        <v>15687086.986027772</v>
      </c>
      <c r="BB88" s="132">
        <f>SUM(Financials!FC95:FE95)</f>
        <v>15402509.61093146</v>
      </c>
      <c r="BC88" s="132">
        <f>SUM(Financials!FF95:FH95)</f>
        <v>15700145.963052474</v>
      </c>
      <c r="BD88" s="132">
        <f>SUM(Financials!FI95:FK95)</f>
        <v>15999952.738574181</v>
      </c>
      <c r="BE88" s="132">
        <f>SUM(Financials!FL95:FN95)</f>
        <v>16097827.375194337</v>
      </c>
      <c r="BF88" s="132">
        <f>SUM(Financials!FO95:FQ95)</f>
        <v>15842788.229006093</v>
      </c>
      <c r="BG88" s="132">
        <f>SUM(Financials!FR95:FT95)</f>
        <v>16147075.600470094</v>
      </c>
      <c r="BH88" s="132">
        <f>SUM(Financials!FU95:FW95)</f>
        <v>16453603.971931715</v>
      </c>
      <c r="BI88" s="132">
        <f>SUM(Financials!FX95:FZ95)</f>
        <v>16555052.321844365</v>
      </c>
      <c r="BJ88" s="132">
        <f>SUM(Financials!GA95:GC95)</f>
        <v>16301310.997578684</v>
      </c>
      <c r="BK88" s="132">
        <f>SUM(Financials!GD95:GF95)</f>
        <v>16612493.561027687</v>
      </c>
      <c r="BL88" s="132">
        <f>SUM(Financials!GG95:GI95)</f>
        <v>16925991.056416333</v>
      </c>
      <c r="BM88" s="132">
        <f>SUM(Financials!GJ95:GL95)</f>
        <v>17031199.074403707</v>
      </c>
      <c r="BN88" s="132">
        <f>SUM(Financials!GM95:GO95)</f>
        <v>16734199.537548065</v>
      </c>
      <c r="BO88" s="132">
        <f>SUM(Financials!GP95:GR95)</f>
        <v>17040477.706884801</v>
      </c>
      <c r="BP88" s="132">
        <f>SUM(Financials!GS95:GU95)</f>
        <v>17324682.048380271</v>
      </c>
      <c r="BQ88" s="132">
        <f>SUM(Financials!GV95:GX95)</f>
        <v>17396681.896724291</v>
      </c>
      <c r="BR88" s="132">
        <f>SUM(Financials!GY95:HA95)</f>
        <v>17037410.899774455</v>
      </c>
      <c r="BS88" s="132">
        <f>SUM(Financials!HB95:HD95)</f>
        <v>17324682.952862855</v>
      </c>
      <c r="BT88" s="132">
        <f>SUM(Financials!HE95:HG95)</f>
        <v>17613751.275396898</v>
      </c>
      <c r="BU88" s="132">
        <f>SUM(Financials!HH95:HJ95)</f>
        <v>17687232.713817488</v>
      </c>
      <c r="BV88" s="132">
        <f>SUM(Financials!HK95:HM95)</f>
        <v>17322539.952313565</v>
      </c>
      <c r="BW88" s="132">
        <f>SUM(Financials!HN95:HP95)</f>
        <v>17614738.118796416</v>
      </c>
      <c r="BX88" s="132">
        <f>SUM(Financials!HQ95:HS95)</f>
        <v>17908768.882479165</v>
      </c>
      <c r="BY88" s="132">
        <f>SUM(Financials!HT95:HV95)</f>
        <v>17983762.100414287</v>
      </c>
      <c r="BZ88" s="132">
        <f>SUM(Financials!HW95:HY95)</f>
        <v>17613538.424740814</v>
      </c>
      <c r="CA88" s="132">
        <f>SUM(Financials!HZ95:IB95)</f>
        <v>17910762.420965321</v>
      </c>
      <c r="CB88" s="132">
        <f>SUM(Financials!IC95:IE95)</f>
        <v>18209856.0761117</v>
      </c>
      <c r="CC88" s="132">
        <f>SUM(Financials!IF95:IH95)</f>
        <v>18286391.875211705</v>
      </c>
      <c r="CD88" s="132">
        <f>SUM(Financials!II95:IK95)</f>
        <v>17910525.93550374</v>
      </c>
      <c r="CE88" s="132">
        <f>SUM(Financials!IL95:IN95)</f>
        <v>18212877.493399695</v>
      </c>
      <c r="CF88" s="132">
        <f>SUM(Financials!IO95:IQ95)</f>
        <v>18517136.520729065</v>
      </c>
      <c r="CG88" s="132">
        <f>SUM(Financials!IR95:IT95)</f>
        <v>18595246.327242527</v>
      </c>
      <c r="CH88" s="132">
        <f>SUM(Financials!IU95:IW95)</f>
        <v>18213624.529003844</v>
      </c>
      <c r="CI88" s="132">
        <f>SUM(Financials!IX95:IZ95)</f>
        <v>18521207.436795719</v>
      </c>
      <c r="CJ88" s="132">
        <f>SUM(Financials!JA95:JC95)</f>
        <v>18830736.388443209</v>
      </c>
      <c r="CK88" s="132">
        <f>SUM(Financials!JD95:JF95)</f>
        <v>18910452.265853036</v>
      </c>
      <c r="CL88" s="132">
        <f>SUM(Financials!JG95:JI95)</f>
        <v>18522958.724678729</v>
      </c>
      <c r="CM88" s="132">
        <f>SUM(Financials!JJ95:JL95)</f>
        <v>18835878.868419796</v>
      </c>
      <c r="CN88" s="132">
        <f>SUM(Financials!JM95:JO95)</f>
        <v>19150784.409775712</v>
      </c>
      <c r="CO88" s="132">
        <f>SUM(Financials!JP95:JR95)</f>
        <v>19232139.071690619</v>
      </c>
    </row>
    <row r="89" spans="1:93" x14ac:dyDescent="0.25">
      <c r="A89" s="152" t="str">
        <f>Financials!B96</f>
        <v>Depreciation</v>
      </c>
      <c r="B89" s="132">
        <f>SUM(Financials!C96:E96)</f>
        <v>0</v>
      </c>
      <c r="C89" s="132">
        <f>SUM(Financials!F96:H96)</f>
        <v>0</v>
      </c>
      <c r="D89" s="132">
        <f>SUM(Financials!I96:K96)</f>
        <v>0</v>
      </c>
      <c r="E89" s="132">
        <f>SUM(Financials!L96:N96)</f>
        <v>0</v>
      </c>
      <c r="F89" s="132">
        <f>SUM(Financials!O96:Q96)</f>
        <v>0</v>
      </c>
      <c r="G89" s="132">
        <f>SUM(Financials!R96:T96)</f>
        <v>9097431.5983964279</v>
      </c>
      <c r="H89" s="132">
        <f>SUM(Financials!U96:W96)</f>
        <v>9097431.5983964279</v>
      </c>
      <c r="I89" s="132">
        <f>SUM(Financials!X96:Z96)</f>
        <v>9097431.5983964279</v>
      </c>
      <c r="J89" s="132">
        <f>SUM(Financials!AA96:AC96)</f>
        <v>9097431.5983964279</v>
      </c>
      <c r="K89" s="132">
        <f>SUM(Financials!AD96:AF96)</f>
        <v>9097431.5983964279</v>
      </c>
      <c r="L89" s="132">
        <f>SUM(Financials!AG96:AI96)</f>
        <v>9097431.5983964279</v>
      </c>
      <c r="M89" s="132">
        <f>SUM(Financials!AJ96:AL96)</f>
        <v>9097431.5983964279</v>
      </c>
      <c r="N89" s="132">
        <f>SUM(Financials!AM96:AO96)</f>
        <v>9097431.5983964279</v>
      </c>
      <c r="O89" s="132">
        <f>SUM(Financials!AP96:AR96)</f>
        <v>9097431.5983964279</v>
      </c>
      <c r="P89" s="132">
        <f>SUM(Financials!AS96:AU96)</f>
        <v>9097431.5983964279</v>
      </c>
      <c r="Q89" s="132">
        <f>SUM(Financials!AV96:AX96)</f>
        <v>9097431.5983964279</v>
      </c>
      <c r="R89" s="132">
        <f>SUM(Financials!AY96:BA96)</f>
        <v>9097431.5983964279</v>
      </c>
      <c r="S89" s="132">
        <f>SUM(Financials!BB96:BD96)</f>
        <v>9097431.5983964279</v>
      </c>
      <c r="T89" s="132">
        <f>SUM(Financials!BE96:BG96)</f>
        <v>9097431.5983964279</v>
      </c>
      <c r="U89" s="132">
        <f>SUM(Financials!BH96:BJ96)</f>
        <v>9097431.5983964279</v>
      </c>
      <c r="V89" s="132">
        <f>SUM(Financials!BK96:BM96)</f>
        <v>9097431.5983964279</v>
      </c>
      <c r="W89" s="132">
        <f>SUM(Financials!BN96:BP96)</f>
        <v>9097431.5983964279</v>
      </c>
      <c r="X89" s="132">
        <f>SUM(Financials!BQ96:BS96)</f>
        <v>9097431.5983964279</v>
      </c>
      <c r="Y89" s="132">
        <f>SUM(Financials!BT96:BV96)</f>
        <v>9097431.5983964279</v>
      </c>
      <c r="Z89" s="132">
        <f>SUM(Financials!BW96:BY96)</f>
        <v>9097431.5983964279</v>
      </c>
      <c r="AA89" s="132">
        <f>SUM(Financials!BZ96:CB96)</f>
        <v>9097431.5983964279</v>
      </c>
      <c r="AB89" s="132">
        <f>SUM(Financials!CC96:CE96)</f>
        <v>9097431.5983964279</v>
      </c>
      <c r="AC89" s="132">
        <f>SUM(Financials!CF96:CH96)</f>
        <v>9097431.5983964279</v>
      </c>
      <c r="AD89" s="132">
        <f>SUM(Financials!CI96:CK96)</f>
        <v>9133145.8841107152</v>
      </c>
      <c r="AE89" s="132">
        <f>SUM(Financials!CL96:CN96)</f>
        <v>9133145.8841107152</v>
      </c>
      <c r="AF89" s="132">
        <f>SUM(Financials!CO96:CQ96)</f>
        <v>9133145.8841107152</v>
      </c>
      <c r="AG89" s="132">
        <f>SUM(Financials!CR96:CT96)</f>
        <v>9133145.8841107152</v>
      </c>
      <c r="AH89" s="132">
        <f>SUM(Financials!CU96:CW96)</f>
        <v>9168860.1698249988</v>
      </c>
      <c r="AI89" s="132">
        <f>SUM(Financials!CX96:CZ96)</f>
        <v>71428.571428571435</v>
      </c>
      <c r="AJ89" s="132">
        <f>SUM(Financials!DA96:DC96)</f>
        <v>71428.571428571435</v>
      </c>
      <c r="AK89" s="132">
        <f>SUM(Financials!DD96:DF96)</f>
        <v>71428.571428571435</v>
      </c>
      <c r="AL89" s="132">
        <f>SUM(Financials!DG96:DI96)</f>
        <v>107142.85714285716</v>
      </c>
      <c r="AM89" s="132">
        <f>SUM(Financials!DJ96:DL96)</f>
        <v>107142.85714285716</v>
      </c>
      <c r="AN89" s="132">
        <f>SUM(Financials!DM96:DO96)</f>
        <v>107142.85714285716</v>
      </c>
      <c r="AO89" s="132">
        <f>SUM(Financials!DP96:DR96)</f>
        <v>107142.85714285716</v>
      </c>
      <c r="AP89" s="132">
        <f>SUM(Financials!DS96:DU96)</f>
        <v>142857.14285714287</v>
      </c>
      <c r="AQ89" s="132">
        <f>SUM(Financials!DV96:DX96)</f>
        <v>142857.14285714287</v>
      </c>
      <c r="AR89" s="132">
        <f>SUM(Financials!DY96:EA96)</f>
        <v>142857.14285714287</v>
      </c>
      <c r="AS89" s="132">
        <f>SUM(Financials!EB96:ED96)</f>
        <v>142857.14285714287</v>
      </c>
      <c r="AT89" s="132">
        <f>SUM(Financials!EE96:EG96)</f>
        <v>178571.42857142858</v>
      </c>
      <c r="AU89" s="132">
        <f>SUM(Financials!EH96:EJ96)</f>
        <v>178571.42857142858</v>
      </c>
      <c r="AV89" s="132">
        <f>SUM(Financials!EK96:EM96)</f>
        <v>178571.42857142858</v>
      </c>
      <c r="AW89" s="132">
        <f>SUM(Financials!EN96:EP96)</f>
        <v>178571.42857142858</v>
      </c>
      <c r="AX89" s="132">
        <f>SUM(Financials!EQ96:ES96)</f>
        <v>214285.71428571432</v>
      </c>
      <c r="AY89" s="132">
        <f>SUM(Financials!ET96:EV96)</f>
        <v>214285.71428571432</v>
      </c>
      <c r="AZ89" s="132">
        <f>SUM(Financials!EW96:EY96)</f>
        <v>214285.71428571432</v>
      </c>
      <c r="BA89" s="132">
        <f>SUM(Financials!EZ96:FB96)</f>
        <v>214285.71428571432</v>
      </c>
      <c r="BB89" s="132">
        <f>SUM(Financials!FC96:FE96)</f>
        <v>250000</v>
      </c>
      <c r="BC89" s="132">
        <f>SUM(Financials!FF96:FH96)</f>
        <v>250000</v>
      </c>
      <c r="BD89" s="132">
        <f>SUM(Financials!FI96:FK96)</f>
        <v>250000</v>
      </c>
      <c r="BE89" s="132">
        <f>SUM(Financials!FL96:FN96)</f>
        <v>250000</v>
      </c>
      <c r="BF89" s="132">
        <f>SUM(Financials!FO96:FQ96)</f>
        <v>250000</v>
      </c>
      <c r="BG89" s="132">
        <f>SUM(Financials!FR96:FT96)</f>
        <v>250000</v>
      </c>
      <c r="BH89" s="132">
        <f>SUM(Financials!FU96:FW96)</f>
        <v>250000</v>
      </c>
      <c r="BI89" s="132">
        <f>SUM(Financials!FX96:FZ96)</f>
        <v>250000</v>
      </c>
      <c r="BJ89" s="132">
        <f>SUM(Financials!GA96:GC96)</f>
        <v>250000</v>
      </c>
      <c r="BK89" s="132">
        <f>SUM(Financials!GD96:GF96)</f>
        <v>250000</v>
      </c>
      <c r="BL89" s="132">
        <f>SUM(Financials!GG96:GI96)</f>
        <v>250000</v>
      </c>
      <c r="BM89" s="132">
        <f>SUM(Financials!GJ96:GL96)</f>
        <v>250000</v>
      </c>
      <c r="BN89" s="132">
        <f>SUM(Financials!GM96:GO96)</f>
        <v>250000</v>
      </c>
      <c r="BO89" s="132">
        <f>SUM(Financials!GP96:GR96)</f>
        <v>250000</v>
      </c>
      <c r="BP89" s="132">
        <f>SUM(Financials!GS96:GU96)</f>
        <v>250000</v>
      </c>
      <c r="BQ89" s="132">
        <f>SUM(Financials!GV96:GX96)</f>
        <v>250000</v>
      </c>
      <c r="BR89" s="132">
        <f>SUM(Financials!GY96:HA96)</f>
        <v>250000</v>
      </c>
      <c r="BS89" s="132">
        <f>SUM(Financials!HB96:HD96)</f>
        <v>250000</v>
      </c>
      <c r="BT89" s="132">
        <f>SUM(Financials!HE96:HG96)</f>
        <v>250000</v>
      </c>
      <c r="BU89" s="132">
        <f>SUM(Financials!HH96:HJ96)</f>
        <v>250000</v>
      </c>
      <c r="BV89" s="132">
        <f>SUM(Financials!HK96:HM96)</f>
        <v>250000</v>
      </c>
      <c r="BW89" s="132">
        <f>SUM(Financials!HN96:HP96)</f>
        <v>250000</v>
      </c>
      <c r="BX89" s="132">
        <f>SUM(Financials!HQ96:HS96)</f>
        <v>250000</v>
      </c>
      <c r="BY89" s="132">
        <f>SUM(Financials!HT96:HV96)</f>
        <v>250000</v>
      </c>
      <c r="BZ89" s="132">
        <f>SUM(Financials!HW96:HY96)</f>
        <v>250000</v>
      </c>
      <c r="CA89" s="132">
        <f>SUM(Financials!HZ96:IB96)</f>
        <v>250000</v>
      </c>
      <c r="CB89" s="132">
        <f>SUM(Financials!IC96:IE96)</f>
        <v>250000</v>
      </c>
      <c r="CC89" s="132">
        <f>SUM(Financials!IF96:IH96)</f>
        <v>250000</v>
      </c>
      <c r="CD89" s="132">
        <f>SUM(Financials!II96:IK96)</f>
        <v>250000</v>
      </c>
      <c r="CE89" s="132">
        <f>SUM(Financials!IL96:IN96)</f>
        <v>250000</v>
      </c>
      <c r="CF89" s="132">
        <f>SUM(Financials!IO96:IQ96)</f>
        <v>250000</v>
      </c>
      <c r="CG89" s="132">
        <f>SUM(Financials!IR96:IT96)</f>
        <v>250000</v>
      </c>
      <c r="CH89" s="132">
        <f>SUM(Financials!IU96:IW96)</f>
        <v>250000</v>
      </c>
      <c r="CI89" s="132">
        <f>SUM(Financials!IX96:IZ96)</f>
        <v>250000</v>
      </c>
      <c r="CJ89" s="132">
        <f>SUM(Financials!JA96:JC96)</f>
        <v>250000</v>
      </c>
      <c r="CK89" s="132">
        <f>SUM(Financials!JD96:JF96)</f>
        <v>250000</v>
      </c>
      <c r="CL89" s="132">
        <f>SUM(Financials!JG96:JI96)</f>
        <v>250000</v>
      </c>
      <c r="CM89" s="132">
        <f>SUM(Financials!JJ96:JL96)</f>
        <v>250000</v>
      </c>
      <c r="CN89" s="132">
        <f>SUM(Financials!JM96:JO96)</f>
        <v>250000</v>
      </c>
      <c r="CO89" s="132">
        <f>SUM(Financials!JP96:JR96)</f>
        <v>250000</v>
      </c>
    </row>
    <row r="90" spans="1:93" ht="15.75" thickBot="1" x14ac:dyDescent="0.3">
      <c r="A90" s="152" t="str">
        <f>Financials!B97</f>
        <v>Amortization</v>
      </c>
      <c r="B90" s="132">
        <f>SUM(Financials!C97:E97)</f>
        <v>0</v>
      </c>
      <c r="C90" s="132">
        <f>SUM(Financials!F97:H97)</f>
        <v>0</v>
      </c>
      <c r="D90" s="132">
        <f>SUM(Financials!I97:K97)</f>
        <v>0</v>
      </c>
      <c r="E90" s="132">
        <f>SUM(Financials!L97:N97)</f>
        <v>0</v>
      </c>
      <c r="F90" s="132">
        <f>SUM(Financials!O97:Q97)</f>
        <v>0</v>
      </c>
      <c r="G90" s="132">
        <f>SUM(Financials!R97:T97)</f>
        <v>611347.40341223998</v>
      </c>
      <c r="H90" s="132">
        <f>SUM(Financials!U97:W97)</f>
        <v>611347.40341223998</v>
      </c>
      <c r="I90" s="132">
        <f>SUM(Financials!X97:Z97)</f>
        <v>611347.40341223998</v>
      </c>
      <c r="J90" s="132">
        <f>SUM(Financials!AA97:AC97)</f>
        <v>50945.616951019998</v>
      </c>
      <c r="K90" s="132">
        <f>SUM(Financials!AD97:AF97)</f>
        <v>50945.616951019998</v>
      </c>
      <c r="L90" s="132">
        <f>SUM(Financials!AG97:AI97)</f>
        <v>50945.616951019998</v>
      </c>
      <c r="M90" s="132">
        <f>SUM(Financials!AJ97:AL97)</f>
        <v>50945.616951019998</v>
      </c>
      <c r="N90" s="132">
        <f>SUM(Financials!AM97:AO97)</f>
        <v>50945.616951019998</v>
      </c>
      <c r="O90" s="132">
        <f>SUM(Financials!AP97:AR97)</f>
        <v>50945.616951019998</v>
      </c>
      <c r="P90" s="132">
        <f>SUM(Financials!AS97:AU97)</f>
        <v>50945.616951019998</v>
      </c>
      <c r="Q90" s="132">
        <f>SUM(Financials!AV97:AX97)</f>
        <v>50945.616951019998</v>
      </c>
      <c r="R90" s="132">
        <f>SUM(Financials!AY97:BA97)</f>
        <v>50945.616951019998</v>
      </c>
      <c r="S90" s="132">
        <f>SUM(Financials!BB97:BD97)</f>
        <v>50945.616951019998</v>
      </c>
      <c r="T90" s="132">
        <f>SUM(Financials!BE97:BG97)</f>
        <v>50945.616951019998</v>
      </c>
      <c r="U90" s="132">
        <f>SUM(Financials!BH97:BJ97)</f>
        <v>50945.616951019998</v>
      </c>
      <c r="V90" s="132">
        <f>SUM(Financials!BK97:BM97)</f>
        <v>50945.616951019998</v>
      </c>
      <c r="W90" s="132">
        <f>SUM(Financials!BN97:BP97)</f>
        <v>50945.616951019998</v>
      </c>
      <c r="X90" s="132">
        <f>SUM(Financials!BQ97:BS97)</f>
        <v>50945.616951019998</v>
      </c>
      <c r="Y90" s="132">
        <f>SUM(Financials!BT97:BV97)</f>
        <v>50945.616951019998</v>
      </c>
      <c r="Z90" s="132">
        <f>SUM(Financials!BW97:BY97)</f>
        <v>50945.616951019998</v>
      </c>
      <c r="AA90" s="132">
        <f>SUM(Financials!BZ97:CB97)</f>
        <v>50945.616951019998</v>
      </c>
      <c r="AB90" s="132">
        <f>SUM(Financials!CC97:CE97)</f>
        <v>50945.616951019998</v>
      </c>
      <c r="AC90" s="132">
        <f>SUM(Financials!CF97:CH97)</f>
        <v>50945.616951019998</v>
      </c>
      <c r="AD90" s="132">
        <f>SUM(Financials!CI97:CK97)</f>
        <v>50945.616951019998</v>
      </c>
      <c r="AE90" s="132">
        <f>SUM(Financials!CL97:CN97)</f>
        <v>50945.616951019998</v>
      </c>
      <c r="AF90" s="132">
        <f>SUM(Financials!CO97:CQ97)</f>
        <v>50945.616951019998</v>
      </c>
      <c r="AG90" s="132">
        <f>SUM(Financials!CR97:CT97)</f>
        <v>50945.616951019998</v>
      </c>
      <c r="AH90" s="132">
        <f>SUM(Financials!CU97:CW97)</f>
        <v>50945.616951019998</v>
      </c>
      <c r="AI90" s="132">
        <f>SUM(Financials!CX97:CZ97)</f>
        <v>50945.616951019998</v>
      </c>
      <c r="AJ90" s="132">
        <f>SUM(Financials!DA97:DC97)</f>
        <v>50945.616951019998</v>
      </c>
      <c r="AK90" s="132">
        <f>SUM(Financials!DD97:DF97)</f>
        <v>50945.616951019998</v>
      </c>
      <c r="AL90" s="132">
        <f>SUM(Financials!DG97:DI97)</f>
        <v>50945.616951019998</v>
      </c>
      <c r="AM90" s="132">
        <f>SUM(Financials!DJ97:DL97)</f>
        <v>50945.616951019998</v>
      </c>
      <c r="AN90" s="132">
        <f>SUM(Financials!DM97:DO97)</f>
        <v>50945.616951019998</v>
      </c>
      <c r="AO90" s="132">
        <f>SUM(Financials!DP97:DR97)</f>
        <v>50945.616951019998</v>
      </c>
      <c r="AP90" s="132">
        <f>SUM(Financials!DS97:DU97)</f>
        <v>50945.616951019998</v>
      </c>
      <c r="AQ90" s="132">
        <f>SUM(Financials!DV97:DX97)</f>
        <v>50945.616951019998</v>
      </c>
      <c r="AR90" s="132">
        <f>SUM(Financials!DY97:EA97)</f>
        <v>50945.616951019998</v>
      </c>
      <c r="AS90" s="132">
        <f>SUM(Financials!EB97:ED97)</f>
        <v>50945.616951019998</v>
      </c>
      <c r="AT90" s="132">
        <f>SUM(Financials!EE97:EG97)</f>
        <v>50945.616951019998</v>
      </c>
      <c r="AU90" s="132">
        <f>SUM(Financials!EH97:EJ97)</f>
        <v>50945.616951019998</v>
      </c>
      <c r="AV90" s="132">
        <f>SUM(Financials!EK97:EM97)</f>
        <v>50945.616951019998</v>
      </c>
      <c r="AW90" s="132">
        <f>SUM(Financials!EN97:EP97)</f>
        <v>50945.616951019998</v>
      </c>
      <c r="AX90" s="132">
        <f>SUM(Financials!EQ97:ES97)</f>
        <v>50945.616951019998</v>
      </c>
      <c r="AY90" s="132">
        <f>SUM(Financials!ET97:EV97)</f>
        <v>50945.616951019998</v>
      </c>
      <c r="AZ90" s="132">
        <f>SUM(Financials!EW97:EY97)</f>
        <v>50945.616951019998</v>
      </c>
      <c r="BA90" s="132">
        <f>SUM(Financials!EZ97:FB97)</f>
        <v>50945.616951019998</v>
      </c>
      <c r="BB90" s="132">
        <f>SUM(Financials!FC97:FE97)</f>
        <v>50945.616951019998</v>
      </c>
      <c r="BC90" s="132">
        <f>SUM(Financials!FF97:FH97)</f>
        <v>50945.616951019998</v>
      </c>
      <c r="BD90" s="132">
        <f>SUM(Financials!FI97:FK97)</f>
        <v>50945.616951019998</v>
      </c>
      <c r="BE90" s="132">
        <f>SUM(Financials!FL97:FN97)</f>
        <v>50945.616951019998</v>
      </c>
      <c r="BF90" s="132">
        <f>SUM(Financials!FO97:FQ97)</f>
        <v>50945.616951019998</v>
      </c>
      <c r="BG90" s="132">
        <f>SUM(Financials!FR97:FT97)</f>
        <v>50945.616951019998</v>
      </c>
      <c r="BH90" s="132">
        <f>SUM(Financials!FU97:FW97)</f>
        <v>50945.616951019998</v>
      </c>
      <c r="BI90" s="132">
        <f>SUM(Financials!FX97:FZ97)</f>
        <v>50945.616951019998</v>
      </c>
      <c r="BJ90" s="132">
        <f>SUM(Financials!GA97:GC97)</f>
        <v>50945.616951019998</v>
      </c>
      <c r="BK90" s="132">
        <f>SUM(Financials!GD97:GF97)</f>
        <v>50945.616951019998</v>
      </c>
      <c r="BL90" s="132">
        <f>SUM(Financials!GG97:GI97)</f>
        <v>50945.616951019998</v>
      </c>
      <c r="BM90" s="132">
        <f>SUM(Financials!GJ97:GL97)</f>
        <v>50945.616951019998</v>
      </c>
      <c r="BN90" s="132">
        <f>SUM(Financials!GM97:GO97)</f>
        <v>50945.616951019998</v>
      </c>
      <c r="BO90" s="132">
        <f>SUM(Financials!GP97:GR97)</f>
        <v>50945.616951019998</v>
      </c>
      <c r="BP90" s="132">
        <f>SUM(Financials!GS97:GU97)</f>
        <v>50945.616951019998</v>
      </c>
      <c r="BQ90" s="132">
        <f>SUM(Financials!GV97:GX97)</f>
        <v>50945.616951019998</v>
      </c>
      <c r="BR90" s="132">
        <f>SUM(Financials!GY97:HA97)</f>
        <v>50945.616951019998</v>
      </c>
      <c r="BS90" s="132">
        <f>SUM(Financials!HB97:HD97)</f>
        <v>50945.616951019998</v>
      </c>
      <c r="BT90" s="132">
        <f>SUM(Financials!HE97:HG97)</f>
        <v>50945.616951019998</v>
      </c>
      <c r="BU90" s="132">
        <f>SUM(Financials!HH97:HJ97)</f>
        <v>50945.616951019998</v>
      </c>
      <c r="BV90" s="132">
        <f>SUM(Financials!HK97:HM97)</f>
        <v>50945.616951019998</v>
      </c>
      <c r="BW90" s="132">
        <f>SUM(Financials!HN97:HP97)</f>
        <v>50945.616951019998</v>
      </c>
      <c r="BX90" s="132">
        <f>SUM(Financials!HQ97:HS97)</f>
        <v>50945.616951019998</v>
      </c>
      <c r="BY90" s="132">
        <f>SUM(Financials!HT97:HV97)</f>
        <v>50945.616951019998</v>
      </c>
      <c r="BZ90" s="132">
        <f>SUM(Financials!HW97:HY97)</f>
        <v>50945.616951019998</v>
      </c>
      <c r="CA90" s="132">
        <f>SUM(Financials!HZ97:IB97)</f>
        <v>50945.616951019998</v>
      </c>
      <c r="CB90" s="132">
        <f>SUM(Financials!IC97:IE97)</f>
        <v>50945.616951019998</v>
      </c>
      <c r="CC90" s="132">
        <f>SUM(Financials!IF97:IH97)</f>
        <v>50945.616951019998</v>
      </c>
      <c r="CD90" s="132">
        <f>SUM(Financials!II97:IK97)</f>
        <v>50945.616951019998</v>
      </c>
      <c r="CE90" s="132">
        <f>SUM(Financials!IL97:IN97)</f>
        <v>50945.616951019998</v>
      </c>
      <c r="CF90" s="132">
        <f>SUM(Financials!IO97:IQ97)</f>
        <v>50945.616951019998</v>
      </c>
      <c r="CG90" s="132">
        <f>SUM(Financials!IR97:IT97)</f>
        <v>50945.616951019998</v>
      </c>
      <c r="CH90" s="132">
        <f>SUM(Financials!IU97:IW97)</f>
        <v>50945.616951019998</v>
      </c>
      <c r="CI90" s="132">
        <f>SUM(Financials!IX97:IZ97)</f>
        <v>50945.616951019998</v>
      </c>
      <c r="CJ90" s="132">
        <f>SUM(Financials!JA97:JC97)</f>
        <v>50945.616951019998</v>
      </c>
      <c r="CK90" s="132">
        <f>SUM(Financials!JD97:JF97)</f>
        <v>50945.616951019998</v>
      </c>
      <c r="CL90" s="132">
        <f>SUM(Financials!JG97:JI97)</f>
        <v>50945.616951019998</v>
      </c>
      <c r="CM90" s="132">
        <f>SUM(Financials!JJ97:JL97)</f>
        <v>50945.616951019998</v>
      </c>
      <c r="CN90" s="132">
        <f>SUM(Financials!JM97:JO97)</f>
        <v>50945.616951019998</v>
      </c>
      <c r="CO90" s="132">
        <f>SUM(Financials!JP97:JR97)</f>
        <v>50945.616951019998</v>
      </c>
    </row>
    <row r="91" spans="1:93" x14ac:dyDescent="0.25">
      <c r="A91" s="162" t="str">
        <f>Financials!B98</f>
        <v>Net Cashflow from Operating Activities</v>
      </c>
      <c r="B91" s="166">
        <f>SUM(Financials!C98:E98)</f>
        <v>-2734818.6286106352</v>
      </c>
      <c r="C91" s="166">
        <f>SUM(Financials!F98:H98)</f>
        <v>-3581490.3804807356</v>
      </c>
      <c r="D91" s="166">
        <f>SUM(Financials!I98:K98)</f>
        <v>-4658113.5752508864</v>
      </c>
      <c r="E91" s="166">
        <f>SUM(Financials!L98:N98)</f>
        <v>-5503616.5637448486</v>
      </c>
      <c r="F91" s="166">
        <f>SUM(Financials!O98:Q98)</f>
        <v>-6018777.4971868452</v>
      </c>
      <c r="G91" s="166">
        <f>SUM(Financials!R98:T98)</f>
        <v>6255960.008945507</v>
      </c>
      <c r="H91" s="166">
        <f>SUM(Financials!U98:W98)</f>
        <v>6524387.0725890221</v>
      </c>
      <c r="I91" s="166">
        <f>SUM(Financials!X98:Z98)</f>
        <v>6628848.970953472</v>
      </c>
      <c r="J91" s="166">
        <f>SUM(Financials!AA98:AC98)</f>
        <v>6522620.5108060315</v>
      </c>
      <c r="K91" s="166">
        <f>SUM(Financials!AD98:AF98)</f>
        <v>12216217.846702214</v>
      </c>
      <c r="L91" s="166">
        <f>SUM(Financials!AG98:AI98)</f>
        <v>12545390.226910362</v>
      </c>
      <c r="M91" s="166">
        <f>SUM(Financials!AJ98:AL98)</f>
        <v>12661290.850121314</v>
      </c>
      <c r="N91" s="166">
        <f>SUM(Financials!AM98:AO98)</f>
        <v>12440771.625465034</v>
      </c>
      <c r="O91" s="166">
        <f>SUM(Financials!AP98:AR98)</f>
        <v>13294963.593884559</v>
      </c>
      <c r="P91" s="166">
        <f>SUM(Financials!AS98:AU98)</f>
        <v>13613092.092400942</v>
      </c>
      <c r="Q91" s="166">
        <f>SUM(Financials!AV98:AX98)</f>
        <v>13736511.128301911</v>
      </c>
      <c r="R91" s="166">
        <f>SUM(Financials!AY98:BA98)</f>
        <v>13744788.977102624</v>
      </c>
      <c r="S91" s="166">
        <f>SUM(Financials!BB98:BD98)</f>
        <v>13869746.908887157</v>
      </c>
      <c r="T91" s="166">
        <f>SUM(Financials!BE98:BG98)</f>
        <v>14218106.829790678</v>
      </c>
      <c r="U91" s="166">
        <f>SUM(Financials!BH98:BJ98)</f>
        <v>14346881.743433002</v>
      </c>
      <c r="V91" s="166">
        <f>SUM(Financials!BK98:BM98)</f>
        <v>14140804.072731154</v>
      </c>
      <c r="W91" s="166">
        <f>SUM(Financials!BN98:BP98)</f>
        <v>14495258.106433515</v>
      </c>
      <c r="X91" s="166">
        <f>SUM(Financials!BQ98:BS98)</f>
        <v>14852540.775129538</v>
      </c>
      <c r="Y91" s="166">
        <f>SUM(Financials!BT98:BV98)</f>
        <v>14986984.82912682</v>
      </c>
      <c r="Z91" s="166">
        <f>SUM(Financials!BW98:BY98)</f>
        <v>14787961.711825322</v>
      </c>
      <c r="AA91" s="166">
        <f>SUM(Financials!BZ98:CB98)</f>
        <v>15151622.204821084</v>
      </c>
      <c r="AB91" s="166">
        <f>SUM(Financials!CC98:CE98)</f>
        <v>15518223.890010908</v>
      </c>
      <c r="AC91" s="166">
        <f>SUM(Financials!CF98:CH98)</f>
        <v>15658671.481407505</v>
      </c>
      <c r="AD91" s="166">
        <f>SUM(Financials!CI98:CK98)</f>
        <v>15467491.229865387</v>
      </c>
      <c r="AE91" s="166">
        <f>SUM(Financials!CL98:CN98)</f>
        <v>15840771.780152297</v>
      </c>
      <c r="AF91" s="166">
        <f>SUM(Financials!CO98:CQ98)</f>
        <v>16217112.35624042</v>
      </c>
      <c r="AG91" s="166">
        <f>SUM(Financials!CR98:CT98)</f>
        <v>16363920.513620285</v>
      </c>
      <c r="AH91" s="166">
        <f>SUM(Financials!CU98:CW98)</f>
        <v>16181434.025754051</v>
      </c>
      <c r="AI91" s="166">
        <f>SUM(Financials!CX98:CZ98)</f>
        <v>16564773.025431029</v>
      </c>
      <c r="AJ91" s="166">
        <f>SUM(Financials!DA98:DC98)</f>
        <v>16951297.577045463</v>
      </c>
      <c r="AK91" s="166">
        <f>SUM(Financials!DD98:DF98)</f>
        <v>17104847.565245442</v>
      </c>
      <c r="AL91" s="166">
        <f>SUM(Financials!DG98:DI98)</f>
        <v>16931972.961646318</v>
      </c>
      <c r="AM91" s="166">
        <f>SUM(Financials!DJ98:DL98)</f>
        <v>17325835.286043018</v>
      </c>
      <c r="AN91" s="166">
        <f>SUM(Financials!DM98:DO98)</f>
        <v>17723015.826486997</v>
      </c>
      <c r="AO91" s="166">
        <f>SUM(Financials!DP98:DR98)</f>
        <v>16682348.272517676</v>
      </c>
      <c r="AP91" s="166">
        <f>SUM(Financials!DS98:DU98)</f>
        <v>14215914.524141164</v>
      </c>
      <c r="AQ91" s="166">
        <f>SUM(Financials!DV98:DX98)</f>
        <v>14539817.577603538</v>
      </c>
      <c r="AR91" s="166">
        <f>SUM(Financials!DY98:EA98)</f>
        <v>14866487.427067194</v>
      </c>
      <c r="AS91" s="166">
        <f>SUM(Financials!EB98:ED98)</f>
        <v>15001113.917851266</v>
      </c>
      <c r="AT91" s="166">
        <f>SUM(Financials!EE98:EG98)</f>
        <v>14827560.049482387</v>
      </c>
      <c r="AU91" s="166">
        <f>SUM(Financials!EH98:EJ98)</f>
        <v>15144531.8781498</v>
      </c>
      <c r="AV91" s="166">
        <f>SUM(Financials!EK98:EM98)</f>
        <v>15431589.691177685</v>
      </c>
      <c r="AW91" s="166">
        <f>SUM(Financials!EN98:EP98)</f>
        <v>15522830.751909181</v>
      </c>
      <c r="AX91" s="166">
        <f>SUM(Financials!EQ98:ES98)</f>
        <v>15273304.764703177</v>
      </c>
      <c r="AY91" s="166">
        <f>SUM(Financials!ET98:EV98)</f>
        <v>15564522.190427881</v>
      </c>
      <c r="AZ91" s="166">
        <f>SUM(Financials!EW98:EY98)</f>
        <v>15857842.624362037</v>
      </c>
      <c r="BA91" s="166">
        <f>SUM(Financials!EZ98:FB98)</f>
        <v>15952318.317264508</v>
      </c>
      <c r="BB91" s="166">
        <f>SUM(Financials!FC98:FE98)</f>
        <v>15703455.227882478</v>
      </c>
      <c r="BC91" s="166">
        <f>SUM(Financials!FF98:FH98)</f>
        <v>16001091.580003496</v>
      </c>
      <c r="BD91" s="166">
        <f>SUM(Financials!FI98:FK98)</f>
        <v>16300898.355525199</v>
      </c>
      <c r="BE91" s="166">
        <f>SUM(Financials!FL98:FN98)</f>
        <v>16398772.992145356</v>
      </c>
      <c r="BF91" s="166">
        <f>SUM(Financials!FO98:FQ98)</f>
        <v>16143733.845957113</v>
      </c>
      <c r="BG91" s="166">
        <f>SUM(Financials!FR98:FT98)</f>
        <v>16448021.217421114</v>
      </c>
      <c r="BH91" s="166">
        <f>SUM(Financials!FU98:FW98)</f>
        <v>16754549.588882733</v>
      </c>
      <c r="BI91" s="166">
        <f>SUM(Financials!FX98:FZ98)</f>
        <v>16855997.938795384</v>
      </c>
      <c r="BJ91" s="166">
        <f>SUM(Financials!GA98:GC98)</f>
        <v>16602256.614529703</v>
      </c>
      <c r="BK91" s="166">
        <f>SUM(Financials!GD98:GF98)</f>
        <v>16913439.177978706</v>
      </c>
      <c r="BL91" s="166">
        <f>SUM(Financials!GG98:GI98)</f>
        <v>17226936.673367355</v>
      </c>
      <c r="BM91" s="166">
        <f>SUM(Financials!GJ98:GL98)</f>
        <v>17332144.691354729</v>
      </c>
      <c r="BN91" s="166">
        <f>SUM(Financials!GM98:GO98)</f>
        <v>17035145.154499084</v>
      </c>
      <c r="BO91" s="166">
        <f>SUM(Financials!GP98:GR98)</f>
        <v>17341423.323835824</v>
      </c>
      <c r="BP91" s="166">
        <f>SUM(Financials!GS98:GU98)</f>
        <v>17625627.665331293</v>
      </c>
      <c r="BQ91" s="166">
        <f>SUM(Financials!GV98:GX98)</f>
        <v>17697627.51367531</v>
      </c>
      <c r="BR91" s="166">
        <f>SUM(Financials!GY98:HA98)</f>
        <v>17338356.516725469</v>
      </c>
      <c r="BS91" s="166">
        <f>SUM(Financials!HB98:HD98)</f>
        <v>17625628.569813874</v>
      </c>
      <c r="BT91" s="166">
        <f>SUM(Financials!HE98:HG98)</f>
        <v>17914696.892347917</v>
      </c>
      <c r="BU91" s="166">
        <f>SUM(Financials!HH98:HJ98)</f>
        <v>17988178.330768511</v>
      </c>
      <c r="BV91" s="166">
        <f>SUM(Financials!HK98:HM98)</f>
        <v>17623485.569264583</v>
      </c>
      <c r="BW91" s="166">
        <f>SUM(Financials!HN98:HP98)</f>
        <v>17915683.735747434</v>
      </c>
      <c r="BX91" s="166">
        <f>SUM(Financials!HQ98:HS98)</f>
        <v>18209714.499430183</v>
      </c>
      <c r="BY91" s="166">
        <f>SUM(Financials!HT98:HV98)</f>
        <v>18284707.717365306</v>
      </c>
      <c r="BZ91" s="166">
        <f>SUM(Financials!HW98:HY98)</f>
        <v>17914484.041691832</v>
      </c>
      <c r="CA91" s="166">
        <f>SUM(Financials!HZ98:IB98)</f>
        <v>18211708.03791634</v>
      </c>
      <c r="CB91" s="166">
        <f>SUM(Financials!IC98:IE98)</f>
        <v>18510801.693062723</v>
      </c>
      <c r="CC91" s="166">
        <f>SUM(Financials!IF98:IH98)</f>
        <v>18587337.492162723</v>
      </c>
      <c r="CD91" s="166">
        <f>SUM(Financials!II98:IK98)</f>
        <v>18211471.552454758</v>
      </c>
      <c r="CE91" s="166">
        <f>SUM(Financials!IL98:IN98)</f>
        <v>18513823.110350713</v>
      </c>
      <c r="CF91" s="166">
        <f>SUM(Financials!IO98:IQ98)</f>
        <v>18818082.137680084</v>
      </c>
      <c r="CG91" s="166">
        <f>SUM(Financials!IR98:IT98)</f>
        <v>18896191.944193542</v>
      </c>
      <c r="CH91" s="166">
        <f>SUM(Financials!IU98:IW98)</f>
        <v>18514570.145954862</v>
      </c>
      <c r="CI91" s="166">
        <f>SUM(Financials!IX98:IZ98)</f>
        <v>18822153.053746741</v>
      </c>
      <c r="CJ91" s="166">
        <f>SUM(Financials!JA98:JC98)</f>
        <v>19131682.005394224</v>
      </c>
      <c r="CK91" s="166">
        <f>SUM(Financials!JD98:JF98)</f>
        <v>19211397.882804058</v>
      </c>
      <c r="CL91" s="166">
        <f>SUM(Financials!JG98:JI98)</f>
        <v>18823904.341629747</v>
      </c>
      <c r="CM91" s="166">
        <f>SUM(Financials!JJ98:JL98)</f>
        <v>19136824.485370815</v>
      </c>
      <c r="CN91" s="166">
        <f>SUM(Financials!JM98:JO98)</f>
        <v>19451730.02672673</v>
      </c>
      <c r="CO91" s="166">
        <f>SUM(Financials!JP98:JR98)</f>
        <v>19533084.688641638</v>
      </c>
    </row>
    <row r="92" spans="1:93" x14ac:dyDescent="0.25">
      <c r="A92" t="s">
        <v>266</v>
      </c>
    </row>
    <row r="93" spans="1:93" x14ac:dyDescent="0.25">
      <c r="A93" t="str">
        <f>Financials!B100</f>
        <v>Capital Expenditures</v>
      </c>
      <c r="B93" s="132">
        <f>SUM(Financials!C100:E100)</f>
        <v>0</v>
      </c>
      <c r="C93" s="132">
        <f>SUM(Financials!F100:H100)</f>
        <v>0</v>
      </c>
      <c r="D93" s="132">
        <f>SUM(Financials!I100:K100)</f>
        <v>0</v>
      </c>
      <c r="E93" s="132">
        <f>SUM(Financials!L100:N100)</f>
        <v>0</v>
      </c>
      <c r="F93" s="132">
        <f>SUM(Financials!O100:Q100)</f>
        <v>0</v>
      </c>
      <c r="G93" s="132">
        <f>SUM(Financials!R100:T100)</f>
        <v>0</v>
      </c>
      <c r="H93" s="132">
        <f>SUM(Financials!U100:W100)</f>
        <v>0</v>
      </c>
      <c r="I93" s="132">
        <f>SUM(Financials!X100:Z100)</f>
        <v>0</v>
      </c>
      <c r="J93" s="132">
        <f>SUM(Financials!AA100:AC100)</f>
        <v>0</v>
      </c>
      <c r="K93" s="132">
        <f>SUM(Financials!AD100:AF100)</f>
        <v>0</v>
      </c>
      <c r="L93" s="132">
        <f>SUM(Financials!AG100:AI100)</f>
        <v>0</v>
      </c>
      <c r="M93" s="132">
        <f>SUM(Financials!AJ100:AL100)</f>
        <v>0</v>
      </c>
      <c r="N93" s="132">
        <f>SUM(Financials!AM100:AO100)</f>
        <v>0</v>
      </c>
      <c r="O93" s="132">
        <f>SUM(Financials!AP100:AR100)</f>
        <v>0</v>
      </c>
      <c r="P93" s="132">
        <f>SUM(Financials!AS100:AU100)</f>
        <v>0</v>
      </c>
      <c r="Q93" s="132">
        <f>SUM(Financials!AV100:AX100)</f>
        <v>0</v>
      </c>
      <c r="R93" s="132">
        <f>SUM(Financials!AY100:BA100)</f>
        <v>0</v>
      </c>
      <c r="S93" s="132">
        <f>SUM(Financials!BB100:BD100)</f>
        <v>0</v>
      </c>
      <c r="T93" s="132">
        <f>SUM(Financials!BE100:BG100)</f>
        <v>0</v>
      </c>
      <c r="U93" s="132">
        <f>SUM(Financials!BH100:BJ100)</f>
        <v>0</v>
      </c>
      <c r="V93" s="132">
        <f>SUM(Financials!BK100:BM100)</f>
        <v>0</v>
      </c>
      <c r="W93" s="132">
        <f>SUM(Financials!BN100:BP100)</f>
        <v>0</v>
      </c>
      <c r="X93" s="132">
        <f>SUM(Financials!BQ100:BS100)</f>
        <v>0</v>
      </c>
      <c r="Y93" s="132">
        <f>SUM(Financials!BT100:BV100)</f>
        <v>0</v>
      </c>
      <c r="Z93" s="132">
        <f>SUM(Financials!BW100:BY100)</f>
        <v>0</v>
      </c>
      <c r="AA93" s="132">
        <f>SUM(Financials!BZ100:CB100)</f>
        <v>0</v>
      </c>
      <c r="AB93" s="132">
        <f>SUM(Financials!CC100:CE100)</f>
        <v>0</v>
      </c>
      <c r="AC93" s="132">
        <f>SUM(Financials!CF100:CH100)</f>
        <v>0</v>
      </c>
      <c r="AD93" s="132">
        <f>SUM(Financials!CI100:CK100)</f>
        <v>250000</v>
      </c>
      <c r="AE93" s="132">
        <f>SUM(Financials!CL100:CN100)</f>
        <v>250000</v>
      </c>
      <c r="AF93" s="132">
        <f>SUM(Financials!CO100:CQ100)</f>
        <v>250000</v>
      </c>
      <c r="AG93" s="132">
        <f>SUM(Financials!CR100:CT100)</f>
        <v>250000</v>
      </c>
      <c r="AH93" s="132">
        <f>SUM(Financials!CU100:CW100)</f>
        <v>250000</v>
      </c>
      <c r="AI93" s="132">
        <f>SUM(Financials!CX100:CZ100)</f>
        <v>250000</v>
      </c>
      <c r="AJ93" s="132">
        <f>SUM(Financials!DA100:DC100)</f>
        <v>250000</v>
      </c>
      <c r="AK93" s="132">
        <f>SUM(Financials!DD100:DF100)</f>
        <v>250000</v>
      </c>
      <c r="AL93" s="132">
        <f>SUM(Financials!DG100:DI100)</f>
        <v>250000</v>
      </c>
      <c r="AM93" s="132">
        <f>SUM(Financials!DJ100:DL100)</f>
        <v>250000</v>
      </c>
      <c r="AN93" s="132">
        <f>SUM(Financials!DM100:DO100)</f>
        <v>250000</v>
      </c>
      <c r="AO93" s="132">
        <f>SUM(Financials!DP100:DR100)</f>
        <v>250000</v>
      </c>
      <c r="AP93" s="132">
        <f>SUM(Financials!DS100:DU100)</f>
        <v>250000</v>
      </c>
      <c r="AQ93" s="132">
        <f>SUM(Financials!DV100:DX100)</f>
        <v>250000</v>
      </c>
      <c r="AR93" s="132">
        <f>SUM(Financials!DY100:EA100)</f>
        <v>250000</v>
      </c>
      <c r="AS93" s="132">
        <f>SUM(Financials!EB100:ED100)</f>
        <v>250000</v>
      </c>
      <c r="AT93" s="132">
        <f>SUM(Financials!EE100:EG100)</f>
        <v>250000</v>
      </c>
      <c r="AU93" s="132">
        <f>SUM(Financials!EH100:EJ100)</f>
        <v>250000</v>
      </c>
      <c r="AV93" s="132">
        <f>SUM(Financials!EK100:EM100)</f>
        <v>250000</v>
      </c>
      <c r="AW93" s="132">
        <f>SUM(Financials!EN100:EP100)</f>
        <v>250000</v>
      </c>
      <c r="AX93" s="132">
        <f>SUM(Financials!EQ100:ES100)</f>
        <v>250000</v>
      </c>
      <c r="AY93" s="132">
        <f>SUM(Financials!ET100:EV100)</f>
        <v>250000</v>
      </c>
      <c r="AZ93" s="132">
        <f>SUM(Financials!EW100:EY100)</f>
        <v>250000</v>
      </c>
      <c r="BA93" s="132">
        <f>SUM(Financials!EZ100:FB100)</f>
        <v>250000</v>
      </c>
      <c r="BB93" s="132">
        <f>SUM(Financials!FC100:FE100)</f>
        <v>250000</v>
      </c>
      <c r="BC93" s="132">
        <f>SUM(Financials!FF100:FH100)</f>
        <v>250000</v>
      </c>
      <c r="BD93" s="132">
        <f>SUM(Financials!FI100:FK100)</f>
        <v>250000</v>
      </c>
      <c r="BE93" s="132">
        <f>SUM(Financials!FL100:FN100)</f>
        <v>250000</v>
      </c>
      <c r="BF93" s="132">
        <f>SUM(Financials!FO100:FQ100)</f>
        <v>250000</v>
      </c>
      <c r="BG93" s="132">
        <f>SUM(Financials!FR100:FT100)</f>
        <v>250000</v>
      </c>
      <c r="BH93" s="132">
        <f>SUM(Financials!FU100:FW100)</f>
        <v>250000</v>
      </c>
      <c r="BI93" s="132">
        <f>SUM(Financials!FX100:FZ100)</f>
        <v>250000</v>
      </c>
      <c r="BJ93" s="132">
        <f>SUM(Financials!GA100:GC100)</f>
        <v>250000</v>
      </c>
      <c r="BK93" s="132">
        <f>SUM(Financials!GD100:GF100)</f>
        <v>250000</v>
      </c>
      <c r="BL93" s="132">
        <f>SUM(Financials!GG100:GI100)</f>
        <v>250000</v>
      </c>
      <c r="BM93" s="132">
        <f>SUM(Financials!GJ100:GL100)</f>
        <v>250000</v>
      </c>
      <c r="BN93" s="132">
        <f>SUM(Financials!GM100:GO100)</f>
        <v>250000</v>
      </c>
      <c r="BO93" s="132">
        <f>SUM(Financials!GP100:GR100)</f>
        <v>250000</v>
      </c>
      <c r="BP93" s="132">
        <f>SUM(Financials!GS100:GU100)</f>
        <v>250000</v>
      </c>
      <c r="BQ93" s="132">
        <f>SUM(Financials!GV100:GX100)</f>
        <v>250000</v>
      </c>
      <c r="BR93" s="132">
        <f>SUM(Financials!GY100:HA100)</f>
        <v>250000</v>
      </c>
      <c r="BS93" s="132">
        <f>SUM(Financials!HB100:HD100)</f>
        <v>250000</v>
      </c>
      <c r="BT93" s="132">
        <f>SUM(Financials!HE100:HG100)</f>
        <v>250000</v>
      </c>
      <c r="BU93" s="132">
        <f>SUM(Financials!HH100:HJ100)</f>
        <v>250000</v>
      </c>
      <c r="BV93" s="132">
        <f>SUM(Financials!HK100:HM100)</f>
        <v>250000</v>
      </c>
      <c r="BW93" s="132">
        <f>SUM(Financials!HN100:HP100)</f>
        <v>250000</v>
      </c>
      <c r="BX93" s="132">
        <f>SUM(Financials!HQ100:HS100)</f>
        <v>250000</v>
      </c>
      <c r="BY93" s="132">
        <f>SUM(Financials!HT100:HV100)</f>
        <v>250000</v>
      </c>
      <c r="BZ93" s="132">
        <f>SUM(Financials!HW100:HY100)</f>
        <v>250000</v>
      </c>
      <c r="CA93" s="132">
        <f>SUM(Financials!HZ100:IB100)</f>
        <v>250000</v>
      </c>
      <c r="CB93" s="132">
        <f>SUM(Financials!IC100:IE100)</f>
        <v>250000</v>
      </c>
      <c r="CC93" s="132">
        <f>SUM(Financials!IF100:IH100)</f>
        <v>250000</v>
      </c>
      <c r="CD93" s="132">
        <f>SUM(Financials!II100:IK100)</f>
        <v>250000</v>
      </c>
      <c r="CE93" s="132">
        <f>SUM(Financials!IL100:IN100)</f>
        <v>250000</v>
      </c>
      <c r="CF93" s="132">
        <f>SUM(Financials!IO100:IQ100)</f>
        <v>250000</v>
      </c>
      <c r="CG93" s="132">
        <f>SUM(Financials!IR100:IT100)</f>
        <v>250000</v>
      </c>
      <c r="CH93" s="132">
        <f>SUM(Financials!IU100:IW100)</f>
        <v>250000</v>
      </c>
      <c r="CI93" s="132">
        <f>SUM(Financials!IX100:IZ100)</f>
        <v>250000</v>
      </c>
      <c r="CJ93" s="132">
        <f>SUM(Financials!JA100:JC100)</f>
        <v>250000</v>
      </c>
      <c r="CK93" s="132">
        <f>SUM(Financials!JD100:JF100)</f>
        <v>250000</v>
      </c>
      <c r="CL93" s="132">
        <f>SUM(Financials!JG100:JI100)</f>
        <v>250000</v>
      </c>
      <c r="CM93" s="132">
        <f>SUM(Financials!JJ100:JL100)</f>
        <v>250000</v>
      </c>
      <c r="CN93" s="132">
        <f>SUM(Financials!JM100:JO100)</f>
        <v>250000</v>
      </c>
      <c r="CO93" s="132">
        <f>SUM(Financials!JP100:JR100)</f>
        <v>250000</v>
      </c>
    </row>
    <row r="94" spans="1:93" x14ac:dyDescent="0.25">
      <c r="A94" t="str">
        <f>Financials!B101</f>
        <v>Debt Amortization Payments</v>
      </c>
      <c r="B94" s="132">
        <f>SUM(Financials!C101:E101)</f>
        <v>0</v>
      </c>
      <c r="C94" s="132">
        <f>SUM(Financials!F101:H101)</f>
        <v>0</v>
      </c>
      <c r="D94" s="132">
        <f>SUM(Financials!I101:K101)</f>
        <v>0</v>
      </c>
      <c r="E94" s="132">
        <f>SUM(Financials!L101:N101)</f>
        <v>0</v>
      </c>
      <c r="F94" s="132">
        <f>SUM(Financials!O101:Q101)</f>
        <v>0</v>
      </c>
      <c r="G94" s="132">
        <f>SUM(Financials!R101:T101)</f>
        <v>2640525.7800120478</v>
      </c>
      <c r="H94" s="132">
        <f>SUM(Financials!U101:W101)</f>
        <v>2687005.0589677775</v>
      </c>
      <c r="I94" s="132">
        <f>SUM(Financials!X101:Z101)</f>
        <v>2734302.4792908812</v>
      </c>
      <c r="J94" s="132">
        <f>SUM(Financials!AA101:AC101)</f>
        <v>2782432.4421362821</v>
      </c>
      <c r="K94" s="132">
        <f>SUM(Financials!AD101:AF101)</f>
        <v>2831409.6021520933</v>
      </c>
      <c r="L94" s="132">
        <f>SUM(Financials!AG101:AI101)</f>
        <v>2881248.8719416722</v>
      </c>
      <c r="M94" s="132">
        <f>SUM(Financials!AJ101:AL101)</f>
        <v>2931965.4266042244</v>
      </c>
      <c r="N94" s="132">
        <f>SUM(Financials!AM101:AO101)</f>
        <v>2983574.7083553276</v>
      </c>
      <c r="O94" s="132">
        <f>SUM(Financials!AP101:AR101)</f>
        <v>3036092.4312287904</v>
      </c>
      <c r="P94" s="132">
        <f>SUM(Financials!AS101:AU101)</f>
        <v>3089534.5858612736</v>
      </c>
      <c r="Q94" s="132">
        <f>SUM(Financials!AV101:AX101)</f>
        <v>3143917.4443611307</v>
      </c>
      <c r="R94" s="132">
        <f>SUM(Financials!AY101:BA101)</f>
        <v>3199257.5652629538</v>
      </c>
      <c r="S94" s="132">
        <f>SUM(Financials!BB101:BD101)</f>
        <v>3255571.7985693244</v>
      </c>
      <c r="T94" s="132">
        <f>SUM(Financials!BE101:BG101)</f>
        <v>3312877.2908813218</v>
      </c>
      <c r="U94" s="132">
        <f>SUM(Financials!BH101:BJ101)</f>
        <v>3371191.4906193269</v>
      </c>
      <c r="V94" s="132">
        <f>SUM(Financials!BK101:BM101)</f>
        <v>3430532.1533357361</v>
      </c>
      <c r="W94" s="132">
        <f>SUM(Financials!BN101:BP101)</f>
        <v>3490917.3471211819</v>
      </c>
      <c r="X94" s="132">
        <f>SUM(Financials!BQ101:BS101)</f>
        <v>3552365.4581059194</v>
      </c>
      <c r="Y94" s="132">
        <f>SUM(Financials!BT101:BV101)</f>
        <v>3614895.1960580517</v>
      </c>
      <c r="Z94" s="132">
        <f>SUM(Financials!BW101:BY101)</f>
        <v>3678525.6000802927</v>
      </c>
      <c r="AA94" s="132">
        <f>SUM(Financials!BZ101:CB101)</f>
        <v>3743276.0444070073</v>
      </c>
      <c r="AB94" s="132">
        <f>SUM(Financials!CC101:CE101)</f>
        <v>3809166.2443032945</v>
      </c>
      <c r="AC94" s="132">
        <f>SUM(Financials!CF101:CH101)</f>
        <v>3876216.2620679056</v>
      </c>
      <c r="AD94" s="132">
        <f>SUM(Financials!CI101:CK101)</f>
        <v>3944446.5131418291</v>
      </c>
      <c r="AE94" s="132">
        <f>SUM(Financials!CL101:CN101)</f>
        <v>4013877.7723243991</v>
      </c>
      <c r="AF94" s="132">
        <f>SUM(Financials!CO101:CQ101)</f>
        <v>4084531.1800988228</v>
      </c>
      <c r="AG94" s="132">
        <f>SUM(Financials!CR101:CT101)</f>
        <v>4156428.24906905</v>
      </c>
      <c r="AH94" s="132">
        <f>SUM(Financials!CU101:CW101)</f>
        <v>4229590.8705099486</v>
      </c>
      <c r="AI94" s="132">
        <f>SUM(Financials!CX101:CZ101)</f>
        <v>4304041.3210327774</v>
      </c>
      <c r="AJ94" s="132">
        <f>SUM(Financials!DA101:DC101)</f>
        <v>4379802.2693679826</v>
      </c>
      <c r="AK94" s="132">
        <f>SUM(Financials!DD101:DF101)</f>
        <v>4456896.7832673937</v>
      </c>
      <c r="AL94" s="132">
        <f>SUM(Financials!DG101:DI101)</f>
        <v>4535348.3365279092</v>
      </c>
      <c r="AM94" s="132">
        <f>SUM(Financials!DJ101:DL101)</f>
        <v>4615180.816138817</v>
      </c>
      <c r="AN94" s="132">
        <f>SUM(Financials!DM101:DO101)</f>
        <v>4696418.5295549184</v>
      </c>
      <c r="AO94" s="132">
        <f>SUM(Financials!DP101:DR101)</f>
        <v>4779086.2120976904</v>
      </c>
      <c r="AP94" s="132">
        <f>SUM(Financials!DS101:DU101)</f>
        <v>4863209.0344867054</v>
      </c>
      <c r="AQ94" s="132">
        <f>SUM(Financials!DV101:DX101)</f>
        <v>4948812.6105036382</v>
      </c>
      <c r="AR94" s="132">
        <f>SUM(Financials!DY101:EA101)</f>
        <v>5035923.0047911666</v>
      </c>
      <c r="AS94" s="132">
        <f>SUM(Financials!EB101:ED101)</f>
        <v>5124566.7407891536</v>
      </c>
      <c r="AT94" s="132">
        <f>SUM(Financials!EE101:EG101)</f>
        <v>5214770.8088105256</v>
      </c>
      <c r="AU94" s="132">
        <f>SUM(Financials!EH101:EJ101)</f>
        <v>1829550.9536014241</v>
      </c>
      <c r="AV94" s="132">
        <f>SUM(Financials!EK101:EM101)</f>
        <v>1861755.2251066898</v>
      </c>
      <c r="AW94" s="132">
        <f>SUM(Financials!EN101:EP101)</f>
        <v>1894526.3652750796</v>
      </c>
      <c r="AX94" s="132">
        <f>SUM(Financials!EQ101:ES101)</f>
        <v>1927874.3522885614</v>
      </c>
      <c r="AY94" s="132">
        <f>SUM(Financials!ET101:EV101)</f>
        <v>1961809.3399678743</v>
      </c>
      <c r="AZ94" s="132">
        <f>SUM(Financials!EW101:EY101)</f>
        <v>1996341.660864172</v>
      </c>
      <c r="BA94" s="132">
        <f>SUM(Financials!EZ101:FB101)</f>
        <v>2031481.8294050856</v>
      </c>
      <c r="BB94" s="132">
        <f>SUM(Financials!FC101:FE101)</f>
        <v>2067240.5450961646</v>
      </c>
      <c r="BC94" s="132">
        <f>SUM(Financials!FF101:FH101)</f>
        <v>2103628.6957786703</v>
      </c>
      <c r="BD94" s="132">
        <f>SUM(Financials!FI101:FK101)</f>
        <v>2140657.3609447149</v>
      </c>
      <c r="BE94" s="132">
        <f>SUM(Financials!FL101:FN101)</f>
        <v>2178337.8151107528</v>
      </c>
      <c r="BF94" s="132">
        <f>SUM(Financials!FO101:FQ101)</f>
        <v>2216681.531250455</v>
      </c>
      <c r="BG94" s="132">
        <f>SUM(Financials!FR101:FT101)</f>
        <v>2255700.1842880081</v>
      </c>
      <c r="BH94" s="132">
        <f>SUM(Financials!FU101:FW101)</f>
        <v>2295405.6546529043</v>
      </c>
      <c r="BI94" s="132">
        <f>SUM(Financials!FX101:FZ101)</f>
        <v>2335810.031897305</v>
      </c>
      <c r="BJ94" s="132">
        <f>SUM(Financials!GA101:GC101)</f>
        <v>2376925.6183770746</v>
      </c>
      <c r="BK94" s="132">
        <f>SUM(Financials!GD101:GF101)</f>
        <v>2418764.9329976137</v>
      </c>
      <c r="BL94" s="132">
        <f>SUM(Financials!GG101:GI101)</f>
        <v>2461340.7150256233</v>
      </c>
      <c r="BM94" s="132">
        <f>SUM(Financials!GJ101:GL101)</f>
        <v>2504665.9279679675</v>
      </c>
      <c r="BN94" s="132">
        <f>SUM(Financials!GM101:GO101)</f>
        <v>2548753.7635188112</v>
      </c>
      <c r="BO94" s="132">
        <f>SUM(Financials!GP101:GR101)</f>
        <v>0</v>
      </c>
      <c r="BP94" s="132">
        <f>SUM(Financials!GS101:GU101)</f>
        <v>0</v>
      </c>
      <c r="BQ94" s="132">
        <f>SUM(Financials!GV101:GX101)</f>
        <v>0</v>
      </c>
      <c r="BR94" s="132">
        <f>SUM(Financials!GY101:HA101)</f>
        <v>0</v>
      </c>
      <c r="BS94" s="132">
        <f>SUM(Financials!HB101:HD101)</f>
        <v>0</v>
      </c>
      <c r="BT94" s="132">
        <f>SUM(Financials!HE101:HG101)</f>
        <v>0</v>
      </c>
      <c r="BU94" s="132">
        <f>SUM(Financials!HH101:HJ101)</f>
        <v>0</v>
      </c>
      <c r="BV94" s="132">
        <f>SUM(Financials!HK101:HM101)</f>
        <v>0</v>
      </c>
      <c r="BW94" s="132">
        <f>SUM(Financials!HN101:HP101)</f>
        <v>0</v>
      </c>
      <c r="BX94" s="132">
        <f>SUM(Financials!HQ101:HS101)</f>
        <v>0</v>
      </c>
      <c r="BY94" s="132">
        <f>SUM(Financials!HT101:HV101)</f>
        <v>0</v>
      </c>
      <c r="BZ94" s="132">
        <f>SUM(Financials!HW101:HY101)</f>
        <v>0</v>
      </c>
      <c r="CA94" s="132">
        <f>SUM(Financials!HZ101:IB101)</f>
        <v>0</v>
      </c>
      <c r="CB94" s="132">
        <f>SUM(Financials!IC101:IE101)</f>
        <v>0</v>
      </c>
      <c r="CC94" s="132">
        <f>SUM(Financials!IF101:IH101)</f>
        <v>0</v>
      </c>
      <c r="CD94" s="132">
        <f>SUM(Financials!II101:IK101)</f>
        <v>0</v>
      </c>
      <c r="CE94" s="132">
        <f>SUM(Financials!IL101:IN101)</f>
        <v>0</v>
      </c>
      <c r="CF94" s="132">
        <f>SUM(Financials!IO101:IQ101)</f>
        <v>0</v>
      </c>
      <c r="CG94" s="132">
        <f>SUM(Financials!IR101:IT101)</f>
        <v>0</v>
      </c>
      <c r="CH94" s="132">
        <f>SUM(Financials!IU101:IW101)</f>
        <v>0</v>
      </c>
      <c r="CI94" s="132">
        <f>SUM(Financials!IX101:IZ101)</f>
        <v>0</v>
      </c>
      <c r="CJ94" s="132">
        <f>SUM(Financials!JA101:JC101)</f>
        <v>0</v>
      </c>
      <c r="CK94" s="132">
        <f>SUM(Financials!JD101:JF101)</f>
        <v>0</v>
      </c>
      <c r="CL94" s="132">
        <f>SUM(Financials!JG101:JI101)</f>
        <v>0</v>
      </c>
      <c r="CM94" s="132">
        <f>SUM(Financials!JJ101:JL101)</f>
        <v>0</v>
      </c>
      <c r="CN94" s="132">
        <f>SUM(Financials!JM101:JO101)</f>
        <v>0</v>
      </c>
      <c r="CO94" s="132">
        <f>SUM(Financials!JP101:JR101)</f>
        <v>0</v>
      </c>
    </row>
    <row r="95" spans="1:93" x14ac:dyDescent="0.25">
      <c r="A95" t="str">
        <f>Financials!B102</f>
        <v>Maintenance Fund Contributions</v>
      </c>
      <c r="B95" s="132">
        <f>SUM(Financials!C102:E102)</f>
        <v>0</v>
      </c>
      <c r="C95" s="132">
        <f>SUM(Financials!F102:H102)</f>
        <v>0</v>
      </c>
      <c r="D95" s="132">
        <f>SUM(Financials!I102:K102)</f>
        <v>0</v>
      </c>
      <c r="E95" s="132">
        <f>SUM(Financials!L102:N102)</f>
        <v>0</v>
      </c>
      <c r="F95" s="132">
        <f>SUM(Financials!O102:Q102)</f>
        <v>0</v>
      </c>
      <c r="G95" s="132">
        <f>SUM(Financials!R102:T102)</f>
        <v>180771.711446673</v>
      </c>
      <c r="H95" s="132">
        <f>SUM(Financials!U102:W102)</f>
        <v>191869.10068106223</v>
      </c>
      <c r="I95" s="132">
        <f>SUM(Financials!X102:Z102)</f>
        <v>194727.32458312955</v>
      </c>
      <c r="J95" s="132">
        <f>SUM(Financials!AA102:AC102)</f>
        <v>187009.40343348743</v>
      </c>
      <c r="K95" s="132">
        <f>SUM(Financials!AD102:AF102)</f>
        <v>469240.41222750617</v>
      </c>
      <c r="L95" s="132">
        <f>SUM(Financials!AG102:AI102)</f>
        <v>483207.06774843449</v>
      </c>
      <c r="M95" s="132">
        <f>SUM(Financials!AJ102:AL102)</f>
        <v>486466.27117585449</v>
      </c>
      <c r="N95" s="132">
        <f>SUM(Financials!AM102:AO102)</f>
        <v>472859.8458554853</v>
      </c>
      <c r="O95" s="132">
        <f>SUM(Financials!AP102:AR102)</f>
        <v>512943.55813278852</v>
      </c>
      <c r="P95" s="132">
        <f>SUM(Financials!AS102:AU102)</f>
        <v>526177.8753269834</v>
      </c>
      <c r="Q95" s="132">
        <f>SUM(Financials!AV102:AX102)</f>
        <v>529629.68419703899</v>
      </c>
      <c r="R95" s="132">
        <f>SUM(Financials!AY102:BA102)</f>
        <v>527276.57059198362</v>
      </c>
      <c r="S95" s="132">
        <f>SUM(Financials!BB102:BD102)</f>
        <v>530708.75551589171</v>
      </c>
      <c r="T95" s="132">
        <f>SUM(Financials!BE102:BG102)</f>
        <v>545261.47694546788</v>
      </c>
      <c r="U95" s="132">
        <f>SUM(Financials!BH102:BJ102)</f>
        <v>548784.51264068391</v>
      </c>
      <c r="V95" s="132">
        <f>SUM(Financials!BK102:BM102)</f>
        <v>535513.5959697708</v>
      </c>
      <c r="W95" s="132">
        <f>SUM(Financials!BN102:BP102)</f>
        <v>550217.03796561668</v>
      </c>
      <c r="X95" s="132">
        <f>SUM(Financials!BQ102:BS102)</f>
        <v>565008.765851181</v>
      </c>
      <c r="Y95" s="132">
        <f>SUM(Financials!BT102:BV102)</f>
        <v>568604.48165343842</v>
      </c>
      <c r="Z95" s="132">
        <f>SUM(Financials!BW102:BY102)</f>
        <v>555471.80558725155</v>
      </c>
      <c r="AA95" s="132">
        <f>SUM(Financials!BZ102:CB102)</f>
        <v>570417.30802070384</v>
      </c>
      <c r="AB95" s="132">
        <f>SUM(Financials!CC102:CE102)</f>
        <v>585452.88228538074</v>
      </c>
      <c r="AC95" s="132">
        <f>SUM(Financials!CF102:CH102)</f>
        <v>589122.76096698001</v>
      </c>
      <c r="AD95" s="132">
        <f>SUM(Financials!CI102:CK102)</f>
        <v>563652.23583617806</v>
      </c>
      <c r="AE95" s="132">
        <f>SUM(Financials!CL102:CN102)</f>
        <v>578844.70039139502</v>
      </c>
      <c r="AF95" s="132">
        <f>SUM(Financials!CO102:CQ102)</f>
        <v>594129.05880707991</v>
      </c>
      <c r="AG95" s="132">
        <f>SUM(Financials!CR102:CT102)</f>
        <v>597874.61322756181</v>
      </c>
      <c r="AH95" s="132">
        <f>SUM(Financials!CU102:CW102)</f>
        <v>585092.15776220523</v>
      </c>
      <c r="AI95" s="132">
        <f>SUM(Financials!CX102:CZ102)</f>
        <v>600536.5852199127</v>
      </c>
      <c r="AJ95" s="132">
        <f>SUM(Financials!DA102:DC102)</f>
        <v>616074.76538387418</v>
      </c>
      <c r="AK95" s="132">
        <f>SUM(Financials!DD102:DF102)</f>
        <v>619897.53909890237</v>
      </c>
      <c r="AL95" s="132">
        <f>SUM(Financials!DG102:DI102)</f>
        <v>607331.2312559206</v>
      </c>
      <c r="AM95" s="132">
        <f>SUM(Financials!DJ102:DL102)</f>
        <v>623032.72349521017</v>
      </c>
      <c r="AN95" s="132">
        <f>SUM(Financials!DM102:DO102)</f>
        <v>638829.86484660394</v>
      </c>
      <c r="AO95" s="132">
        <f>SUM(Financials!DP102:DR102)</f>
        <v>582663.10302099923</v>
      </c>
      <c r="AP95" s="132">
        <f>SUM(Financials!DS102:DU102)</f>
        <v>455135.27448272298</v>
      </c>
      <c r="AQ95" s="132">
        <f>SUM(Financials!DV102:DX102)</f>
        <v>467050.24835499492</v>
      </c>
      <c r="AR95" s="132">
        <f>SUM(Financials!DY102:EA102)</f>
        <v>479028.22111380158</v>
      </c>
      <c r="AS95" s="132">
        <f>SUM(Financials!EB102:ED102)</f>
        <v>481327.35885310563</v>
      </c>
      <c r="AT95" s="132">
        <f>SUM(Financials!EE102:EG102)</f>
        <v>468139.4620335931</v>
      </c>
      <c r="AU95" s="132">
        <f>SUM(Financials!EH102:EJ102)</f>
        <v>653249.04622741882</v>
      </c>
      <c r="AV95" s="132">
        <f>SUM(Financials!EK102:EM102)</f>
        <v>665991.72330354969</v>
      </c>
      <c r="AW95" s="132">
        <f>SUM(Financials!EN102:EP102)</f>
        <v>668915.21933170513</v>
      </c>
      <c r="AX95" s="132">
        <f>SUM(Financials!EQ102:ES102)</f>
        <v>654771.52062073094</v>
      </c>
      <c r="AY95" s="132">
        <f>SUM(Financials!ET102:EV102)</f>
        <v>667635.64252300037</v>
      </c>
      <c r="AZ95" s="132">
        <f>SUM(Financials!EW102:EY102)</f>
        <v>680575.04817489337</v>
      </c>
      <c r="BA95" s="132">
        <f>SUM(Financials!EZ102:FB102)</f>
        <v>683541.82439297123</v>
      </c>
      <c r="BB95" s="132">
        <f>SUM(Financials!FC102:FE102)</f>
        <v>669310.73413931578</v>
      </c>
      <c r="BC95" s="132">
        <f>SUM(Financials!FF102:FH102)</f>
        <v>682373.14421124128</v>
      </c>
      <c r="BD95" s="132">
        <f>SUM(Financials!FI102:FK102)</f>
        <v>695512.04972902429</v>
      </c>
      <c r="BE95" s="132">
        <f>SUM(Financials!FL102:FN102)</f>
        <v>698521.75885173026</v>
      </c>
      <c r="BF95" s="132">
        <f>SUM(Financials!FO102:FQ102)</f>
        <v>683852.61573533306</v>
      </c>
      <c r="BG95" s="132">
        <f>SUM(Financials!FR102:FT102)</f>
        <v>697116.05165665527</v>
      </c>
      <c r="BH95" s="132">
        <f>SUM(Financials!FU102:FW102)</f>
        <v>710457.19671149144</v>
      </c>
      <c r="BI95" s="132">
        <f>SUM(Financials!FX102:FZ102)</f>
        <v>713509.39534490416</v>
      </c>
      <c r="BJ95" s="132">
        <f>SUM(Financials!GA102:GC102)</f>
        <v>698766.54980763153</v>
      </c>
      <c r="BK95" s="132">
        <f>SUM(Financials!GD102:GF102)</f>
        <v>712233.71224905469</v>
      </c>
      <c r="BL95" s="132">
        <f>SUM(Financials!GG102:GI102)</f>
        <v>725779.79791708663</v>
      </c>
      <c r="BM95" s="132">
        <f>SUM(Financials!GJ102:GL102)</f>
        <v>728873.93816933804</v>
      </c>
      <c r="BN95" s="132">
        <f>SUM(Financials!GM102:GO102)</f>
        <v>711819.56954901374</v>
      </c>
      <c r="BO95" s="132">
        <f>SUM(Financials!GP102:GR102)</f>
        <v>854571.16619179118</v>
      </c>
      <c r="BP95" s="132">
        <f>SUM(Financials!GS102:GU102)</f>
        <v>868781.38326656469</v>
      </c>
      <c r="BQ95" s="132">
        <f>SUM(Financials!GV102:GX102)</f>
        <v>872381.37568376563</v>
      </c>
      <c r="BR95" s="132">
        <f>SUM(Financials!GY102:HA102)</f>
        <v>854417.82583627361</v>
      </c>
      <c r="BS95" s="132">
        <f>SUM(Financials!HB102:HD102)</f>
        <v>868781.42849069368</v>
      </c>
      <c r="BT95" s="132">
        <f>SUM(Financials!HE102:HG102)</f>
        <v>883234.84461739589</v>
      </c>
      <c r="BU95" s="132">
        <f>SUM(Financials!HH102:HJ102)</f>
        <v>886908.91653842549</v>
      </c>
      <c r="BV95" s="132">
        <f>SUM(Financials!HK102:HM102)</f>
        <v>868674.2784632293</v>
      </c>
      <c r="BW95" s="132">
        <f>SUM(Financials!HN102:HP102)</f>
        <v>883284.18678737176</v>
      </c>
      <c r="BX95" s="132">
        <f>SUM(Financials!HQ102:HS102)</f>
        <v>897985.72497150931</v>
      </c>
      <c r="BY95" s="132">
        <f>SUM(Financials!HT102:HV102)</f>
        <v>901735.38586826541</v>
      </c>
      <c r="BZ95" s="132">
        <f>SUM(Financials!HW102:HY102)</f>
        <v>883224.20208459161</v>
      </c>
      <c r="CA95" s="132">
        <f>SUM(Financials!HZ102:IB102)</f>
        <v>295225.80639968225</v>
      </c>
      <c r="CB95" s="132">
        <f>SUM(Financials!IC102:IE102)</f>
        <v>0</v>
      </c>
      <c r="CC95" s="132">
        <f>SUM(Financials!IF102:IH102)</f>
        <v>0</v>
      </c>
      <c r="CD95" s="132">
        <f>SUM(Financials!II102:IK102)</f>
        <v>0</v>
      </c>
      <c r="CE95" s="132">
        <f>SUM(Financials!IL102:IN102)</f>
        <v>0</v>
      </c>
      <c r="CF95" s="132">
        <f>SUM(Financials!IO102:IQ102)</f>
        <v>0</v>
      </c>
      <c r="CG95" s="132">
        <f>SUM(Financials!IR102:IT102)</f>
        <v>0</v>
      </c>
      <c r="CH95" s="132">
        <f>SUM(Financials!IU102:IW102)</f>
        <v>0</v>
      </c>
      <c r="CI95" s="132">
        <f>SUM(Financials!IX102:IZ102)</f>
        <v>0</v>
      </c>
      <c r="CJ95" s="132">
        <f>SUM(Financials!JA102:JC102)</f>
        <v>0</v>
      </c>
      <c r="CK95" s="132">
        <f>SUM(Financials!JD102:JF102)</f>
        <v>0</v>
      </c>
      <c r="CL95" s="132">
        <f>SUM(Financials!JG102:JI102)</f>
        <v>0</v>
      </c>
      <c r="CM95" s="132">
        <f>SUM(Financials!JJ102:JL102)</f>
        <v>0</v>
      </c>
      <c r="CN95" s="132">
        <f>SUM(Financials!JM102:JO102)</f>
        <v>0</v>
      </c>
      <c r="CO95" s="132">
        <f>SUM(Financials!JP102:JR102)</f>
        <v>0</v>
      </c>
    </row>
    <row r="96" spans="1:93" ht="15.75" thickBot="1" x14ac:dyDescent="0.3">
      <c r="A96" t="s">
        <v>266</v>
      </c>
    </row>
    <row r="97" spans="1:93" x14ac:dyDescent="0.25">
      <c r="A97" s="158" t="str">
        <f>Financials!B104</f>
        <v>Total Project Cash Flow</v>
      </c>
      <c r="B97" s="159">
        <f>SUM(Financials!C104:E104)</f>
        <v>0</v>
      </c>
      <c r="C97" s="159">
        <f>SUM(Financials!F104:H104)</f>
        <v>0</v>
      </c>
      <c r="D97" s="159">
        <f>SUM(Financials!I104:K104)</f>
        <v>0</v>
      </c>
      <c r="E97" s="159">
        <f>SUM(Financials!L104:N104)</f>
        <v>0</v>
      </c>
      <c r="F97" s="159">
        <f>SUM(Financials!O104:Q104)</f>
        <v>0</v>
      </c>
      <c r="G97" s="159">
        <f>SUM(Financials!R104:T104)</f>
        <v>3434662.5174867865</v>
      </c>
      <c r="H97" s="159">
        <f>SUM(Financials!U104:W104)</f>
        <v>3645512.9129401823</v>
      </c>
      <c r="I97" s="159">
        <f>SUM(Financials!X104:Z104)</f>
        <v>3699819.1670794613</v>
      </c>
      <c r="J97" s="159">
        <f>SUM(Financials!AA104:AC104)</f>
        <v>3553178.6652362617</v>
      </c>
      <c r="K97" s="159">
        <f>SUM(Financials!AD104:AF104)</f>
        <v>8915567.8323226161</v>
      </c>
      <c r="L97" s="159">
        <f>SUM(Financials!AG104:AI104)</f>
        <v>9180934.2872202545</v>
      </c>
      <c r="M97" s="159">
        <f>SUM(Financials!AJ104:AL104)</f>
        <v>9242859.1523412354</v>
      </c>
      <c r="N97" s="159">
        <f>SUM(Financials!AM104:AO104)</f>
        <v>8984337.0712542199</v>
      </c>
      <c r="O97" s="159">
        <f>SUM(Financials!AP104:AR104)</f>
        <v>9745927.6045229807</v>
      </c>
      <c r="P97" s="159">
        <f>SUM(Financials!AS104:AU104)</f>
        <v>9997379.6312126853</v>
      </c>
      <c r="Q97" s="159">
        <f>SUM(Financials!AV104:AX104)</f>
        <v>10062963.999743741</v>
      </c>
      <c r="R97" s="159">
        <f>SUM(Financials!AY104:BA104)</f>
        <v>10018254.841247687</v>
      </c>
      <c r="S97" s="159">
        <f>SUM(Financials!BB104:BD104)</f>
        <v>10083466.354801942</v>
      </c>
      <c r="T97" s="159">
        <f>SUM(Financials!BE104:BG104)</f>
        <v>10359968.06196389</v>
      </c>
      <c r="U97" s="159">
        <f>SUM(Financials!BH104:BJ104)</f>
        <v>10426905.740172993</v>
      </c>
      <c r="V97" s="159">
        <f>SUM(Financials!BK104:BM104)</f>
        <v>10174758.323425647</v>
      </c>
      <c r="W97" s="159">
        <f>SUM(Financials!BN104:BP104)</f>
        <v>10454123.721346717</v>
      </c>
      <c r="X97" s="159">
        <f>SUM(Financials!BQ104:BS104)</f>
        <v>10735166.551172439</v>
      </c>
      <c r="Y97" s="159">
        <f>SUM(Financials!BT104:BV104)</f>
        <v>10803485.151415328</v>
      </c>
      <c r="Z97" s="159">
        <f>SUM(Financials!BW104:BY104)</f>
        <v>10553964.306157779</v>
      </c>
      <c r="AA97" s="159">
        <f>SUM(Financials!BZ104:CB104)</f>
        <v>10837928.85239337</v>
      </c>
      <c r="AB97" s="159">
        <f>SUM(Financials!CC104:CE104)</f>
        <v>11123604.763422234</v>
      </c>
      <c r="AC97" s="159">
        <f>SUM(Financials!CF104:CH104)</f>
        <v>11193332.458372619</v>
      </c>
      <c r="AD97" s="159">
        <f>SUM(Financials!CI104:CK104)</f>
        <v>10709392.480887379</v>
      </c>
      <c r="AE97" s="159">
        <f>SUM(Financials!CL104:CN104)</f>
        <v>10998049.307436503</v>
      </c>
      <c r="AF97" s="159">
        <f>SUM(Financials!CO104:CQ104)</f>
        <v>11288452.117334519</v>
      </c>
      <c r="AG97" s="159">
        <f>SUM(Financials!CR104:CT104)</f>
        <v>11359617.651323674</v>
      </c>
      <c r="AH97" s="159">
        <f>SUM(Financials!CU104:CW104)</f>
        <v>11116750.997481897</v>
      </c>
      <c r="AI97" s="159">
        <f>SUM(Financials!CX104:CZ104)</f>
        <v>11410195.11917834</v>
      </c>
      <c r="AJ97" s="159">
        <f>SUM(Financials!DA104:DC104)</f>
        <v>11705420.542293608</v>
      </c>
      <c r="AK97" s="159">
        <f>SUM(Financials!DD104:DF104)</f>
        <v>11778053.242879145</v>
      </c>
      <c r="AL97" s="159">
        <f>SUM(Financials!DG104:DI104)</f>
        <v>11539293.39386249</v>
      </c>
      <c r="AM97" s="159">
        <f>SUM(Financials!DJ104:DL104)</f>
        <v>11837621.746408992</v>
      </c>
      <c r="AN97" s="159">
        <f>SUM(Financials!DM104:DO104)</f>
        <v>12137767.432085475</v>
      </c>
      <c r="AO97" s="159">
        <f>SUM(Financials!DP104:DR104)</f>
        <v>11070598.957398985</v>
      </c>
      <c r="AP97" s="159">
        <f>SUM(Financials!DS104:DU104)</f>
        <v>8647570.2151717357</v>
      </c>
      <c r="AQ97" s="159">
        <f>SUM(Financials!DV104:DX104)</f>
        <v>8873954.7187449038</v>
      </c>
      <c r="AR97" s="159">
        <f>SUM(Financials!DY104:EA104)</f>
        <v>9101536.2011622265</v>
      </c>
      <c r="AS97" s="159">
        <f>SUM(Financials!EB104:ED104)</f>
        <v>9145219.8182090074</v>
      </c>
      <c r="AT97" s="159">
        <f>SUM(Financials!EE104:EG104)</f>
        <v>8894649.7786382679</v>
      </c>
      <c r="AU97" s="159">
        <f>SUM(Financials!EH104:EJ104)</f>
        <v>12411731.878320958</v>
      </c>
      <c r="AV97" s="159">
        <f>SUM(Financials!EK104:EM104)</f>
        <v>12653842.742767444</v>
      </c>
      <c r="AW97" s="159">
        <f>SUM(Financials!EN104:EP104)</f>
        <v>12709389.167302398</v>
      </c>
      <c r="AX97" s="159">
        <f>SUM(Financials!EQ104:ES104)</f>
        <v>12440658.891793884</v>
      </c>
      <c r="AY97" s="159">
        <f>SUM(Financials!ET104:EV104)</f>
        <v>12685077.207937006</v>
      </c>
      <c r="AZ97" s="159">
        <f>SUM(Financials!EW104:EY104)</f>
        <v>12930925.915322974</v>
      </c>
      <c r="BA97" s="159">
        <f>SUM(Financials!EZ104:FB104)</f>
        <v>12987294.663466452</v>
      </c>
      <c r="BB97" s="159">
        <f>SUM(Financials!FC104:FE104)</f>
        <v>12716903.948646998</v>
      </c>
      <c r="BC97" s="159">
        <f>SUM(Financials!FF104:FH104)</f>
        <v>12965089.740013581</v>
      </c>
      <c r="BD97" s="159">
        <f>SUM(Financials!FI104:FK104)</f>
        <v>13214728.944851462</v>
      </c>
      <c r="BE97" s="159">
        <f>SUM(Financials!FL104:FN104)</f>
        <v>13271913.418182874</v>
      </c>
      <c r="BF97" s="159">
        <f>SUM(Financials!FO104:FQ104)</f>
        <v>12993199.698971327</v>
      </c>
      <c r="BG97" s="159">
        <f>SUM(Financials!FR104:FT104)</f>
        <v>13245204.98147645</v>
      </c>
      <c r="BH97" s="159">
        <f>SUM(Financials!FU104:FW104)</f>
        <v>13498686.737518337</v>
      </c>
      <c r="BI97" s="159">
        <f>SUM(Financials!FX104:FZ104)</f>
        <v>13556678.511553176</v>
      </c>
      <c r="BJ97" s="159">
        <f>SUM(Financials!GA104:GC104)</f>
        <v>13276564.446344998</v>
      </c>
      <c r="BK97" s="159">
        <f>SUM(Financials!GD104:GF104)</f>
        <v>13532440.532732038</v>
      </c>
      <c r="BL97" s="159">
        <f>SUM(Financials!GG104:GI104)</f>
        <v>13789816.160424644</v>
      </c>
      <c r="BM97" s="159">
        <f>SUM(Financials!GJ104:GL104)</f>
        <v>13848604.82521742</v>
      </c>
      <c r="BN97" s="159">
        <f>SUM(Financials!GM104:GO104)</f>
        <v>13524571.821431259</v>
      </c>
      <c r="BO97" s="159">
        <f>SUM(Financials!GP104:GR104)</f>
        <v>16236852.157644032</v>
      </c>
      <c r="BP97" s="159">
        <f>SUM(Financials!GS104:GU104)</f>
        <v>16506846.282064728</v>
      </c>
      <c r="BQ97" s="159">
        <f>SUM(Financials!GV104:GX104)</f>
        <v>16575246.137991546</v>
      </c>
      <c r="BR97" s="159">
        <f>SUM(Financials!GY104:HA104)</f>
        <v>16233938.690889198</v>
      </c>
      <c r="BS97" s="159">
        <f>SUM(Financials!HB104:HD104)</f>
        <v>16506847.141323183</v>
      </c>
      <c r="BT97" s="159">
        <f>SUM(Financials!HE104:HG104)</f>
        <v>16781462.04773052</v>
      </c>
      <c r="BU97" s="159">
        <f>SUM(Financials!HH104:HJ104)</f>
        <v>16851269.414230082</v>
      </c>
      <c r="BV97" s="159">
        <f>SUM(Financials!HK104:HM104)</f>
        <v>16504811.290801356</v>
      </c>
      <c r="BW97" s="159">
        <f>SUM(Financials!HN104:HP104)</f>
        <v>16782399.548960064</v>
      </c>
      <c r="BX97" s="159">
        <f>SUM(Financials!HQ104:HS104)</f>
        <v>17061728.774458677</v>
      </c>
      <c r="BY97" s="159">
        <f>SUM(Financials!HT104:HV104)</f>
        <v>17132972.33149704</v>
      </c>
      <c r="BZ97" s="159">
        <f>SUM(Financials!HW104:HY104)</f>
        <v>16781259.839607239</v>
      </c>
      <c r="CA97" s="159">
        <f>SUM(Financials!HZ104:IB104)</f>
        <v>17666482.231516659</v>
      </c>
      <c r="CB97" s="159">
        <f>SUM(Financials!IC104:IE104)</f>
        <v>18260801.693062723</v>
      </c>
      <c r="CC97" s="159">
        <f>SUM(Financials!IF104:IH104)</f>
        <v>18337337.492162723</v>
      </c>
      <c r="CD97" s="159">
        <f>SUM(Financials!II104:IK104)</f>
        <v>17961471.552454758</v>
      </c>
      <c r="CE97" s="159">
        <f>SUM(Financials!IL104:IN104)</f>
        <v>18263823.110350717</v>
      </c>
      <c r="CF97" s="159">
        <f>SUM(Financials!IO104:IQ104)</f>
        <v>18568082.137680084</v>
      </c>
      <c r="CG97" s="159">
        <f>SUM(Financials!IR104:IT104)</f>
        <v>18646191.944193546</v>
      </c>
      <c r="CH97" s="159">
        <f>SUM(Financials!IU104:IW104)</f>
        <v>18264570.145954862</v>
      </c>
      <c r="CI97" s="159">
        <f>SUM(Financials!IX104:IZ104)</f>
        <v>18572153.053746741</v>
      </c>
      <c r="CJ97" s="159">
        <f>SUM(Financials!JA104:JC104)</f>
        <v>18881682.005394228</v>
      </c>
      <c r="CK97" s="159">
        <f>SUM(Financials!JD104:JF104)</f>
        <v>18961397.882804058</v>
      </c>
      <c r="CL97" s="159">
        <f>SUM(Financials!JG104:JI104)</f>
        <v>18573904.341629751</v>
      </c>
      <c r="CM97" s="159">
        <f>SUM(Financials!JJ104:JL104)</f>
        <v>18886824.485370819</v>
      </c>
      <c r="CN97" s="159">
        <f>SUM(Financials!JM104:JO104)</f>
        <v>19201730.02672673</v>
      </c>
      <c r="CO97" s="159">
        <f>SUM(Financials!JP104:JR104)</f>
        <v>19283084.688641638</v>
      </c>
    </row>
    <row r="98" spans="1:93" x14ac:dyDescent="0.25">
      <c r="A98" t="s">
        <v>266</v>
      </c>
    </row>
    <row r="99" spans="1:93" x14ac:dyDescent="0.25">
      <c r="A99" t="str">
        <f>Financials!B106</f>
        <v>Maintenance Fund</v>
      </c>
      <c r="B99" s="132">
        <f>Financials!E106</f>
        <v>0</v>
      </c>
      <c r="C99" s="132">
        <f>Financials!H106</f>
        <v>0</v>
      </c>
      <c r="D99" s="132">
        <f>Financials!K106</f>
        <v>0</v>
      </c>
      <c r="E99" s="132">
        <f>Financials!N106</f>
        <v>0</v>
      </c>
      <c r="F99" s="132">
        <f>Financials!Q106</f>
        <v>0</v>
      </c>
      <c r="G99" s="132">
        <f>Financials!T106</f>
        <v>180771.711446673</v>
      </c>
      <c r="H99" s="132">
        <f>Financials!W106</f>
        <v>372640.81212773523</v>
      </c>
      <c r="I99" s="132">
        <f>Financials!Z106</f>
        <v>567368.13671086484</v>
      </c>
      <c r="J99" s="132">
        <f>Financials!AC106</f>
        <v>754377.54014435224</v>
      </c>
      <c r="K99" s="132">
        <f>Financials!AF106</f>
        <v>1223617.9523718585</v>
      </c>
      <c r="L99" s="132">
        <f>Financials!AI106</f>
        <v>1706825.0201202931</v>
      </c>
      <c r="M99" s="132">
        <f>Financials!AL106</f>
        <v>2193291.2912961477</v>
      </c>
      <c r="N99" s="132">
        <f>Financials!AO106</f>
        <v>2666151.1371516334</v>
      </c>
      <c r="O99" s="132">
        <f>Financials!AR106</f>
        <v>3179094.6952844216</v>
      </c>
      <c r="P99" s="132">
        <f>Financials!AU106</f>
        <v>3705272.5706114052</v>
      </c>
      <c r="Q99" s="132">
        <f>Financials!AX106</f>
        <v>4234902.2548084445</v>
      </c>
      <c r="R99" s="132">
        <f>Financials!BA106</f>
        <v>4762178.8254004279</v>
      </c>
      <c r="S99" s="132">
        <f>Financials!BD106</f>
        <v>5292887.58091632</v>
      </c>
      <c r="T99" s="132">
        <f>Financials!BG106</f>
        <v>5838149.0578617882</v>
      </c>
      <c r="U99" s="132">
        <f>Financials!BJ106</f>
        <v>6386933.570502473</v>
      </c>
      <c r="V99" s="132">
        <f>Financials!BM106</f>
        <v>6922447.1664722441</v>
      </c>
      <c r="W99" s="132">
        <f>Financials!BP106</f>
        <v>7472664.2044378612</v>
      </c>
      <c r="X99" s="132">
        <f>Financials!BS106</f>
        <v>8037672.9702890422</v>
      </c>
      <c r="Y99" s="132">
        <f>Financials!BV106</f>
        <v>8606277.4519424792</v>
      </c>
      <c r="Z99" s="132">
        <f>Financials!BY106</f>
        <v>9161749.25752973</v>
      </c>
      <c r="AA99" s="132">
        <f>Financials!CB106</f>
        <v>9732166.5655504335</v>
      </c>
      <c r="AB99" s="132">
        <f>Financials!CE106</f>
        <v>10317619.447835814</v>
      </c>
      <c r="AC99" s="132">
        <f>Financials!CH106</f>
        <v>10906742.208802793</v>
      </c>
      <c r="AD99" s="132">
        <f>Financials!CK106</f>
        <v>11470394.444638971</v>
      </c>
      <c r="AE99" s="132">
        <f>Financials!CN106</f>
        <v>12049239.145030366</v>
      </c>
      <c r="AF99" s="132">
        <f>Financials!CQ106</f>
        <v>12643368.203837447</v>
      </c>
      <c r="AG99" s="132">
        <f>Financials!CT106</f>
        <v>13241242.81706501</v>
      </c>
      <c r="AH99" s="132">
        <f>Financials!CW106</f>
        <v>13826334.974827215</v>
      </c>
      <c r="AI99" s="132">
        <f>Financials!CZ106</f>
        <v>14426871.560047127</v>
      </c>
      <c r="AJ99" s="132">
        <f>Financials!DC106</f>
        <v>15042946.325431</v>
      </c>
      <c r="AK99" s="132">
        <f>Financials!DF106</f>
        <v>15662843.864529902</v>
      </c>
      <c r="AL99" s="132">
        <f>Financials!DI106</f>
        <v>16270175.095785823</v>
      </c>
      <c r="AM99" s="132">
        <f>Financials!DL106</f>
        <v>16893207.819281034</v>
      </c>
      <c r="AN99" s="132">
        <f>Financials!DO106</f>
        <v>17532037.684127636</v>
      </c>
      <c r="AO99" s="132">
        <f>Financials!DR106</f>
        <v>18114700.787148636</v>
      </c>
      <c r="AP99" s="132">
        <f>Financials!DU106</f>
        <v>18569836.061631359</v>
      </c>
      <c r="AQ99" s="132">
        <f>Financials!DX106</f>
        <v>19036886.309986357</v>
      </c>
      <c r="AR99" s="132">
        <f>Financials!EA106</f>
        <v>19515914.531100158</v>
      </c>
      <c r="AS99" s="132">
        <f>Financials!ED106</f>
        <v>19997241.889953263</v>
      </c>
      <c r="AT99" s="132">
        <f>Financials!EG106</f>
        <v>20465381.351986855</v>
      </c>
      <c r="AU99" s="132">
        <f>Financials!EJ106</f>
        <v>21118630.398214277</v>
      </c>
      <c r="AV99" s="132">
        <f>Financials!EM106</f>
        <v>21784622.121517826</v>
      </c>
      <c r="AW99" s="132">
        <f>Financials!EP106</f>
        <v>22453537.340849534</v>
      </c>
      <c r="AX99" s="132">
        <f>Financials!ES106</f>
        <v>23108308.861470263</v>
      </c>
      <c r="AY99" s="132">
        <f>Financials!EV106</f>
        <v>23775944.503993265</v>
      </c>
      <c r="AZ99" s="132">
        <f>Financials!EY106</f>
        <v>24456519.552168157</v>
      </c>
      <c r="BA99" s="132">
        <f>Financials!FB106</f>
        <v>25140061.376561128</v>
      </c>
      <c r="BB99" s="132">
        <f>Financials!FE106</f>
        <v>25809372.110700447</v>
      </c>
      <c r="BC99" s="132">
        <f>Financials!FH106</f>
        <v>26491745.254911687</v>
      </c>
      <c r="BD99" s="132">
        <f>Financials!FK106</f>
        <v>27187257.30464071</v>
      </c>
      <c r="BE99" s="132">
        <f>Financials!FN106</f>
        <v>27885779.06349244</v>
      </c>
      <c r="BF99" s="132">
        <f>Financials!FQ106</f>
        <v>28569631.679227769</v>
      </c>
      <c r="BG99" s="132">
        <f>Financials!FT106</f>
        <v>29266747.730884422</v>
      </c>
      <c r="BH99" s="132">
        <f>Financials!FW106</f>
        <v>29977204.927595913</v>
      </c>
      <c r="BI99" s="132">
        <f>Financials!FZ106</f>
        <v>30690714.322940819</v>
      </c>
      <c r="BJ99" s="132">
        <f>Financials!GC106</f>
        <v>31389480.872748446</v>
      </c>
      <c r="BK99" s="132">
        <f>Financials!GF106</f>
        <v>32101714.584997501</v>
      </c>
      <c r="BL99" s="132">
        <f>Financials!GI106</f>
        <v>32827494.382914588</v>
      </c>
      <c r="BM99" s="132">
        <f>Financials!GL106</f>
        <v>33556368.321083926</v>
      </c>
      <c r="BN99" s="132">
        <f>Financials!GO106</f>
        <v>34268187.890632942</v>
      </c>
      <c r="BO99" s="132">
        <f>Financials!GR106</f>
        <v>35122759.056824736</v>
      </c>
      <c r="BP99" s="132">
        <f>Financials!GU106</f>
        <v>35991540.440091304</v>
      </c>
      <c r="BQ99" s="132">
        <f>Financials!GX106</f>
        <v>36863921.815775067</v>
      </c>
      <c r="BR99" s="132">
        <f>Financials!HA106</f>
        <v>37718339.641611345</v>
      </c>
      <c r="BS99" s="132">
        <f>Financials!HD106</f>
        <v>38587121.070102036</v>
      </c>
      <c r="BT99" s="132">
        <f>Financials!HG106</f>
        <v>39470355.914719433</v>
      </c>
      <c r="BU99" s="132">
        <f>Financials!HJ106</f>
        <v>40357264.831257857</v>
      </c>
      <c r="BV99" s="132">
        <f>Financials!HM106</f>
        <v>41225939.109721087</v>
      </c>
      <c r="BW99" s="132">
        <f>Financials!HP106</f>
        <v>42109223.296508461</v>
      </c>
      <c r="BX99" s="132">
        <f>Financials!HS106</f>
        <v>43007209.021479972</v>
      </c>
      <c r="BY99" s="132">
        <f>Financials!HV106</f>
        <v>43908944.407348245</v>
      </c>
      <c r="BZ99" s="132">
        <f>Financials!HY106</f>
        <v>44792168.609432831</v>
      </c>
      <c r="CA99" s="132">
        <f>Financials!IB106</f>
        <v>45087394.415832512</v>
      </c>
      <c r="CB99" s="132">
        <f>Financials!IE106</f>
        <v>45087394.415832512</v>
      </c>
      <c r="CC99" s="132">
        <f>Financials!IH106</f>
        <v>45087394.415832512</v>
      </c>
      <c r="CD99" s="132">
        <f>Financials!IK106</f>
        <v>45087394.415832512</v>
      </c>
      <c r="CE99" s="132">
        <f>Financials!IN106</f>
        <v>45087394.415832512</v>
      </c>
      <c r="CF99" s="132">
        <f>Financials!IQ106</f>
        <v>45087394.415832512</v>
      </c>
      <c r="CG99" s="132">
        <f>Financials!IT106</f>
        <v>45087394.415832512</v>
      </c>
      <c r="CH99" s="132">
        <f>Financials!IW106</f>
        <v>45087394.415832512</v>
      </c>
      <c r="CI99" s="132">
        <f>Financials!IZ106</f>
        <v>45087394.415832512</v>
      </c>
      <c r="CJ99" s="132">
        <f>Financials!JC106</f>
        <v>45087394.415832512</v>
      </c>
      <c r="CK99" s="132">
        <f>Financials!JF106</f>
        <v>45087394.415832512</v>
      </c>
      <c r="CL99" s="132">
        <f>Financials!JI106</f>
        <v>45087394.415832512</v>
      </c>
      <c r="CM99" s="132">
        <f>Financials!JL106</f>
        <v>45087394.415832512</v>
      </c>
      <c r="CN99" s="132">
        <f>Financials!JO106</f>
        <v>45087394.415832512</v>
      </c>
      <c r="CO99" s="132">
        <f>Financials!JR106</f>
        <v>45087394.415832512</v>
      </c>
    </row>
  </sheetData>
  <mergeCells count="23">
    <mergeCell ref="V2:Y2"/>
    <mergeCell ref="B2:E2"/>
    <mergeCell ref="F2:I2"/>
    <mergeCell ref="J2:M2"/>
    <mergeCell ref="N2:Q2"/>
    <mergeCell ref="R2:U2"/>
    <mergeCell ref="BR2:BU2"/>
    <mergeCell ref="Z2:AC2"/>
    <mergeCell ref="AD2:AG2"/>
    <mergeCell ref="AH2:AK2"/>
    <mergeCell ref="AL2:AO2"/>
    <mergeCell ref="AP2:AS2"/>
    <mergeCell ref="AT2:AW2"/>
    <mergeCell ref="AX2:BA2"/>
    <mergeCell ref="BB2:BE2"/>
    <mergeCell ref="BF2:BI2"/>
    <mergeCell ref="BJ2:BM2"/>
    <mergeCell ref="BN2:BQ2"/>
    <mergeCell ref="BV2:BY2"/>
    <mergeCell ref="BZ2:CC2"/>
    <mergeCell ref="CD2:CG2"/>
    <mergeCell ref="CH2:CK2"/>
    <mergeCell ref="CL2:CO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87A6E-9C3D-428A-943C-B92BE997F3C3}">
  <sheetPr>
    <tabColor rgb="FF00B050"/>
  </sheetPr>
  <dimension ref="B1:JT106"/>
  <sheetViews>
    <sheetView topLeftCell="B1" zoomScaleNormal="100" workbookViewId="0">
      <pane xSplit="4245" ySplit="1395" topLeftCell="J71" activePane="bottomRight"/>
      <selection activeCell="JS12" sqref="JS12"/>
      <selection pane="topRight" activeCell="JS3" sqref="JS3"/>
      <selection pane="bottomLeft" activeCell="B47" sqref="B47"/>
      <selection pane="bottomRight" activeCell="R104" sqref="R104"/>
    </sheetView>
  </sheetViews>
  <sheetFormatPr defaultColWidth="9.140625" defaultRowHeight="12.75" x14ac:dyDescent="0.2"/>
  <cols>
    <col min="1" max="1" width="0" style="1" hidden="1" customWidth="1"/>
    <col min="2" max="2" width="36.7109375" style="1" bestFit="1" customWidth="1"/>
    <col min="3" max="5" width="9.7109375" style="1" bestFit="1" customWidth="1"/>
    <col min="6" max="12" width="11.28515625" style="1" bestFit="1" customWidth="1"/>
    <col min="13" max="13" width="12.5703125" style="1" customWidth="1"/>
    <col min="14" max="14" width="14" style="1" customWidth="1"/>
    <col min="15" max="15" width="13.140625" style="1" customWidth="1"/>
    <col min="16" max="16" width="13.28515625" style="1" customWidth="1"/>
    <col min="17" max="17" width="12.5703125" style="1" customWidth="1"/>
    <col min="18" max="20" width="12.28515625" style="1" bestFit="1" customWidth="1"/>
    <col min="21" max="45" width="13.42578125" style="1" bestFit="1" customWidth="1"/>
    <col min="46" max="46" width="15.42578125" style="1" bestFit="1" customWidth="1"/>
    <col min="47" max="223" width="13.42578125" style="1" bestFit="1" customWidth="1"/>
    <col min="224" max="224" width="14.7109375" style="1" customWidth="1"/>
    <col min="225" max="278" width="13.42578125" style="1" bestFit="1" customWidth="1"/>
    <col min="279" max="279" width="17.5703125" style="1" customWidth="1"/>
    <col min="280" max="16384" width="9.140625" style="1"/>
  </cols>
  <sheetData>
    <row r="1" spans="2:280" x14ac:dyDescent="0.2">
      <c r="B1" s="1" t="s">
        <v>125</v>
      </c>
      <c r="C1" s="1">
        <v>1</v>
      </c>
      <c r="D1" s="1">
        <f>C1+1</f>
        <v>2</v>
      </c>
      <c r="E1" s="1">
        <f t="shared" ref="E1:BP1" si="0">D1+1</f>
        <v>3</v>
      </c>
      <c r="F1" s="1">
        <f t="shared" si="0"/>
        <v>4</v>
      </c>
      <c r="G1" s="1">
        <f t="shared" si="0"/>
        <v>5</v>
      </c>
      <c r="H1" s="1">
        <f t="shared" si="0"/>
        <v>6</v>
      </c>
      <c r="I1" s="1">
        <f t="shared" si="0"/>
        <v>7</v>
      </c>
      <c r="J1" s="1">
        <f t="shared" si="0"/>
        <v>8</v>
      </c>
      <c r="K1" s="1">
        <f t="shared" si="0"/>
        <v>9</v>
      </c>
      <c r="L1" s="1">
        <f t="shared" si="0"/>
        <v>10</v>
      </c>
      <c r="M1" s="1">
        <f t="shared" si="0"/>
        <v>11</v>
      </c>
      <c r="N1" s="1">
        <f t="shared" si="0"/>
        <v>12</v>
      </c>
      <c r="O1" s="1">
        <f t="shared" si="0"/>
        <v>13</v>
      </c>
      <c r="P1" s="1">
        <f t="shared" si="0"/>
        <v>14</v>
      </c>
      <c r="Q1" s="1">
        <f t="shared" si="0"/>
        <v>15</v>
      </c>
      <c r="R1" s="1">
        <f t="shared" si="0"/>
        <v>16</v>
      </c>
      <c r="S1" s="1">
        <f t="shared" si="0"/>
        <v>17</v>
      </c>
      <c r="T1" s="1">
        <f t="shared" si="0"/>
        <v>18</v>
      </c>
      <c r="U1" s="1">
        <f t="shared" si="0"/>
        <v>19</v>
      </c>
      <c r="V1" s="1">
        <f t="shared" si="0"/>
        <v>20</v>
      </c>
      <c r="W1" s="1">
        <f t="shared" si="0"/>
        <v>21</v>
      </c>
      <c r="X1" s="1">
        <f t="shared" si="0"/>
        <v>22</v>
      </c>
      <c r="Y1" s="1">
        <f t="shared" si="0"/>
        <v>23</v>
      </c>
      <c r="Z1" s="1">
        <f t="shared" si="0"/>
        <v>24</v>
      </c>
      <c r="AA1" s="1">
        <f t="shared" si="0"/>
        <v>25</v>
      </c>
      <c r="AB1" s="1">
        <f t="shared" si="0"/>
        <v>26</v>
      </c>
      <c r="AC1" s="1">
        <f t="shared" si="0"/>
        <v>27</v>
      </c>
      <c r="AD1" s="1">
        <f t="shared" si="0"/>
        <v>28</v>
      </c>
      <c r="AE1" s="1">
        <f t="shared" si="0"/>
        <v>29</v>
      </c>
      <c r="AF1" s="1">
        <f t="shared" si="0"/>
        <v>30</v>
      </c>
      <c r="AG1" s="1">
        <f t="shared" si="0"/>
        <v>31</v>
      </c>
      <c r="AH1" s="1">
        <f t="shared" si="0"/>
        <v>32</v>
      </c>
      <c r="AI1" s="1">
        <f t="shared" si="0"/>
        <v>33</v>
      </c>
      <c r="AJ1" s="1">
        <f t="shared" si="0"/>
        <v>34</v>
      </c>
      <c r="AK1" s="1">
        <f t="shared" si="0"/>
        <v>35</v>
      </c>
      <c r="AL1" s="1">
        <f t="shared" si="0"/>
        <v>36</v>
      </c>
      <c r="AM1" s="1">
        <f t="shared" si="0"/>
        <v>37</v>
      </c>
      <c r="AN1" s="1">
        <f t="shared" si="0"/>
        <v>38</v>
      </c>
      <c r="AO1" s="1">
        <f t="shared" si="0"/>
        <v>39</v>
      </c>
      <c r="AP1" s="1">
        <f t="shared" si="0"/>
        <v>40</v>
      </c>
      <c r="AQ1" s="1">
        <f t="shared" si="0"/>
        <v>41</v>
      </c>
      <c r="AR1" s="1">
        <f t="shared" si="0"/>
        <v>42</v>
      </c>
      <c r="AS1" s="1">
        <f t="shared" si="0"/>
        <v>43</v>
      </c>
      <c r="AT1" s="1">
        <f t="shared" si="0"/>
        <v>44</v>
      </c>
      <c r="AU1" s="1">
        <f t="shared" si="0"/>
        <v>45</v>
      </c>
      <c r="AV1" s="1">
        <f t="shared" si="0"/>
        <v>46</v>
      </c>
      <c r="AW1" s="1">
        <f t="shared" si="0"/>
        <v>47</v>
      </c>
      <c r="AX1" s="1">
        <f t="shared" si="0"/>
        <v>48</v>
      </c>
      <c r="AY1" s="1">
        <f t="shared" si="0"/>
        <v>49</v>
      </c>
      <c r="AZ1" s="1">
        <f t="shared" si="0"/>
        <v>50</v>
      </c>
      <c r="BA1" s="1">
        <f t="shared" si="0"/>
        <v>51</v>
      </c>
      <c r="BB1" s="1">
        <f t="shared" si="0"/>
        <v>52</v>
      </c>
      <c r="BC1" s="1">
        <f t="shared" si="0"/>
        <v>53</v>
      </c>
      <c r="BD1" s="1">
        <f t="shared" si="0"/>
        <v>54</v>
      </c>
      <c r="BE1" s="1">
        <f t="shared" si="0"/>
        <v>55</v>
      </c>
      <c r="BF1" s="1">
        <f t="shared" si="0"/>
        <v>56</v>
      </c>
      <c r="BG1" s="1">
        <f t="shared" si="0"/>
        <v>57</v>
      </c>
      <c r="BH1" s="1">
        <f t="shared" si="0"/>
        <v>58</v>
      </c>
      <c r="BI1" s="1">
        <f t="shared" si="0"/>
        <v>59</v>
      </c>
      <c r="BJ1" s="1">
        <f t="shared" si="0"/>
        <v>60</v>
      </c>
      <c r="BK1" s="1">
        <f t="shared" si="0"/>
        <v>61</v>
      </c>
      <c r="BL1" s="1">
        <f t="shared" si="0"/>
        <v>62</v>
      </c>
      <c r="BM1" s="1">
        <f t="shared" si="0"/>
        <v>63</v>
      </c>
      <c r="BN1" s="1">
        <f t="shared" si="0"/>
        <v>64</v>
      </c>
      <c r="BO1" s="1">
        <f t="shared" si="0"/>
        <v>65</v>
      </c>
      <c r="BP1" s="1">
        <f t="shared" si="0"/>
        <v>66</v>
      </c>
      <c r="BQ1" s="1">
        <f t="shared" ref="BQ1:CT1" si="1">BP1+1</f>
        <v>67</v>
      </c>
      <c r="BR1" s="1">
        <f t="shared" si="1"/>
        <v>68</v>
      </c>
      <c r="BS1" s="1">
        <f t="shared" si="1"/>
        <v>69</v>
      </c>
      <c r="BT1" s="1">
        <f t="shared" si="1"/>
        <v>70</v>
      </c>
      <c r="BU1" s="1">
        <f t="shared" si="1"/>
        <v>71</v>
      </c>
      <c r="BV1" s="1">
        <f t="shared" si="1"/>
        <v>72</v>
      </c>
      <c r="BW1" s="1">
        <f t="shared" si="1"/>
        <v>73</v>
      </c>
      <c r="BX1" s="1">
        <f t="shared" si="1"/>
        <v>74</v>
      </c>
      <c r="BY1" s="1">
        <f t="shared" si="1"/>
        <v>75</v>
      </c>
      <c r="BZ1" s="1">
        <f t="shared" si="1"/>
        <v>76</v>
      </c>
      <c r="CA1" s="1">
        <f t="shared" si="1"/>
        <v>77</v>
      </c>
      <c r="CB1" s="1">
        <f t="shared" si="1"/>
        <v>78</v>
      </c>
      <c r="CC1" s="1">
        <f t="shared" si="1"/>
        <v>79</v>
      </c>
      <c r="CD1" s="1">
        <f t="shared" si="1"/>
        <v>80</v>
      </c>
      <c r="CE1" s="1">
        <f t="shared" si="1"/>
        <v>81</v>
      </c>
      <c r="CF1" s="1">
        <f t="shared" si="1"/>
        <v>82</v>
      </c>
      <c r="CG1" s="1">
        <f t="shared" si="1"/>
        <v>83</v>
      </c>
      <c r="CH1" s="1">
        <f t="shared" si="1"/>
        <v>84</v>
      </c>
      <c r="CI1" s="1">
        <f t="shared" si="1"/>
        <v>85</v>
      </c>
      <c r="CJ1" s="1">
        <f t="shared" si="1"/>
        <v>86</v>
      </c>
      <c r="CK1" s="1">
        <f t="shared" si="1"/>
        <v>87</v>
      </c>
      <c r="CL1" s="1">
        <f t="shared" si="1"/>
        <v>88</v>
      </c>
      <c r="CM1" s="1">
        <f t="shared" si="1"/>
        <v>89</v>
      </c>
      <c r="CN1" s="1">
        <f t="shared" si="1"/>
        <v>90</v>
      </c>
      <c r="CO1" s="1">
        <f t="shared" si="1"/>
        <v>91</v>
      </c>
      <c r="CP1" s="1">
        <f t="shared" si="1"/>
        <v>92</v>
      </c>
      <c r="CQ1" s="1">
        <f t="shared" si="1"/>
        <v>93</v>
      </c>
      <c r="CR1" s="1">
        <f t="shared" si="1"/>
        <v>94</v>
      </c>
      <c r="CS1" s="1">
        <f t="shared" si="1"/>
        <v>95</v>
      </c>
      <c r="CT1" s="1">
        <f t="shared" si="1"/>
        <v>96</v>
      </c>
      <c r="CU1" s="1">
        <f t="shared" ref="CU1" si="2">CT1+1</f>
        <v>97</v>
      </c>
      <c r="CV1" s="1">
        <f t="shared" ref="CV1" si="3">CU1+1</f>
        <v>98</v>
      </c>
      <c r="CW1" s="1">
        <f t="shared" ref="CW1" si="4">CV1+1</f>
        <v>99</v>
      </c>
      <c r="CX1" s="1">
        <f t="shared" ref="CX1" si="5">CW1+1</f>
        <v>100</v>
      </c>
      <c r="CY1" s="1">
        <f t="shared" ref="CY1" si="6">CX1+1</f>
        <v>101</v>
      </c>
      <c r="CZ1" s="1">
        <f t="shared" ref="CZ1" si="7">CY1+1</f>
        <v>102</v>
      </c>
      <c r="DA1" s="1">
        <f t="shared" ref="DA1" si="8">CZ1+1</f>
        <v>103</v>
      </c>
      <c r="DB1" s="1">
        <f t="shared" ref="DB1" si="9">DA1+1</f>
        <v>104</v>
      </c>
      <c r="DC1" s="1">
        <f t="shared" ref="DC1" si="10">DB1+1</f>
        <v>105</v>
      </c>
      <c r="DD1" s="1">
        <f t="shared" ref="DD1" si="11">DC1+1</f>
        <v>106</v>
      </c>
      <c r="DE1" s="1">
        <f t="shared" ref="DE1" si="12">DD1+1</f>
        <v>107</v>
      </c>
      <c r="DF1" s="1">
        <f t="shared" ref="DF1" si="13">DE1+1</f>
        <v>108</v>
      </c>
      <c r="DG1" s="1">
        <f t="shared" ref="DG1" si="14">DF1+1</f>
        <v>109</v>
      </c>
      <c r="DH1" s="1">
        <f t="shared" ref="DH1" si="15">DG1+1</f>
        <v>110</v>
      </c>
      <c r="DI1" s="1">
        <f t="shared" ref="DI1" si="16">DH1+1</f>
        <v>111</v>
      </c>
      <c r="DJ1" s="1">
        <f t="shared" ref="DJ1" si="17">DI1+1</f>
        <v>112</v>
      </c>
      <c r="DK1" s="1">
        <f t="shared" ref="DK1" si="18">DJ1+1</f>
        <v>113</v>
      </c>
      <c r="DL1" s="1">
        <f t="shared" ref="DL1" si="19">DK1+1</f>
        <v>114</v>
      </c>
      <c r="DM1" s="1">
        <f t="shared" ref="DM1" si="20">DL1+1</f>
        <v>115</v>
      </c>
      <c r="DN1" s="1">
        <f t="shared" ref="DN1" si="21">DM1+1</f>
        <v>116</v>
      </c>
      <c r="DO1" s="1">
        <f t="shared" ref="DO1" si="22">DN1+1</f>
        <v>117</v>
      </c>
      <c r="DP1" s="1">
        <f t="shared" ref="DP1" si="23">DO1+1</f>
        <v>118</v>
      </c>
      <c r="DQ1" s="1">
        <f t="shared" ref="DQ1" si="24">DP1+1</f>
        <v>119</v>
      </c>
      <c r="DR1" s="1">
        <f t="shared" ref="DR1" si="25">DQ1+1</f>
        <v>120</v>
      </c>
      <c r="DS1" s="1">
        <f t="shared" ref="DS1" si="26">DR1+1</f>
        <v>121</v>
      </c>
      <c r="DT1" s="1">
        <f t="shared" ref="DT1" si="27">DS1+1</f>
        <v>122</v>
      </c>
      <c r="DU1" s="1">
        <f t="shared" ref="DU1" si="28">DT1+1</f>
        <v>123</v>
      </c>
      <c r="DV1" s="1">
        <f t="shared" ref="DV1" si="29">DU1+1</f>
        <v>124</v>
      </c>
      <c r="DW1" s="1">
        <f t="shared" ref="DW1" si="30">DV1+1</f>
        <v>125</v>
      </c>
      <c r="DX1" s="1">
        <f t="shared" ref="DX1" si="31">DW1+1</f>
        <v>126</v>
      </c>
      <c r="DY1" s="1">
        <f t="shared" ref="DY1" si="32">DX1+1</f>
        <v>127</v>
      </c>
      <c r="DZ1" s="1">
        <f t="shared" ref="DZ1" si="33">DY1+1</f>
        <v>128</v>
      </c>
      <c r="EA1" s="1">
        <f t="shared" ref="EA1" si="34">DZ1+1</f>
        <v>129</v>
      </c>
      <c r="EB1" s="1">
        <f t="shared" ref="EB1" si="35">EA1+1</f>
        <v>130</v>
      </c>
      <c r="EC1" s="1">
        <f t="shared" ref="EC1" si="36">EB1+1</f>
        <v>131</v>
      </c>
      <c r="ED1" s="1">
        <f t="shared" ref="ED1" si="37">EC1+1</f>
        <v>132</v>
      </c>
      <c r="EE1" s="1">
        <f t="shared" ref="EE1" si="38">ED1+1</f>
        <v>133</v>
      </c>
      <c r="EF1" s="1">
        <f t="shared" ref="EF1" si="39">EE1+1</f>
        <v>134</v>
      </c>
      <c r="EG1" s="1">
        <f t="shared" ref="EG1" si="40">EF1+1</f>
        <v>135</v>
      </c>
      <c r="EH1" s="1">
        <f t="shared" ref="EH1" si="41">EG1+1</f>
        <v>136</v>
      </c>
      <c r="EI1" s="1">
        <f t="shared" ref="EI1" si="42">EH1+1</f>
        <v>137</v>
      </c>
      <c r="EJ1" s="1">
        <f t="shared" ref="EJ1" si="43">EI1+1</f>
        <v>138</v>
      </c>
      <c r="EK1" s="1">
        <f t="shared" ref="EK1" si="44">EJ1+1</f>
        <v>139</v>
      </c>
      <c r="EL1" s="1">
        <f t="shared" ref="EL1" si="45">EK1+1</f>
        <v>140</v>
      </c>
      <c r="EM1" s="1">
        <f t="shared" ref="EM1" si="46">EL1+1</f>
        <v>141</v>
      </c>
      <c r="EN1" s="1">
        <f t="shared" ref="EN1" si="47">EM1+1</f>
        <v>142</v>
      </c>
      <c r="EO1" s="1">
        <f t="shared" ref="EO1" si="48">EN1+1</f>
        <v>143</v>
      </c>
      <c r="EP1" s="1">
        <f t="shared" ref="EP1" si="49">EO1+1</f>
        <v>144</v>
      </c>
      <c r="EQ1" s="1">
        <f t="shared" ref="EQ1" si="50">EP1+1</f>
        <v>145</v>
      </c>
      <c r="ER1" s="1">
        <f t="shared" ref="ER1" si="51">EQ1+1</f>
        <v>146</v>
      </c>
      <c r="ES1" s="1">
        <f t="shared" ref="ES1" si="52">ER1+1</f>
        <v>147</v>
      </c>
      <c r="ET1" s="1">
        <f t="shared" ref="ET1" si="53">ES1+1</f>
        <v>148</v>
      </c>
      <c r="EU1" s="1">
        <f t="shared" ref="EU1" si="54">ET1+1</f>
        <v>149</v>
      </c>
      <c r="EV1" s="1">
        <f t="shared" ref="EV1" si="55">EU1+1</f>
        <v>150</v>
      </c>
      <c r="EW1" s="1">
        <f t="shared" ref="EW1" si="56">EV1+1</f>
        <v>151</v>
      </c>
      <c r="EX1" s="1">
        <f t="shared" ref="EX1" si="57">EW1+1</f>
        <v>152</v>
      </c>
      <c r="EY1" s="1">
        <f t="shared" ref="EY1" si="58">EX1+1</f>
        <v>153</v>
      </c>
      <c r="EZ1" s="1">
        <f t="shared" ref="EZ1" si="59">EY1+1</f>
        <v>154</v>
      </c>
      <c r="FA1" s="1">
        <f t="shared" ref="FA1" si="60">EZ1+1</f>
        <v>155</v>
      </c>
      <c r="FB1" s="1">
        <f t="shared" ref="FB1" si="61">FA1+1</f>
        <v>156</v>
      </c>
      <c r="FC1" s="1">
        <f t="shared" ref="FC1" si="62">FB1+1</f>
        <v>157</v>
      </c>
      <c r="FD1" s="1">
        <f t="shared" ref="FD1" si="63">FC1+1</f>
        <v>158</v>
      </c>
      <c r="FE1" s="1">
        <f t="shared" ref="FE1" si="64">FD1+1</f>
        <v>159</v>
      </c>
      <c r="FF1" s="1">
        <f t="shared" ref="FF1" si="65">FE1+1</f>
        <v>160</v>
      </c>
      <c r="FG1" s="1">
        <f t="shared" ref="FG1" si="66">FF1+1</f>
        <v>161</v>
      </c>
      <c r="FH1" s="1">
        <f t="shared" ref="FH1" si="67">FG1+1</f>
        <v>162</v>
      </c>
      <c r="FI1" s="1">
        <f t="shared" ref="FI1" si="68">FH1+1</f>
        <v>163</v>
      </c>
      <c r="FJ1" s="1">
        <f t="shared" ref="FJ1" si="69">FI1+1</f>
        <v>164</v>
      </c>
      <c r="FK1" s="1">
        <f t="shared" ref="FK1" si="70">FJ1+1</f>
        <v>165</v>
      </c>
      <c r="FL1" s="1">
        <f t="shared" ref="FL1" si="71">FK1+1</f>
        <v>166</v>
      </c>
      <c r="FM1" s="1">
        <f t="shared" ref="FM1" si="72">FL1+1</f>
        <v>167</v>
      </c>
      <c r="FN1" s="1">
        <f t="shared" ref="FN1" si="73">FM1+1</f>
        <v>168</v>
      </c>
      <c r="FO1" s="1">
        <f t="shared" ref="FO1" si="74">FN1+1</f>
        <v>169</v>
      </c>
      <c r="FP1" s="1">
        <f t="shared" ref="FP1" si="75">FO1+1</f>
        <v>170</v>
      </c>
      <c r="FQ1" s="1">
        <f t="shared" ref="FQ1" si="76">FP1+1</f>
        <v>171</v>
      </c>
      <c r="FR1" s="1">
        <f t="shared" ref="FR1" si="77">FQ1+1</f>
        <v>172</v>
      </c>
      <c r="FS1" s="1">
        <f t="shared" ref="FS1" si="78">FR1+1</f>
        <v>173</v>
      </c>
      <c r="FT1" s="1">
        <f t="shared" ref="FT1" si="79">FS1+1</f>
        <v>174</v>
      </c>
      <c r="FU1" s="1">
        <f t="shared" ref="FU1" si="80">FT1+1</f>
        <v>175</v>
      </c>
      <c r="FV1" s="1">
        <f t="shared" ref="FV1" si="81">FU1+1</f>
        <v>176</v>
      </c>
      <c r="FW1" s="1">
        <f t="shared" ref="FW1" si="82">FV1+1</f>
        <v>177</v>
      </c>
      <c r="FX1" s="1">
        <f t="shared" ref="FX1" si="83">FW1+1</f>
        <v>178</v>
      </c>
      <c r="FY1" s="1">
        <f t="shared" ref="FY1" si="84">FX1+1</f>
        <v>179</v>
      </c>
      <c r="FZ1" s="1">
        <f t="shared" ref="FZ1" si="85">FY1+1</f>
        <v>180</v>
      </c>
      <c r="GA1" s="1">
        <f t="shared" ref="GA1" si="86">FZ1+1</f>
        <v>181</v>
      </c>
      <c r="GB1" s="1">
        <f t="shared" ref="GB1" si="87">GA1+1</f>
        <v>182</v>
      </c>
      <c r="GC1" s="1">
        <f t="shared" ref="GC1" si="88">GB1+1</f>
        <v>183</v>
      </c>
      <c r="GD1" s="1">
        <f t="shared" ref="GD1" si="89">GC1+1</f>
        <v>184</v>
      </c>
      <c r="GE1" s="1">
        <f t="shared" ref="GE1" si="90">GD1+1</f>
        <v>185</v>
      </c>
      <c r="GF1" s="1">
        <f t="shared" ref="GF1" si="91">GE1+1</f>
        <v>186</v>
      </c>
      <c r="GG1" s="1">
        <f t="shared" ref="GG1" si="92">GF1+1</f>
        <v>187</v>
      </c>
      <c r="GH1" s="1">
        <f t="shared" ref="GH1" si="93">GG1+1</f>
        <v>188</v>
      </c>
      <c r="GI1" s="1">
        <f t="shared" ref="GI1" si="94">GH1+1</f>
        <v>189</v>
      </c>
      <c r="GJ1" s="1">
        <f t="shared" ref="GJ1" si="95">GI1+1</f>
        <v>190</v>
      </c>
      <c r="GK1" s="1">
        <f t="shared" ref="GK1" si="96">GJ1+1</f>
        <v>191</v>
      </c>
      <c r="GL1" s="1">
        <f t="shared" ref="GL1" si="97">GK1+1</f>
        <v>192</v>
      </c>
      <c r="GM1" s="1">
        <f t="shared" ref="GM1" si="98">GL1+1</f>
        <v>193</v>
      </c>
      <c r="GN1" s="1">
        <f t="shared" ref="GN1" si="99">GM1+1</f>
        <v>194</v>
      </c>
      <c r="GO1" s="1">
        <f t="shared" ref="GO1" si="100">GN1+1</f>
        <v>195</v>
      </c>
      <c r="GP1" s="1">
        <f t="shared" ref="GP1" si="101">GO1+1</f>
        <v>196</v>
      </c>
      <c r="GQ1" s="1">
        <f t="shared" ref="GQ1" si="102">GP1+1</f>
        <v>197</v>
      </c>
      <c r="GR1" s="1">
        <f t="shared" ref="GR1" si="103">GQ1+1</f>
        <v>198</v>
      </c>
      <c r="GS1" s="1">
        <f t="shared" ref="GS1" si="104">GR1+1</f>
        <v>199</v>
      </c>
      <c r="GT1" s="1">
        <f t="shared" ref="GT1" si="105">GS1+1</f>
        <v>200</v>
      </c>
      <c r="GU1" s="1">
        <f t="shared" ref="GU1" si="106">GT1+1</f>
        <v>201</v>
      </c>
      <c r="GV1" s="1">
        <f t="shared" ref="GV1" si="107">GU1+1</f>
        <v>202</v>
      </c>
      <c r="GW1" s="1">
        <f t="shared" ref="GW1" si="108">GV1+1</f>
        <v>203</v>
      </c>
      <c r="GX1" s="1">
        <f t="shared" ref="GX1" si="109">GW1+1</f>
        <v>204</v>
      </c>
      <c r="GY1" s="1">
        <f t="shared" ref="GY1" si="110">GX1+1</f>
        <v>205</v>
      </c>
      <c r="GZ1" s="1">
        <f t="shared" ref="GZ1" si="111">GY1+1</f>
        <v>206</v>
      </c>
      <c r="HA1" s="1">
        <f t="shared" ref="HA1" si="112">GZ1+1</f>
        <v>207</v>
      </c>
      <c r="HB1" s="1">
        <f t="shared" ref="HB1" si="113">HA1+1</f>
        <v>208</v>
      </c>
      <c r="HC1" s="1">
        <f t="shared" ref="HC1" si="114">HB1+1</f>
        <v>209</v>
      </c>
      <c r="HD1" s="1">
        <f t="shared" ref="HD1" si="115">HC1+1</f>
        <v>210</v>
      </c>
      <c r="HE1" s="1">
        <f t="shared" ref="HE1" si="116">HD1+1</f>
        <v>211</v>
      </c>
      <c r="HF1" s="1">
        <f t="shared" ref="HF1" si="117">HE1+1</f>
        <v>212</v>
      </c>
      <c r="HG1" s="1">
        <f t="shared" ref="HG1" si="118">HF1+1</f>
        <v>213</v>
      </c>
      <c r="HH1" s="1">
        <f t="shared" ref="HH1" si="119">HG1+1</f>
        <v>214</v>
      </c>
      <c r="HI1" s="1">
        <f t="shared" ref="HI1" si="120">HH1+1</f>
        <v>215</v>
      </c>
      <c r="HJ1" s="1">
        <f t="shared" ref="HJ1" si="121">HI1+1</f>
        <v>216</v>
      </c>
      <c r="HK1" s="1">
        <f t="shared" ref="HK1" si="122">HJ1+1</f>
        <v>217</v>
      </c>
      <c r="HL1" s="1">
        <f t="shared" ref="HL1" si="123">HK1+1</f>
        <v>218</v>
      </c>
      <c r="HM1" s="1">
        <f t="shared" ref="HM1" si="124">HL1+1</f>
        <v>219</v>
      </c>
      <c r="HN1" s="1">
        <f t="shared" ref="HN1" si="125">HM1+1</f>
        <v>220</v>
      </c>
      <c r="HO1" s="1">
        <f t="shared" ref="HO1" si="126">HN1+1</f>
        <v>221</v>
      </c>
      <c r="HP1" s="1">
        <f t="shared" ref="HP1" si="127">HO1+1</f>
        <v>222</v>
      </c>
      <c r="HQ1" s="1">
        <f t="shared" ref="HQ1" si="128">HP1+1</f>
        <v>223</v>
      </c>
      <c r="HR1" s="1">
        <f t="shared" ref="HR1" si="129">HQ1+1</f>
        <v>224</v>
      </c>
      <c r="HS1" s="1">
        <f t="shared" ref="HS1" si="130">HR1+1</f>
        <v>225</v>
      </c>
      <c r="HT1" s="1">
        <f t="shared" ref="HT1" si="131">HS1+1</f>
        <v>226</v>
      </c>
      <c r="HU1" s="1">
        <f t="shared" ref="HU1" si="132">HT1+1</f>
        <v>227</v>
      </c>
      <c r="HV1" s="1">
        <f t="shared" ref="HV1" si="133">HU1+1</f>
        <v>228</v>
      </c>
      <c r="HW1" s="1">
        <f t="shared" ref="HW1" si="134">HV1+1</f>
        <v>229</v>
      </c>
      <c r="HX1" s="1">
        <f t="shared" ref="HX1" si="135">HW1+1</f>
        <v>230</v>
      </c>
      <c r="HY1" s="1">
        <f t="shared" ref="HY1" si="136">HX1+1</f>
        <v>231</v>
      </c>
      <c r="HZ1" s="1">
        <f t="shared" ref="HZ1" si="137">HY1+1</f>
        <v>232</v>
      </c>
      <c r="IA1" s="1">
        <f t="shared" ref="IA1" si="138">HZ1+1</f>
        <v>233</v>
      </c>
      <c r="IB1" s="1">
        <f t="shared" ref="IB1" si="139">IA1+1</f>
        <v>234</v>
      </c>
      <c r="IC1" s="1">
        <f t="shared" ref="IC1" si="140">IB1+1</f>
        <v>235</v>
      </c>
      <c r="ID1" s="1">
        <f t="shared" ref="ID1" si="141">IC1+1</f>
        <v>236</v>
      </c>
      <c r="IE1" s="1">
        <f t="shared" ref="IE1" si="142">ID1+1</f>
        <v>237</v>
      </c>
      <c r="IF1" s="1">
        <f t="shared" ref="IF1" si="143">IE1+1</f>
        <v>238</v>
      </c>
      <c r="IG1" s="1">
        <f t="shared" ref="IG1" si="144">IF1+1</f>
        <v>239</v>
      </c>
      <c r="IH1" s="1">
        <f t="shared" ref="IH1" si="145">IG1+1</f>
        <v>240</v>
      </c>
      <c r="II1" s="1">
        <f t="shared" ref="II1" si="146">IH1+1</f>
        <v>241</v>
      </c>
      <c r="IJ1" s="1">
        <f t="shared" ref="IJ1" si="147">II1+1</f>
        <v>242</v>
      </c>
      <c r="IK1" s="1">
        <f t="shared" ref="IK1" si="148">IJ1+1</f>
        <v>243</v>
      </c>
      <c r="IL1" s="1">
        <f t="shared" ref="IL1" si="149">IK1+1</f>
        <v>244</v>
      </c>
      <c r="IM1" s="1">
        <f t="shared" ref="IM1" si="150">IL1+1</f>
        <v>245</v>
      </c>
      <c r="IN1" s="1">
        <f t="shared" ref="IN1" si="151">IM1+1</f>
        <v>246</v>
      </c>
      <c r="IO1" s="1">
        <f t="shared" ref="IO1" si="152">IN1+1</f>
        <v>247</v>
      </c>
      <c r="IP1" s="1">
        <f t="shared" ref="IP1" si="153">IO1+1</f>
        <v>248</v>
      </c>
      <c r="IQ1" s="1">
        <f t="shared" ref="IQ1" si="154">IP1+1</f>
        <v>249</v>
      </c>
      <c r="IR1" s="1">
        <f t="shared" ref="IR1" si="155">IQ1+1</f>
        <v>250</v>
      </c>
      <c r="IS1" s="1">
        <f t="shared" ref="IS1" si="156">IR1+1</f>
        <v>251</v>
      </c>
      <c r="IT1" s="1">
        <f t="shared" ref="IT1" si="157">IS1+1</f>
        <v>252</v>
      </c>
      <c r="IU1" s="1">
        <f t="shared" ref="IU1" si="158">IT1+1</f>
        <v>253</v>
      </c>
      <c r="IV1" s="1">
        <f t="shared" ref="IV1" si="159">IU1+1</f>
        <v>254</v>
      </c>
      <c r="IW1" s="1">
        <f t="shared" ref="IW1" si="160">IV1+1</f>
        <v>255</v>
      </c>
      <c r="IX1" s="1">
        <f t="shared" ref="IX1" si="161">IW1+1</f>
        <v>256</v>
      </c>
      <c r="IY1" s="1">
        <f t="shared" ref="IY1" si="162">IX1+1</f>
        <v>257</v>
      </c>
      <c r="IZ1" s="1">
        <f t="shared" ref="IZ1" si="163">IY1+1</f>
        <v>258</v>
      </c>
      <c r="JA1" s="1">
        <f t="shared" ref="JA1" si="164">IZ1+1</f>
        <v>259</v>
      </c>
      <c r="JB1" s="1">
        <f t="shared" ref="JB1" si="165">JA1+1</f>
        <v>260</v>
      </c>
      <c r="JC1" s="1">
        <f t="shared" ref="JC1" si="166">JB1+1</f>
        <v>261</v>
      </c>
      <c r="JD1" s="1">
        <f t="shared" ref="JD1" si="167">JC1+1</f>
        <v>262</v>
      </c>
      <c r="JE1" s="1">
        <f t="shared" ref="JE1" si="168">JD1+1</f>
        <v>263</v>
      </c>
      <c r="JF1" s="1">
        <f t="shared" ref="JF1" si="169">JE1+1</f>
        <v>264</v>
      </c>
      <c r="JG1" s="1">
        <f t="shared" ref="JG1" si="170">JF1+1</f>
        <v>265</v>
      </c>
      <c r="JH1" s="1">
        <f t="shared" ref="JH1" si="171">JG1+1</f>
        <v>266</v>
      </c>
      <c r="JI1" s="1">
        <f t="shared" ref="JI1" si="172">JH1+1</f>
        <v>267</v>
      </c>
      <c r="JJ1" s="1">
        <f t="shared" ref="JJ1" si="173">JI1+1</f>
        <v>268</v>
      </c>
      <c r="JK1" s="1">
        <f t="shared" ref="JK1" si="174">JJ1+1</f>
        <v>269</v>
      </c>
      <c r="JL1" s="1">
        <f t="shared" ref="JL1" si="175">JK1+1</f>
        <v>270</v>
      </c>
      <c r="JM1" s="1">
        <f t="shared" ref="JM1" si="176">JL1+1</f>
        <v>271</v>
      </c>
      <c r="JN1" s="1">
        <f t="shared" ref="JN1" si="177">JM1+1</f>
        <v>272</v>
      </c>
      <c r="JO1" s="1">
        <f t="shared" ref="JO1" si="178">JN1+1</f>
        <v>273</v>
      </c>
      <c r="JP1" s="1">
        <f t="shared" ref="JP1" si="179">JO1+1</f>
        <v>274</v>
      </c>
      <c r="JQ1" s="1">
        <f t="shared" ref="JQ1" si="180">JP1+1</f>
        <v>275</v>
      </c>
      <c r="JR1" s="1">
        <f t="shared" ref="JR1" si="181">JQ1+1</f>
        <v>276</v>
      </c>
    </row>
    <row r="2" spans="2:280" x14ac:dyDescent="0.2">
      <c r="B2" s="1" t="s">
        <v>1137</v>
      </c>
      <c r="C2" s="1">
        <v>1</v>
      </c>
      <c r="D2" s="1">
        <f>C2+1</f>
        <v>2</v>
      </c>
      <c r="E2" s="1">
        <f t="shared" ref="E2" si="182">D2+1</f>
        <v>3</v>
      </c>
      <c r="F2" s="1">
        <f t="shared" ref="F2" si="183">E2+1</f>
        <v>4</v>
      </c>
      <c r="G2" s="1">
        <f t="shared" ref="G2" si="184">F2+1</f>
        <v>5</v>
      </c>
      <c r="H2" s="1">
        <f t="shared" ref="H2" si="185">G2+1</f>
        <v>6</v>
      </c>
      <c r="I2" s="1">
        <f t="shared" ref="I2" si="186">H2+1</f>
        <v>7</v>
      </c>
      <c r="J2" s="1">
        <f t="shared" ref="J2" si="187">I2+1</f>
        <v>8</v>
      </c>
      <c r="K2" s="1">
        <f t="shared" ref="K2" si="188">J2+1</f>
        <v>9</v>
      </c>
      <c r="L2" s="1">
        <f t="shared" ref="L2" si="189">K2+1</f>
        <v>10</v>
      </c>
      <c r="M2" s="1">
        <f t="shared" ref="M2" si="190">L2+1</f>
        <v>11</v>
      </c>
      <c r="N2" s="1">
        <f t="shared" ref="N2" si="191">M2+1</f>
        <v>12</v>
      </c>
      <c r="O2" s="1">
        <f t="shared" ref="O2" si="192">N2+1</f>
        <v>13</v>
      </c>
      <c r="P2" s="1">
        <f t="shared" ref="P2" si="193">O2+1</f>
        <v>14</v>
      </c>
      <c r="Q2" s="1">
        <f t="shared" ref="Q2" si="194">P2+1</f>
        <v>15</v>
      </c>
      <c r="R2" s="1">
        <f t="shared" ref="R2" si="195">Q2+1</f>
        <v>16</v>
      </c>
      <c r="S2" s="1">
        <f t="shared" ref="S2" si="196">R2+1</f>
        <v>17</v>
      </c>
      <c r="T2" s="1">
        <f t="shared" ref="T2" si="197">S2+1</f>
        <v>18</v>
      </c>
      <c r="U2" s="1">
        <f t="shared" ref="U2" si="198">T2+1</f>
        <v>19</v>
      </c>
      <c r="V2" s="1">
        <f t="shared" ref="V2" si="199">U2+1</f>
        <v>20</v>
      </c>
      <c r="W2" s="1">
        <f t="shared" ref="W2" si="200">V2+1</f>
        <v>21</v>
      </c>
      <c r="X2" s="1">
        <f t="shared" ref="X2" si="201">W2+1</f>
        <v>22</v>
      </c>
      <c r="Y2" s="1">
        <f t="shared" ref="Y2" si="202">X2+1</f>
        <v>23</v>
      </c>
      <c r="Z2" s="1">
        <f t="shared" ref="Z2" si="203">Y2+1</f>
        <v>24</v>
      </c>
      <c r="AA2" s="1">
        <f t="shared" ref="AA2" si="204">Z2+1</f>
        <v>25</v>
      </c>
      <c r="AB2" s="1">
        <f t="shared" ref="AB2" si="205">AA2+1</f>
        <v>26</v>
      </c>
      <c r="AC2" s="1">
        <f t="shared" ref="AC2" si="206">AB2+1</f>
        <v>27</v>
      </c>
      <c r="AD2" s="1">
        <f t="shared" ref="AD2" si="207">AC2+1</f>
        <v>28</v>
      </c>
      <c r="AE2" s="1">
        <f t="shared" ref="AE2" si="208">AD2+1</f>
        <v>29</v>
      </c>
      <c r="AF2" s="1">
        <f t="shared" ref="AF2" si="209">AE2+1</f>
        <v>30</v>
      </c>
      <c r="AG2" s="1">
        <f t="shared" ref="AG2" si="210">AF2+1</f>
        <v>31</v>
      </c>
      <c r="AH2" s="1">
        <f t="shared" ref="AH2" si="211">AG2+1</f>
        <v>32</v>
      </c>
      <c r="AI2" s="1">
        <f t="shared" ref="AI2" si="212">AH2+1</f>
        <v>33</v>
      </c>
      <c r="AJ2" s="1">
        <f t="shared" ref="AJ2" si="213">AI2+1</f>
        <v>34</v>
      </c>
      <c r="AK2" s="1">
        <f t="shared" ref="AK2" si="214">AJ2+1</f>
        <v>35</v>
      </c>
      <c r="AL2" s="1">
        <f t="shared" ref="AL2" si="215">AK2+1</f>
        <v>36</v>
      </c>
      <c r="AM2" s="1">
        <f t="shared" ref="AM2" si="216">AL2+1</f>
        <v>37</v>
      </c>
      <c r="AN2" s="1">
        <f t="shared" ref="AN2" si="217">AM2+1</f>
        <v>38</v>
      </c>
      <c r="AO2" s="1">
        <f t="shared" ref="AO2" si="218">AN2+1</f>
        <v>39</v>
      </c>
      <c r="AP2" s="1">
        <f t="shared" ref="AP2" si="219">AO2+1</f>
        <v>40</v>
      </c>
      <c r="AQ2" s="1">
        <f t="shared" ref="AQ2" si="220">AP2+1</f>
        <v>41</v>
      </c>
      <c r="AR2" s="1">
        <f t="shared" ref="AR2" si="221">AQ2+1</f>
        <v>42</v>
      </c>
      <c r="AS2" s="1">
        <f t="shared" ref="AS2" si="222">AR2+1</f>
        <v>43</v>
      </c>
      <c r="AT2" s="1">
        <f t="shared" ref="AT2" si="223">AS2+1</f>
        <v>44</v>
      </c>
      <c r="AU2" s="1">
        <f t="shared" ref="AU2" si="224">AT2+1</f>
        <v>45</v>
      </c>
      <c r="AV2" s="1">
        <f t="shared" ref="AV2" si="225">AU2+1</f>
        <v>46</v>
      </c>
      <c r="AW2" s="1">
        <f t="shared" ref="AW2" si="226">AV2+1</f>
        <v>47</v>
      </c>
      <c r="AX2" s="1">
        <f t="shared" ref="AX2" si="227">AW2+1</f>
        <v>48</v>
      </c>
      <c r="AY2" s="1">
        <f t="shared" ref="AY2" si="228">AX2+1</f>
        <v>49</v>
      </c>
      <c r="AZ2" s="1">
        <f t="shared" ref="AZ2" si="229">AY2+1</f>
        <v>50</v>
      </c>
      <c r="BA2" s="1">
        <f t="shared" ref="BA2" si="230">AZ2+1</f>
        <v>51</v>
      </c>
      <c r="BB2" s="1">
        <f t="shared" ref="BB2" si="231">BA2+1</f>
        <v>52</v>
      </c>
      <c r="BC2" s="1">
        <f t="shared" ref="BC2" si="232">BB2+1</f>
        <v>53</v>
      </c>
      <c r="BD2" s="1">
        <f t="shared" ref="BD2" si="233">BC2+1</f>
        <v>54</v>
      </c>
      <c r="BE2" s="1">
        <f t="shared" ref="BE2" si="234">BD2+1</f>
        <v>55</v>
      </c>
      <c r="BF2" s="1">
        <f t="shared" ref="BF2" si="235">BE2+1</f>
        <v>56</v>
      </c>
      <c r="BG2" s="1">
        <f t="shared" ref="BG2" si="236">BF2+1</f>
        <v>57</v>
      </c>
      <c r="BH2" s="1">
        <f t="shared" ref="BH2" si="237">BG2+1</f>
        <v>58</v>
      </c>
      <c r="BI2" s="1">
        <f t="shared" ref="BI2" si="238">BH2+1</f>
        <v>59</v>
      </c>
      <c r="BJ2" s="1">
        <f t="shared" ref="BJ2" si="239">BI2+1</f>
        <v>60</v>
      </c>
      <c r="BK2" s="1">
        <f t="shared" ref="BK2" si="240">BJ2+1</f>
        <v>61</v>
      </c>
      <c r="BL2" s="1">
        <f t="shared" ref="BL2" si="241">BK2+1</f>
        <v>62</v>
      </c>
      <c r="BM2" s="1">
        <f t="shared" ref="BM2" si="242">BL2+1</f>
        <v>63</v>
      </c>
      <c r="BN2" s="1">
        <f t="shared" ref="BN2" si="243">BM2+1</f>
        <v>64</v>
      </c>
      <c r="BO2" s="1">
        <f t="shared" ref="BO2" si="244">BN2+1</f>
        <v>65</v>
      </c>
      <c r="BP2" s="1">
        <f t="shared" ref="BP2" si="245">BO2+1</f>
        <v>66</v>
      </c>
      <c r="BQ2" s="1">
        <f t="shared" ref="BQ2" si="246">BP2+1</f>
        <v>67</v>
      </c>
      <c r="BR2" s="1">
        <f t="shared" ref="BR2" si="247">BQ2+1</f>
        <v>68</v>
      </c>
      <c r="BS2" s="1">
        <f t="shared" ref="BS2" si="248">BR2+1</f>
        <v>69</v>
      </c>
      <c r="BT2" s="1">
        <f t="shared" ref="BT2" si="249">BS2+1</f>
        <v>70</v>
      </c>
      <c r="BU2" s="1">
        <f t="shared" ref="BU2" si="250">BT2+1</f>
        <v>71</v>
      </c>
      <c r="BV2" s="1">
        <f t="shared" ref="BV2" si="251">BU2+1</f>
        <v>72</v>
      </c>
      <c r="BW2" s="1">
        <f t="shared" ref="BW2" si="252">BV2+1</f>
        <v>73</v>
      </c>
      <c r="BX2" s="1">
        <f t="shared" ref="BX2" si="253">BW2+1</f>
        <v>74</v>
      </c>
      <c r="BY2" s="1">
        <f t="shared" ref="BY2" si="254">BX2+1</f>
        <v>75</v>
      </c>
      <c r="BZ2" s="1">
        <f t="shared" ref="BZ2" si="255">BY2+1</f>
        <v>76</v>
      </c>
      <c r="CA2" s="1">
        <f t="shared" ref="CA2" si="256">BZ2+1</f>
        <v>77</v>
      </c>
      <c r="CB2" s="1">
        <f t="shared" ref="CB2" si="257">CA2+1</f>
        <v>78</v>
      </c>
      <c r="CC2" s="1">
        <f t="shared" ref="CC2" si="258">CB2+1</f>
        <v>79</v>
      </c>
      <c r="CD2" s="1">
        <f t="shared" ref="CD2" si="259">CC2+1</f>
        <v>80</v>
      </c>
      <c r="CE2" s="1">
        <f t="shared" ref="CE2" si="260">CD2+1</f>
        <v>81</v>
      </c>
      <c r="CF2" s="1">
        <f t="shared" ref="CF2" si="261">CE2+1</f>
        <v>82</v>
      </c>
      <c r="CG2" s="1">
        <f t="shared" ref="CG2" si="262">CF2+1</f>
        <v>83</v>
      </c>
      <c r="CH2" s="1">
        <f t="shared" ref="CH2" si="263">CG2+1</f>
        <v>84</v>
      </c>
      <c r="CI2" s="1">
        <f t="shared" ref="CI2" si="264">CH2+1</f>
        <v>85</v>
      </c>
      <c r="CJ2" s="1">
        <f t="shared" ref="CJ2" si="265">CI2+1</f>
        <v>86</v>
      </c>
      <c r="CK2" s="1">
        <f t="shared" ref="CK2" si="266">CJ2+1</f>
        <v>87</v>
      </c>
      <c r="CL2" s="1">
        <f t="shared" ref="CL2" si="267">CK2+1</f>
        <v>88</v>
      </c>
      <c r="CM2" s="1">
        <f t="shared" ref="CM2" si="268">CL2+1</f>
        <v>89</v>
      </c>
      <c r="CN2" s="1">
        <f t="shared" ref="CN2" si="269">CM2+1</f>
        <v>90</v>
      </c>
      <c r="CO2" s="1">
        <f t="shared" ref="CO2" si="270">CN2+1</f>
        <v>91</v>
      </c>
      <c r="CP2" s="1">
        <f t="shared" ref="CP2" si="271">CO2+1</f>
        <v>92</v>
      </c>
      <c r="CQ2" s="1">
        <f t="shared" ref="CQ2" si="272">CP2+1</f>
        <v>93</v>
      </c>
      <c r="CR2" s="1">
        <f t="shared" ref="CR2" si="273">CQ2+1</f>
        <v>94</v>
      </c>
      <c r="CS2" s="1">
        <f t="shared" ref="CS2" si="274">CR2+1</f>
        <v>95</v>
      </c>
      <c r="CT2" s="1">
        <f t="shared" ref="CT2" si="275">CS2+1</f>
        <v>96</v>
      </c>
      <c r="CU2" s="1">
        <f t="shared" ref="CU2" si="276">CT2+1</f>
        <v>97</v>
      </c>
      <c r="CV2" s="1">
        <f t="shared" ref="CV2" si="277">CU2+1</f>
        <v>98</v>
      </c>
      <c r="CW2" s="1">
        <f t="shared" ref="CW2" si="278">CV2+1</f>
        <v>99</v>
      </c>
      <c r="CX2" s="1">
        <f t="shared" ref="CX2" si="279">CW2+1</f>
        <v>100</v>
      </c>
      <c r="CY2" s="1">
        <f t="shared" ref="CY2" si="280">CX2+1</f>
        <v>101</v>
      </c>
      <c r="CZ2" s="1">
        <f t="shared" ref="CZ2" si="281">CY2+1</f>
        <v>102</v>
      </c>
      <c r="DA2" s="1">
        <f t="shared" ref="DA2" si="282">CZ2+1</f>
        <v>103</v>
      </c>
      <c r="DB2" s="1">
        <f t="shared" ref="DB2" si="283">DA2+1</f>
        <v>104</v>
      </c>
      <c r="DC2" s="1">
        <f t="shared" ref="DC2" si="284">DB2+1</f>
        <v>105</v>
      </c>
      <c r="DD2" s="1">
        <f t="shared" ref="DD2" si="285">DC2+1</f>
        <v>106</v>
      </c>
      <c r="DE2" s="1">
        <f t="shared" ref="DE2" si="286">DD2+1</f>
        <v>107</v>
      </c>
      <c r="DF2" s="1">
        <f t="shared" ref="DF2" si="287">DE2+1</f>
        <v>108</v>
      </c>
      <c r="DG2" s="1">
        <f t="shared" ref="DG2" si="288">DF2+1</f>
        <v>109</v>
      </c>
      <c r="DH2" s="1">
        <f t="shared" ref="DH2" si="289">DG2+1</f>
        <v>110</v>
      </c>
      <c r="DI2" s="1">
        <f t="shared" ref="DI2" si="290">DH2+1</f>
        <v>111</v>
      </c>
      <c r="DJ2" s="1">
        <f t="shared" ref="DJ2" si="291">DI2+1</f>
        <v>112</v>
      </c>
      <c r="DK2" s="1">
        <f t="shared" ref="DK2" si="292">DJ2+1</f>
        <v>113</v>
      </c>
      <c r="DL2" s="1">
        <f t="shared" ref="DL2" si="293">DK2+1</f>
        <v>114</v>
      </c>
      <c r="DM2" s="1">
        <f t="shared" ref="DM2" si="294">DL2+1</f>
        <v>115</v>
      </c>
      <c r="DN2" s="1">
        <f t="shared" ref="DN2" si="295">DM2+1</f>
        <v>116</v>
      </c>
      <c r="DO2" s="1">
        <f t="shared" ref="DO2" si="296">DN2+1</f>
        <v>117</v>
      </c>
      <c r="DP2" s="1">
        <f t="shared" ref="DP2" si="297">DO2+1</f>
        <v>118</v>
      </c>
      <c r="DQ2" s="1">
        <f t="shared" ref="DQ2" si="298">DP2+1</f>
        <v>119</v>
      </c>
      <c r="DR2" s="1">
        <f t="shared" ref="DR2" si="299">DQ2+1</f>
        <v>120</v>
      </c>
      <c r="DS2" s="1">
        <f t="shared" ref="DS2" si="300">DR2+1</f>
        <v>121</v>
      </c>
      <c r="DT2" s="1">
        <f t="shared" ref="DT2" si="301">DS2+1</f>
        <v>122</v>
      </c>
      <c r="DU2" s="1">
        <f t="shared" ref="DU2" si="302">DT2+1</f>
        <v>123</v>
      </c>
      <c r="DV2" s="1">
        <f t="shared" ref="DV2" si="303">DU2+1</f>
        <v>124</v>
      </c>
      <c r="DW2" s="1">
        <f t="shared" ref="DW2" si="304">DV2+1</f>
        <v>125</v>
      </c>
      <c r="DX2" s="1">
        <f t="shared" ref="DX2" si="305">DW2+1</f>
        <v>126</v>
      </c>
      <c r="DY2" s="1">
        <f t="shared" ref="DY2" si="306">DX2+1</f>
        <v>127</v>
      </c>
      <c r="DZ2" s="1">
        <f t="shared" ref="DZ2" si="307">DY2+1</f>
        <v>128</v>
      </c>
      <c r="EA2" s="1">
        <f t="shared" ref="EA2" si="308">DZ2+1</f>
        <v>129</v>
      </c>
      <c r="EB2" s="1">
        <f t="shared" ref="EB2" si="309">EA2+1</f>
        <v>130</v>
      </c>
      <c r="EC2" s="1">
        <f t="shared" ref="EC2" si="310">EB2+1</f>
        <v>131</v>
      </c>
      <c r="ED2" s="1">
        <f t="shared" ref="ED2" si="311">EC2+1</f>
        <v>132</v>
      </c>
      <c r="EE2" s="1">
        <f t="shared" ref="EE2" si="312">ED2+1</f>
        <v>133</v>
      </c>
      <c r="EF2" s="1">
        <f t="shared" ref="EF2" si="313">EE2+1</f>
        <v>134</v>
      </c>
      <c r="EG2" s="1">
        <f t="shared" ref="EG2" si="314">EF2+1</f>
        <v>135</v>
      </c>
      <c r="EH2" s="1">
        <f t="shared" ref="EH2" si="315">EG2+1</f>
        <v>136</v>
      </c>
      <c r="EI2" s="1">
        <f t="shared" ref="EI2" si="316">EH2+1</f>
        <v>137</v>
      </c>
      <c r="EJ2" s="1">
        <f t="shared" ref="EJ2" si="317">EI2+1</f>
        <v>138</v>
      </c>
      <c r="EK2" s="1">
        <f t="shared" ref="EK2" si="318">EJ2+1</f>
        <v>139</v>
      </c>
      <c r="EL2" s="1">
        <f t="shared" ref="EL2" si="319">EK2+1</f>
        <v>140</v>
      </c>
      <c r="EM2" s="1">
        <f t="shared" ref="EM2" si="320">EL2+1</f>
        <v>141</v>
      </c>
      <c r="EN2" s="1">
        <f t="shared" ref="EN2" si="321">EM2+1</f>
        <v>142</v>
      </c>
      <c r="EO2" s="1">
        <f t="shared" ref="EO2" si="322">EN2+1</f>
        <v>143</v>
      </c>
      <c r="EP2" s="1">
        <f t="shared" ref="EP2" si="323">EO2+1</f>
        <v>144</v>
      </c>
      <c r="EQ2" s="1">
        <f t="shared" ref="EQ2" si="324">EP2+1</f>
        <v>145</v>
      </c>
      <c r="ER2" s="1">
        <f t="shared" ref="ER2" si="325">EQ2+1</f>
        <v>146</v>
      </c>
      <c r="ES2" s="1">
        <f t="shared" ref="ES2" si="326">ER2+1</f>
        <v>147</v>
      </c>
      <c r="ET2" s="1">
        <f t="shared" ref="ET2" si="327">ES2+1</f>
        <v>148</v>
      </c>
      <c r="EU2" s="1">
        <f t="shared" ref="EU2" si="328">ET2+1</f>
        <v>149</v>
      </c>
      <c r="EV2" s="1">
        <f t="shared" ref="EV2" si="329">EU2+1</f>
        <v>150</v>
      </c>
      <c r="EW2" s="1">
        <f t="shared" ref="EW2" si="330">EV2+1</f>
        <v>151</v>
      </c>
      <c r="EX2" s="1">
        <f t="shared" ref="EX2" si="331">EW2+1</f>
        <v>152</v>
      </c>
      <c r="EY2" s="1">
        <f t="shared" ref="EY2" si="332">EX2+1</f>
        <v>153</v>
      </c>
      <c r="EZ2" s="1">
        <f t="shared" ref="EZ2" si="333">EY2+1</f>
        <v>154</v>
      </c>
      <c r="FA2" s="1">
        <f t="shared" ref="FA2" si="334">EZ2+1</f>
        <v>155</v>
      </c>
      <c r="FB2" s="1">
        <f t="shared" ref="FB2" si="335">FA2+1</f>
        <v>156</v>
      </c>
      <c r="FC2" s="1">
        <f t="shared" ref="FC2" si="336">FB2+1</f>
        <v>157</v>
      </c>
      <c r="FD2" s="1">
        <f t="shared" ref="FD2" si="337">FC2+1</f>
        <v>158</v>
      </c>
      <c r="FE2" s="1">
        <f t="shared" ref="FE2" si="338">FD2+1</f>
        <v>159</v>
      </c>
      <c r="FF2" s="1">
        <f t="shared" ref="FF2" si="339">FE2+1</f>
        <v>160</v>
      </c>
      <c r="FG2" s="1">
        <f t="shared" ref="FG2" si="340">FF2+1</f>
        <v>161</v>
      </c>
      <c r="FH2" s="1">
        <f t="shared" ref="FH2" si="341">FG2+1</f>
        <v>162</v>
      </c>
      <c r="FI2" s="1">
        <f t="shared" ref="FI2" si="342">FH2+1</f>
        <v>163</v>
      </c>
      <c r="FJ2" s="1">
        <f t="shared" ref="FJ2" si="343">FI2+1</f>
        <v>164</v>
      </c>
      <c r="FK2" s="1">
        <f t="shared" ref="FK2" si="344">FJ2+1</f>
        <v>165</v>
      </c>
      <c r="FL2" s="1">
        <f t="shared" ref="FL2" si="345">FK2+1</f>
        <v>166</v>
      </c>
      <c r="FM2" s="1">
        <f t="shared" ref="FM2" si="346">FL2+1</f>
        <v>167</v>
      </c>
      <c r="FN2" s="1">
        <f t="shared" ref="FN2" si="347">FM2+1</f>
        <v>168</v>
      </c>
      <c r="FO2" s="1">
        <f t="shared" ref="FO2" si="348">FN2+1</f>
        <v>169</v>
      </c>
      <c r="FP2" s="1">
        <f t="shared" ref="FP2" si="349">FO2+1</f>
        <v>170</v>
      </c>
      <c r="FQ2" s="1">
        <f t="shared" ref="FQ2" si="350">FP2+1</f>
        <v>171</v>
      </c>
      <c r="FR2" s="1">
        <f t="shared" ref="FR2" si="351">FQ2+1</f>
        <v>172</v>
      </c>
      <c r="FS2" s="1">
        <f t="shared" ref="FS2" si="352">FR2+1</f>
        <v>173</v>
      </c>
      <c r="FT2" s="1">
        <f t="shared" ref="FT2" si="353">FS2+1</f>
        <v>174</v>
      </c>
      <c r="FU2" s="1">
        <f t="shared" ref="FU2" si="354">FT2+1</f>
        <v>175</v>
      </c>
      <c r="FV2" s="1">
        <f t="shared" ref="FV2" si="355">FU2+1</f>
        <v>176</v>
      </c>
      <c r="FW2" s="1">
        <f t="shared" ref="FW2" si="356">FV2+1</f>
        <v>177</v>
      </c>
      <c r="FX2" s="1">
        <f t="shared" ref="FX2" si="357">FW2+1</f>
        <v>178</v>
      </c>
      <c r="FY2" s="1">
        <f t="shared" ref="FY2" si="358">FX2+1</f>
        <v>179</v>
      </c>
      <c r="FZ2" s="1">
        <f t="shared" ref="FZ2" si="359">FY2+1</f>
        <v>180</v>
      </c>
      <c r="GA2" s="1">
        <f t="shared" ref="GA2" si="360">FZ2+1</f>
        <v>181</v>
      </c>
      <c r="GB2" s="1">
        <f t="shared" ref="GB2" si="361">GA2+1</f>
        <v>182</v>
      </c>
      <c r="GC2" s="1">
        <f t="shared" ref="GC2" si="362">GB2+1</f>
        <v>183</v>
      </c>
      <c r="GD2" s="1">
        <f t="shared" ref="GD2" si="363">GC2+1</f>
        <v>184</v>
      </c>
      <c r="GE2" s="1">
        <f t="shared" ref="GE2" si="364">GD2+1</f>
        <v>185</v>
      </c>
      <c r="GF2" s="1">
        <f t="shared" ref="GF2" si="365">GE2+1</f>
        <v>186</v>
      </c>
      <c r="GG2" s="1">
        <f t="shared" ref="GG2" si="366">GF2+1</f>
        <v>187</v>
      </c>
      <c r="GH2" s="1">
        <f t="shared" ref="GH2" si="367">GG2+1</f>
        <v>188</v>
      </c>
      <c r="GI2" s="1">
        <f t="shared" ref="GI2" si="368">GH2+1</f>
        <v>189</v>
      </c>
      <c r="GJ2" s="1">
        <f t="shared" ref="GJ2" si="369">GI2+1</f>
        <v>190</v>
      </c>
      <c r="GK2" s="1">
        <f t="shared" ref="GK2" si="370">GJ2+1</f>
        <v>191</v>
      </c>
      <c r="GL2" s="1">
        <f t="shared" ref="GL2" si="371">GK2+1</f>
        <v>192</v>
      </c>
      <c r="GM2" s="1">
        <f t="shared" ref="GM2" si="372">GL2+1</f>
        <v>193</v>
      </c>
      <c r="GN2" s="1">
        <f t="shared" ref="GN2" si="373">GM2+1</f>
        <v>194</v>
      </c>
      <c r="GO2" s="1">
        <f t="shared" ref="GO2" si="374">GN2+1</f>
        <v>195</v>
      </c>
      <c r="GP2" s="1">
        <f t="shared" ref="GP2" si="375">GO2+1</f>
        <v>196</v>
      </c>
      <c r="GQ2" s="1">
        <f t="shared" ref="GQ2" si="376">GP2+1</f>
        <v>197</v>
      </c>
      <c r="GR2" s="1">
        <f t="shared" ref="GR2" si="377">GQ2+1</f>
        <v>198</v>
      </c>
      <c r="GS2" s="1">
        <f t="shared" ref="GS2" si="378">GR2+1</f>
        <v>199</v>
      </c>
      <c r="GT2" s="1">
        <f t="shared" ref="GT2" si="379">GS2+1</f>
        <v>200</v>
      </c>
      <c r="GU2" s="1">
        <f t="shared" ref="GU2" si="380">GT2+1</f>
        <v>201</v>
      </c>
      <c r="GV2" s="1">
        <f t="shared" ref="GV2" si="381">GU2+1</f>
        <v>202</v>
      </c>
      <c r="GW2" s="1">
        <f t="shared" ref="GW2" si="382">GV2+1</f>
        <v>203</v>
      </c>
      <c r="GX2" s="1">
        <f t="shared" ref="GX2" si="383">GW2+1</f>
        <v>204</v>
      </c>
      <c r="GY2" s="1">
        <f t="shared" ref="GY2" si="384">GX2+1</f>
        <v>205</v>
      </c>
      <c r="GZ2" s="1">
        <f t="shared" ref="GZ2" si="385">GY2+1</f>
        <v>206</v>
      </c>
      <c r="HA2" s="1">
        <f t="shared" ref="HA2" si="386">GZ2+1</f>
        <v>207</v>
      </c>
      <c r="HB2" s="1">
        <f t="shared" ref="HB2" si="387">HA2+1</f>
        <v>208</v>
      </c>
      <c r="HC2" s="1">
        <f t="shared" ref="HC2" si="388">HB2+1</f>
        <v>209</v>
      </c>
      <c r="HD2" s="1">
        <f t="shared" ref="HD2" si="389">HC2+1</f>
        <v>210</v>
      </c>
      <c r="HE2" s="1">
        <f t="shared" ref="HE2" si="390">HD2+1</f>
        <v>211</v>
      </c>
      <c r="HF2" s="1">
        <f t="shared" ref="HF2" si="391">HE2+1</f>
        <v>212</v>
      </c>
      <c r="HG2" s="1">
        <f t="shared" ref="HG2" si="392">HF2+1</f>
        <v>213</v>
      </c>
      <c r="HH2" s="1">
        <f t="shared" ref="HH2" si="393">HG2+1</f>
        <v>214</v>
      </c>
      <c r="HI2" s="1">
        <f t="shared" ref="HI2" si="394">HH2+1</f>
        <v>215</v>
      </c>
      <c r="HJ2" s="1">
        <f t="shared" ref="HJ2" si="395">HI2+1</f>
        <v>216</v>
      </c>
      <c r="HK2" s="1">
        <f t="shared" ref="HK2" si="396">HJ2+1</f>
        <v>217</v>
      </c>
      <c r="HL2" s="1">
        <f t="shared" ref="HL2" si="397">HK2+1</f>
        <v>218</v>
      </c>
      <c r="HM2" s="1">
        <f t="shared" ref="HM2" si="398">HL2+1</f>
        <v>219</v>
      </c>
      <c r="HN2" s="1">
        <f t="shared" ref="HN2" si="399">HM2+1</f>
        <v>220</v>
      </c>
      <c r="HO2" s="1">
        <f t="shared" ref="HO2" si="400">HN2+1</f>
        <v>221</v>
      </c>
      <c r="HP2" s="1">
        <f t="shared" ref="HP2" si="401">HO2+1</f>
        <v>222</v>
      </c>
      <c r="HQ2" s="1">
        <f t="shared" ref="HQ2" si="402">HP2+1</f>
        <v>223</v>
      </c>
      <c r="HR2" s="1">
        <f t="shared" ref="HR2" si="403">HQ2+1</f>
        <v>224</v>
      </c>
      <c r="HS2" s="1">
        <f t="shared" ref="HS2" si="404">HR2+1</f>
        <v>225</v>
      </c>
      <c r="HT2" s="1">
        <f t="shared" ref="HT2" si="405">HS2+1</f>
        <v>226</v>
      </c>
      <c r="HU2" s="1">
        <f t="shared" ref="HU2" si="406">HT2+1</f>
        <v>227</v>
      </c>
      <c r="HV2" s="1">
        <f t="shared" ref="HV2" si="407">HU2+1</f>
        <v>228</v>
      </c>
      <c r="HW2" s="1">
        <f t="shared" ref="HW2" si="408">HV2+1</f>
        <v>229</v>
      </c>
      <c r="HX2" s="1">
        <f t="shared" ref="HX2" si="409">HW2+1</f>
        <v>230</v>
      </c>
      <c r="HY2" s="1">
        <f t="shared" ref="HY2" si="410">HX2+1</f>
        <v>231</v>
      </c>
      <c r="HZ2" s="1">
        <f t="shared" ref="HZ2" si="411">HY2+1</f>
        <v>232</v>
      </c>
      <c r="IA2" s="1">
        <f t="shared" ref="IA2" si="412">HZ2+1</f>
        <v>233</v>
      </c>
      <c r="IB2" s="1">
        <f t="shared" ref="IB2" si="413">IA2+1</f>
        <v>234</v>
      </c>
      <c r="IC2" s="1">
        <f t="shared" ref="IC2" si="414">IB2+1</f>
        <v>235</v>
      </c>
      <c r="ID2" s="1">
        <f t="shared" ref="ID2" si="415">IC2+1</f>
        <v>236</v>
      </c>
      <c r="IE2" s="1">
        <f t="shared" ref="IE2" si="416">ID2+1</f>
        <v>237</v>
      </c>
      <c r="IF2" s="1">
        <f t="shared" ref="IF2" si="417">IE2+1</f>
        <v>238</v>
      </c>
      <c r="IG2" s="1">
        <f t="shared" ref="IG2" si="418">IF2+1</f>
        <v>239</v>
      </c>
      <c r="IH2" s="1">
        <f t="shared" ref="IH2" si="419">IG2+1</f>
        <v>240</v>
      </c>
      <c r="II2" s="1">
        <f t="shared" ref="II2" si="420">IH2+1</f>
        <v>241</v>
      </c>
      <c r="IJ2" s="1">
        <f t="shared" ref="IJ2" si="421">II2+1</f>
        <v>242</v>
      </c>
      <c r="IK2" s="1">
        <f t="shared" ref="IK2" si="422">IJ2+1</f>
        <v>243</v>
      </c>
      <c r="IL2" s="1">
        <f t="shared" ref="IL2" si="423">IK2+1</f>
        <v>244</v>
      </c>
      <c r="IM2" s="1">
        <f t="shared" ref="IM2" si="424">IL2+1</f>
        <v>245</v>
      </c>
      <c r="IN2" s="1">
        <f t="shared" ref="IN2" si="425">IM2+1</f>
        <v>246</v>
      </c>
      <c r="IO2" s="1">
        <f t="shared" ref="IO2" si="426">IN2+1</f>
        <v>247</v>
      </c>
      <c r="IP2" s="1">
        <f t="shared" ref="IP2" si="427">IO2+1</f>
        <v>248</v>
      </c>
      <c r="IQ2" s="1">
        <f t="shared" ref="IQ2" si="428">IP2+1</f>
        <v>249</v>
      </c>
      <c r="IR2" s="1">
        <f t="shared" ref="IR2" si="429">IQ2+1</f>
        <v>250</v>
      </c>
      <c r="IS2" s="1">
        <f t="shared" ref="IS2" si="430">IR2+1</f>
        <v>251</v>
      </c>
      <c r="IT2" s="1">
        <f t="shared" ref="IT2" si="431">IS2+1</f>
        <v>252</v>
      </c>
      <c r="IU2" s="1">
        <f t="shared" ref="IU2" si="432">IT2+1</f>
        <v>253</v>
      </c>
      <c r="IV2" s="1">
        <f t="shared" ref="IV2" si="433">IU2+1</f>
        <v>254</v>
      </c>
      <c r="IW2" s="1">
        <f t="shared" ref="IW2" si="434">IV2+1</f>
        <v>255</v>
      </c>
      <c r="IX2" s="1">
        <f t="shared" ref="IX2" si="435">IW2+1</f>
        <v>256</v>
      </c>
      <c r="IY2" s="1">
        <f t="shared" ref="IY2" si="436">IX2+1</f>
        <v>257</v>
      </c>
      <c r="IZ2" s="1">
        <f t="shared" ref="IZ2" si="437">IY2+1</f>
        <v>258</v>
      </c>
      <c r="JA2" s="1">
        <f t="shared" ref="JA2" si="438">IZ2+1</f>
        <v>259</v>
      </c>
      <c r="JB2" s="1">
        <f t="shared" ref="JB2" si="439">JA2+1</f>
        <v>260</v>
      </c>
      <c r="JC2" s="1">
        <f t="shared" ref="JC2" si="440">JB2+1</f>
        <v>261</v>
      </c>
      <c r="JD2" s="1">
        <f t="shared" ref="JD2" si="441">JC2+1</f>
        <v>262</v>
      </c>
      <c r="JE2" s="1">
        <f t="shared" ref="JE2" si="442">JD2+1</f>
        <v>263</v>
      </c>
      <c r="JF2" s="1">
        <f t="shared" ref="JF2" si="443">JE2+1</f>
        <v>264</v>
      </c>
      <c r="JG2" s="1">
        <f t="shared" ref="JG2" si="444">JF2+1</f>
        <v>265</v>
      </c>
      <c r="JH2" s="1">
        <f t="shared" ref="JH2" si="445">JG2+1</f>
        <v>266</v>
      </c>
      <c r="JI2" s="1">
        <f t="shared" ref="JI2" si="446">JH2+1</f>
        <v>267</v>
      </c>
      <c r="JJ2" s="1">
        <f t="shared" ref="JJ2" si="447">JI2+1</f>
        <v>268</v>
      </c>
      <c r="JK2" s="1">
        <f t="shared" ref="JK2" si="448">JJ2+1</f>
        <v>269</v>
      </c>
      <c r="JL2" s="1">
        <f t="shared" ref="JL2" si="449">JK2+1</f>
        <v>270</v>
      </c>
      <c r="JM2" s="1">
        <f t="shared" ref="JM2" si="450">JL2+1</f>
        <v>271</v>
      </c>
      <c r="JN2" s="1">
        <f t="shared" ref="JN2" si="451">JM2+1</f>
        <v>272</v>
      </c>
      <c r="JO2" s="1">
        <f t="shared" ref="JO2" si="452">JN2+1</f>
        <v>273</v>
      </c>
      <c r="JP2" s="1">
        <f t="shared" ref="JP2" si="453">JO2+1</f>
        <v>274</v>
      </c>
      <c r="JQ2" s="1">
        <f t="shared" ref="JQ2" si="454">JP2+1</f>
        <v>275</v>
      </c>
      <c r="JR2" s="1">
        <f t="shared" ref="JR2" si="455">JQ2+1</f>
        <v>276</v>
      </c>
    </row>
    <row r="3" spans="2:280" x14ac:dyDescent="0.2">
      <c r="B3" s="1" t="s">
        <v>127</v>
      </c>
      <c r="C3" s="1" t="str">
        <f>IF(C1&lt;CapEx!$O$7,"",IF(Financials!C1=CapEx!$O$7,0,Financials!B3+1))</f>
        <v/>
      </c>
      <c r="D3" s="1" t="str">
        <f>IF(D1&lt;CapEx!$O$7,"",IF(Financials!D1=CapEx!$O$7,0,Financials!C3+1))</f>
        <v/>
      </c>
      <c r="E3" s="1" t="str">
        <f>IF(E1&lt;CapEx!$O$7,"",IF(Financials!E1=CapEx!$O$7,0,Financials!D3+1))</f>
        <v/>
      </c>
      <c r="F3" s="1" t="str">
        <f>IF(F1&lt;CapEx!$O$7,"",IF(Financials!F1=CapEx!$O$7,0,Financials!E3+1))</f>
        <v/>
      </c>
      <c r="G3" s="1" t="str">
        <f>IF(G1&lt;CapEx!$O$7,"",IF(Financials!G1=CapEx!$O$7,0,Financials!F3+1))</f>
        <v/>
      </c>
      <c r="H3" s="1" t="str">
        <f>IF(H1&lt;CapEx!$O$7,"",IF(Financials!H1=CapEx!$O$7,0,Financials!G3+1))</f>
        <v/>
      </c>
      <c r="I3" s="1" t="str">
        <f>IF(I1&lt;CapEx!$O$7,"",IF(Financials!I1=CapEx!$O$7,0,Financials!H3+1))</f>
        <v/>
      </c>
      <c r="J3" s="1" t="str">
        <f>IF(J1&lt;CapEx!$O$7,"",IF(Financials!J1=CapEx!$O$7,0,Financials!I3+1))</f>
        <v/>
      </c>
      <c r="K3" s="1" t="str">
        <f>IF(K1&lt;CapEx!$O$7,"",IF(Financials!K1=CapEx!$O$7,0,Financials!J3+1))</f>
        <v/>
      </c>
      <c r="L3" s="1" t="str">
        <f>IF(L1&lt;CapEx!$O$7,"",IF(Financials!L1=CapEx!$O$7,0,Financials!K3+1))</f>
        <v/>
      </c>
      <c r="M3" s="1" t="str">
        <f>IF(M1&lt;CapEx!$O$7,"",IF(Financials!M1=CapEx!$O$7,0,Financials!L3+1))</f>
        <v/>
      </c>
      <c r="N3" s="1" t="str">
        <f>IF(N1&lt;CapEx!$O$7,"",IF(Financials!N1=CapEx!$O$7,0,Financials!M3+1))</f>
        <v/>
      </c>
      <c r="O3" s="1" t="str">
        <f>IF(O1&lt;CapEx!$O$7,"",IF(Financials!O1=CapEx!$O$7,0,Financials!N3+1))</f>
        <v/>
      </c>
      <c r="P3" s="1" t="str">
        <f>IF(P1&lt;CapEx!$O$7,"",IF(Financials!P1=CapEx!$O$7,0,Financials!O3+1))</f>
        <v/>
      </c>
      <c r="Q3" s="1" t="str">
        <f>IF(Q1&lt;CapEx!$O$7,"",IF(Financials!Q1=CapEx!$O$7,0,Financials!P3+1))</f>
        <v/>
      </c>
      <c r="R3" s="1">
        <f>IF(R1&lt;CapEx!$O$7,"",IF(Financials!R1=CapEx!$O$7,0,Financials!Q3+1))</f>
        <v>0</v>
      </c>
      <c r="S3" s="1">
        <f>IF(S1&lt;CapEx!$O$7,"",IF(Financials!S1=CapEx!$O$7,0,Financials!R3+1))</f>
        <v>1</v>
      </c>
      <c r="T3" s="1">
        <f>IF(T1&lt;CapEx!$O$7,"",IF(Financials!T1=CapEx!$O$7,0,Financials!S3+1))</f>
        <v>2</v>
      </c>
      <c r="U3" s="1">
        <f>IF(U1&lt;CapEx!$O$7,"",IF(Financials!U1=CapEx!$O$7,0,Financials!T3+1))</f>
        <v>3</v>
      </c>
      <c r="V3" s="1">
        <f>IF(V1&lt;CapEx!$O$7,"",IF(Financials!V1=CapEx!$O$7,0,Financials!U3+1))</f>
        <v>4</v>
      </c>
      <c r="W3" s="1">
        <f>IF(W1&lt;CapEx!$O$7,"",IF(Financials!W1=CapEx!$O$7,0,Financials!V3+1))</f>
        <v>5</v>
      </c>
      <c r="X3" s="1">
        <f>IF(X1&lt;CapEx!$O$7,"",IF(Financials!X1=CapEx!$O$7,0,Financials!W3+1))</f>
        <v>6</v>
      </c>
      <c r="Y3" s="1">
        <f>IF(Y1&lt;CapEx!$O$7,"",IF(Financials!Y1=CapEx!$O$7,0,Financials!X3+1))</f>
        <v>7</v>
      </c>
      <c r="Z3" s="1">
        <f>IF(Z1&lt;CapEx!$O$7,"",IF(Financials!Z1=CapEx!$O$7,0,Financials!Y3+1))</f>
        <v>8</v>
      </c>
      <c r="AA3" s="1">
        <f>IF(AA1&lt;CapEx!$O$7,"",IF(Financials!AA1=CapEx!$O$7,0,Financials!Z3+1))</f>
        <v>9</v>
      </c>
      <c r="AB3" s="1">
        <f>IF(AB1&lt;CapEx!$O$7,"",IF(Financials!AB1=CapEx!$O$7,0,Financials!AA3+1))</f>
        <v>10</v>
      </c>
      <c r="AC3" s="1">
        <f>IF(AC1&lt;CapEx!$O$7,"",IF(Financials!AC1=CapEx!$O$7,0,Financials!AB3+1))</f>
        <v>11</v>
      </c>
      <c r="AD3" s="1">
        <f>IF(AD1&lt;CapEx!$O$7,"",IF(Financials!AD1=CapEx!$O$7,0,Financials!AC3+1))</f>
        <v>12</v>
      </c>
      <c r="AE3" s="1">
        <f>IF(AE1&lt;CapEx!$O$7,"",IF(Financials!AE1=CapEx!$O$7,0,Financials!AD3+1))</f>
        <v>13</v>
      </c>
      <c r="AF3" s="1">
        <f>IF(AF1&lt;CapEx!$O$7,"",IF(Financials!AF1=CapEx!$O$7,0,Financials!AE3+1))</f>
        <v>14</v>
      </c>
      <c r="AG3" s="1">
        <f>IF(AG1&lt;CapEx!$O$7,"",IF(Financials!AG1=CapEx!$O$7,0,Financials!AF3+1))</f>
        <v>15</v>
      </c>
      <c r="AH3" s="1">
        <f>IF(AH1&lt;CapEx!$O$7,"",IF(Financials!AH1=CapEx!$O$7,0,Financials!AG3+1))</f>
        <v>16</v>
      </c>
      <c r="AI3" s="1">
        <f>IF(AI1&lt;CapEx!$O$7,"",IF(Financials!AI1=CapEx!$O$7,0,Financials!AH3+1))</f>
        <v>17</v>
      </c>
      <c r="AJ3" s="1">
        <f>IF(AJ1&lt;CapEx!$O$7,"",IF(Financials!AJ1=CapEx!$O$7,0,Financials!AI3+1))</f>
        <v>18</v>
      </c>
      <c r="AK3" s="1">
        <f>IF(AK1&lt;CapEx!$O$7,"",IF(Financials!AK1=CapEx!$O$7,0,Financials!AJ3+1))</f>
        <v>19</v>
      </c>
      <c r="AL3" s="1">
        <f>IF(AL1&lt;CapEx!$O$7,"",IF(Financials!AL1=CapEx!$O$7,0,Financials!AK3+1))</f>
        <v>20</v>
      </c>
      <c r="AM3" s="1">
        <f>IF(AM1&lt;CapEx!$O$7,"",IF(Financials!AM1=CapEx!$O$7,0,Financials!AL3+1))</f>
        <v>21</v>
      </c>
      <c r="AN3" s="1">
        <f>IF(AN1&lt;CapEx!$O$7,"",IF(Financials!AN1=CapEx!$O$7,0,Financials!AM3+1))</f>
        <v>22</v>
      </c>
      <c r="AO3" s="1">
        <f>IF(AO1&lt;CapEx!$O$7,"",IF(Financials!AO1=CapEx!$O$7,0,Financials!AN3+1))</f>
        <v>23</v>
      </c>
      <c r="AP3" s="1">
        <f>IF(AP1&lt;CapEx!$O$7,"",IF(Financials!AP1=CapEx!$O$7,0,Financials!AO3+1))</f>
        <v>24</v>
      </c>
      <c r="AQ3" s="1">
        <f>IF(AQ1&lt;CapEx!$O$7,"",IF(Financials!AQ1=CapEx!$O$7,0,Financials!AP3+1))</f>
        <v>25</v>
      </c>
      <c r="AR3" s="1">
        <f>IF(AR1&lt;CapEx!$O$7,"",IF(Financials!AR1=CapEx!$O$7,0,Financials!AQ3+1))</f>
        <v>26</v>
      </c>
      <c r="AS3" s="1">
        <f>IF(AS1&lt;CapEx!$O$7,"",IF(Financials!AS1=CapEx!$O$7,0,Financials!AR3+1))</f>
        <v>27</v>
      </c>
      <c r="AT3" s="1">
        <f>IF(AT1&lt;CapEx!$O$7,"",IF(Financials!AT1=CapEx!$O$7,0,Financials!AS3+1))</f>
        <v>28</v>
      </c>
      <c r="AU3" s="1">
        <f>IF(AU1&lt;CapEx!$O$7,"",IF(Financials!AU1=CapEx!$O$7,0,Financials!AT3+1))</f>
        <v>29</v>
      </c>
      <c r="AV3" s="1">
        <f>IF(AV1&lt;CapEx!$O$7,"",IF(Financials!AV1=CapEx!$O$7,0,Financials!AU3+1))</f>
        <v>30</v>
      </c>
      <c r="AW3" s="1">
        <f>IF(AW1&lt;CapEx!$O$7,"",IF(Financials!AW1=CapEx!$O$7,0,Financials!AV3+1))</f>
        <v>31</v>
      </c>
      <c r="AX3" s="1">
        <f>IF(AX1&lt;CapEx!$O$7,"",IF(Financials!AX1=CapEx!$O$7,0,Financials!AW3+1))</f>
        <v>32</v>
      </c>
      <c r="AY3" s="1">
        <f>IF(AY1&lt;CapEx!$O$7,"",IF(Financials!AY1=CapEx!$O$7,0,Financials!AX3+1))</f>
        <v>33</v>
      </c>
      <c r="AZ3" s="1">
        <f>IF(AZ1&lt;CapEx!$O$7,"",IF(Financials!AZ1=CapEx!$O$7,0,Financials!AY3+1))</f>
        <v>34</v>
      </c>
      <c r="BA3" s="1">
        <f>IF(BA1&lt;CapEx!$O$7,"",IF(Financials!BA1=CapEx!$O$7,0,Financials!AZ3+1))</f>
        <v>35</v>
      </c>
      <c r="BB3" s="1">
        <f>IF(BB1&lt;CapEx!$O$7,"",IF(Financials!BB1=CapEx!$O$7,0,Financials!BA3+1))</f>
        <v>36</v>
      </c>
      <c r="BC3" s="1">
        <f>IF(BC1&lt;CapEx!$O$7,"",IF(Financials!BC1=CapEx!$O$7,0,Financials!BB3+1))</f>
        <v>37</v>
      </c>
      <c r="BD3" s="1">
        <f>IF(BD1&lt;CapEx!$O$7,"",IF(Financials!BD1=CapEx!$O$7,0,Financials!BC3+1))</f>
        <v>38</v>
      </c>
      <c r="BE3" s="1">
        <f>IF(BE1&lt;CapEx!$O$7,"",IF(Financials!BE1=CapEx!$O$7,0,Financials!BD3+1))</f>
        <v>39</v>
      </c>
      <c r="BF3" s="1">
        <f>IF(BF1&lt;CapEx!$O$7,"",IF(Financials!BF1=CapEx!$O$7,0,Financials!BE3+1))</f>
        <v>40</v>
      </c>
      <c r="BG3" s="1">
        <f>IF(BG1&lt;CapEx!$O$7,"",IF(Financials!BG1=CapEx!$O$7,0,Financials!BF3+1))</f>
        <v>41</v>
      </c>
      <c r="BH3" s="1">
        <f>IF(BH1&lt;CapEx!$O$7,"",IF(Financials!BH1=CapEx!$O$7,0,Financials!BG3+1))</f>
        <v>42</v>
      </c>
      <c r="BI3" s="1">
        <f>IF(BI1&lt;CapEx!$O$7,"",IF(Financials!BI1=CapEx!$O$7,0,Financials!BH3+1))</f>
        <v>43</v>
      </c>
      <c r="BJ3" s="1">
        <f>IF(BJ1&lt;CapEx!$O$7,"",IF(Financials!BJ1=CapEx!$O$7,0,Financials!BI3+1))</f>
        <v>44</v>
      </c>
      <c r="BK3" s="1">
        <f>IF(BK1&lt;CapEx!$O$7,"",IF(Financials!BK1=CapEx!$O$7,0,Financials!BJ3+1))</f>
        <v>45</v>
      </c>
      <c r="BL3" s="1">
        <f>IF(BL1&lt;CapEx!$O$7,"",IF(Financials!BL1=CapEx!$O$7,0,Financials!BK3+1))</f>
        <v>46</v>
      </c>
      <c r="BM3" s="1">
        <f>IF(BM1&lt;CapEx!$O$7,"",IF(Financials!BM1=CapEx!$O$7,0,Financials!BL3+1))</f>
        <v>47</v>
      </c>
      <c r="BN3" s="1">
        <f>IF(BN1&lt;CapEx!$O$7,"",IF(Financials!BN1=CapEx!$O$7,0,Financials!BM3+1))</f>
        <v>48</v>
      </c>
      <c r="BO3" s="1">
        <f>IF(BO1&lt;CapEx!$O$7,"",IF(Financials!BO1=CapEx!$O$7,0,Financials!BN3+1))</f>
        <v>49</v>
      </c>
      <c r="BP3" s="1">
        <f>IF(BP1&lt;CapEx!$O$7,"",IF(Financials!BP1=CapEx!$O$7,0,Financials!BO3+1))</f>
        <v>50</v>
      </c>
      <c r="BQ3" s="1">
        <f>IF(BQ1&lt;CapEx!$O$7,"",IF(Financials!BQ1=CapEx!$O$7,0,Financials!BP3+1))</f>
        <v>51</v>
      </c>
      <c r="BR3" s="1">
        <f>IF(BR1&lt;CapEx!$O$7,"",IF(Financials!BR1=CapEx!$O$7,0,Financials!BQ3+1))</f>
        <v>52</v>
      </c>
      <c r="BS3" s="1">
        <f>IF(BS1&lt;CapEx!$O$7,"",IF(Financials!BS1=CapEx!$O$7,0,Financials!BR3+1))</f>
        <v>53</v>
      </c>
      <c r="BT3" s="1">
        <f>IF(BT1&lt;CapEx!$O$7,"",IF(Financials!BT1=CapEx!$O$7,0,Financials!BS3+1))</f>
        <v>54</v>
      </c>
      <c r="BU3" s="1">
        <f>IF(BU1&lt;CapEx!$O$7,"",IF(Financials!BU1=CapEx!$O$7,0,Financials!BT3+1))</f>
        <v>55</v>
      </c>
      <c r="BV3" s="1">
        <f>IF(BV1&lt;CapEx!$O$7,"",IF(Financials!BV1=CapEx!$O$7,0,Financials!BU3+1))</f>
        <v>56</v>
      </c>
      <c r="BW3" s="1">
        <f>IF(BW1&lt;CapEx!$O$7,"",IF(Financials!BW1=CapEx!$O$7,0,Financials!BV3+1))</f>
        <v>57</v>
      </c>
      <c r="BX3" s="1">
        <f>IF(BX1&lt;CapEx!$O$7,"",IF(Financials!BX1=CapEx!$O$7,0,Financials!BW3+1))</f>
        <v>58</v>
      </c>
      <c r="BY3" s="1">
        <f>IF(BY1&lt;CapEx!$O$7,"",IF(Financials!BY1=CapEx!$O$7,0,Financials!BX3+1))</f>
        <v>59</v>
      </c>
      <c r="BZ3" s="1">
        <f>IF(BZ1&lt;CapEx!$O$7,"",IF(Financials!BZ1=CapEx!$O$7,0,Financials!BY3+1))</f>
        <v>60</v>
      </c>
      <c r="CA3" s="1">
        <f>IF(CA1&lt;CapEx!$O$7,"",IF(Financials!CA1=CapEx!$O$7,0,Financials!BZ3+1))</f>
        <v>61</v>
      </c>
      <c r="CB3" s="1">
        <f>IF(CB1&lt;CapEx!$O$7,"",IF(Financials!CB1=CapEx!$O$7,0,Financials!CA3+1))</f>
        <v>62</v>
      </c>
      <c r="CC3" s="1">
        <f>IF(CC1&lt;CapEx!$O$7,"",IF(Financials!CC1=CapEx!$O$7,0,Financials!CB3+1))</f>
        <v>63</v>
      </c>
      <c r="CD3" s="1">
        <f>IF(CD1&lt;CapEx!$O$7,"",IF(Financials!CD1=CapEx!$O$7,0,Financials!CC3+1))</f>
        <v>64</v>
      </c>
      <c r="CE3" s="1">
        <f>IF(CE1&lt;CapEx!$O$7,"",IF(Financials!CE1=CapEx!$O$7,0,Financials!CD3+1))</f>
        <v>65</v>
      </c>
      <c r="CF3" s="1">
        <f>IF(CF1&lt;CapEx!$O$7,"",IF(Financials!CF1=CapEx!$O$7,0,Financials!CE3+1))</f>
        <v>66</v>
      </c>
      <c r="CG3" s="1">
        <f>IF(CG1&lt;CapEx!$O$7,"",IF(Financials!CG1=CapEx!$O$7,0,Financials!CF3+1))</f>
        <v>67</v>
      </c>
      <c r="CH3" s="1">
        <f>IF(CH1&lt;CapEx!$O$7,"",IF(Financials!CH1=CapEx!$O$7,0,Financials!CG3+1))</f>
        <v>68</v>
      </c>
      <c r="CI3" s="1">
        <f>IF(CI1&lt;CapEx!$O$7,"",IF(Financials!CI1=CapEx!$O$7,0,Financials!CH3+1))</f>
        <v>69</v>
      </c>
      <c r="CJ3" s="1">
        <f>IF(CJ1&lt;CapEx!$O$7,"",IF(Financials!CJ1=CapEx!$O$7,0,Financials!CI3+1))</f>
        <v>70</v>
      </c>
      <c r="CK3" s="1">
        <f>IF(CK1&lt;CapEx!$O$7,"",IF(Financials!CK1=CapEx!$O$7,0,Financials!CJ3+1))</f>
        <v>71</v>
      </c>
      <c r="CL3" s="1">
        <f>IF(CL1&lt;CapEx!$O$7,"",IF(Financials!CL1=CapEx!$O$7,0,Financials!CK3+1))</f>
        <v>72</v>
      </c>
      <c r="CM3" s="1">
        <f>IF(CM1&lt;CapEx!$O$7,"",IF(Financials!CM1=CapEx!$O$7,0,Financials!CL3+1))</f>
        <v>73</v>
      </c>
      <c r="CN3" s="1">
        <f>IF(CN1&lt;CapEx!$O$7,"",IF(Financials!CN1=CapEx!$O$7,0,Financials!CM3+1))</f>
        <v>74</v>
      </c>
      <c r="CO3" s="1">
        <f>IF(CO1&lt;CapEx!$O$7,"",IF(Financials!CO1=CapEx!$O$7,0,Financials!CN3+1))</f>
        <v>75</v>
      </c>
      <c r="CP3" s="1">
        <f>IF(CP1&lt;CapEx!$O$7,"",IF(Financials!CP1=CapEx!$O$7,0,Financials!CO3+1))</f>
        <v>76</v>
      </c>
      <c r="CQ3" s="1">
        <f>IF(CQ1&lt;CapEx!$O$7,"",IF(Financials!CQ1=CapEx!$O$7,0,Financials!CP3+1))</f>
        <v>77</v>
      </c>
      <c r="CR3" s="1">
        <f>IF(CR1&lt;CapEx!$O$7,"",IF(Financials!CR1=CapEx!$O$7,0,Financials!CQ3+1))</f>
        <v>78</v>
      </c>
      <c r="CS3" s="1">
        <f>IF(CS1&lt;CapEx!$O$7,"",IF(Financials!CS1=CapEx!$O$7,0,Financials!CR3+1))</f>
        <v>79</v>
      </c>
      <c r="CT3" s="1">
        <f>IF(CT1&lt;CapEx!$O$7,"",IF(Financials!CT1=CapEx!$O$7,0,Financials!CS3+1))</f>
        <v>80</v>
      </c>
      <c r="CU3" s="1">
        <f>IF(CU1&lt;CapEx!$O$7,"",IF(Financials!CU1=CapEx!$O$7,0,Financials!CT3+1))</f>
        <v>81</v>
      </c>
      <c r="CV3" s="1">
        <f>IF(CV1&lt;CapEx!$O$7,"",IF(Financials!CV1=CapEx!$O$7,0,Financials!CU3+1))</f>
        <v>82</v>
      </c>
      <c r="CW3" s="1">
        <f>IF(CW1&lt;CapEx!$O$7,"",IF(Financials!CW1=CapEx!$O$7,0,Financials!CV3+1))</f>
        <v>83</v>
      </c>
      <c r="CX3" s="1">
        <f>IF(CX1&lt;CapEx!$O$7,"",IF(Financials!CX1=CapEx!$O$7,0,Financials!CW3+1))</f>
        <v>84</v>
      </c>
      <c r="CY3" s="1">
        <f>IF(CY1&lt;CapEx!$O$7,"",IF(Financials!CY1=CapEx!$O$7,0,Financials!CX3+1))</f>
        <v>85</v>
      </c>
      <c r="CZ3" s="1">
        <f>IF(CZ1&lt;CapEx!$O$7,"",IF(Financials!CZ1=CapEx!$O$7,0,Financials!CY3+1))</f>
        <v>86</v>
      </c>
      <c r="DA3" s="1">
        <f>IF(DA1&lt;CapEx!$O$7,"",IF(Financials!DA1=CapEx!$O$7,0,Financials!CZ3+1))</f>
        <v>87</v>
      </c>
      <c r="DB3" s="1">
        <f>IF(DB1&lt;CapEx!$O$7,"",IF(Financials!DB1=CapEx!$O$7,0,Financials!DA3+1))</f>
        <v>88</v>
      </c>
      <c r="DC3" s="1">
        <f>IF(DC1&lt;CapEx!$O$7,"",IF(Financials!DC1=CapEx!$O$7,0,Financials!DB3+1))</f>
        <v>89</v>
      </c>
      <c r="DD3" s="1">
        <f>IF(DD1&lt;CapEx!$O$7,"",IF(Financials!DD1=CapEx!$O$7,0,Financials!DC3+1))</f>
        <v>90</v>
      </c>
      <c r="DE3" s="1">
        <f>IF(DE1&lt;CapEx!$O$7,"",IF(Financials!DE1=CapEx!$O$7,0,Financials!DD3+1))</f>
        <v>91</v>
      </c>
      <c r="DF3" s="1">
        <f>IF(DF1&lt;CapEx!$O$7,"",IF(Financials!DF1=CapEx!$O$7,0,Financials!DE3+1))</f>
        <v>92</v>
      </c>
      <c r="DG3" s="1">
        <f>IF(DG1&lt;CapEx!$O$7,"",IF(Financials!DG1=CapEx!$O$7,0,Financials!DF3+1))</f>
        <v>93</v>
      </c>
      <c r="DH3" s="1">
        <f>IF(DH1&lt;CapEx!$O$7,"",IF(Financials!DH1=CapEx!$O$7,0,Financials!DG3+1))</f>
        <v>94</v>
      </c>
      <c r="DI3" s="1">
        <f>IF(DI1&lt;CapEx!$O$7,"",IF(Financials!DI1=CapEx!$O$7,0,Financials!DH3+1))</f>
        <v>95</v>
      </c>
      <c r="DJ3" s="1">
        <f>IF(DJ1&lt;CapEx!$O$7,"",IF(Financials!DJ1=CapEx!$O$7,0,Financials!DI3+1))</f>
        <v>96</v>
      </c>
      <c r="DK3" s="1">
        <f>IF(DK1&lt;CapEx!$O$7,"",IF(Financials!DK1=CapEx!$O$7,0,Financials!DJ3+1))</f>
        <v>97</v>
      </c>
      <c r="DL3" s="1">
        <f>IF(DL1&lt;CapEx!$O$7,"",IF(Financials!DL1=CapEx!$O$7,0,Financials!DK3+1))</f>
        <v>98</v>
      </c>
      <c r="DM3" s="1">
        <f>IF(DM1&lt;CapEx!$O$7,"",IF(Financials!DM1=CapEx!$O$7,0,Financials!DL3+1))</f>
        <v>99</v>
      </c>
      <c r="DN3" s="1">
        <f>IF(DN1&lt;CapEx!$O$7,"",IF(Financials!DN1=CapEx!$O$7,0,Financials!DM3+1))</f>
        <v>100</v>
      </c>
      <c r="DO3" s="1">
        <f>IF(DO1&lt;CapEx!$O$7,"",IF(Financials!DO1=CapEx!$O$7,0,Financials!DN3+1))</f>
        <v>101</v>
      </c>
      <c r="DP3" s="1">
        <f>IF(DP1&lt;CapEx!$O$7,"",IF(Financials!DP1=CapEx!$O$7,0,Financials!DO3+1))</f>
        <v>102</v>
      </c>
      <c r="DQ3" s="1">
        <f>IF(DQ1&lt;CapEx!$O$7,"",IF(Financials!DQ1=CapEx!$O$7,0,Financials!DP3+1))</f>
        <v>103</v>
      </c>
      <c r="DR3" s="1">
        <f>IF(DR1&lt;CapEx!$O$7,"",IF(Financials!DR1=CapEx!$O$7,0,Financials!DQ3+1))</f>
        <v>104</v>
      </c>
      <c r="DS3" s="1">
        <f>IF(DS1&lt;CapEx!$O$7,"",IF(Financials!DS1=CapEx!$O$7,0,Financials!DR3+1))</f>
        <v>105</v>
      </c>
      <c r="DT3" s="1">
        <f>IF(DT1&lt;CapEx!$O$7,"",IF(Financials!DT1=CapEx!$O$7,0,Financials!DS3+1))</f>
        <v>106</v>
      </c>
      <c r="DU3" s="1">
        <f>IF(DU1&lt;CapEx!$O$7,"",IF(Financials!DU1=CapEx!$O$7,0,Financials!DT3+1))</f>
        <v>107</v>
      </c>
      <c r="DV3" s="1">
        <f>IF(DV1&lt;CapEx!$O$7,"",IF(Financials!DV1=CapEx!$O$7,0,Financials!DU3+1))</f>
        <v>108</v>
      </c>
      <c r="DW3" s="1">
        <f>IF(DW1&lt;CapEx!$O$7,"",IF(Financials!DW1=CapEx!$O$7,0,Financials!DV3+1))</f>
        <v>109</v>
      </c>
      <c r="DX3" s="1">
        <f>IF(DX1&lt;CapEx!$O$7,"",IF(Financials!DX1=CapEx!$O$7,0,Financials!DW3+1))</f>
        <v>110</v>
      </c>
      <c r="DY3" s="1">
        <f>IF(DY1&lt;CapEx!$O$7,"",IF(Financials!DY1=CapEx!$O$7,0,Financials!DX3+1))</f>
        <v>111</v>
      </c>
      <c r="DZ3" s="1">
        <f>IF(DZ1&lt;CapEx!$O$7,"",IF(Financials!DZ1=CapEx!$O$7,0,Financials!DY3+1))</f>
        <v>112</v>
      </c>
      <c r="EA3" s="1">
        <f>IF(EA1&lt;CapEx!$O$7,"",IF(Financials!EA1=CapEx!$O$7,0,Financials!DZ3+1))</f>
        <v>113</v>
      </c>
      <c r="EB3" s="1">
        <f>IF(EB1&lt;CapEx!$O$7,"",IF(Financials!EB1=CapEx!$O$7,0,Financials!EA3+1))</f>
        <v>114</v>
      </c>
      <c r="EC3" s="1">
        <f>IF(EC1&lt;CapEx!$O$7,"",IF(Financials!EC1=CapEx!$O$7,0,Financials!EB3+1))</f>
        <v>115</v>
      </c>
      <c r="ED3" s="1">
        <f>IF(ED1&lt;CapEx!$O$7,"",IF(Financials!ED1=CapEx!$O$7,0,Financials!EC3+1))</f>
        <v>116</v>
      </c>
      <c r="EE3" s="1">
        <f>IF(EE1&lt;CapEx!$O$7,"",IF(Financials!EE1=CapEx!$O$7,0,Financials!ED3+1))</f>
        <v>117</v>
      </c>
      <c r="EF3" s="1">
        <f>IF(EF1&lt;CapEx!$O$7,"",IF(Financials!EF1=CapEx!$O$7,0,Financials!EE3+1))</f>
        <v>118</v>
      </c>
      <c r="EG3" s="1">
        <f>IF(EG1&lt;CapEx!$O$7,"",IF(Financials!EG1=CapEx!$O$7,0,Financials!EF3+1))</f>
        <v>119</v>
      </c>
      <c r="EH3" s="1">
        <f>IF(EH1&lt;CapEx!$O$7,"",IF(Financials!EH1=CapEx!$O$7,0,Financials!EG3+1))</f>
        <v>120</v>
      </c>
      <c r="EI3" s="1">
        <f>IF(EI1&lt;CapEx!$O$7,"",IF(Financials!EI1=CapEx!$O$7,0,Financials!EH3+1))</f>
        <v>121</v>
      </c>
      <c r="EJ3" s="1">
        <f>IF(EJ1&lt;CapEx!$O$7,"",IF(Financials!EJ1=CapEx!$O$7,0,Financials!EI3+1))</f>
        <v>122</v>
      </c>
      <c r="EK3" s="1">
        <f>IF(EK1&lt;CapEx!$O$7,"",IF(Financials!EK1=CapEx!$O$7,0,Financials!EJ3+1))</f>
        <v>123</v>
      </c>
      <c r="EL3" s="1">
        <f>IF(EL1&lt;CapEx!$O$7,"",IF(Financials!EL1=CapEx!$O$7,0,Financials!EK3+1))</f>
        <v>124</v>
      </c>
      <c r="EM3" s="1">
        <f>IF(EM1&lt;CapEx!$O$7,"",IF(Financials!EM1=CapEx!$O$7,0,Financials!EL3+1))</f>
        <v>125</v>
      </c>
      <c r="EN3" s="1">
        <f>IF(EN1&lt;CapEx!$O$7,"",IF(Financials!EN1=CapEx!$O$7,0,Financials!EM3+1))</f>
        <v>126</v>
      </c>
      <c r="EO3" s="1">
        <f>IF(EO1&lt;CapEx!$O$7,"",IF(Financials!EO1=CapEx!$O$7,0,Financials!EN3+1))</f>
        <v>127</v>
      </c>
      <c r="EP3" s="1">
        <f>IF(EP1&lt;CapEx!$O$7,"",IF(Financials!EP1=CapEx!$O$7,0,Financials!EO3+1))</f>
        <v>128</v>
      </c>
      <c r="EQ3" s="1">
        <f>IF(EQ1&lt;CapEx!$O$7,"",IF(Financials!EQ1=CapEx!$O$7,0,Financials!EP3+1))</f>
        <v>129</v>
      </c>
      <c r="ER3" s="1">
        <f>IF(ER1&lt;CapEx!$O$7,"",IF(Financials!ER1=CapEx!$O$7,0,Financials!EQ3+1))</f>
        <v>130</v>
      </c>
      <c r="ES3" s="1">
        <f>IF(ES1&lt;CapEx!$O$7,"",IF(Financials!ES1=CapEx!$O$7,0,Financials!ER3+1))</f>
        <v>131</v>
      </c>
      <c r="ET3" s="1">
        <f>IF(ET1&lt;CapEx!$O$7,"",IF(Financials!ET1=CapEx!$O$7,0,Financials!ES3+1))</f>
        <v>132</v>
      </c>
      <c r="EU3" s="1">
        <f>IF(EU1&lt;CapEx!$O$7,"",IF(Financials!EU1=CapEx!$O$7,0,Financials!ET3+1))</f>
        <v>133</v>
      </c>
      <c r="EV3" s="1">
        <f>IF(EV1&lt;CapEx!$O$7,"",IF(Financials!EV1=CapEx!$O$7,0,Financials!EU3+1))</f>
        <v>134</v>
      </c>
      <c r="EW3" s="1">
        <f>IF(EW1&lt;CapEx!$O$7,"",IF(Financials!EW1=CapEx!$O$7,0,Financials!EV3+1))</f>
        <v>135</v>
      </c>
      <c r="EX3" s="1">
        <f>IF(EX1&lt;CapEx!$O$7,"",IF(Financials!EX1=CapEx!$O$7,0,Financials!EW3+1))</f>
        <v>136</v>
      </c>
      <c r="EY3" s="1">
        <f>IF(EY1&lt;CapEx!$O$7,"",IF(Financials!EY1=CapEx!$O$7,0,Financials!EX3+1))</f>
        <v>137</v>
      </c>
      <c r="EZ3" s="1">
        <f>IF(EZ1&lt;CapEx!$O$7,"",IF(Financials!EZ1=CapEx!$O$7,0,Financials!EY3+1))</f>
        <v>138</v>
      </c>
      <c r="FA3" s="1">
        <f>IF(FA1&lt;CapEx!$O$7,"",IF(Financials!FA1=CapEx!$O$7,0,Financials!EZ3+1))</f>
        <v>139</v>
      </c>
      <c r="FB3" s="1">
        <f>IF(FB1&lt;CapEx!$O$7,"",IF(Financials!FB1=CapEx!$O$7,0,Financials!FA3+1))</f>
        <v>140</v>
      </c>
      <c r="FC3" s="1">
        <f>IF(FC1&lt;CapEx!$O$7,"",IF(Financials!FC1=CapEx!$O$7,0,Financials!FB3+1))</f>
        <v>141</v>
      </c>
      <c r="FD3" s="1">
        <f>IF(FD1&lt;CapEx!$O$7,"",IF(Financials!FD1=CapEx!$O$7,0,Financials!FC3+1))</f>
        <v>142</v>
      </c>
      <c r="FE3" s="1">
        <f>IF(FE1&lt;CapEx!$O$7,"",IF(Financials!FE1=CapEx!$O$7,0,Financials!FD3+1))</f>
        <v>143</v>
      </c>
      <c r="FF3" s="1">
        <f>IF(FF1&lt;CapEx!$O$7,"",IF(Financials!FF1=CapEx!$O$7,0,Financials!FE3+1))</f>
        <v>144</v>
      </c>
      <c r="FG3" s="1">
        <f>IF(FG1&lt;CapEx!$O$7,"",IF(Financials!FG1=CapEx!$O$7,0,Financials!FF3+1))</f>
        <v>145</v>
      </c>
      <c r="FH3" s="1">
        <f>IF(FH1&lt;CapEx!$O$7,"",IF(Financials!FH1=CapEx!$O$7,0,Financials!FG3+1))</f>
        <v>146</v>
      </c>
      <c r="FI3" s="1">
        <f>IF(FI1&lt;CapEx!$O$7,"",IF(Financials!FI1=CapEx!$O$7,0,Financials!FH3+1))</f>
        <v>147</v>
      </c>
      <c r="FJ3" s="1">
        <f>IF(FJ1&lt;CapEx!$O$7,"",IF(Financials!FJ1=CapEx!$O$7,0,Financials!FI3+1))</f>
        <v>148</v>
      </c>
      <c r="FK3" s="1">
        <f>IF(FK1&lt;CapEx!$O$7,"",IF(Financials!FK1=CapEx!$O$7,0,Financials!FJ3+1))</f>
        <v>149</v>
      </c>
      <c r="FL3" s="1">
        <f>IF(FL1&lt;CapEx!$O$7,"",IF(Financials!FL1=CapEx!$O$7,0,Financials!FK3+1))</f>
        <v>150</v>
      </c>
      <c r="FM3" s="1">
        <f>IF(FM1&lt;CapEx!$O$7,"",IF(Financials!FM1=CapEx!$O$7,0,Financials!FL3+1))</f>
        <v>151</v>
      </c>
      <c r="FN3" s="1">
        <f>IF(FN1&lt;CapEx!$O$7,"",IF(Financials!FN1=CapEx!$O$7,0,Financials!FM3+1))</f>
        <v>152</v>
      </c>
      <c r="FO3" s="1">
        <f>IF(FO1&lt;CapEx!$O$7,"",IF(Financials!FO1=CapEx!$O$7,0,Financials!FN3+1))</f>
        <v>153</v>
      </c>
      <c r="FP3" s="1">
        <f>IF(FP1&lt;CapEx!$O$7,"",IF(Financials!FP1=CapEx!$O$7,0,Financials!FO3+1))</f>
        <v>154</v>
      </c>
      <c r="FQ3" s="1">
        <f>IF(FQ1&lt;CapEx!$O$7,"",IF(Financials!FQ1=CapEx!$O$7,0,Financials!FP3+1))</f>
        <v>155</v>
      </c>
      <c r="FR3" s="1">
        <f>IF(FR1&lt;CapEx!$O$7,"",IF(Financials!FR1=CapEx!$O$7,0,Financials!FQ3+1))</f>
        <v>156</v>
      </c>
      <c r="FS3" s="1">
        <f>IF(FS1&lt;CapEx!$O$7,"",IF(Financials!FS1=CapEx!$O$7,0,Financials!FR3+1))</f>
        <v>157</v>
      </c>
      <c r="FT3" s="1">
        <f>IF(FT1&lt;CapEx!$O$7,"",IF(Financials!FT1=CapEx!$O$7,0,Financials!FS3+1))</f>
        <v>158</v>
      </c>
      <c r="FU3" s="1">
        <f>IF(FU1&lt;CapEx!$O$7,"",IF(Financials!FU1=CapEx!$O$7,0,Financials!FT3+1))</f>
        <v>159</v>
      </c>
      <c r="FV3" s="1">
        <f>IF(FV1&lt;CapEx!$O$7,"",IF(Financials!FV1=CapEx!$O$7,0,Financials!FU3+1))</f>
        <v>160</v>
      </c>
      <c r="FW3" s="1">
        <f>IF(FW1&lt;CapEx!$O$7,"",IF(Financials!FW1=CapEx!$O$7,0,Financials!FV3+1))</f>
        <v>161</v>
      </c>
      <c r="FX3" s="1">
        <f>IF(FX1&lt;CapEx!$O$7,"",IF(Financials!FX1=CapEx!$O$7,0,Financials!FW3+1))</f>
        <v>162</v>
      </c>
      <c r="FY3" s="1">
        <f>IF(FY1&lt;CapEx!$O$7,"",IF(Financials!FY1=CapEx!$O$7,0,Financials!FX3+1))</f>
        <v>163</v>
      </c>
      <c r="FZ3" s="1">
        <f>IF(FZ1&lt;CapEx!$O$7,"",IF(Financials!FZ1=CapEx!$O$7,0,Financials!FY3+1))</f>
        <v>164</v>
      </c>
      <c r="GA3" s="1">
        <f>IF(GA1&lt;CapEx!$O$7,"",IF(Financials!GA1=CapEx!$O$7,0,Financials!FZ3+1))</f>
        <v>165</v>
      </c>
      <c r="GB3" s="1">
        <f>IF(GB1&lt;CapEx!$O$7,"",IF(Financials!GB1=CapEx!$O$7,0,Financials!GA3+1))</f>
        <v>166</v>
      </c>
      <c r="GC3" s="1">
        <f>IF(GC1&lt;CapEx!$O$7,"",IF(Financials!GC1=CapEx!$O$7,0,Financials!GB3+1))</f>
        <v>167</v>
      </c>
      <c r="GD3" s="1">
        <f>IF(GD1&lt;CapEx!$O$7,"",IF(Financials!GD1=CapEx!$O$7,0,Financials!GC3+1))</f>
        <v>168</v>
      </c>
      <c r="GE3" s="1">
        <f>IF(GE1&lt;CapEx!$O$7,"",IF(Financials!GE1=CapEx!$O$7,0,Financials!GD3+1))</f>
        <v>169</v>
      </c>
      <c r="GF3" s="1">
        <f>IF(GF1&lt;CapEx!$O$7,"",IF(Financials!GF1=CapEx!$O$7,0,Financials!GE3+1))</f>
        <v>170</v>
      </c>
      <c r="GG3" s="1">
        <f>IF(GG1&lt;CapEx!$O$7,"",IF(Financials!GG1=CapEx!$O$7,0,Financials!GF3+1))</f>
        <v>171</v>
      </c>
      <c r="GH3" s="1">
        <f>IF(GH1&lt;CapEx!$O$7,"",IF(Financials!GH1=CapEx!$O$7,0,Financials!GG3+1))</f>
        <v>172</v>
      </c>
      <c r="GI3" s="1">
        <f>IF(GI1&lt;CapEx!$O$7,"",IF(Financials!GI1=CapEx!$O$7,0,Financials!GH3+1))</f>
        <v>173</v>
      </c>
      <c r="GJ3" s="1">
        <f>IF(GJ1&lt;CapEx!$O$7,"",IF(Financials!GJ1=CapEx!$O$7,0,Financials!GI3+1))</f>
        <v>174</v>
      </c>
      <c r="GK3" s="1">
        <f>IF(GK1&lt;CapEx!$O$7,"",IF(Financials!GK1=CapEx!$O$7,0,Financials!GJ3+1))</f>
        <v>175</v>
      </c>
      <c r="GL3" s="1">
        <f>IF(GL1&lt;CapEx!$O$7,"",IF(Financials!GL1=CapEx!$O$7,0,Financials!GK3+1))</f>
        <v>176</v>
      </c>
      <c r="GM3" s="1">
        <f>IF(GM1&lt;CapEx!$O$7,"",IF(Financials!GM1=CapEx!$O$7,0,Financials!GL3+1))</f>
        <v>177</v>
      </c>
      <c r="GN3" s="1">
        <f>IF(GN1&lt;CapEx!$O$7,"",IF(Financials!GN1=CapEx!$O$7,0,Financials!GM3+1))</f>
        <v>178</v>
      </c>
      <c r="GO3" s="1">
        <f>IF(GO1&lt;CapEx!$O$7,"",IF(Financials!GO1=CapEx!$O$7,0,Financials!GN3+1))</f>
        <v>179</v>
      </c>
      <c r="GP3" s="1">
        <f>IF(GP1&lt;CapEx!$O$7,"",IF(Financials!GP1=CapEx!$O$7,0,Financials!GO3+1))</f>
        <v>180</v>
      </c>
      <c r="GQ3" s="1">
        <f>IF(GQ1&lt;CapEx!$O$7,"",IF(Financials!GQ1=CapEx!$O$7,0,Financials!GP3+1))</f>
        <v>181</v>
      </c>
      <c r="GR3" s="1">
        <f>IF(GR1&lt;CapEx!$O$7,"",IF(Financials!GR1=CapEx!$O$7,0,Financials!GQ3+1))</f>
        <v>182</v>
      </c>
      <c r="GS3" s="1">
        <f>IF(GS1&lt;CapEx!$O$7,"",IF(Financials!GS1=CapEx!$O$7,0,Financials!GR3+1))</f>
        <v>183</v>
      </c>
      <c r="GT3" s="1">
        <f>IF(GT1&lt;CapEx!$O$7,"",IF(Financials!GT1=CapEx!$O$7,0,Financials!GS3+1))</f>
        <v>184</v>
      </c>
      <c r="GU3" s="1">
        <f>IF(GU1&lt;CapEx!$O$7,"",IF(Financials!GU1=CapEx!$O$7,0,Financials!GT3+1))</f>
        <v>185</v>
      </c>
      <c r="GV3" s="1">
        <f>IF(GV1&lt;CapEx!$O$7,"",IF(Financials!GV1=CapEx!$O$7,0,Financials!GU3+1))</f>
        <v>186</v>
      </c>
      <c r="GW3" s="1">
        <f>IF(GW1&lt;CapEx!$O$7,"",IF(Financials!GW1=CapEx!$O$7,0,Financials!GV3+1))</f>
        <v>187</v>
      </c>
      <c r="GX3" s="1">
        <f>IF(GX1&lt;CapEx!$O$7,"",IF(Financials!GX1=CapEx!$O$7,0,Financials!GW3+1))</f>
        <v>188</v>
      </c>
      <c r="GY3" s="1">
        <f>IF(GY1&lt;CapEx!$O$7,"",IF(Financials!GY1=CapEx!$O$7,0,Financials!GX3+1))</f>
        <v>189</v>
      </c>
      <c r="GZ3" s="1">
        <f>IF(GZ1&lt;CapEx!$O$7,"",IF(Financials!GZ1=CapEx!$O$7,0,Financials!GY3+1))</f>
        <v>190</v>
      </c>
      <c r="HA3" s="1">
        <f>IF(HA1&lt;CapEx!$O$7,"",IF(Financials!HA1=CapEx!$O$7,0,Financials!GZ3+1))</f>
        <v>191</v>
      </c>
      <c r="HB3" s="1">
        <f>IF(HB1&lt;CapEx!$O$7,"",IF(Financials!HB1=CapEx!$O$7,0,Financials!HA3+1))</f>
        <v>192</v>
      </c>
      <c r="HC3" s="1">
        <f>IF(HC1&lt;CapEx!$O$7,"",IF(Financials!HC1=CapEx!$O$7,0,Financials!HB3+1))</f>
        <v>193</v>
      </c>
      <c r="HD3" s="1">
        <f>IF(HD1&lt;CapEx!$O$7,"",IF(Financials!HD1=CapEx!$O$7,0,Financials!HC3+1))</f>
        <v>194</v>
      </c>
      <c r="HE3" s="1">
        <f>IF(HE1&lt;CapEx!$O$7,"",IF(Financials!HE1=CapEx!$O$7,0,Financials!HD3+1))</f>
        <v>195</v>
      </c>
      <c r="HF3" s="1">
        <f>IF(HF1&lt;CapEx!$O$7,"",IF(Financials!HF1=CapEx!$O$7,0,Financials!HE3+1))</f>
        <v>196</v>
      </c>
      <c r="HG3" s="1">
        <f>IF(HG1&lt;CapEx!$O$7,"",IF(Financials!HG1=CapEx!$O$7,0,Financials!HF3+1))</f>
        <v>197</v>
      </c>
      <c r="HH3" s="1">
        <f>IF(HH1&lt;CapEx!$O$7,"",IF(Financials!HH1=CapEx!$O$7,0,Financials!HG3+1))</f>
        <v>198</v>
      </c>
      <c r="HI3" s="1">
        <f>IF(HI1&lt;CapEx!$O$7,"",IF(Financials!HI1=CapEx!$O$7,0,Financials!HH3+1))</f>
        <v>199</v>
      </c>
      <c r="HJ3" s="1">
        <f>IF(HJ1&lt;CapEx!$O$7,"",IF(Financials!HJ1=CapEx!$O$7,0,Financials!HI3+1))</f>
        <v>200</v>
      </c>
      <c r="HK3" s="1">
        <f>IF(HK1&lt;CapEx!$O$7,"",IF(Financials!HK1=CapEx!$O$7,0,Financials!HJ3+1))</f>
        <v>201</v>
      </c>
      <c r="HL3" s="1">
        <f>IF(HL1&lt;CapEx!$O$7,"",IF(Financials!HL1=CapEx!$O$7,0,Financials!HK3+1))</f>
        <v>202</v>
      </c>
      <c r="HM3" s="1">
        <f>IF(HM1&lt;CapEx!$O$7,"",IF(Financials!HM1=CapEx!$O$7,0,Financials!HL3+1))</f>
        <v>203</v>
      </c>
      <c r="HN3" s="1">
        <f>IF(HN1&lt;CapEx!$O$7,"",IF(Financials!HN1=CapEx!$O$7,0,Financials!HM3+1))</f>
        <v>204</v>
      </c>
      <c r="HO3" s="1">
        <f>IF(HO1&lt;CapEx!$O$7,"",IF(Financials!HO1=CapEx!$O$7,0,Financials!HN3+1))</f>
        <v>205</v>
      </c>
      <c r="HP3" s="1">
        <f>IF(HP1&lt;CapEx!$O$7,"",IF(Financials!HP1=CapEx!$O$7,0,Financials!HO3+1))</f>
        <v>206</v>
      </c>
      <c r="HQ3" s="1">
        <f>IF(HQ1&lt;CapEx!$O$7,"",IF(Financials!HQ1=CapEx!$O$7,0,Financials!HP3+1))</f>
        <v>207</v>
      </c>
      <c r="HR3" s="1">
        <f>IF(HR1&lt;CapEx!$O$7,"",IF(Financials!HR1=CapEx!$O$7,0,Financials!HQ3+1))</f>
        <v>208</v>
      </c>
      <c r="HS3" s="1">
        <f>IF(HS1&lt;CapEx!$O$7,"",IF(Financials!HS1=CapEx!$O$7,0,Financials!HR3+1))</f>
        <v>209</v>
      </c>
      <c r="HT3" s="1">
        <f>IF(HT1&lt;CapEx!$O$7,"",IF(Financials!HT1=CapEx!$O$7,0,Financials!HS3+1))</f>
        <v>210</v>
      </c>
      <c r="HU3" s="1">
        <f>IF(HU1&lt;CapEx!$O$7,"",IF(Financials!HU1=CapEx!$O$7,0,Financials!HT3+1))</f>
        <v>211</v>
      </c>
      <c r="HV3" s="1">
        <f>IF(HV1&lt;CapEx!$O$7,"",IF(Financials!HV1=CapEx!$O$7,0,Financials!HU3+1))</f>
        <v>212</v>
      </c>
      <c r="HW3" s="1">
        <f>IF(HW1&lt;CapEx!$O$7,"",IF(Financials!HW1=CapEx!$O$7,0,Financials!HV3+1))</f>
        <v>213</v>
      </c>
      <c r="HX3" s="1">
        <f>IF(HX1&lt;CapEx!$O$7,"",IF(Financials!HX1=CapEx!$O$7,0,Financials!HW3+1))</f>
        <v>214</v>
      </c>
      <c r="HY3" s="1">
        <f>IF(HY1&lt;CapEx!$O$7,"",IF(Financials!HY1=CapEx!$O$7,0,Financials!HX3+1))</f>
        <v>215</v>
      </c>
      <c r="HZ3" s="1">
        <f>IF(HZ1&lt;CapEx!$O$7,"",IF(Financials!HZ1=CapEx!$O$7,0,Financials!HY3+1))</f>
        <v>216</v>
      </c>
      <c r="IA3" s="1">
        <f>IF(IA1&lt;CapEx!$O$7,"",IF(Financials!IA1=CapEx!$O$7,0,Financials!HZ3+1))</f>
        <v>217</v>
      </c>
      <c r="IB3" s="1">
        <f>IF(IB1&lt;CapEx!$O$7,"",IF(Financials!IB1=CapEx!$O$7,0,Financials!IA3+1))</f>
        <v>218</v>
      </c>
      <c r="IC3" s="1">
        <f>IF(IC1&lt;CapEx!$O$7,"",IF(Financials!IC1=CapEx!$O$7,0,Financials!IB3+1))</f>
        <v>219</v>
      </c>
      <c r="ID3" s="1">
        <f>IF(ID1&lt;CapEx!$O$7,"",IF(Financials!ID1=CapEx!$O$7,0,Financials!IC3+1))</f>
        <v>220</v>
      </c>
      <c r="IE3" s="1">
        <f>IF(IE1&lt;CapEx!$O$7,"",IF(Financials!IE1=CapEx!$O$7,0,Financials!ID3+1))</f>
        <v>221</v>
      </c>
      <c r="IF3" s="1">
        <f>IF(IF1&lt;CapEx!$O$7,"",IF(Financials!IF1=CapEx!$O$7,0,Financials!IE3+1))</f>
        <v>222</v>
      </c>
      <c r="IG3" s="1">
        <f>IF(IG1&lt;CapEx!$O$7,"",IF(Financials!IG1=CapEx!$O$7,0,Financials!IF3+1))</f>
        <v>223</v>
      </c>
      <c r="IH3" s="1">
        <f>IF(IH1&lt;CapEx!$O$7,"",IF(Financials!IH1=CapEx!$O$7,0,Financials!IG3+1))</f>
        <v>224</v>
      </c>
      <c r="II3" s="1">
        <f>IF(II1&lt;CapEx!$O$7,"",IF(Financials!II1=CapEx!$O$7,0,Financials!IH3+1))</f>
        <v>225</v>
      </c>
      <c r="IJ3" s="1">
        <f>IF(IJ1&lt;CapEx!$O$7,"",IF(Financials!IJ1=CapEx!$O$7,0,Financials!II3+1))</f>
        <v>226</v>
      </c>
      <c r="IK3" s="1">
        <f>IF(IK1&lt;CapEx!$O$7,"",IF(Financials!IK1=CapEx!$O$7,0,Financials!IJ3+1))</f>
        <v>227</v>
      </c>
      <c r="IL3" s="1">
        <f>IF(IL1&lt;CapEx!$O$7,"",IF(Financials!IL1=CapEx!$O$7,0,Financials!IK3+1))</f>
        <v>228</v>
      </c>
      <c r="IM3" s="1">
        <f>IF(IM1&lt;CapEx!$O$7,"",IF(Financials!IM1=CapEx!$O$7,0,Financials!IL3+1))</f>
        <v>229</v>
      </c>
      <c r="IN3" s="1">
        <f>IF(IN1&lt;CapEx!$O$7,"",IF(Financials!IN1=CapEx!$O$7,0,Financials!IM3+1))</f>
        <v>230</v>
      </c>
      <c r="IO3" s="1">
        <f>IF(IO1&lt;CapEx!$O$7,"",IF(Financials!IO1=CapEx!$O$7,0,Financials!IN3+1))</f>
        <v>231</v>
      </c>
      <c r="IP3" s="1">
        <f>IF(IP1&lt;CapEx!$O$7,"",IF(Financials!IP1=CapEx!$O$7,0,Financials!IO3+1))</f>
        <v>232</v>
      </c>
      <c r="IQ3" s="1">
        <f>IF(IQ1&lt;CapEx!$O$7,"",IF(Financials!IQ1=CapEx!$O$7,0,Financials!IP3+1))</f>
        <v>233</v>
      </c>
      <c r="IR3" s="1">
        <f>IF(IR1&lt;CapEx!$O$7,"",IF(Financials!IR1=CapEx!$O$7,0,Financials!IQ3+1))</f>
        <v>234</v>
      </c>
      <c r="IS3" s="1">
        <f>IF(IS1&lt;CapEx!$O$7,"",IF(Financials!IS1=CapEx!$O$7,0,Financials!IR3+1))</f>
        <v>235</v>
      </c>
      <c r="IT3" s="1">
        <f>IF(IT1&lt;CapEx!$O$7,"",IF(Financials!IT1=CapEx!$O$7,0,Financials!IS3+1))</f>
        <v>236</v>
      </c>
      <c r="IU3" s="1">
        <f>IF(IU1&lt;CapEx!$O$7,"",IF(Financials!IU1=CapEx!$O$7,0,Financials!IT3+1))</f>
        <v>237</v>
      </c>
      <c r="IV3" s="1">
        <f>IF(IV1&lt;CapEx!$O$7,"",IF(Financials!IV1=CapEx!$O$7,0,Financials!IU3+1))</f>
        <v>238</v>
      </c>
      <c r="IW3" s="1">
        <f>IF(IW1&lt;CapEx!$O$7,"",IF(Financials!IW1=CapEx!$O$7,0,Financials!IV3+1))</f>
        <v>239</v>
      </c>
      <c r="IX3" s="1">
        <f>IF(IX1&lt;CapEx!$O$7,"",IF(Financials!IX1=CapEx!$O$7,0,Financials!IW3+1))</f>
        <v>240</v>
      </c>
      <c r="IY3" s="1">
        <f>IF(IY1&lt;CapEx!$O$7,"",IF(Financials!IY1=CapEx!$O$7,0,Financials!IX3+1))</f>
        <v>241</v>
      </c>
      <c r="IZ3" s="1">
        <f>IF(IZ1&lt;CapEx!$O$7,"",IF(Financials!IZ1=CapEx!$O$7,0,Financials!IY3+1))</f>
        <v>242</v>
      </c>
      <c r="JA3" s="1">
        <f>IF(JA1&lt;CapEx!$O$7,"",IF(Financials!JA1=CapEx!$O$7,0,Financials!IZ3+1))</f>
        <v>243</v>
      </c>
      <c r="JB3" s="1">
        <f>IF(JB1&lt;CapEx!$O$7,"",IF(Financials!JB1=CapEx!$O$7,0,Financials!JA3+1))</f>
        <v>244</v>
      </c>
      <c r="JC3" s="1">
        <f>IF(JC1&lt;CapEx!$O$7,"",IF(Financials!JC1=CapEx!$O$7,0,Financials!JB3+1))</f>
        <v>245</v>
      </c>
      <c r="JD3" s="1">
        <f>IF(JD1&lt;CapEx!$O$7,"",IF(Financials!JD1=CapEx!$O$7,0,Financials!JC3+1))</f>
        <v>246</v>
      </c>
      <c r="JE3" s="1">
        <f>IF(JE1&lt;CapEx!$O$7,"",IF(Financials!JE1=CapEx!$O$7,0,Financials!JD3+1))</f>
        <v>247</v>
      </c>
      <c r="JF3" s="1">
        <f>IF(JF1&lt;CapEx!$O$7,"",IF(Financials!JF1=CapEx!$O$7,0,Financials!JE3+1))</f>
        <v>248</v>
      </c>
      <c r="JG3" s="1">
        <f>IF(JG1&lt;CapEx!$O$7,"",IF(Financials!JG1=CapEx!$O$7,0,Financials!JF3+1))</f>
        <v>249</v>
      </c>
      <c r="JH3" s="1">
        <f>IF(JH1&lt;CapEx!$O$7,"",IF(Financials!JH1=CapEx!$O$7,0,Financials!JG3+1))</f>
        <v>250</v>
      </c>
      <c r="JI3" s="1">
        <f>IF(JI1&lt;CapEx!$O$7,"",IF(Financials!JI1=CapEx!$O$7,0,Financials!JH3+1))</f>
        <v>251</v>
      </c>
      <c r="JJ3" s="1">
        <f>IF(JJ1&lt;CapEx!$O$7,"",IF(Financials!JJ1=CapEx!$O$7,0,Financials!JI3+1))</f>
        <v>252</v>
      </c>
      <c r="JK3" s="1">
        <f>IF(JK1&lt;CapEx!$O$7,"",IF(Financials!JK1=CapEx!$O$7,0,Financials!JJ3+1))</f>
        <v>253</v>
      </c>
      <c r="JL3" s="1">
        <f>IF(JL1&lt;CapEx!$O$7,"",IF(Financials!JL1=CapEx!$O$7,0,Financials!JK3+1))</f>
        <v>254</v>
      </c>
      <c r="JM3" s="1">
        <f>IF(JM1&lt;CapEx!$O$7,"",IF(Financials!JM1=CapEx!$O$7,0,Financials!JL3+1))</f>
        <v>255</v>
      </c>
      <c r="JN3" s="1">
        <f>IF(JN1&lt;CapEx!$O$7,"",IF(Financials!JN1=CapEx!$O$7,0,Financials!JM3+1))</f>
        <v>256</v>
      </c>
      <c r="JO3" s="1">
        <f>IF(JO1&lt;CapEx!$O$7,"",IF(Financials!JO1=CapEx!$O$7,0,Financials!JN3+1))</f>
        <v>257</v>
      </c>
      <c r="JP3" s="1">
        <f>IF(JP1&lt;CapEx!$O$7,"",IF(Financials!JP1=CapEx!$O$7,0,Financials!JO3+1))</f>
        <v>258</v>
      </c>
      <c r="JQ3" s="1">
        <f>IF(JQ1&lt;CapEx!$O$7,"",IF(Financials!JQ1=CapEx!$O$7,0,Financials!JP3+1))</f>
        <v>259</v>
      </c>
      <c r="JR3" s="1">
        <f>IF(JR1&lt;CapEx!$O$7,"",IF(Financials!JR1=CapEx!$O$7,0,Financials!JQ3+1))</f>
        <v>260</v>
      </c>
    </row>
    <row r="5" spans="2:280" x14ac:dyDescent="0.2">
      <c r="C5" s="855">
        <f>'Data Sources'!C1</f>
        <v>2026</v>
      </c>
      <c r="D5" s="856"/>
      <c r="E5" s="856"/>
      <c r="F5" s="856"/>
      <c r="G5" s="856"/>
      <c r="H5" s="856"/>
      <c r="I5" s="856"/>
      <c r="J5" s="856"/>
      <c r="K5" s="856"/>
      <c r="L5" s="856"/>
      <c r="M5" s="856"/>
      <c r="N5" s="857"/>
      <c r="O5" s="854">
        <f>SUM(C5+1)</f>
        <v>2027</v>
      </c>
      <c r="P5" s="853"/>
      <c r="Q5" s="853"/>
      <c r="R5" s="853"/>
      <c r="S5" s="853"/>
      <c r="T5" s="853"/>
      <c r="U5" s="853"/>
      <c r="V5" s="853"/>
      <c r="W5" s="853"/>
      <c r="X5" s="853"/>
      <c r="Y5" s="853"/>
      <c r="Z5" s="853"/>
      <c r="AA5" s="854">
        <f>SUM(O5+1)</f>
        <v>2028</v>
      </c>
      <c r="AB5" s="853"/>
      <c r="AC5" s="853"/>
      <c r="AD5" s="853"/>
      <c r="AE5" s="853"/>
      <c r="AF5" s="853"/>
      <c r="AG5" s="853"/>
      <c r="AH5" s="853"/>
      <c r="AI5" s="853"/>
      <c r="AJ5" s="853"/>
      <c r="AK5" s="853"/>
      <c r="AL5" s="853"/>
      <c r="AM5" s="853">
        <f>AA5+1</f>
        <v>2029</v>
      </c>
      <c r="AN5" s="853"/>
      <c r="AO5" s="853"/>
      <c r="AP5" s="853"/>
      <c r="AQ5" s="853"/>
      <c r="AR5" s="853"/>
      <c r="AS5" s="853"/>
      <c r="AT5" s="853"/>
      <c r="AU5" s="853"/>
      <c r="AV5" s="853"/>
      <c r="AW5" s="853"/>
      <c r="AX5" s="853"/>
      <c r="AY5" s="853">
        <f>AM5+1</f>
        <v>2030</v>
      </c>
      <c r="AZ5" s="853"/>
      <c r="BA5" s="853"/>
      <c r="BB5" s="853"/>
      <c r="BC5" s="853"/>
      <c r="BD5" s="853"/>
      <c r="BE5" s="853"/>
      <c r="BF5" s="853"/>
      <c r="BG5" s="853"/>
      <c r="BH5" s="853"/>
      <c r="BI5" s="853"/>
      <c r="BJ5" s="853"/>
      <c r="BK5" s="853">
        <f>AY5+1</f>
        <v>2031</v>
      </c>
      <c r="BL5" s="853"/>
      <c r="BM5" s="853"/>
      <c r="BN5" s="853"/>
      <c r="BO5" s="853"/>
      <c r="BP5" s="853"/>
      <c r="BQ5" s="853"/>
      <c r="BR5" s="853"/>
      <c r="BS5" s="853"/>
      <c r="BT5" s="853"/>
      <c r="BU5" s="853"/>
      <c r="BV5" s="853"/>
      <c r="BW5" s="853">
        <f>BK5+1</f>
        <v>2032</v>
      </c>
      <c r="BX5" s="853"/>
      <c r="BY5" s="853"/>
      <c r="BZ5" s="853"/>
      <c r="CA5" s="853"/>
      <c r="CB5" s="853"/>
      <c r="CC5" s="853"/>
      <c r="CD5" s="853"/>
      <c r="CE5" s="853"/>
      <c r="CF5" s="853"/>
      <c r="CG5" s="853"/>
      <c r="CH5" s="853"/>
      <c r="CI5" s="853">
        <f>BW5+1</f>
        <v>2033</v>
      </c>
      <c r="CJ5" s="853"/>
      <c r="CK5" s="853"/>
      <c r="CL5" s="853"/>
      <c r="CM5" s="853"/>
      <c r="CN5" s="853"/>
      <c r="CO5" s="853"/>
      <c r="CP5" s="853"/>
      <c r="CQ5" s="853"/>
      <c r="CR5" s="853"/>
      <c r="CS5" s="853"/>
      <c r="CT5" s="853"/>
      <c r="CU5" s="853">
        <f>CI5+1</f>
        <v>2034</v>
      </c>
      <c r="CV5" s="853"/>
      <c r="CW5" s="853"/>
      <c r="CX5" s="853"/>
      <c r="CY5" s="853"/>
      <c r="CZ5" s="853"/>
      <c r="DA5" s="853"/>
      <c r="DB5" s="853"/>
      <c r="DC5" s="853"/>
      <c r="DD5" s="853"/>
      <c r="DE5" s="853"/>
      <c r="DF5" s="853"/>
      <c r="DG5" s="853">
        <f>CU5+1</f>
        <v>2035</v>
      </c>
      <c r="DH5" s="853"/>
      <c r="DI5" s="853"/>
      <c r="DJ5" s="853"/>
      <c r="DK5" s="853"/>
      <c r="DL5" s="853"/>
      <c r="DM5" s="853"/>
      <c r="DN5" s="853"/>
      <c r="DO5" s="853"/>
      <c r="DP5" s="853"/>
      <c r="DQ5" s="853"/>
      <c r="DR5" s="853"/>
      <c r="DS5" s="853">
        <f>DG5+1</f>
        <v>2036</v>
      </c>
      <c r="DT5" s="853"/>
      <c r="DU5" s="853"/>
      <c r="DV5" s="853"/>
      <c r="DW5" s="853"/>
      <c r="DX5" s="853"/>
      <c r="DY5" s="853"/>
      <c r="DZ5" s="853"/>
      <c r="EA5" s="853"/>
      <c r="EB5" s="853"/>
      <c r="EC5" s="853"/>
      <c r="ED5" s="853"/>
      <c r="EE5" s="853">
        <f>DS5+1</f>
        <v>2037</v>
      </c>
      <c r="EF5" s="853"/>
      <c r="EG5" s="853"/>
      <c r="EH5" s="853"/>
      <c r="EI5" s="853"/>
      <c r="EJ5" s="853"/>
      <c r="EK5" s="853"/>
      <c r="EL5" s="853"/>
      <c r="EM5" s="853"/>
      <c r="EN5" s="853"/>
      <c r="EO5" s="853"/>
      <c r="EP5" s="853"/>
      <c r="EQ5" s="853">
        <f>EE5+1</f>
        <v>2038</v>
      </c>
      <c r="ER5" s="853"/>
      <c r="ES5" s="853"/>
      <c r="ET5" s="853"/>
      <c r="EU5" s="853"/>
      <c r="EV5" s="853"/>
      <c r="EW5" s="853"/>
      <c r="EX5" s="853"/>
      <c r="EY5" s="853"/>
      <c r="EZ5" s="853"/>
      <c r="FA5" s="853"/>
      <c r="FB5" s="853"/>
      <c r="FC5" s="853">
        <f>EQ5+1</f>
        <v>2039</v>
      </c>
      <c r="FD5" s="853"/>
      <c r="FE5" s="853"/>
      <c r="FF5" s="853"/>
      <c r="FG5" s="853"/>
      <c r="FH5" s="853"/>
      <c r="FI5" s="853"/>
      <c r="FJ5" s="853"/>
      <c r="FK5" s="853"/>
      <c r="FL5" s="853"/>
      <c r="FM5" s="853"/>
      <c r="FN5" s="853"/>
      <c r="FO5" s="853">
        <f>FC5+1</f>
        <v>2040</v>
      </c>
      <c r="FP5" s="853"/>
      <c r="FQ5" s="853"/>
      <c r="FR5" s="853"/>
      <c r="FS5" s="853"/>
      <c r="FT5" s="853"/>
      <c r="FU5" s="853"/>
      <c r="FV5" s="853"/>
      <c r="FW5" s="853"/>
      <c r="FX5" s="853"/>
      <c r="FY5" s="853"/>
      <c r="FZ5" s="853"/>
      <c r="GA5" s="853">
        <f>FO5+1</f>
        <v>2041</v>
      </c>
      <c r="GB5" s="853"/>
      <c r="GC5" s="853"/>
      <c r="GD5" s="853"/>
      <c r="GE5" s="853"/>
      <c r="GF5" s="853"/>
      <c r="GG5" s="853"/>
      <c r="GH5" s="853"/>
      <c r="GI5" s="853"/>
      <c r="GJ5" s="853"/>
      <c r="GK5" s="853"/>
      <c r="GL5" s="853"/>
      <c r="GM5" s="853">
        <f>GA5+1</f>
        <v>2042</v>
      </c>
      <c r="GN5" s="853"/>
      <c r="GO5" s="853"/>
      <c r="GP5" s="853"/>
      <c r="GQ5" s="853"/>
      <c r="GR5" s="853"/>
      <c r="GS5" s="853"/>
      <c r="GT5" s="853"/>
      <c r="GU5" s="853"/>
      <c r="GV5" s="853"/>
      <c r="GW5" s="853"/>
      <c r="GX5" s="853"/>
      <c r="GY5" s="853">
        <f>GM5+1</f>
        <v>2043</v>
      </c>
      <c r="GZ5" s="853"/>
      <c r="HA5" s="853"/>
      <c r="HB5" s="853"/>
      <c r="HC5" s="853"/>
      <c r="HD5" s="853"/>
      <c r="HE5" s="853"/>
      <c r="HF5" s="853"/>
      <c r="HG5" s="853"/>
      <c r="HH5" s="853"/>
      <c r="HI5" s="853"/>
      <c r="HJ5" s="853"/>
      <c r="HK5" s="853">
        <f>GY5+1</f>
        <v>2044</v>
      </c>
      <c r="HL5" s="853"/>
      <c r="HM5" s="853"/>
      <c r="HN5" s="853"/>
      <c r="HO5" s="853"/>
      <c r="HP5" s="853"/>
      <c r="HQ5" s="853"/>
      <c r="HR5" s="853"/>
      <c r="HS5" s="853"/>
      <c r="HT5" s="853"/>
      <c r="HU5" s="853"/>
      <c r="HV5" s="853"/>
      <c r="HW5" s="853">
        <f>HK5+1</f>
        <v>2045</v>
      </c>
      <c r="HX5" s="853"/>
      <c r="HY5" s="853"/>
      <c r="HZ5" s="853"/>
      <c r="IA5" s="853"/>
      <c r="IB5" s="853"/>
      <c r="IC5" s="853"/>
      <c r="ID5" s="853"/>
      <c r="IE5" s="853"/>
      <c r="IF5" s="853"/>
      <c r="IG5" s="853"/>
      <c r="IH5" s="853"/>
      <c r="II5" s="853">
        <f>HW5+1</f>
        <v>2046</v>
      </c>
      <c r="IJ5" s="853"/>
      <c r="IK5" s="853"/>
      <c r="IL5" s="853"/>
      <c r="IM5" s="853"/>
      <c r="IN5" s="853"/>
      <c r="IO5" s="853"/>
      <c r="IP5" s="853"/>
      <c r="IQ5" s="853"/>
      <c r="IR5" s="853"/>
      <c r="IS5" s="853"/>
      <c r="IT5" s="853"/>
      <c r="IU5" s="853">
        <f>II5+1</f>
        <v>2047</v>
      </c>
      <c r="IV5" s="853"/>
      <c r="IW5" s="853"/>
      <c r="IX5" s="853"/>
      <c r="IY5" s="853"/>
      <c r="IZ5" s="853"/>
      <c r="JA5" s="853"/>
      <c r="JB5" s="853"/>
      <c r="JC5" s="853"/>
      <c r="JD5" s="853"/>
      <c r="JE5" s="853"/>
      <c r="JF5" s="853"/>
      <c r="JG5" s="853">
        <f>IU5+1</f>
        <v>2048</v>
      </c>
      <c r="JH5" s="853"/>
      <c r="JI5" s="853"/>
      <c r="JJ5" s="853"/>
      <c r="JK5" s="853"/>
      <c r="JL5" s="853"/>
      <c r="JM5" s="853"/>
      <c r="JN5" s="853"/>
      <c r="JO5" s="853"/>
      <c r="JP5" s="853"/>
      <c r="JQ5" s="853"/>
      <c r="JR5" s="853"/>
    </row>
    <row r="6" spans="2:280" x14ac:dyDescent="0.2">
      <c r="C6" s="49">
        <f>C5</f>
        <v>2026</v>
      </c>
      <c r="D6" s="50">
        <f>C6</f>
        <v>2026</v>
      </c>
      <c r="E6" s="50">
        <f t="shared" ref="E6:N6" si="456">D6</f>
        <v>2026</v>
      </c>
      <c r="F6" s="50">
        <f t="shared" si="456"/>
        <v>2026</v>
      </c>
      <c r="G6" s="50">
        <f t="shared" si="456"/>
        <v>2026</v>
      </c>
      <c r="H6" s="50">
        <f t="shared" si="456"/>
        <v>2026</v>
      </c>
      <c r="I6" s="50">
        <f t="shared" si="456"/>
        <v>2026</v>
      </c>
      <c r="J6" s="50">
        <f t="shared" si="456"/>
        <v>2026</v>
      </c>
      <c r="K6" s="50">
        <f t="shared" si="456"/>
        <v>2026</v>
      </c>
      <c r="L6" s="50">
        <f t="shared" si="456"/>
        <v>2026</v>
      </c>
      <c r="M6" s="50">
        <f t="shared" si="456"/>
        <v>2026</v>
      </c>
      <c r="N6" s="50">
        <f t="shared" si="456"/>
        <v>2026</v>
      </c>
      <c r="O6" s="49">
        <f>O5</f>
        <v>2027</v>
      </c>
      <c r="P6" s="50">
        <f>O6</f>
        <v>2027</v>
      </c>
      <c r="Q6" s="50">
        <f t="shared" ref="Q6:Z6" si="457">P6</f>
        <v>2027</v>
      </c>
      <c r="R6" s="50">
        <f t="shared" si="457"/>
        <v>2027</v>
      </c>
      <c r="S6" s="50">
        <f t="shared" si="457"/>
        <v>2027</v>
      </c>
      <c r="T6" s="50">
        <f t="shared" si="457"/>
        <v>2027</v>
      </c>
      <c r="U6" s="50">
        <f t="shared" si="457"/>
        <v>2027</v>
      </c>
      <c r="V6" s="50">
        <f t="shared" si="457"/>
        <v>2027</v>
      </c>
      <c r="W6" s="50">
        <f t="shared" si="457"/>
        <v>2027</v>
      </c>
      <c r="X6" s="50">
        <f t="shared" si="457"/>
        <v>2027</v>
      </c>
      <c r="Y6" s="50">
        <f t="shared" si="457"/>
        <v>2027</v>
      </c>
      <c r="Z6" s="50">
        <f t="shared" si="457"/>
        <v>2027</v>
      </c>
      <c r="AA6" s="49">
        <f>AA5</f>
        <v>2028</v>
      </c>
      <c r="AB6" s="50">
        <f>AA6</f>
        <v>2028</v>
      </c>
      <c r="AC6" s="50">
        <f t="shared" ref="AC6:AL6" si="458">AB6</f>
        <v>2028</v>
      </c>
      <c r="AD6" s="50">
        <f t="shared" si="458"/>
        <v>2028</v>
      </c>
      <c r="AE6" s="50">
        <f t="shared" si="458"/>
        <v>2028</v>
      </c>
      <c r="AF6" s="50">
        <f t="shared" si="458"/>
        <v>2028</v>
      </c>
      <c r="AG6" s="50">
        <f t="shared" si="458"/>
        <v>2028</v>
      </c>
      <c r="AH6" s="50">
        <f t="shared" si="458"/>
        <v>2028</v>
      </c>
      <c r="AI6" s="50">
        <f t="shared" si="458"/>
        <v>2028</v>
      </c>
      <c r="AJ6" s="50">
        <f t="shared" si="458"/>
        <v>2028</v>
      </c>
      <c r="AK6" s="50">
        <f t="shared" si="458"/>
        <v>2028</v>
      </c>
      <c r="AL6" s="50">
        <f t="shared" si="458"/>
        <v>2028</v>
      </c>
      <c r="AM6" s="49">
        <f>AM5</f>
        <v>2029</v>
      </c>
      <c r="AN6" s="50">
        <f>AM6</f>
        <v>2029</v>
      </c>
      <c r="AO6" s="50">
        <f t="shared" ref="AO6:AX6" si="459">AN6</f>
        <v>2029</v>
      </c>
      <c r="AP6" s="50">
        <f t="shared" si="459"/>
        <v>2029</v>
      </c>
      <c r="AQ6" s="50">
        <f t="shared" si="459"/>
        <v>2029</v>
      </c>
      <c r="AR6" s="50">
        <f t="shared" si="459"/>
        <v>2029</v>
      </c>
      <c r="AS6" s="50">
        <f t="shared" si="459"/>
        <v>2029</v>
      </c>
      <c r="AT6" s="50">
        <f t="shared" si="459"/>
        <v>2029</v>
      </c>
      <c r="AU6" s="50">
        <f t="shared" si="459"/>
        <v>2029</v>
      </c>
      <c r="AV6" s="50">
        <f t="shared" si="459"/>
        <v>2029</v>
      </c>
      <c r="AW6" s="50">
        <f t="shared" si="459"/>
        <v>2029</v>
      </c>
      <c r="AX6" s="50">
        <f t="shared" si="459"/>
        <v>2029</v>
      </c>
      <c r="AY6" s="49">
        <f>AY5</f>
        <v>2030</v>
      </c>
      <c r="AZ6" s="50">
        <f>AY6</f>
        <v>2030</v>
      </c>
      <c r="BA6" s="50">
        <f t="shared" ref="BA6:BJ6" si="460">AZ6</f>
        <v>2030</v>
      </c>
      <c r="BB6" s="50">
        <f t="shared" si="460"/>
        <v>2030</v>
      </c>
      <c r="BC6" s="50">
        <f t="shared" si="460"/>
        <v>2030</v>
      </c>
      <c r="BD6" s="50">
        <f t="shared" si="460"/>
        <v>2030</v>
      </c>
      <c r="BE6" s="50">
        <f t="shared" si="460"/>
        <v>2030</v>
      </c>
      <c r="BF6" s="50">
        <f t="shared" si="460"/>
        <v>2030</v>
      </c>
      <c r="BG6" s="50">
        <f t="shared" si="460"/>
        <v>2030</v>
      </c>
      <c r="BH6" s="50">
        <f t="shared" si="460"/>
        <v>2030</v>
      </c>
      <c r="BI6" s="50">
        <f t="shared" si="460"/>
        <v>2030</v>
      </c>
      <c r="BJ6" s="50">
        <f t="shared" si="460"/>
        <v>2030</v>
      </c>
      <c r="BK6" s="49">
        <f>BK5</f>
        <v>2031</v>
      </c>
      <c r="BL6" s="50">
        <f>BK6</f>
        <v>2031</v>
      </c>
      <c r="BM6" s="50">
        <f t="shared" ref="BM6:BV6" si="461">BL6</f>
        <v>2031</v>
      </c>
      <c r="BN6" s="50">
        <f t="shared" si="461"/>
        <v>2031</v>
      </c>
      <c r="BO6" s="50">
        <f t="shared" si="461"/>
        <v>2031</v>
      </c>
      <c r="BP6" s="50">
        <f t="shared" si="461"/>
        <v>2031</v>
      </c>
      <c r="BQ6" s="50">
        <f t="shared" si="461"/>
        <v>2031</v>
      </c>
      <c r="BR6" s="50">
        <f t="shared" si="461"/>
        <v>2031</v>
      </c>
      <c r="BS6" s="50">
        <f t="shared" si="461"/>
        <v>2031</v>
      </c>
      <c r="BT6" s="50">
        <f t="shared" si="461"/>
        <v>2031</v>
      </c>
      <c r="BU6" s="50">
        <f t="shared" si="461"/>
        <v>2031</v>
      </c>
      <c r="BV6" s="50">
        <f t="shared" si="461"/>
        <v>2031</v>
      </c>
      <c r="BW6" s="49">
        <f>BW5</f>
        <v>2032</v>
      </c>
      <c r="BX6" s="50">
        <f>BW6</f>
        <v>2032</v>
      </c>
      <c r="BY6" s="50">
        <f t="shared" ref="BY6:CH6" si="462">BX6</f>
        <v>2032</v>
      </c>
      <c r="BZ6" s="50">
        <f t="shared" si="462"/>
        <v>2032</v>
      </c>
      <c r="CA6" s="50">
        <f t="shared" si="462"/>
        <v>2032</v>
      </c>
      <c r="CB6" s="50">
        <f t="shared" si="462"/>
        <v>2032</v>
      </c>
      <c r="CC6" s="50">
        <f t="shared" si="462"/>
        <v>2032</v>
      </c>
      <c r="CD6" s="50">
        <f t="shared" si="462"/>
        <v>2032</v>
      </c>
      <c r="CE6" s="50">
        <f t="shared" si="462"/>
        <v>2032</v>
      </c>
      <c r="CF6" s="50">
        <f t="shared" si="462"/>
        <v>2032</v>
      </c>
      <c r="CG6" s="50">
        <f t="shared" si="462"/>
        <v>2032</v>
      </c>
      <c r="CH6" s="50">
        <f t="shared" si="462"/>
        <v>2032</v>
      </c>
      <c r="CI6" s="49">
        <f>CI5</f>
        <v>2033</v>
      </c>
      <c r="CJ6" s="50">
        <f>CI6</f>
        <v>2033</v>
      </c>
      <c r="CK6" s="50">
        <f t="shared" ref="CK6:CT6" si="463">CJ6</f>
        <v>2033</v>
      </c>
      <c r="CL6" s="50">
        <f t="shared" si="463"/>
        <v>2033</v>
      </c>
      <c r="CM6" s="50">
        <f t="shared" si="463"/>
        <v>2033</v>
      </c>
      <c r="CN6" s="50">
        <f t="shared" si="463"/>
        <v>2033</v>
      </c>
      <c r="CO6" s="50">
        <f t="shared" si="463"/>
        <v>2033</v>
      </c>
      <c r="CP6" s="50">
        <f t="shared" si="463"/>
        <v>2033</v>
      </c>
      <c r="CQ6" s="50">
        <f t="shared" si="463"/>
        <v>2033</v>
      </c>
      <c r="CR6" s="50">
        <f t="shared" si="463"/>
        <v>2033</v>
      </c>
      <c r="CS6" s="50">
        <f t="shared" si="463"/>
        <v>2033</v>
      </c>
      <c r="CT6" s="50">
        <f t="shared" si="463"/>
        <v>2033</v>
      </c>
      <c r="CU6" s="49">
        <f>CU5</f>
        <v>2034</v>
      </c>
      <c r="CV6" s="50">
        <f>CU6</f>
        <v>2034</v>
      </c>
      <c r="CW6" s="50">
        <f t="shared" ref="CW6:DF6" si="464">CV6</f>
        <v>2034</v>
      </c>
      <c r="CX6" s="50">
        <f t="shared" si="464"/>
        <v>2034</v>
      </c>
      <c r="CY6" s="50">
        <f t="shared" si="464"/>
        <v>2034</v>
      </c>
      <c r="CZ6" s="50">
        <f t="shared" si="464"/>
        <v>2034</v>
      </c>
      <c r="DA6" s="50">
        <f t="shared" si="464"/>
        <v>2034</v>
      </c>
      <c r="DB6" s="50">
        <f t="shared" si="464"/>
        <v>2034</v>
      </c>
      <c r="DC6" s="50">
        <f t="shared" si="464"/>
        <v>2034</v>
      </c>
      <c r="DD6" s="50">
        <f t="shared" si="464"/>
        <v>2034</v>
      </c>
      <c r="DE6" s="50">
        <f t="shared" si="464"/>
        <v>2034</v>
      </c>
      <c r="DF6" s="50">
        <f t="shared" si="464"/>
        <v>2034</v>
      </c>
      <c r="DG6" s="49">
        <f>DG5</f>
        <v>2035</v>
      </c>
      <c r="DH6" s="50">
        <f>DG6</f>
        <v>2035</v>
      </c>
      <c r="DI6" s="50">
        <f t="shared" ref="DI6:DR6" si="465">DH6</f>
        <v>2035</v>
      </c>
      <c r="DJ6" s="50">
        <f t="shared" si="465"/>
        <v>2035</v>
      </c>
      <c r="DK6" s="50">
        <f t="shared" si="465"/>
        <v>2035</v>
      </c>
      <c r="DL6" s="50">
        <f t="shared" si="465"/>
        <v>2035</v>
      </c>
      <c r="DM6" s="50">
        <f t="shared" si="465"/>
        <v>2035</v>
      </c>
      <c r="DN6" s="50">
        <f t="shared" si="465"/>
        <v>2035</v>
      </c>
      <c r="DO6" s="50">
        <f t="shared" si="465"/>
        <v>2035</v>
      </c>
      <c r="DP6" s="50">
        <f t="shared" si="465"/>
        <v>2035</v>
      </c>
      <c r="DQ6" s="50">
        <f t="shared" si="465"/>
        <v>2035</v>
      </c>
      <c r="DR6" s="50">
        <f t="shared" si="465"/>
        <v>2035</v>
      </c>
      <c r="DS6" s="49">
        <f>DS5</f>
        <v>2036</v>
      </c>
      <c r="DT6" s="50">
        <f>DS6</f>
        <v>2036</v>
      </c>
      <c r="DU6" s="50">
        <f t="shared" ref="DU6:ED6" si="466">DT6</f>
        <v>2036</v>
      </c>
      <c r="DV6" s="50">
        <f t="shared" si="466"/>
        <v>2036</v>
      </c>
      <c r="DW6" s="50">
        <f t="shared" si="466"/>
        <v>2036</v>
      </c>
      <c r="DX6" s="50">
        <f t="shared" si="466"/>
        <v>2036</v>
      </c>
      <c r="DY6" s="50">
        <f t="shared" si="466"/>
        <v>2036</v>
      </c>
      <c r="DZ6" s="50">
        <f t="shared" si="466"/>
        <v>2036</v>
      </c>
      <c r="EA6" s="50">
        <f t="shared" si="466"/>
        <v>2036</v>
      </c>
      <c r="EB6" s="50">
        <f t="shared" si="466"/>
        <v>2036</v>
      </c>
      <c r="EC6" s="50">
        <f t="shared" si="466"/>
        <v>2036</v>
      </c>
      <c r="ED6" s="50">
        <f t="shared" si="466"/>
        <v>2036</v>
      </c>
      <c r="EE6" s="49">
        <f>EE5</f>
        <v>2037</v>
      </c>
      <c r="EF6" s="50">
        <f>EE6</f>
        <v>2037</v>
      </c>
      <c r="EG6" s="50">
        <f t="shared" ref="EG6:EP6" si="467">EF6</f>
        <v>2037</v>
      </c>
      <c r="EH6" s="50">
        <f t="shared" si="467"/>
        <v>2037</v>
      </c>
      <c r="EI6" s="50">
        <f t="shared" si="467"/>
        <v>2037</v>
      </c>
      <c r="EJ6" s="50">
        <f t="shared" si="467"/>
        <v>2037</v>
      </c>
      <c r="EK6" s="50">
        <f t="shared" si="467"/>
        <v>2037</v>
      </c>
      <c r="EL6" s="50">
        <f t="shared" si="467"/>
        <v>2037</v>
      </c>
      <c r="EM6" s="50">
        <f t="shared" si="467"/>
        <v>2037</v>
      </c>
      <c r="EN6" s="50">
        <f t="shared" si="467"/>
        <v>2037</v>
      </c>
      <c r="EO6" s="50">
        <f t="shared" si="467"/>
        <v>2037</v>
      </c>
      <c r="EP6" s="50">
        <f t="shared" si="467"/>
        <v>2037</v>
      </c>
      <c r="EQ6" s="49">
        <f>EQ5</f>
        <v>2038</v>
      </c>
      <c r="ER6" s="50">
        <f>EQ6</f>
        <v>2038</v>
      </c>
      <c r="ES6" s="50">
        <f t="shared" ref="ES6:FB6" si="468">ER6</f>
        <v>2038</v>
      </c>
      <c r="ET6" s="50">
        <f t="shared" si="468"/>
        <v>2038</v>
      </c>
      <c r="EU6" s="50">
        <f t="shared" si="468"/>
        <v>2038</v>
      </c>
      <c r="EV6" s="50">
        <f t="shared" si="468"/>
        <v>2038</v>
      </c>
      <c r="EW6" s="50">
        <f t="shared" si="468"/>
        <v>2038</v>
      </c>
      <c r="EX6" s="50">
        <f t="shared" si="468"/>
        <v>2038</v>
      </c>
      <c r="EY6" s="50">
        <f t="shared" si="468"/>
        <v>2038</v>
      </c>
      <c r="EZ6" s="50">
        <f t="shared" si="468"/>
        <v>2038</v>
      </c>
      <c r="FA6" s="50">
        <f t="shared" si="468"/>
        <v>2038</v>
      </c>
      <c r="FB6" s="50">
        <f t="shared" si="468"/>
        <v>2038</v>
      </c>
      <c r="FC6" s="49">
        <f>FC5</f>
        <v>2039</v>
      </c>
      <c r="FD6" s="50">
        <f>FC6</f>
        <v>2039</v>
      </c>
      <c r="FE6" s="50">
        <f t="shared" ref="FE6:FN6" si="469">FD6</f>
        <v>2039</v>
      </c>
      <c r="FF6" s="50">
        <f t="shared" si="469"/>
        <v>2039</v>
      </c>
      <c r="FG6" s="50">
        <f t="shared" si="469"/>
        <v>2039</v>
      </c>
      <c r="FH6" s="50">
        <f t="shared" si="469"/>
        <v>2039</v>
      </c>
      <c r="FI6" s="50">
        <f t="shared" si="469"/>
        <v>2039</v>
      </c>
      <c r="FJ6" s="50">
        <f t="shared" si="469"/>
        <v>2039</v>
      </c>
      <c r="FK6" s="50">
        <f t="shared" si="469"/>
        <v>2039</v>
      </c>
      <c r="FL6" s="50">
        <f t="shared" si="469"/>
        <v>2039</v>
      </c>
      <c r="FM6" s="50">
        <f t="shared" si="469"/>
        <v>2039</v>
      </c>
      <c r="FN6" s="50">
        <f t="shared" si="469"/>
        <v>2039</v>
      </c>
      <c r="FO6" s="49">
        <f>FO5</f>
        <v>2040</v>
      </c>
      <c r="FP6" s="50">
        <f>FO6</f>
        <v>2040</v>
      </c>
      <c r="FQ6" s="50">
        <f t="shared" ref="FQ6:FZ6" si="470">FP6</f>
        <v>2040</v>
      </c>
      <c r="FR6" s="50">
        <f t="shared" si="470"/>
        <v>2040</v>
      </c>
      <c r="FS6" s="50">
        <f t="shared" si="470"/>
        <v>2040</v>
      </c>
      <c r="FT6" s="50">
        <f t="shared" si="470"/>
        <v>2040</v>
      </c>
      <c r="FU6" s="50">
        <f t="shared" si="470"/>
        <v>2040</v>
      </c>
      <c r="FV6" s="50">
        <f t="shared" si="470"/>
        <v>2040</v>
      </c>
      <c r="FW6" s="50">
        <f t="shared" si="470"/>
        <v>2040</v>
      </c>
      <c r="FX6" s="50">
        <f t="shared" si="470"/>
        <v>2040</v>
      </c>
      <c r="FY6" s="50">
        <f t="shared" si="470"/>
        <v>2040</v>
      </c>
      <c r="FZ6" s="50">
        <f t="shared" si="470"/>
        <v>2040</v>
      </c>
      <c r="GA6" s="49">
        <f>GA5</f>
        <v>2041</v>
      </c>
      <c r="GB6" s="50">
        <f>GA6</f>
        <v>2041</v>
      </c>
      <c r="GC6" s="50">
        <f t="shared" ref="GC6:GL6" si="471">GB6</f>
        <v>2041</v>
      </c>
      <c r="GD6" s="50">
        <f t="shared" si="471"/>
        <v>2041</v>
      </c>
      <c r="GE6" s="50">
        <f t="shared" si="471"/>
        <v>2041</v>
      </c>
      <c r="GF6" s="50">
        <f t="shared" si="471"/>
        <v>2041</v>
      </c>
      <c r="GG6" s="50">
        <f t="shared" si="471"/>
        <v>2041</v>
      </c>
      <c r="GH6" s="50">
        <f t="shared" si="471"/>
        <v>2041</v>
      </c>
      <c r="GI6" s="50">
        <f t="shared" si="471"/>
        <v>2041</v>
      </c>
      <c r="GJ6" s="50">
        <f t="shared" si="471"/>
        <v>2041</v>
      </c>
      <c r="GK6" s="50">
        <f t="shared" si="471"/>
        <v>2041</v>
      </c>
      <c r="GL6" s="50">
        <f t="shared" si="471"/>
        <v>2041</v>
      </c>
      <c r="GM6" s="49">
        <f>GM5</f>
        <v>2042</v>
      </c>
      <c r="GN6" s="50">
        <f>GM6</f>
        <v>2042</v>
      </c>
      <c r="GO6" s="50">
        <f t="shared" ref="GO6:GX6" si="472">GN6</f>
        <v>2042</v>
      </c>
      <c r="GP6" s="50">
        <f t="shared" si="472"/>
        <v>2042</v>
      </c>
      <c r="GQ6" s="50">
        <f t="shared" si="472"/>
        <v>2042</v>
      </c>
      <c r="GR6" s="50">
        <f t="shared" si="472"/>
        <v>2042</v>
      </c>
      <c r="GS6" s="50">
        <f t="shared" si="472"/>
        <v>2042</v>
      </c>
      <c r="GT6" s="50">
        <f t="shared" si="472"/>
        <v>2042</v>
      </c>
      <c r="GU6" s="50">
        <f t="shared" si="472"/>
        <v>2042</v>
      </c>
      <c r="GV6" s="50">
        <f t="shared" si="472"/>
        <v>2042</v>
      </c>
      <c r="GW6" s="50">
        <f t="shared" si="472"/>
        <v>2042</v>
      </c>
      <c r="GX6" s="50">
        <f t="shared" si="472"/>
        <v>2042</v>
      </c>
      <c r="GY6" s="49">
        <f>GY5</f>
        <v>2043</v>
      </c>
      <c r="GZ6" s="50">
        <f>GY6</f>
        <v>2043</v>
      </c>
      <c r="HA6" s="50">
        <f t="shared" ref="HA6:HJ6" si="473">GZ6</f>
        <v>2043</v>
      </c>
      <c r="HB6" s="50">
        <f t="shared" si="473"/>
        <v>2043</v>
      </c>
      <c r="HC6" s="50">
        <f t="shared" si="473"/>
        <v>2043</v>
      </c>
      <c r="HD6" s="50">
        <f t="shared" si="473"/>
        <v>2043</v>
      </c>
      <c r="HE6" s="50">
        <f t="shared" si="473"/>
        <v>2043</v>
      </c>
      <c r="HF6" s="50">
        <f t="shared" si="473"/>
        <v>2043</v>
      </c>
      <c r="HG6" s="50">
        <f t="shared" si="473"/>
        <v>2043</v>
      </c>
      <c r="HH6" s="50">
        <f t="shared" si="473"/>
        <v>2043</v>
      </c>
      <c r="HI6" s="50">
        <f t="shared" si="473"/>
        <v>2043</v>
      </c>
      <c r="HJ6" s="50">
        <f t="shared" si="473"/>
        <v>2043</v>
      </c>
      <c r="HK6" s="49">
        <f>HK5</f>
        <v>2044</v>
      </c>
      <c r="HL6" s="50">
        <f>HK6</f>
        <v>2044</v>
      </c>
      <c r="HM6" s="50">
        <f t="shared" ref="HM6:HV6" si="474">HL6</f>
        <v>2044</v>
      </c>
      <c r="HN6" s="50">
        <f t="shared" si="474"/>
        <v>2044</v>
      </c>
      <c r="HO6" s="50">
        <f t="shared" si="474"/>
        <v>2044</v>
      </c>
      <c r="HP6" s="50">
        <f t="shared" si="474"/>
        <v>2044</v>
      </c>
      <c r="HQ6" s="50">
        <f t="shared" si="474"/>
        <v>2044</v>
      </c>
      <c r="HR6" s="50">
        <f t="shared" si="474"/>
        <v>2044</v>
      </c>
      <c r="HS6" s="50">
        <f t="shared" si="474"/>
        <v>2044</v>
      </c>
      <c r="HT6" s="50">
        <f t="shared" si="474"/>
        <v>2044</v>
      </c>
      <c r="HU6" s="50">
        <f t="shared" si="474"/>
        <v>2044</v>
      </c>
      <c r="HV6" s="50">
        <f t="shared" si="474"/>
        <v>2044</v>
      </c>
      <c r="HW6" s="49">
        <f>HW5</f>
        <v>2045</v>
      </c>
      <c r="HX6" s="50">
        <f>HW6</f>
        <v>2045</v>
      </c>
      <c r="HY6" s="50">
        <f t="shared" ref="HY6:IH6" si="475">HX6</f>
        <v>2045</v>
      </c>
      <c r="HZ6" s="50">
        <f t="shared" si="475"/>
        <v>2045</v>
      </c>
      <c r="IA6" s="50">
        <f t="shared" si="475"/>
        <v>2045</v>
      </c>
      <c r="IB6" s="50">
        <f t="shared" si="475"/>
        <v>2045</v>
      </c>
      <c r="IC6" s="50">
        <f t="shared" si="475"/>
        <v>2045</v>
      </c>
      <c r="ID6" s="50">
        <f t="shared" si="475"/>
        <v>2045</v>
      </c>
      <c r="IE6" s="50">
        <f t="shared" si="475"/>
        <v>2045</v>
      </c>
      <c r="IF6" s="50">
        <f t="shared" si="475"/>
        <v>2045</v>
      </c>
      <c r="IG6" s="50">
        <f t="shared" si="475"/>
        <v>2045</v>
      </c>
      <c r="IH6" s="50">
        <f t="shared" si="475"/>
        <v>2045</v>
      </c>
      <c r="II6" s="49">
        <f>II5</f>
        <v>2046</v>
      </c>
      <c r="IJ6" s="50">
        <f>II6</f>
        <v>2046</v>
      </c>
      <c r="IK6" s="50">
        <f t="shared" ref="IK6:IT6" si="476">IJ6</f>
        <v>2046</v>
      </c>
      <c r="IL6" s="50">
        <f t="shared" si="476"/>
        <v>2046</v>
      </c>
      <c r="IM6" s="50">
        <f t="shared" si="476"/>
        <v>2046</v>
      </c>
      <c r="IN6" s="50">
        <f t="shared" si="476"/>
        <v>2046</v>
      </c>
      <c r="IO6" s="50">
        <f t="shared" si="476"/>
        <v>2046</v>
      </c>
      <c r="IP6" s="50">
        <f t="shared" si="476"/>
        <v>2046</v>
      </c>
      <c r="IQ6" s="50">
        <f t="shared" si="476"/>
        <v>2046</v>
      </c>
      <c r="IR6" s="50">
        <f t="shared" si="476"/>
        <v>2046</v>
      </c>
      <c r="IS6" s="50">
        <f t="shared" si="476"/>
        <v>2046</v>
      </c>
      <c r="IT6" s="50">
        <f t="shared" si="476"/>
        <v>2046</v>
      </c>
      <c r="IU6" s="49">
        <f>IU5</f>
        <v>2047</v>
      </c>
      <c r="IV6" s="50">
        <f>IU6</f>
        <v>2047</v>
      </c>
      <c r="IW6" s="50">
        <f t="shared" ref="IW6:JF6" si="477">IV6</f>
        <v>2047</v>
      </c>
      <c r="IX6" s="50">
        <f t="shared" si="477"/>
        <v>2047</v>
      </c>
      <c r="IY6" s="50">
        <f t="shared" si="477"/>
        <v>2047</v>
      </c>
      <c r="IZ6" s="50">
        <f t="shared" si="477"/>
        <v>2047</v>
      </c>
      <c r="JA6" s="50">
        <f t="shared" si="477"/>
        <v>2047</v>
      </c>
      <c r="JB6" s="50">
        <f t="shared" si="477"/>
        <v>2047</v>
      </c>
      <c r="JC6" s="50">
        <f t="shared" si="477"/>
        <v>2047</v>
      </c>
      <c r="JD6" s="50">
        <f t="shared" si="477"/>
        <v>2047</v>
      </c>
      <c r="JE6" s="50">
        <f t="shared" si="477"/>
        <v>2047</v>
      </c>
      <c r="JF6" s="50">
        <f t="shared" si="477"/>
        <v>2047</v>
      </c>
      <c r="JG6" s="49">
        <f>JG5</f>
        <v>2048</v>
      </c>
      <c r="JH6" s="50">
        <f>JG6</f>
        <v>2048</v>
      </c>
      <c r="JI6" s="50">
        <f t="shared" ref="JI6:JR6" si="478">JH6</f>
        <v>2048</v>
      </c>
      <c r="JJ6" s="50">
        <f t="shared" si="478"/>
        <v>2048</v>
      </c>
      <c r="JK6" s="50">
        <f t="shared" si="478"/>
        <v>2048</v>
      </c>
      <c r="JL6" s="50">
        <f t="shared" si="478"/>
        <v>2048</v>
      </c>
      <c r="JM6" s="50">
        <f t="shared" si="478"/>
        <v>2048</v>
      </c>
      <c r="JN6" s="50">
        <f t="shared" si="478"/>
        <v>2048</v>
      </c>
      <c r="JO6" s="50">
        <f t="shared" si="478"/>
        <v>2048</v>
      </c>
      <c r="JP6" s="50">
        <f t="shared" si="478"/>
        <v>2048</v>
      </c>
      <c r="JQ6" s="50">
        <f t="shared" si="478"/>
        <v>2048</v>
      </c>
      <c r="JR6" s="50">
        <f t="shared" si="478"/>
        <v>2048</v>
      </c>
    </row>
    <row r="7" spans="2:280" x14ac:dyDescent="0.2">
      <c r="C7" s="15" t="s">
        <v>28</v>
      </c>
      <c r="D7" s="15" t="s">
        <v>29</v>
      </c>
      <c r="E7" s="15" t="s">
        <v>30</v>
      </c>
      <c r="F7" s="15" t="s">
        <v>31</v>
      </c>
      <c r="G7" s="15" t="s">
        <v>32</v>
      </c>
      <c r="H7" s="15" t="s">
        <v>33</v>
      </c>
      <c r="I7" s="15" t="s">
        <v>34</v>
      </c>
      <c r="J7" s="15" t="s">
        <v>35</v>
      </c>
      <c r="K7" s="15" t="s">
        <v>36</v>
      </c>
      <c r="L7" s="15" t="s">
        <v>37</v>
      </c>
      <c r="M7" s="15" t="s">
        <v>38</v>
      </c>
      <c r="N7" s="15" t="s">
        <v>39</v>
      </c>
      <c r="O7" s="15" t="s">
        <v>28</v>
      </c>
      <c r="P7" s="15" t="s">
        <v>29</v>
      </c>
      <c r="Q7" s="15" t="s">
        <v>30</v>
      </c>
      <c r="R7" s="15" t="s">
        <v>31</v>
      </c>
      <c r="S7" s="15" t="s">
        <v>32</v>
      </c>
      <c r="T7" s="15" t="s">
        <v>33</v>
      </c>
      <c r="U7" s="15" t="s">
        <v>34</v>
      </c>
      <c r="V7" s="15" t="s">
        <v>35</v>
      </c>
      <c r="W7" s="15" t="s">
        <v>36</v>
      </c>
      <c r="X7" s="15" t="s">
        <v>37</v>
      </c>
      <c r="Y7" s="15" t="s">
        <v>38</v>
      </c>
      <c r="Z7" s="15" t="s">
        <v>39</v>
      </c>
      <c r="AA7" s="15" t="s">
        <v>28</v>
      </c>
      <c r="AB7" s="15" t="s">
        <v>29</v>
      </c>
      <c r="AC7" s="15" t="s">
        <v>30</v>
      </c>
      <c r="AD7" s="15" t="s">
        <v>31</v>
      </c>
      <c r="AE7" s="15" t="s">
        <v>32</v>
      </c>
      <c r="AF7" s="15" t="s">
        <v>33</v>
      </c>
      <c r="AG7" s="15" t="s">
        <v>34</v>
      </c>
      <c r="AH7" s="15" t="s">
        <v>35</v>
      </c>
      <c r="AI7" s="15" t="s">
        <v>36</v>
      </c>
      <c r="AJ7" s="15" t="s">
        <v>37</v>
      </c>
      <c r="AK7" s="15" t="s">
        <v>38</v>
      </c>
      <c r="AL7" s="15" t="s">
        <v>39</v>
      </c>
      <c r="AM7" s="15" t="s">
        <v>28</v>
      </c>
      <c r="AN7" s="15" t="s">
        <v>29</v>
      </c>
      <c r="AO7" s="15" t="s">
        <v>30</v>
      </c>
      <c r="AP7" s="15" t="s">
        <v>31</v>
      </c>
      <c r="AQ7" s="15" t="s">
        <v>32</v>
      </c>
      <c r="AR7" s="15" t="s">
        <v>33</v>
      </c>
      <c r="AS7" s="15" t="s">
        <v>34</v>
      </c>
      <c r="AT7" s="15" t="s">
        <v>35</v>
      </c>
      <c r="AU7" s="15" t="s">
        <v>36</v>
      </c>
      <c r="AV7" s="15" t="s">
        <v>37</v>
      </c>
      <c r="AW7" s="15" t="s">
        <v>38</v>
      </c>
      <c r="AX7" s="15" t="s">
        <v>39</v>
      </c>
      <c r="AY7" s="15" t="s">
        <v>28</v>
      </c>
      <c r="AZ7" s="15" t="s">
        <v>29</v>
      </c>
      <c r="BA7" s="15" t="s">
        <v>30</v>
      </c>
      <c r="BB7" s="15" t="s">
        <v>31</v>
      </c>
      <c r="BC7" s="15" t="s">
        <v>32</v>
      </c>
      <c r="BD7" s="15" t="s">
        <v>33</v>
      </c>
      <c r="BE7" s="15" t="s">
        <v>34</v>
      </c>
      <c r="BF7" s="15" t="s">
        <v>35</v>
      </c>
      <c r="BG7" s="15" t="s">
        <v>36</v>
      </c>
      <c r="BH7" s="15" t="s">
        <v>37</v>
      </c>
      <c r="BI7" s="15" t="s">
        <v>38</v>
      </c>
      <c r="BJ7" s="15" t="s">
        <v>39</v>
      </c>
      <c r="BK7" s="15" t="s">
        <v>28</v>
      </c>
      <c r="BL7" s="15" t="s">
        <v>29</v>
      </c>
      <c r="BM7" s="15" t="s">
        <v>30</v>
      </c>
      <c r="BN7" s="15" t="s">
        <v>31</v>
      </c>
      <c r="BO7" s="15" t="s">
        <v>32</v>
      </c>
      <c r="BP7" s="15" t="s">
        <v>33</v>
      </c>
      <c r="BQ7" s="15" t="s">
        <v>34</v>
      </c>
      <c r="BR7" s="15" t="s">
        <v>35</v>
      </c>
      <c r="BS7" s="15" t="s">
        <v>36</v>
      </c>
      <c r="BT7" s="15" t="s">
        <v>37</v>
      </c>
      <c r="BU7" s="15" t="s">
        <v>38</v>
      </c>
      <c r="BV7" s="15" t="s">
        <v>39</v>
      </c>
      <c r="BW7" s="15" t="s">
        <v>28</v>
      </c>
      <c r="BX7" s="15" t="s">
        <v>29</v>
      </c>
      <c r="BY7" s="15" t="s">
        <v>30</v>
      </c>
      <c r="BZ7" s="15" t="s">
        <v>31</v>
      </c>
      <c r="CA7" s="15" t="s">
        <v>32</v>
      </c>
      <c r="CB7" s="15" t="s">
        <v>33</v>
      </c>
      <c r="CC7" s="15" t="s">
        <v>34</v>
      </c>
      <c r="CD7" s="15" t="s">
        <v>35</v>
      </c>
      <c r="CE7" s="15" t="s">
        <v>36</v>
      </c>
      <c r="CF7" s="15" t="s">
        <v>37</v>
      </c>
      <c r="CG7" s="15" t="s">
        <v>38</v>
      </c>
      <c r="CH7" s="15" t="s">
        <v>39</v>
      </c>
      <c r="CI7" s="15" t="s">
        <v>28</v>
      </c>
      <c r="CJ7" s="15" t="s">
        <v>29</v>
      </c>
      <c r="CK7" s="15" t="s">
        <v>30</v>
      </c>
      <c r="CL7" s="15" t="s">
        <v>31</v>
      </c>
      <c r="CM7" s="15" t="s">
        <v>32</v>
      </c>
      <c r="CN7" s="15" t="s">
        <v>33</v>
      </c>
      <c r="CO7" s="15" t="s">
        <v>34</v>
      </c>
      <c r="CP7" s="15" t="s">
        <v>35</v>
      </c>
      <c r="CQ7" s="15" t="s">
        <v>36</v>
      </c>
      <c r="CR7" s="15" t="s">
        <v>37</v>
      </c>
      <c r="CS7" s="15" t="s">
        <v>38</v>
      </c>
      <c r="CT7" s="15" t="s">
        <v>39</v>
      </c>
      <c r="CU7" s="15" t="s">
        <v>28</v>
      </c>
      <c r="CV7" s="15" t="s">
        <v>29</v>
      </c>
      <c r="CW7" s="15" t="s">
        <v>30</v>
      </c>
      <c r="CX7" s="15" t="s">
        <v>31</v>
      </c>
      <c r="CY7" s="15" t="s">
        <v>32</v>
      </c>
      <c r="CZ7" s="15" t="s">
        <v>33</v>
      </c>
      <c r="DA7" s="15" t="s">
        <v>34</v>
      </c>
      <c r="DB7" s="15" t="s">
        <v>35</v>
      </c>
      <c r="DC7" s="15" t="s">
        <v>36</v>
      </c>
      <c r="DD7" s="15" t="s">
        <v>37</v>
      </c>
      <c r="DE7" s="15" t="s">
        <v>38</v>
      </c>
      <c r="DF7" s="15" t="s">
        <v>39</v>
      </c>
      <c r="DG7" s="15" t="s">
        <v>28</v>
      </c>
      <c r="DH7" s="15" t="s">
        <v>29</v>
      </c>
      <c r="DI7" s="15" t="s">
        <v>30</v>
      </c>
      <c r="DJ7" s="15" t="s">
        <v>31</v>
      </c>
      <c r="DK7" s="15" t="s">
        <v>32</v>
      </c>
      <c r="DL7" s="15" t="s">
        <v>33</v>
      </c>
      <c r="DM7" s="15" t="s">
        <v>34</v>
      </c>
      <c r="DN7" s="15" t="s">
        <v>35</v>
      </c>
      <c r="DO7" s="15" t="s">
        <v>36</v>
      </c>
      <c r="DP7" s="15" t="s">
        <v>37</v>
      </c>
      <c r="DQ7" s="15" t="s">
        <v>38</v>
      </c>
      <c r="DR7" s="15" t="s">
        <v>39</v>
      </c>
      <c r="DS7" s="15" t="s">
        <v>28</v>
      </c>
      <c r="DT7" s="15" t="s">
        <v>29</v>
      </c>
      <c r="DU7" s="15" t="s">
        <v>30</v>
      </c>
      <c r="DV7" s="15" t="s">
        <v>31</v>
      </c>
      <c r="DW7" s="15" t="s">
        <v>32</v>
      </c>
      <c r="DX7" s="15" t="s">
        <v>33</v>
      </c>
      <c r="DY7" s="15" t="s">
        <v>34</v>
      </c>
      <c r="DZ7" s="15" t="s">
        <v>35</v>
      </c>
      <c r="EA7" s="15" t="s">
        <v>36</v>
      </c>
      <c r="EB7" s="15" t="s">
        <v>37</v>
      </c>
      <c r="EC7" s="15" t="s">
        <v>38</v>
      </c>
      <c r="ED7" s="15" t="s">
        <v>39</v>
      </c>
      <c r="EE7" s="15" t="s">
        <v>28</v>
      </c>
      <c r="EF7" s="15" t="s">
        <v>29</v>
      </c>
      <c r="EG7" s="15" t="s">
        <v>30</v>
      </c>
      <c r="EH7" s="15" t="s">
        <v>31</v>
      </c>
      <c r="EI7" s="15" t="s">
        <v>32</v>
      </c>
      <c r="EJ7" s="15" t="s">
        <v>33</v>
      </c>
      <c r="EK7" s="15" t="s">
        <v>34</v>
      </c>
      <c r="EL7" s="15" t="s">
        <v>35</v>
      </c>
      <c r="EM7" s="15" t="s">
        <v>36</v>
      </c>
      <c r="EN7" s="15" t="s">
        <v>37</v>
      </c>
      <c r="EO7" s="15" t="s">
        <v>38</v>
      </c>
      <c r="EP7" s="15" t="s">
        <v>39</v>
      </c>
      <c r="EQ7" s="15" t="s">
        <v>28</v>
      </c>
      <c r="ER7" s="15" t="s">
        <v>29</v>
      </c>
      <c r="ES7" s="15" t="s">
        <v>30</v>
      </c>
      <c r="ET7" s="15" t="s">
        <v>31</v>
      </c>
      <c r="EU7" s="15" t="s">
        <v>32</v>
      </c>
      <c r="EV7" s="15" t="s">
        <v>33</v>
      </c>
      <c r="EW7" s="15" t="s">
        <v>34</v>
      </c>
      <c r="EX7" s="15" t="s">
        <v>35</v>
      </c>
      <c r="EY7" s="15" t="s">
        <v>36</v>
      </c>
      <c r="EZ7" s="15" t="s">
        <v>37</v>
      </c>
      <c r="FA7" s="15" t="s">
        <v>38</v>
      </c>
      <c r="FB7" s="15" t="s">
        <v>39</v>
      </c>
      <c r="FC7" s="15" t="s">
        <v>28</v>
      </c>
      <c r="FD7" s="15" t="s">
        <v>29</v>
      </c>
      <c r="FE7" s="15" t="s">
        <v>30</v>
      </c>
      <c r="FF7" s="15" t="s">
        <v>31</v>
      </c>
      <c r="FG7" s="15" t="s">
        <v>32</v>
      </c>
      <c r="FH7" s="15" t="s">
        <v>33</v>
      </c>
      <c r="FI7" s="15" t="s">
        <v>34</v>
      </c>
      <c r="FJ7" s="15" t="s">
        <v>35</v>
      </c>
      <c r="FK7" s="15" t="s">
        <v>36</v>
      </c>
      <c r="FL7" s="15" t="s">
        <v>37</v>
      </c>
      <c r="FM7" s="15" t="s">
        <v>38</v>
      </c>
      <c r="FN7" s="15" t="s">
        <v>39</v>
      </c>
      <c r="FO7" s="15" t="s">
        <v>28</v>
      </c>
      <c r="FP7" s="15" t="s">
        <v>29</v>
      </c>
      <c r="FQ7" s="15" t="s">
        <v>30</v>
      </c>
      <c r="FR7" s="15" t="s">
        <v>31</v>
      </c>
      <c r="FS7" s="15" t="s">
        <v>32</v>
      </c>
      <c r="FT7" s="15" t="s">
        <v>33</v>
      </c>
      <c r="FU7" s="15" t="s">
        <v>34</v>
      </c>
      <c r="FV7" s="15" t="s">
        <v>35</v>
      </c>
      <c r="FW7" s="15" t="s">
        <v>36</v>
      </c>
      <c r="FX7" s="15" t="s">
        <v>37</v>
      </c>
      <c r="FY7" s="15" t="s">
        <v>38</v>
      </c>
      <c r="FZ7" s="15" t="s">
        <v>39</v>
      </c>
      <c r="GA7" s="15" t="s">
        <v>28</v>
      </c>
      <c r="GB7" s="15" t="s">
        <v>29</v>
      </c>
      <c r="GC7" s="15" t="s">
        <v>30</v>
      </c>
      <c r="GD7" s="15" t="s">
        <v>31</v>
      </c>
      <c r="GE7" s="15" t="s">
        <v>32</v>
      </c>
      <c r="GF7" s="15" t="s">
        <v>33</v>
      </c>
      <c r="GG7" s="15" t="s">
        <v>34</v>
      </c>
      <c r="GH7" s="15" t="s">
        <v>35</v>
      </c>
      <c r="GI7" s="15" t="s">
        <v>36</v>
      </c>
      <c r="GJ7" s="15" t="s">
        <v>37</v>
      </c>
      <c r="GK7" s="15" t="s">
        <v>38</v>
      </c>
      <c r="GL7" s="15" t="s">
        <v>39</v>
      </c>
      <c r="GM7" s="15" t="s">
        <v>28</v>
      </c>
      <c r="GN7" s="15" t="s">
        <v>29</v>
      </c>
      <c r="GO7" s="15" t="s">
        <v>30</v>
      </c>
      <c r="GP7" s="15" t="s">
        <v>31</v>
      </c>
      <c r="GQ7" s="15" t="s">
        <v>32</v>
      </c>
      <c r="GR7" s="15" t="s">
        <v>33</v>
      </c>
      <c r="GS7" s="15" t="s">
        <v>34</v>
      </c>
      <c r="GT7" s="15" t="s">
        <v>35</v>
      </c>
      <c r="GU7" s="15" t="s">
        <v>36</v>
      </c>
      <c r="GV7" s="15" t="s">
        <v>37</v>
      </c>
      <c r="GW7" s="15" t="s">
        <v>38</v>
      </c>
      <c r="GX7" s="15" t="s">
        <v>39</v>
      </c>
      <c r="GY7" s="15" t="s">
        <v>28</v>
      </c>
      <c r="GZ7" s="15" t="s">
        <v>29</v>
      </c>
      <c r="HA7" s="15" t="s">
        <v>30</v>
      </c>
      <c r="HB7" s="15" t="s">
        <v>31</v>
      </c>
      <c r="HC7" s="15" t="s">
        <v>32</v>
      </c>
      <c r="HD7" s="15" t="s">
        <v>33</v>
      </c>
      <c r="HE7" s="15" t="s">
        <v>34</v>
      </c>
      <c r="HF7" s="15" t="s">
        <v>35</v>
      </c>
      <c r="HG7" s="15" t="s">
        <v>36</v>
      </c>
      <c r="HH7" s="15" t="s">
        <v>37</v>
      </c>
      <c r="HI7" s="15" t="s">
        <v>38</v>
      </c>
      <c r="HJ7" s="15" t="s">
        <v>39</v>
      </c>
      <c r="HK7" s="15" t="s">
        <v>28</v>
      </c>
      <c r="HL7" s="15" t="s">
        <v>29</v>
      </c>
      <c r="HM7" s="15" t="s">
        <v>30</v>
      </c>
      <c r="HN7" s="15" t="s">
        <v>31</v>
      </c>
      <c r="HO7" s="15" t="s">
        <v>32</v>
      </c>
      <c r="HP7" s="15" t="s">
        <v>33</v>
      </c>
      <c r="HQ7" s="15" t="s">
        <v>34</v>
      </c>
      <c r="HR7" s="15" t="s">
        <v>35</v>
      </c>
      <c r="HS7" s="15" t="s">
        <v>36</v>
      </c>
      <c r="HT7" s="15" t="s">
        <v>37</v>
      </c>
      <c r="HU7" s="15" t="s">
        <v>38</v>
      </c>
      <c r="HV7" s="15" t="s">
        <v>39</v>
      </c>
      <c r="HW7" s="15" t="s">
        <v>28</v>
      </c>
      <c r="HX7" s="15" t="s">
        <v>29</v>
      </c>
      <c r="HY7" s="15" t="s">
        <v>30</v>
      </c>
      <c r="HZ7" s="15" t="s">
        <v>31</v>
      </c>
      <c r="IA7" s="15" t="s">
        <v>32</v>
      </c>
      <c r="IB7" s="15" t="s">
        <v>33</v>
      </c>
      <c r="IC7" s="15" t="s">
        <v>34</v>
      </c>
      <c r="ID7" s="15" t="s">
        <v>35</v>
      </c>
      <c r="IE7" s="15" t="s">
        <v>36</v>
      </c>
      <c r="IF7" s="15" t="s">
        <v>37</v>
      </c>
      <c r="IG7" s="15" t="s">
        <v>38</v>
      </c>
      <c r="IH7" s="15" t="s">
        <v>39</v>
      </c>
      <c r="II7" s="15" t="s">
        <v>28</v>
      </c>
      <c r="IJ7" s="15" t="s">
        <v>29</v>
      </c>
      <c r="IK7" s="15" t="s">
        <v>30</v>
      </c>
      <c r="IL7" s="15" t="s">
        <v>31</v>
      </c>
      <c r="IM7" s="15" t="s">
        <v>32</v>
      </c>
      <c r="IN7" s="15" t="s">
        <v>33</v>
      </c>
      <c r="IO7" s="15" t="s">
        <v>34</v>
      </c>
      <c r="IP7" s="15" t="s">
        <v>35</v>
      </c>
      <c r="IQ7" s="15" t="s">
        <v>36</v>
      </c>
      <c r="IR7" s="15" t="s">
        <v>37</v>
      </c>
      <c r="IS7" s="15" t="s">
        <v>38</v>
      </c>
      <c r="IT7" s="15" t="s">
        <v>39</v>
      </c>
      <c r="IU7" s="15" t="s">
        <v>28</v>
      </c>
      <c r="IV7" s="15" t="s">
        <v>29</v>
      </c>
      <c r="IW7" s="15" t="s">
        <v>30</v>
      </c>
      <c r="IX7" s="15" t="s">
        <v>31</v>
      </c>
      <c r="IY7" s="15" t="s">
        <v>32</v>
      </c>
      <c r="IZ7" s="15" t="s">
        <v>33</v>
      </c>
      <c r="JA7" s="15" t="s">
        <v>34</v>
      </c>
      <c r="JB7" s="15" t="s">
        <v>35</v>
      </c>
      <c r="JC7" s="15" t="s">
        <v>36</v>
      </c>
      <c r="JD7" s="15" t="s">
        <v>37</v>
      </c>
      <c r="JE7" s="15" t="s">
        <v>38</v>
      </c>
      <c r="JF7" s="15" t="s">
        <v>39</v>
      </c>
      <c r="JG7" s="15" t="s">
        <v>28</v>
      </c>
      <c r="JH7" s="15" t="s">
        <v>29</v>
      </c>
      <c r="JI7" s="15" t="s">
        <v>30</v>
      </c>
      <c r="JJ7" s="15" t="s">
        <v>31</v>
      </c>
      <c r="JK7" s="15" t="s">
        <v>32</v>
      </c>
      <c r="JL7" s="15" t="s">
        <v>33</v>
      </c>
      <c r="JM7" s="15" t="s">
        <v>34</v>
      </c>
      <c r="JN7" s="15" t="s">
        <v>35</v>
      </c>
      <c r="JO7" s="15" t="s">
        <v>36</v>
      </c>
      <c r="JP7" s="15" t="s">
        <v>37</v>
      </c>
      <c r="JQ7" s="15" t="s">
        <v>38</v>
      </c>
      <c r="JR7" s="15" t="s">
        <v>39</v>
      </c>
    </row>
    <row r="8" spans="2:280" x14ac:dyDescent="0.2">
      <c r="B8" s="1" t="s">
        <v>46</v>
      </c>
      <c r="C8" s="1">
        <v>31</v>
      </c>
      <c r="D8" s="1">
        <v>28</v>
      </c>
      <c r="E8" s="1">
        <v>31</v>
      </c>
      <c r="F8" s="1">
        <v>30</v>
      </c>
      <c r="G8" s="1">
        <v>31</v>
      </c>
      <c r="H8" s="1">
        <v>30</v>
      </c>
      <c r="I8" s="1">
        <v>31</v>
      </c>
      <c r="J8" s="1">
        <v>31</v>
      </c>
      <c r="K8" s="1">
        <v>30</v>
      </c>
      <c r="L8" s="1">
        <v>31</v>
      </c>
      <c r="M8" s="1">
        <v>30</v>
      </c>
      <c r="N8" s="1">
        <v>31</v>
      </c>
      <c r="O8" s="1">
        <v>31</v>
      </c>
      <c r="P8" s="1">
        <v>28</v>
      </c>
      <c r="Q8" s="1">
        <v>31</v>
      </c>
      <c r="R8" s="1">
        <v>30</v>
      </c>
      <c r="S8" s="1">
        <v>31</v>
      </c>
      <c r="T8" s="1">
        <v>30</v>
      </c>
      <c r="U8" s="1">
        <v>31</v>
      </c>
      <c r="V8" s="1">
        <v>31</v>
      </c>
      <c r="W8" s="1">
        <v>30</v>
      </c>
      <c r="X8" s="1">
        <v>31</v>
      </c>
      <c r="Y8" s="1">
        <v>30</v>
      </c>
      <c r="Z8" s="1">
        <v>31</v>
      </c>
      <c r="AA8" s="1">
        <v>31</v>
      </c>
      <c r="AB8" s="1">
        <v>28</v>
      </c>
      <c r="AC8" s="1">
        <v>31</v>
      </c>
      <c r="AD8" s="1">
        <v>30</v>
      </c>
      <c r="AE8" s="1">
        <v>31</v>
      </c>
      <c r="AF8" s="1">
        <v>30</v>
      </c>
      <c r="AG8" s="1">
        <v>31</v>
      </c>
      <c r="AH8" s="1">
        <v>31</v>
      </c>
      <c r="AI8" s="1">
        <v>30</v>
      </c>
      <c r="AJ8" s="1">
        <v>31</v>
      </c>
      <c r="AK8" s="1">
        <v>30</v>
      </c>
      <c r="AL8" s="1">
        <v>31</v>
      </c>
      <c r="AM8" s="1">
        <v>31</v>
      </c>
      <c r="AN8" s="1">
        <v>28</v>
      </c>
      <c r="AO8" s="1">
        <v>31</v>
      </c>
      <c r="AP8" s="1">
        <v>30</v>
      </c>
      <c r="AQ8" s="1">
        <v>31</v>
      </c>
      <c r="AR8" s="1">
        <v>30</v>
      </c>
      <c r="AS8" s="1">
        <v>31</v>
      </c>
      <c r="AT8" s="1">
        <v>31</v>
      </c>
      <c r="AU8" s="1">
        <v>30</v>
      </c>
      <c r="AV8" s="1">
        <v>31</v>
      </c>
      <c r="AW8" s="1">
        <v>30</v>
      </c>
      <c r="AX8" s="1">
        <v>31</v>
      </c>
      <c r="AY8" s="1">
        <v>31</v>
      </c>
      <c r="AZ8" s="1">
        <v>29</v>
      </c>
      <c r="BA8" s="1">
        <v>31</v>
      </c>
      <c r="BB8" s="1">
        <v>30</v>
      </c>
      <c r="BC8" s="1">
        <v>31</v>
      </c>
      <c r="BD8" s="1">
        <v>30</v>
      </c>
      <c r="BE8" s="1">
        <v>31</v>
      </c>
      <c r="BF8" s="1">
        <v>31</v>
      </c>
      <c r="BG8" s="1">
        <v>30</v>
      </c>
      <c r="BH8" s="1">
        <v>31</v>
      </c>
      <c r="BI8" s="1">
        <v>30</v>
      </c>
      <c r="BJ8" s="1">
        <v>31</v>
      </c>
      <c r="BK8" s="1">
        <v>31</v>
      </c>
      <c r="BL8" s="1">
        <v>28</v>
      </c>
      <c r="BM8" s="1">
        <v>31</v>
      </c>
      <c r="BN8" s="1">
        <v>30</v>
      </c>
      <c r="BO8" s="1">
        <v>31</v>
      </c>
      <c r="BP8" s="1">
        <v>30</v>
      </c>
      <c r="BQ8" s="1">
        <v>31</v>
      </c>
      <c r="BR8" s="1">
        <v>31</v>
      </c>
      <c r="BS8" s="1">
        <v>30</v>
      </c>
      <c r="BT8" s="1">
        <v>31</v>
      </c>
      <c r="BU8" s="1">
        <v>30</v>
      </c>
      <c r="BV8" s="1">
        <v>31</v>
      </c>
      <c r="BW8" s="1">
        <v>31</v>
      </c>
      <c r="BX8" s="1">
        <v>28</v>
      </c>
      <c r="BY8" s="1">
        <v>31</v>
      </c>
      <c r="BZ8" s="1">
        <v>30</v>
      </c>
      <c r="CA8" s="1">
        <v>31</v>
      </c>
      <c r="CB8" s="1">
        <v>30</v>
      </c>
      <c r="CC8" s="1">
        <v>31</v>
      </c>
      <c r="CD8" s="1">
        <v>31</v>
      </c>
      <c r="CE8" s="1">
        <v>30</v>
      </c>
      <c r="CF8" s="1">
        <v>31</v>
      </c>
      <c r="CG8" s="1">
        <v>30</v>
      </c>
      <c r="CH8" s="1">
        <v>31</v>
      </c>
      <c r="CI8" s="1">
        <v>31</v>
      </c>
      <c r="CJ8" s="1">
        <v>28</v>
      </c>
      <c r="CK8" s="1">
        <v>31</v>
      </c>
      <c r="CL8" s="1">
        <v>30</v>
      </c>
      <c r="CM8" s="1">
        <v>31</v>
      </c>
      <c r="CN8" s="1">
        <v>30</v>
      </c>
      <c r="CO8" s="1">
        <v>31</v>
      </c>
      <c r="CP8" s="1">
        <v>31</v>
      </c>
      <c r="CQ8" s="1">
        <v>30</v>
      </c>
      <c r="CR8" s="1">
        <v>31</v>
      </c>
      <c r="CS8" s="1">
        <v>30</v>
      </c>
      <c r="CT8" s="1">
        <v>31</v>
      </c>
      <c r="CU8" s="1">
        <v>31</v>
      </c>
      <c r="CV8" s="1">
        <v>28</v>
      </c>
      <c r="CW8" s="1">
        <v>31</v>
      </c>
      <c r="CX8" s="1">
        <v>30</v>
      </c>
      <c r="CY8" s="1">
        <v>31</v>
      </c>
      <c r="CZ8" s="1">
        <v>30</v>
      </c>
      <c r="DA8" s="1">
        <v>31</v>
      </c>
      <c r="DB8" s="1">
        <v>31</v>
      </c>
      <c r="DC8" s="1">
        <v>30</v>
      </c>
      <c r="DD8" s="1">
        <v>31</v>
      </c>
      <c r="DE8" s="1">
        <v>30</v>
      </c>
      <c r="DF8" s="1">
        <v>31</v>
      </c>
      <c r="DG8" s="1">
        <v>31</v>
      </c>
      <c r="DH8" s="1">
        <v>28</v>
      </c>
      <c r="DI8" s="1">
        <v>31</v>
      </c>
      <c r="DJ8" s="1">
        <v>30</v>
      </c>
      <c r="DK8" s="1">
        <v>31</v>
      </c>
      <c r="DL8" s="1">
        <v>30</v>
      </c>
      <c r="DM8" s="1">
        <v>31</v>
      </c>
      <c r="DN8" s="1">
        <v>31</v>
      </c>
      <c r="DO8" s="1">
        <v>30</v>
      </c>
      <c r="DP8" s="1">
        <v>31</v>
      </c>
      <c r="DQ8" s="1">
        <v>30</v>
      </c>
      <c r="DR8" s="1">
        <v>31</v>
      </c>
      <c r="DS8" s="1">
        <v>31</v>
      </c>
      <c r="DT8" s="1">
        <v>28</v>
      </c>
      <c r="DU8" s="1">
        <v>31</v>
      </c>
      <c r="DV8" s="1">
        <v>30</v>
      </c>
      <c r="DW8" s="1">
        <v>31</v>
      </c>
      <c r="DX8" s="1">
        <v>30</v>
      </c>
      <c r="DY8" s="1">
        <v>31</v>
      </c>
      <c r="DZ8" s="1">
        <v>31</v>
      </c>
      <c r="EA8" s="1">
        <v>30</v>
      </c>
      <c r="EB8" s="1">
        <v>31</v>
      </c>
      <c r="EC8" s="1">
        <v>30</v>
      </c>
      <c r="ED8" s="1">
        <v>31</v>
      </c>
      <c r="EE8" s="1">
        <v>31</v>
      </c>
      <c r="EF8" s="1">
        <v>28</v>
      </c>
      <c r="EG8" s="1">
        <v>31</v>
      </c>
      <c r="EH8" s="1">
        <v>30</v>
      </c>
      <c r="EI8" s="1">
        <v>31</v>
      </c>
      <c r="EJ8" s="1">
        <v>30</v>
      </c>
      <c r="EK8" s="1">
        <v>31</v>
      </c>
      <c r="EL8" s="1">
        <v>31</v>
      </c>
      <c r="EM8" s="1">
        <v>30</v>
      </c>
      <c r="EN8" s="1">
        <v>31</v>
      </c>
      <c r="EO8" s="1">
        <v>30</v>
      </c>
      <c r="EP8" s="1">
        <v>31</v>
      </c>
      <c r="EQ8" s="1">
        <v>31</v>
      </c>
      <c r="ER8" s="1">
        <v>28</v>
      </c>
      <c r="ES8" s="1">
        <v>31</v>
      </c>
      <c r="ET8" s="1">
        <v>30</v>
      </c>
      <c r="EU8" s="1">
        <v>31</v>
      </c>
      <c r="EV8" s="1">
        <v>30</v>
      </c>
      <c r="EW8" s="1">
        <v>31</v>
      </c>
      <c r="EX8" s="1">
        <v>31</v>
      </c>
      <c r="EY8" s="1">
        <v>30</v>
      </c>
      <c r="EZ8" s="1">
        <v>31</v>
      </c>
      <c r="FA8" s="1">
        <v>30</v>
      </c>
      <c r="FB8" s="1">
        <v>31</v>
      </c>
      <c r="FC8" s="1">
        <v>31</v>
      </c>
      <c r="FD8" s="1">
        <v>28</v>
      </c>
      <c r="FE8" s="1">
        <v>31</v>
      </c>
      <c r="FF8" s="1">
        <v>30</v>
      </c>
      <c r="FG8" s="1">
        <v>31</v>
      </c>
      <c r="FH8" s="1">
        <v>30</v>
      </c>
      <c r="FI8" s="1">
        <v>31</v>
      </c>
      <c r="FJ8" s="1">
        <v>31</v>
      </c>
      <c r="FK8" s="1">
        <v>30</v>
      </c>
      <c r="FL8" s="1">
        <v>31</v>
      </c>
      <c r="FM8" s="1">
        <v>30</v>
      </c>
      <c r="FN8" s="1">
        <v>31</v>
      </c>
      <c r="FO8" s="1">
        <v>31</v>
      </c>
      <c r="FP8" s="1">
        <v>28</v>
      </c>
      <c r="FQ8" s="1">
        <v>31</v>
      </c>
      <c r="FR8" s="1">
        <v>30</v>
      </c>
      <c r="FS8" s="1">
        <v>31</v>
      </c>
      <c r="FT8" s="1">
        <v>30</v>
      </c>
      <c r="FU8" s="1">
        <v>31</v>
      </c>
      <c r="FV8" s="1">
        <v>31</v>
      </c>
      <c r="FW8" s="1">
        <v>30</v>
      </c>
      <c r="FX8" s="1">
        <v>31</v>
      </c>
      <c r="FY8" s="1">
        <v>30</v>
      </c>
      <c r="FZ8" s="1">
        <v>31</v>
      </c>
      <c r="GA8" s="1">
        <v>31</v>
      </c>
      <c r="GB8" s="1">
        <v>28</v>
      </c>
      <c r="GC8" s="1">
        <v>31</v>
      </c>
      <c r="GD8" s="1">
        <v>30</v>
      </c>
      <c r="GE8" s="1">
        <v>31</v>
      </c>
      <c r="GF8" s="1">
        <v>30</v>
      </c>
      <c r="GG8" s="1">
        <v>31</v>
      </c>
      <c r="GH8" s="1">
        <v>31</v>
      </c>
      <c r="GI8" s="1">
        <v>30</v>
      </c>
      <c r="GJ8" s="1">
        <v>31</v>
      </c>
      <c r="GK8" s="1">
        <v>30</v>
      </c>
      <c r="GL8" s="1">
        <v>31</v>
      </c>
      <c r="GM8" s="1">
        <v>31</v>
      </c>
      <c r="GN8" s="1">
        <v>28</v>
      </c>
      <c r="GO8" s="1">
        <v>31</v>
      </c>
      <c r="GP8" s="1">
        <v>30</v>
      </c>
      <c r="GQ8" s="1">
        <v>31</v>
      </c>
      <c r="GR8" s="1">
        <v>30</v>
      </c>
      <c r="GS8" s="1">
        <v>31</v>
      </c>
      <c r="GT8" s="1">
        <v>31</v>
      </c>
      <c r="GU8" s="1">
        <v>30</v>
      </c>
      <c r="GV8" s="1">
        <v>31</v>
      </c>
      <c r="GW8" s="1">
        <v>30</v>
      </c>
      <c r="GX8" s="1">
        <v>31</v>
      </c>
      <c r="GY8" s="1">
        <v>31</v>
      </c>
      <c r="GZ8" s="1">
        <v>28</v>
      </c>
      <c r="HA8" s="1">
        <v>31</v>
      </c>
      <c r="HB8" s="1">
        <v>30</v>
      </c>
      <c r="HC8" s="1">
        <v>31</v>
      </c>
      <c r="HD8" s="1">
        <v>30</v>
      </c>
      <c r="HE8" s="1">
        <v>31</v>
      </c>
      <c r="HF8" s="1">
        <v>31</v>
      </c>
      <c r="HG8" s="1">
        <v>30</v>
      </c>
      <c r="HH8" s="1">
        <v>31</v>
      </c>
      <c r="HI8" s="1">
        <v>30</v>
      </c>
      <c r="HJ8" s="1">
        <v>31</v>
      </c>
      <c r="HK8" s="1">
        <v>31</v>
      </c>
      <c r="HL8" s="1">
        <v>28</v>
      </c>
      <c r="HM8" s="1">
        <v>31</v>
      </c>
      <c r="HN8" s="1">
        <v>30</v>
      </c>
      <c r="HO8" s="1">
        <v>31</v>
      </c>
      <c r="HP8" s="1">
        <v>30</v>
      </c>
      <c r="HQ8" s="1">
        <v>31</v>
      </c>
      <c r="HR8" s="1">
        <v>31</v>
      </c>
      <c r="HS8" s="1">
        <v>30</v>
      </c>
      <c r="HT8" s="1">
        <v>31</v>
      </c>
      <c r="HU8" s="1">
        <v>30</v>
      </c>
      <c r="HV8" s="1">
        <v>31</v>
      </c>
      <c r="HW8" s="1">
        <v>31</v>
      </c>
      <c r="HX8" s="1">
        <v>28</v>
      </c>
      <c r="HY8" s="1">
        <v>31</v>
      </c>
      <c r="HZ8" s="1">
        <v>30</v>
      </c>
      <c r="IA8" s="1">
        <v>31</v>
      </c>
      <c r="IB8" s="1">
        <v>30</v>
      </c>
      <c r="IC8" s="1">
        <v>31</v>
      </c>
      <c r="ID8" s="1">
        <v>31</v>
      </c>
      <c r="IE8" s="1">
        <v>30</v>
      </c>
      <c r="IF8" s="1">
        <v>31</v>
      </c>
      <c r="IG8" s="1">
        <v>30</v>
      </c>
      <c r="IH8" s="1">
        <v>31</v>
      </c>
      <c r="II8" s="1">
        <v>31</v>
      </c>
      <c r="IJ8" s="1">
        <v>28</v>
      </c>
      <c r="IK8" s="1">
        <v>31</v>
      </c>
      <c r="IL8" s="1">
        <v>30</v>
      </c>
      <c r="IM8" s="1">
        <v>31</v>
      </c>
      <c r="IN8" s="1">
        <v>30</v>
      </c>
      <c r="IO8" s="1">
        <v>31</v>
      </c>
      <c r="IP8" s="1">
        <v>31</v>
      </c>
      <c r="IQ8" s="1">
        <v>30</v>
      </c>
      <c r="IR8" s="1">
        <v>31</v>
      </c>
      <c r="IS8" s="1">
        <v>30</v>
      </c>
      <c r="IT8" s="1">
        <v>31</v>
      </c>
      <c r="IU8" s="1">
        <v>31</v>
      </c>
      <c r="IV8" s="1">
        <v>28</v>
      </c>
      <c r="IW8" s="1">
        <v>31</v>
      </c>
      <c r="IX8" s="1">
        <v>30</v>
      </c>
      <c r="IY8" s="1">
        <v>31</v>
      </c>
      <c r="IZ8" s="1">
        <v>30</v>
      </c>
      <c r="JA8" s="1">
        <v>31</v>
      </c>
      <c r="JB8" s="1">
        <v>31</v>
      </c>
      <c r="JC8" s="1">
        <v>30</v>
      </c>
      <c r="JD8" s="1">
        <v>31</v>
      </c>
      <c r="JE8" s="1">
        <v>30</v>
      </c>
      <c r="JF8" s="1">
        <v>31</v>
      </c>
      <c r="JG8" s="1">
        <v>31</v>
      </c>
      <c r="JH8" s="1">
        <v>28</v>
      </c>
      <c r="JI8" s="1">
        <v>31</v>
      </c>
      <c r="JJ8" s="1">
        <v>30</v>
      </c>
      <c r="JK8" s="1">
        <v>31</v>
      </c>
      <c r="JL8" s="1">
        <v>30</v>
      </c>
      <c r="JM8" s="1">
        <v>31</v>
      </c>
      <c r="JN8" s="1">
        <v>31</v>
      </c>
      <c r="JO8" s="1">
        <v>30</v>
      </c>
      <c r="JP8" s="1">
        <v>31</v>
      </c>
      <c r="JQ8" s="1">
        <v>30</v>
      </c>
      <c r="JR8" s="1">
        <v>31</v>
      </c>
    </row>
    <row r="9" spans="2:280" x14ac:dyDescent="0.2">
      <c r="B9" s="1" t="s">
        <v>47</v>
      </c>
      <c r="C9" s="1">
        <f t="shared" ref="C9:N9" si="479">C8*24</f>
        <v>744</v>
      </c>
      <c r="D9" s="1">
        <f t="shared" si="479"/>
        <v>672</v>
      </c>
      <c r="E9" s="1">
        <f t="shared" si="479"/>
        <v>744</v>
      </c>
      <c r="F9" s="1">
        <f t="shared" si="479"/>
        <v>720</v>
      </c>
      <c r="G9" s="1">
        <f t="shared" si="479"/>
        <v>744</v>
      </c>
      <c r="H9" s="1">
        <f t="shared" si="479"/>
        <v>720</v>
      </c>
      <c r="I9" s="1">
        <f t="shared" si="479"/>
        <v>744</v>
      </c>
      <c r="J9" s="1">
        <f t="shared" si="479"/>
        <v>744</v>
      </c>
      <c r="K9" s="1">
        <f t="shared" si="479"/>
        <v>720</v>
      </c>
      <c r="L9" s="1">
        <f t="shared" si="479"/>
        <v>744</v>
      </c>
      <c r="M9" s="1">
        <f t="shared" si="479"/>
        <v>720</v>
      </c>
      <c r="N9" s="1">
        <f t="shared" si="479"/>
        <v>744</v>
      </c>
      <c r="O9" s="1">
        <f t="shared" ref="O9:Z9" si="480">O8*24</f>
        <v>744</v>
      </c>
      <c r="P9" s="1">
        <f t="shared" si="480"/>
        <v>672</v>
      </c>
      <c r="Q9" s="1">
        <f t="shared" si="480"/>
        <v>744</v>
      </c>
      <c r="R9" s="1">
        <f t="shared" si="480"/>
        <v>720</v>
      </c>
      <c r="S9" s="1">
        <f t="shared" si="480"/>
        <v>744</v>
      </c>
      <c r="T9" s="1">
        <f t="shared" si="480"/>
        <v>720</v>
      </c>
      <c r="U9" s="1">
        <f t="shared" si="480"/>
        <v>744</v>
      </c>
      <c r="V9" s="1">
        <f t="shared" si="480"/>
        <v>744</v>
      </c>
      <c r="W9" s="1">
        <f t="shared" si="480"/>
        <v>720</v>
      </c>
      <c r="X9" s="1">
        <f t="shared" si="480"/>
        <v>744</v>
      </c>
      <c r="Y9" s="1">
        <f t="shared" si="480"/>
        <v>720</v>
      </c>
      <c r="Z9" s="1">
        <f t="shared" si="480"/>
        <v>744</v>
      </c>
      <c r="AA9" s="1">
        <f t="shared" ref="AA9:CL9" si="481">AA8*24</f>
        <v>744</v>
      </c>
      <c r="AB9" s="1">
        <f t="shared" si="481"/>
        <v>672</v>
      </c>
      <c r="AC9" s="1">
        <f t="shared" si="481"/>
        <v>744</v>
      </c>
      <c r="AD9" s="1">
        <f t="shared" si="481"/>
        <v>720</v>
      </c>
      <c r="AE9" s="1">
        <f t="shared" si="481"/>
        <v>744</v>
      </c>
      <c r="AF9" s="1">
        <f t="shared" si="481"/>
        <v>720</v>
      </c>
      <c r="AG9" s="1">
        <f t="shared" si="481"/>
        <v>744</v>
      </c>
      <c r="AH9" s="1">
        <f t="shared" si="481"/>
        <v>744</v>
      </c>
      <c r="AI9" s="1">
        <f t="shared" si="481"/>
        <v>720</v>
      </c>
      <c r="AJ9" s="1">
        <f t="shared" si="481"/>
        <v>744</v>
      </c>
      <c r="AK9" s="1">
        <f t="shared" si="481"/>
        <v>720</v>
      </c>
      <c r="AL9" s="1">
        <f t="shared" si="481"/>
        <v>744</v>
      </c>
      <c r="AM9" s="1">
        <f t="shared" si="481"/>
        <v>744</v>
      </c>
      <c r="AN9" s="1">
        <f t="shared" si="481"/>
        <v>672</v>
      </c>
      <c r="AO9" s="1">
        <f t="shared" si="481"/>
        <v>744</v>
      </c>
      <c r="AP9" s="1">
        <f t="shared" si="481"/>
        <v>720</v>
      </c>
      <c r="AQ9" s="1">
        <f t="shared" si="481"/>
        <v>744</v>
      </c>
      <c r="AR9" s="1">
        <f t="shared" si="481"/>
        <v>720</v>
      </c>
      <c r="AS9" s="1">
        <f t="shared" si="481"/>
        <v>744</v>
      </c>
      <c r="AT9" s="1">
        <f t="shared" si="481"/>
        <v>744</v>
      </c>
      <c r="AU9" s="1">
        <f t="shared" si="481"/>
        <v>720</v>
      </c>
      <c r="AV9" s="1">
        <f t="shared" si="481"/>
        <v>744</v>
      </c>
      <c r="AW9" s="1">
        <f t="shared" si="481"/>
        <v>720</v>
      </c>
      <c r="AX9" s="1">
        <f t="shared" si="481"/>
        <v>744</v>
      </c>
      <c r="AY9" s="1">
        <f t="shared" si="481"/>
        <v>744</v>
      </c>
      <c r="AZ9" s="1">
        <f t="shared" si="481"/>
        <v>696</v>
      </c>
      <c r="BA9" s="1">
        <f t="shared" si="481"/>
        <v>744</v>
      </c>
      <c r="BB9" s="1">
        <f t="shared" si="481"/>
        <v>720</v>
      </c>
      <c r="BC9" s="1">
        <f t="shared" si="481"/>
        <v>744</v>
      </c>
      <c r="BD9" s="1">
        <f t="shared" si="481"/>
        <v>720</v>
      </c>
      <c r="BE9" s="1">
        <f t="shared" si="481"/>
        <v>744</v>
      </c>
      <c r="BF9" s="1">
        <f t="shared" si="481"/>
        <v>744</v>
      </c>
      <c r="BG9" s="1">
        <f t="shared" si="481"/>
        <v>720</v>
      </c>
      <c r="BH9" s="1">
        <f t="shared" si="481"/>
        <v>744</v>
      </c>
      <c r="BI9" s="1">
        <f t="shared" si="481"/>
        <v>720</v>
      </c>
      <c r="BJ9" s="1">
        <f t="shared" si="481"/>
        <v>744</v>
      </c>
      <c r="BK9" s="1">
        <f t="shared" si="481"/>
        <v>744</v>
      </c>
      <c r="BL9" s="1">
        <f t="shared" si="481"/>
        <v>672</v>
      </c>
      <c r="BM9" s="1">
        <f t="shared" si="481"/>
        <v>744</v>
      </c>
      <c r="BN9" s="1">
        <f t="shared" si="481"/>
        <v>720</v>
      </c>
      <c r="BO9" s="1">
        <f t="shared" si="481"/>
        <v>744</v>
      </c>
      <c r="BP9" s="1">
        <f t="shared" si="481"/>
        <v>720</v>
      </c>
      <c r="BQ9" s="1">
        <f t="shared" si="481"/>
        <v>744</v>
      </c>
      <c r="BR9" s="1">
        <f t="shared" si="481"/>
        <v>744</v>
      </c>
      <c r="BS9" s="1">
        <f t="shared" si="481"/>
        <v>720</v>
      </c>
      <c r="BT9" s="1">
        <f t="shared" si="481"/>
        <v>744</v>
      </c>
      <c r="BU9" s="1">
        <f t="shared" si="481"/>
        <v>720</v>
      </c>
      <c r="BV9" s="1">
        <f t="shared" si="481"/>
        <v>744</v>
      </c>
      <c r="BW9" s="1">
        <f t="shared" si="481"/>
        <v>744</v>
      </c>
      <c r="BX9" s="1">
        <f t="shared" si="481"/>
        <v>672</v>
      </c>
      <c r="BY9" s="1">
        <f t="shared" si="481"/>
        <v>744</v>
      </c>
      <c r="BZ9" s="1">
        <f t="shared" si="481"/>
        <v>720</v>
      </c>
      <c r="CA9" s="1">
        <f t="shared" si="481"/>
        <v>744</v>
      </c>
      <c r="CB9" s="1">
        <f t="shared" si="481"/>
        <v>720</v>
      </c>
      <c r="CC9" s="1">
        <f t="shared" si="481"/>
        <v>744</v>
      </c>
      <c r="CD9" s="1">
        <f t="shared" si="481"/>
        <v>744</v>
      </c>
      <c r="CE9" s="1">
        <f t="shared" si="481"/>
        <v>720</v>
      </c>
      <c r="CF9" s="1">
        <f t="shared" si="481"/>
        <v>744</v>
      </c>
      <c r="CG9" s="1">
        <f t="shared" si="481"/>
        <v>720</v>
      </c>
      <c r="CH9" s="1">
        <f t="shared" si="481"/>
        <v>744</v>
      </c>
      <c r="CI9" s="1">
        <f t="shared" si="481"/>
        <v>744</v>
      </c>
      <c r="CJ9" s="1">
        <f t="shared" si="481"/>
        <v>672</v>
      </c>
      <c r="CK9" s="1">
        <f t="shared" si="481"/>
        <v>744</v>
      </c>
      <c r="CL9" s="1">
        <f t="shared" si="481"/>
        <v>720</v>
      </c>
      <c r="CM9" s="1">
        <f t="shared" ref="CM9:CS9" si="482">CM8*24</f>
        <v>744</v>
      </c>
      <c r="CN9" s="1">
        <f t="shared" si="482"/>
        <v>720</v>
      </c>
      <c r="CO9" s="1">
        <f t="shared" si="482"/>
        <v>744</v>
      </c>
      <c r="CP9" s="1">
        <f t="shared" si="482"/>
        <v>744</v>
      </c>
      <c r="CQ9" s="1">
        <f t="shared" si="482"/>
        <v>720</v>
      </c>
      <c r="CR9" s="1">
        <f t="shared" si="482"/>
        <v>744</v>
      </c>
      <c r="CS9" s="1">
        <f t="shared" si="482"/>
        <v>720</v>
      </c>
      <c r="CT9" s="1">
        <f>CT8*24</f>
        <v>744</v>
      </c>
      <c r="CU9" s="1">
        <f t="shared" ref="CU9:DE9" si="483">CU8*24</f>
        <v>744</v>
      </c>
      <c r="CV9" s="1">
        <f t="shared" si="483"/>
        <v>672</v>
      </c>
      <c r="CW9" s="1">
        <f t="shared" si="483"/>
        <v>744</v>
      </c>
      <c r="CX9" s="1">
        <f t="shared" si="483"/>
        <v>720</v>
      </c>
      <c r="CY9" s="1">
        <f t="shared" si="483"/>
        <v>744</v>
      </c>
      <c r="CZ9" s="1">
        <f t="shared" si="483"/>
        <v>720</v>
      </c>
      <c r="DA9" s="1">
        <f t="shared" si="483"/>
        <v>744</v>
      </c>
      <c r="DB9" s="1">
        <f t="shared" si="483"/>
        <v>744</v>
      </c>
      <c r="DC9" s="1">
        <f t="shared" si="483"/>
        <v>720</v>
      </c>
      <c r="DD9" s="1">
        <f t="shared" si="483"/>
        <v>744</v>
      </c>
      <c r="DE9" s="1">
        <f t="shared" si="483"/>
        <v>720</v>
      </c>
      <c r="DF9" s="1">
        <f>DF8*24</f>
        <v>744</v>
      </c>
      <c r="DG9" s="1">
        <f t="shared" ref="DG9:DQ9" si="484">DG8*24</f>
        <v>744</v>
      </c>
      <c r="DH9" s="1">
        <f t="shared" si="484"/>
        <v>672</v>
      </c>
      <c r="DI9" s="1">
        <f t="shared" si="484"/>
        <v>744</v>
      </c>
      <c r="DJ9" s="1">
        <f t="shared" si="484"/>
        <v>720</v>
      </c>
      <c r="DK9" s="1">
        <f t="shared" si="484"/>
        <v>744</v>
      </c>
      <c r="DL9" s="1">
        <f t="shared" si="484"/>
        <v>720</v>
      </c>
      <c r="DM9" s="1">
        <f t="shared" si="484"/>
        <v>744</v>
      </c>
      <c r="DN9" s="1">
        <f t="shared" si="484"/>
        <v>744</v>
      </c>
      <c r="DO9" s="1">
        <f t="shared" si="484"/>
        <v>720</v>
      </c>
      <c r="DP9" s="1">
        <f t="shared" si="484"/>
        <v>744</v>
      </c>
      <c r="DQ9" s="1">
        <f t="shared" si="484"/>
        <v>720</v>
      </c>
      <c r="DR9" s="1">
        <f>DR8*24</f>
        <v>744</v>
      </c>
      <c r="DS9" s="1">
        <f t="shared" ref="DS9:EC9" si="485">DS8*24</f>
        <v>744</v>
      </c>
      <c r="DT9" s="1">
        <f t="shared" si="485"/>
        <v>672</v>
      </c>
      <c r="DU9" s="1">
        <f t="shared" si="485"/>
        <v>744</v>
      </c>
      <c r="DV9" s="1">
        <f t="shared" si="485"/>
        <v>720</v>
      </c>
      <c r="DW9" s="1">
        <f t="shared" si="485"/>
        <v>744</v>
      </c>
      <c r="DX9" s="1">
        <f t="shared" si="485"/>
        <v>720</v>
      </c>
      <c r="DY9" s="1">
        <f t="shared" si="485"/>
        <v>744</v>
      </c>
      <c r="DZ9" s="1">
        <f t="shared" si="485"/>
        <v>744</v>
      </c>
      <c r="EA9" s="1">
        <f t="shared" si="485"/>
        <v>720</v>
      </c>
      <c r="EB9" s="1">
        <f t="shared" si="485"/>
        <v>744</v>
      </c>
      <c r="EC9" s="1">
        <f t="shared" si="485"/>
        <v>720</v>
      </c>
      <c r="ED9" s="1">
        <f>ED8*24</f>
        <v>744</v>
      </c>
      <c r="EE9" s="1">
        <f t="shared" ref="EE9:EO9" si="486">EE8*24</f>
        <v>744</v>
      </c>
      <c r="EF9" s="1">
        <f t="shared" si="486"/>
        <v>672</v>
      </c>
      <c r="EG9" s="1">
        <f t="shared" si="486"/>
        <v>744</v>
      </c>
      <c r="EH9" s="1">
        <f t="shared" si="486"/>
        <v>720</v>
      </c>
      <c r="EI9" s="1">
        <f t="shared" si="486"/>
        <v>744</v>
      </c>
      <c r="EJ9" s="1">
        <f t="shared" si="486"/>
        <v>720</v>
      </c>
      <c r="EK9" s="1">
        <f t="shared" si="486"/>
        <v>744</v>
      </c>
      <c r="EL9" s="1">
        <f t="shared" si="486"/>
        <v>744</v>
      </c>
      <c r="EM9" s="1">
        <f t="shared" si="486"/>
        <v>720</v>
      </c>
      <c r="EN9" s="1">
        <f t="shared" si="486"/>
        <v>744</v>
      </c>
      <c r="EO9" s="1">
        <f t="shared" si="486"/>
        <v>720</v>
      </c>
      <c r="EP9" s="1">
        <f>EP8*24</f>
        <v>744</v>
      </c>
      <c r="EQ9" s="1">
        <f t="shared" ref="EQ9:FA9" si="487">EQ8*24</f>
        <v>744</v>
      </c>
      <c r="ER9" s="1">
        <f t="shared" si="487"/>
        <v>672</v>
      </c>
      <c r="ES9" s="1">
        <f t="shared" si="487"/>
        <v>744</v>
      </c>
      <c r="ET9" s="1">
        <f t="shared" si="487"/>
        <v>720</v>
      </c>
      <c r="EU9" s="1">
        <f t="shared" si="487"/>
        <v>744</v>
      </c>
      <c r="EV9" s="1">
        <f t="shared" si="487"/>
        <v>720</v>
      </c>
      <c r="EW9" s="1">
        <f t="shared" si="487"/>
        <v>744</v>
      </c>
      <c r="EX9" s="1">
        <f t="shared" si="487"/>
        <v>744</v>
      </c>
      <c r="EY9" s="1">
        <f t="shared" si="487"/>
        <v>720</v>
      </c>
      <c r="EZ9" s="1">
        <f t="shared" si="487"/>
        <v>744</v>
      </c>
      <c r="FA9" s="1">
        <f t="shared" si="487"/>
        <v>720</v>
      </c>
      <c r="FB9" s="1">
        <f>FB8*24</f>
        <v>744</v>
      </c>
      <c r="FC9" s="1">
        <f t="shared" ref="FC9:FM9" si="488">FC8*24</f>
        <v>744</v>
      </c>
      <c r="FD9" s="1">
        <f t="shared" si="488"/>
        <v>672</v>
      </c>
      <c r="FE9" s="1">
        <f t="shared" si="488"/>
        <v>744</v>
      </c>
      <c r="FF9" s="1">
        <f t="shared" si="488"/>
        <v>720</v>
      </c>
      <c r="FG9" s="1">
        <f t="shared" si="488"/>
        <v>744</v>
      </c>
      <c r="FH9" s="1">
        <f t="shared" si="488"/>
        <v>720</v>
      </c>
      <c r="FI9" s="1">
        <f t="shared" si="488"/>
        <v>744</v>
      </c>
      <c r="FJ9" s="1">
        <f t="shared" si="488"/>
        <v>744</v>
      </c>
      <c r="FK9" s="1">
        <f t="shared" si="488"/>
        <v>720</v>
      </c>
      <c r="FL9" s="1">
        <f t="shared" si="488"/>
        <v>744</v>
      </c>
      <c r="FM9" s="1">
        <f t="shared" si="488"/>
        <v>720</v>
      </c>
      <c r="FN9" s="1">
        <f>FN8*24</f>
        <v>744</v>
      </c>
      <c r="FO9" s="1">
        <f t="shared" ref="FO9:FY9" si="489">FO8*24</f>
        <v>744</v>
      </c>
      <c r="FP9" s="1">
        <f t="shared" si="489"/>
        <v>672</v>
      </c>
      <c r="FQ9" s="1">
        <f t="shared" si="489"/>
        <v>744</v>
      </c>
      <c r="FR9" s="1">
        <f t="shared" si="489"/>
        <v>720</v>
      </c>
      <c r="FS9" s="1">
        <f t="shared" si="489"/>
        <v>744</v>
      </c>
      <c r="FT9" s="1">
        <f t="shared" si="489"/>
        <v>720</v>
      </c>
      <c r="FU9" s="1">
        <f t="shared" si="489"/>
        <v>744</v>
      </c>
      <c r="FV9" s="1">
        <f t="shared" si="489"/>
        <v>744</v>
      </c>
      <c r="FW9" s="1">
        <f t="shared" si="489"/>
        <v>720</v>
      </c>
      <c r="FX9" s="1">
        <f t="shared" si="489"/>
        <v>744</v>
      </c>
      <c r="FY9" s="1">
        <f t="shared" si="489"/>
        <v>720</v>
      </c>
      <c r="FZ9" s="1">
        <f>FZ8*24</f>
        <v>744</v>
      </c>
      <c r="GA9" s="1">
        <f t="shared" ref="GA9:GK9" si="490">GA8*24</f>
        <v>744</v>
      </c>
      <c r="GB9" s="1">
        <f t="shared" si="490"/>
        <v>672</v>
      </c>
      <c r="GC9" s="1">
        <f t="shared" si="490"/>
        <v>744</v>
      </c>
      <c r="GD9" s="1">
        <f t="shared" si="490"/>
        <v>720</v>
      </c>
      <c r="GE9" s="1">
        <f t="shared" si="490"/>
        <v>744</v>
      </c>
      <c r="GF9" s="1">
        <f t="shared" si="490"/>
        <v>720</v>
      </c>
      <c r="GG9" s="1">
        <f t="shared" si="490"/>
        <v>744</v>
      </c>
      <c r="GH9" s="1">
        <f t="shared" si="490"/>
        <v>744</v>
      </c>
      <c r="GI9" s="1">
        <f t="shared" si="490"/>
        <v>720</v>
      </c>
      <c r="GJ9" s="1">
        <f t="shared" si="490"/>
        <v>744</v>
      </c>
      <c r="GK9" s="1">
        <f t="shared" si="490"/>
        <v>720</v>
      </c>
      <c r="GL9" s="1">
        <f>GL8*24</f>
        <v>744</v>
      </c>
      <c r="GM9" s="1">
        <f t="shared" ref="GM9:GW9" si="491">GM8*24</f>
        <v>744</v>
      </c>
      <c r="GN9" s="1">
        <f t="shared" si="491"/>
        <v>672</v>
      </c>
      <c r="GO9" s="1">
        <f t="shared" si="491"/>
        <v>744</v>
      </c>
      <c r="GP9" s="1">
        <f t="shared" si="491"/>
        <v>720</v>
      </c>
      <c r="GQ9" s="1">
        <f t="shared" si="491"/>
        <v>744</v>
      </c>
      <c r="GR9" s="1">
        <f t="shared" si="491"/>
        <v>720</v>
      </c>
      <c r="GS9" s="1">
        <f t="shared" si="491"/>
        <v>744</v>
      </c>
      <c r="GT9" s="1">
        <f t="shared" si="491"/>
        <v>744</v>
      </c>
      <c r="GU9" s="1">
        <f t="shared" si="491"/>
        <v>720</v>
      </c>
      <c r="GV9" s="1">
        <f t="shared" si="491"/>
        <v>744</v>
      </c>
      <c r="GW9" s="1">
        <f t="shared" si="491"/>
        <v>720</v>
      </c>
      <c r="GX9" s="1">
        <f>GX8*24</f>
        <v>744</v>
      </c>
      <c r="GY9" s="1">
        <f t="shared" ref="GY9:HI9" si="492">GY8*24</f>
        <v>744</v>
      </c>
      <c r="GZ9" s="1">
        <f t="shared" si="492"/>
        <v>672</v>
      </c>
      <c r="HA9" s="1">
        <f t="shared" si="492"/>
        <v>744</v>
      </c>
      <c r="HB9" s="1">
        <f t="shared" si="492"/>
        <v>720</v>
      </c>
      <c r="HC9" s="1">
        <f t="shared" si="492"/>
        <v>744</v>
      </c>
      <c r="HD9" s="1">
        <f t="shared" si="492"/>
        <v>720</v>
      </c>
      <c r="HE9" s="1">
        <f t="shared" si="492"/>
        <v>744</v>
      </c>
      <c r="HF9" s="1">
        <f t="shared" si="492"/>
        <v>744</v>
      </c>
      <c r="HG9" s="1">
        <f t="shared" si="492"/>
        <v>720</v>
      </c>
      <c r="HH9" s="1">
        <f t="shared" si="492"/>
        <v>744</v>
      </c>
      <c r="HI9" s="1">
        <f t="shared" si="492"/>
        <v>720</v>
      </c>
      <c r="HJ9" s="1">
        <f>HJ8*24</f>
        <v>744</v>
      </c>
      <c r="HK9" s="1">
        <f t="shared" ref="HK9:HU9" si="493">HK8*24</f>
        <v>744</v>
      </c>
      <c r="HL9" s="1">
        <f t="shared" si="493"/>
        <v>672</v>
      </c>
      <c r="HM9" s="1">
        <f t="shared" si="493"/>
        <v>744</v>
      </c>
      <c r="HN9" s="1">
        <f t="shared" si="493"/>
        <v>720</v>
      </c>
      <c r="HO9" s="1">
        <f t="shared" si="493"/>
        <v>744</v>
      </c>
      <c r="HP9" s="1">
        <f t="shared" si="493"/>
        <v>720</v>
      </c>
      <c r="HQ9" s="1">
        <f t="shared" si="493"/>
        <v>744</v>
      </c>
      <c r="HR9" s="1">
        <f t="shared" si="493"/>
        <v>744</v>
      </c>
      <c r="HS9" s="1">
        <f t="shared" si="493"/>
        <v>720</v>
      </c>
      <c r="HT9" s="1">
        <f t="shared" si="493"/>
        <v>744</v>
      </c>
      <c r="HU9" s="1">
        <f t="shared" si="493"/>
        <v>720</v>
      </c>
      <c r="HV9" s="1">
        <f>HV8*24</f>
        <v>744</v>
      </c>
      <c r="HW9" s="1">
        <f t="shared" ref="HW9:IG9" si="494">HW8*24</f>
        <v>744</v>
      </c>
      <c r="HX9" s="1">
        <f t="shared" si="494"/>
        <v>672</v>
      </c>
      <c r="HY9" s="1">
        <f t="shared" si="494"/>
        <v>744</v>
      </c>
      <c r="HZ9" s="1">
        <f t="shared" si="494"/>
        <v>720</v>
      </c>
      <c r="IA9" s="1">
        <f t="shared" si="494"/>
        <v>744</v>
      </c>
      <c r="IB9" s="1">
        <f t="shared" si="494"/>
        <v>720</v>
      </c>
      <c r="IC9" s="1">
        <f t="shared" si="494"/>
        <v>744</v>
      </c>
      <c r="ID9" s="1">
        <f t="shared" si="494"/>
        <v>744</v>
      </c>
      <c r="IE9" s="1">
        <f t="shared" si="494"/>
        <v>720</v>
      </c>
      <c r="IF9" s="1">
        <f t="shared" si="494"/>
        <v>744</v>
      </c>
      <c r="IG9" s="1">
        <f t="shared" si="494"/>
        <v>720</v>
      </c>
      <c r="IH9" s="1">
        <f>IH8*24</f>
        <v>744</v>
      </c>
      <c r="II9" s="1">
        <f t="shared" ref="II9:IS9" si="495">II8*24</f>
        <v>744</v>
      </c>
      <c r="IJ9" s="1">
        <f t="shared" si="495"/>
        <v>672</v>
      </c>
      <c r="IK9" s="1">
        <f t="shared" si="495"/>
        <v>744</v>
      </c>
      <c r="IL9" s="1">
        <f t="shared" si="495"/>
        <v>720</v>
      </c>
      <c r="IM9" s="1">
        <f t="shared" si="495"/>
        <v>744</v>
      </c>
      <c r="IN9" s="1">
        <f t="shared" si="495"/>
        <v>720</v>
      </c>
      <c r="IO9" s="1">
        <f t="shared" si="495"/>
        <v>744</v>
      </c>
      <c r="IP9" s="1">
        <f t="shared" si="495"/>
        <v>744</v>
      </c>
      <c r="IQ9" s="1">
        <f t="shared" si="495"/>
        <v>720</v>
      </c>
      <c r="IR9" s="1">
        <f t="shared" si="495"/>
        <v>744</v>
      </c>
      <c r="IS9" s="1">
        <f t="shared" si="495"/>
        <v>720</v>
      </c>
      <c r="IT9" s="1">
        <f>IT8*24</f>
        <v>744</v>
      </c>
      <c r="IU9" s="1">
        <f t="shared" ref="IU9:JE9" si="496">IU8*24</f>
        <v>744</v>
      </c>
      <c r="IV9" s="1">
        <f t="shared" si="496"/>
        <v>672</v>
      </c>
      <c r="IW9" s="1">
        <f t="shared" si="496"/>
        <v>744</v>
      </c>
      <c r="IX9" s="1">
        <f t="shared" si="496"/>
        <v>720</v>
      </c>
      <c r="IY9" s="1">
        <f t="shared" si="496"/>
        <v>744</v>
      </c>
      <c r="IZ9" s="1">
        <f t="shared" si="496"/>
        <v>720</v>
      </c>
      <c r="JA9" s="1">
        <f t="shared" si="496"/>
        <v>744</v>
      </c>
      <c r="JB9" s="1">
        <f t="shared" si="496"/>
        <v>744</v>
      </c>
      <c r="JC9" s="1">
        <f t="shared" si="496"/>
        <v>720</v>
      </c>
      <c r="JD9" s="1">
        <f t="shared" si="496"/>
        <v>744</v>
      </c>
      <c r="JE9" s="1">
        <f t="shared" si="496"/>
        <v>720</v>
      </c>
      <c r="JF9" s="1">
        <f>JF8*24</f>
        <v>744</v>
      </c>
      <c r="JG9" s="1">
        <f t="shared" ref="JG9:JQ9" si="497">JG8*24</f>
        <v>744</v>
      </c>
      <c r="JH9" s="1">
        <f t="shared" si="497"/>
        <v>672</v>
      </c>
      <c r="JI9" s="1">
        <f t="shared" si="497"/>
        <v>744</v>
      </c>
      <c r="JJ9" s="1">
        <f t="shared" si="497"/>
        <v>720</v>
      </c>
      <c r="JK9" s="1">
        <f t="shared" si="497"/>
        <v>744</v>
      </c>
      <c r="JL9" s="1">
        <f t="shared" si="497"/>
        <v>720</v>
      </c>
      <c r="JM9" s="1">
        <f t="shared" si="497"/>
        <v>744</v>
      </c>
      <c r="JN9" s="1">
        <f t="shared" si="497"/>
        <v>744</v>
      </c>
      <c r="JO9" s="1">
        <f t="shared" si="497"/>
        <v>720</v>
      </c>
      <c r="JP9" s="1">
        <f t="shared" si="497"/>
        <v>744</v>
      </c>
      <c r="JQ9" s="1">
        <f t="shared" si="497"/>
        <v>720</v>
      </c>
      <c r="JR9" s="1">
        <f>JR8*24</f>
        <v>744</v>
      </c>
    </row>
    <row r="10" spans="2:280" x14ac:dyDescent="0.2">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6"/>
      <c r="IY10" s="16"/>
      <c r="IZ10" s="16"/>
      <c r="JA10" s="16"/>
      <c r="JB10" s="16"/>
      <c r="JC10" s="16"/>
      <c r="JD10" s="16"/>
      <c r="JE10" s="16"/>
      <c r="JF10" s="16"/>
      <c r="JG10" s="16"/>
      <c r="JH10" s="16"/>
      <c r="JI10" s="16"/>
      <c r="JJ10" s="16"/>
      <c r="JK10" s="16"/>
      <c r="JL10" s="16"/>
      <c r="JM10" s="16"/>
      <c r="JN10" s="16"/>
      <c r="JO10" s="16"/>
      <c r="JP10" s="16"/>
      <c r="JQ10" s="16"/>
      <c r="JR10" s="16"/>
    </row>
    <row r="11" spans="2:280" x14ac:dyDescent="0.2">
      <c r="B11" s="3" t="s">
        <v>72</v>
      </c>
    </row>
    <row r="12" spans="2:280" x14ac:dyDescent="0.2">
      <c r="B12" s="22" t="s">
        <v>54</v>
      </c>
      <c r="C12" s="18">
        <f>IF(C$2&lt;'Data Sources'!$C$23,0,((Inputs!$D$25*Inputs!$D$23*(1+Inputs!$L$4)^Financials!C$3))*C$9)</f>
        <v>0</v>
      </c>
      <c r="D12" s="18">
        <f>IF(D$2&lt;'Data Sources'!$C$23,0,((Inputs!$D$25*Inputs!$D$23*(1+Inputs!$L$4)^Financials!D$3))*D$9)</f>
        <v>0</v>
      </c>
      <c r="E12" s="18">
        <f>IF(E$2&lt;'Data Sources'!$C$23,0,((Inputs!$D$25*Inputs!$D$23*(1+Inputs!$L$4)^Financials!E$3))*E$9)</f>
        <v>0</v>
      </c>
      <c r="F12" s="18">
        <f>IF(F$2&lt;'Data Sources'!$C$23,0,((Inputs!$D$25*Inputs!$D$23*(1+Inputs!$L$4)^Financials!F$3))*F$9)</f>
        <v>0</v>
      </c>
      <c r="G12" s="18">
        <f>IF(G$2&lt;'Data Sources'!$C$23,0,((Inputs!$D$25*Inputs!$D$23*(1+Inputs!$L$4)^Financials!G$3))*G$9)</f>
        <v>0</v>
      </c>
      <c r="H12" s="18">
        <f>IF(H$2&lt;'Data Sources'!$C$23,0,((Inputs!$D$25*Inputs!$D$23*(1+Inputs!$L$4)^Financials!H$3))*H$9)</f>
        <v>0</v>
      </c>
      <c r="I12" s="18">
        <f>IF(I$2&lt;'Data Sources'!$C$23,0,((Inputs!$D$25*Inputs!$D$23*(1+Inputs!$L$4)^Financials!I$3))*I$9)</f>
        <v>0</v>
      </c>
      <c r="J12" s="18">
        <f>IF(J$2&lt;'Data Sources'!$C$23,0,((Inputs!$D$25*Inputs!$D$23*(1+Inputs!$L$4)^Financials!J$3))*J$9)</f>
        <v>0</v>
      </c>
      <c r="K12" s="18">
        <f>IF(K$2&lt;'Data Sources'!$C$23,0,((Inputs!$D$25*Inputs!$D$23*(1+Inputs!$L$4)^Financials!K$3))*K$9)</f>
        <v>0</v>
      </c>
      <c r="L12" s="18">
        <f>IF(L$2&lt;'Data Sources'!$C$23,0,((Inputs!$D$25*Inputs!$D$23*(1+Inputs!$L$4)^Financials!L$3))*L$9)</f>
        <v>0</v>
      </c>
      <c r="M12" s="18">
        <f>IF(M$2&lt;'Data Sources'!$C$23,0,((Inputs!$D$25*Inputs!$D$23*(1+Inputs!$L$4)^Financials!M$3))*M$9)</f>
        <v>0</v>
      </c>
      <c r="N12" s="18">
        <f>IF(N$2&lt;'Data Sources'!$C$23,0,((Inputs!$D$25*Inputs!$D$23*(1+Inputs!$L$4)^Financials!N$3))*N$9)</f>
        <v>0</v>
      </c>
      <c r="O12" s="18">
        <f>IF(O$2&lt;'Data Sources'!$C$23,0,((Inputs!$D$25*Inputs!$D$23*(1+Inputs!$L$4)^Financials!O$3))*O$9)</f>
        <v>0</v>
      </c>
      <c r="P12" s="18">
        <f>IF(P$2&lt;'Data Sources'!$C$23,0,((Inputs!$D$25*Inputs!$D$23*(1+Inputs!$L$4)^Financials!P$3))*P$9)</f>
        <v>0</v>
      </c>
      <c r="Q12" s="18">
        <f>IF(Q$2&lt;'Data Sources'!$C$23,0,((Inputs!$D$25*Inputs!$D$23*(1+Inputs!$L$4)^Financials!Q$3))*Q$9)</f>
        <v>0</v>
      </c>
      <c r="R12" s="18">
        <f>IF(R$2&lt;'Data Sources'!$C$23,0,((Inputs!$D$25*Inputs!$D$23*(1+Inputs!$L$4)^Financials!R$3))*R$9)</f>
        <v>0</v>
      </c>
      <c r="S12" s="18">
        <f>IF(S$2&lt;'Data Sources'!$C$23,0,((Inputs!$D$25*Inputs!$D$23*(1+Inputs!$L$4)^Financials!S$3))*S$9)</f>
        <v>0</v>
      </c>
      <c r="T12" s="18">
        <f>IF(T$2&lt;'Data Sources'!$C$23,0,((Inputs!$D$25*Inputs!$D$23*(1+Inputs!$L$4)^Financials!T$3))*T$9)</f>
        <v>0</v>
      </c>
      <c r="U12" s="18">
        <f>IF(U$2&lt;'Data Sources'!$C$23,0,((Inputs!$D$25*Inputs!$D$23*(1+Inputs!$L$4)^Financials!U$3))*U$9)</f>
        <v>0</v>
      </c>
      <c r="V12" s="18">
        <f>IF(V$2&lt;'Data Sources'!$C$23,0,((Inputs!$D$25*Inputs!$D$23*(1+Inputs!$L$4)^Financials!V$3))*V$9)</f>
        <v>0</v>
      </c>
      <c r="W12" s="18">
        <f>IF(W$2&lt;'Data Sources'!$C$23,0,((Inputs!$D$25*Inputs!$D$23*(1+Inputs!$L$4)^Financials!W$3))*W$9)</f>
        <v>0</v>
      </c>
      <c r="X12" s="18">
        <f>IF(X$2&lt;'Data Sources'!$C$23,0,((Inputs!$D$25*Inputs!$D$23*(1+Inputs!$L$4)^Financials!X$3))*X$9)</f>
        <v>0</v>
      </c>
      <c r="Y12" s="18">
        <f>IF(Y$2&lt;'Data Sources'!$C$23,0,((Inputs!$D$25*Inputs!$D$23*(1+Inputs!$L$4)^Financials!Y$3))*Y$9)</f>
        <v>0</v>
      </c>
      <c r="Z12" s="18">
        <f>IF(Z$2&lt;'Data Sources'!$C$23,0,((Inputs!$D$25*Inputs!$D$23*(1+Inputs!$L$4)^Financials!Z$3))*Z$9)</f>
        <v>0</v>
      </c>
      <c r="AA12" s="18">
        <f>IF(AA$2&lt;'Data Sources'!$C$23,0,((Inputs!$D$25*Inputs!$D$23*(1+Inputs!$L$4)^Financials!AA$3))*AA$9)</f>
        <v>0</v>
      </c>
      <c r="AB12" s="18">
        <f>IF(AB$2&lt;'Data Sources'!$C$23,0,((Inputs!$D$25*Inputs!$D$23*(1+Inputs!$L$4)^Financials!AB$3))*AB$9)</f>
        <v>0</v>
      </c>
      <c r="AC12" s="18">
        <f>IF(AC$2&lt;'Data Sources'!$C$23,0,((Inputs!$D$25*Inputs!$D$23*(1+Inputs!$L$4)^Financials!AC$3))*AC$9)</f>
        <v>0</v>
      </c>
      <c r="AD12" s="18">
        <f>IF(AD$2&lt;'Data Sources'!$C$23,0,((Inputs!$D$25*Inputs!$D$23*(1+Inputs!$L$4)^Financials!AD$3))*AD$9)</f>
        <v>1788979.212447128</v>
      </c>
      <c r="AE12" s="18">
        <f>IF(AE$2&lt;'Data Sources'!$C$23,0,((Inputs!$D$25*Inputs!$D$23*(1+Inputs!$L$4)^Financials!AE$3))*AE$9)</f>
        <v>1848611.8528620324</v>
      </c>
      <c r="AF12" s="18">
        <f>IF(AF$2&lt;'Data Sources'!$C$23,0,((Inputs!$D$25*Inputs!$D$23*(1+Inputs!$L$4)^Financials!AF$3))*AF$9)</f>
        <v>1788979.212447128</v>
      </c>
      <c r="AG12" s="18">
        <f>IF(AG$2&lt;'Data Sources'!$C$23,0,((Inputs!$D$25*Inputs!$D$23*(1+Inputs!$L$4)^Financials!AG$3))*AG$9)</f>
        <v>1848611.8528620324</v>
      </c>
      <c r="AH12" s="18">
        <f>IF(AH$2&lt;'Data Sources'!$C$23,0,((Inputs!$D$25*Inputs!$D$23*(1+Inputs!$L$4)^Financials!AH$3))*AH$9)</f>
        <v>1848611.8528620324</v>
      </c>
      <c r="AI12" s="18">
        <f>IF(AI$2&lt;'Data Sources'!$C$23,0,((Inputs!$D$25*Inputs!$D$23*(1+Inputs!$L$4)^Financials!AI$3))*AI$9)</f>
        <v>1788979.212447128</v>
      </c>
      <c r="AJ12" s="18">
        <f>IF(AJ$2&lt;'Data Sources'!$C$23,0,((Inputs!$D$25*Inputs!$D$23*(1+Inputs!$L$4)^Financials!AJ$3))*AJ$9)</f>
        <v>1848611.8528620324</v>
      </c>
      <c r="AK12" s="18">
        <f>IF(AK$2&lt;'Data Sources'!$C$23,0,((Inputs!$D$25*Inputs!$D$23*(1+Inputs!$L$4)^Financials!AK$3))*AK$9)</f>
        <v>1788979.212447128</v>
      </c>
      <c r="AL12" s="18">
        <f>IF(AL$2&lt;'Data Sources'!$C$23,0,((Inputs!$D$25*Inputs!$D$23*(1+Inputs!$L$4)^Financials!AL$3))*AL$9)</f>
        <v>1848611.8528620324</v>
      </c>
      <c r="AM12" s="18">
        <f>IF(AM$2&lt;'Data Sources'!$C$23,0,((Inputs!$D$25*Inputs!$D$23*(1+Inputs!$L$4)^Financials!AM$3))*AM$9)</f>
        <v>1848611.8528620324</v>
      </c>
      <c r="AN12" s="18">
        <f>IF(AN$2&lt;'Data Sources'!$C$23,0,((Inputs!$D$25*Inputs!$D$23*(1+Inputs!$L$4)^Financials!AN$3))*AN$9)</f>
        <v>1669713.9316173196</v>
      </c>
      <c r="AO12" s="18">
        <f>IF(AO$2&lt;'Data Sources'!$C$23,0,((Inputs!$D$25*Inputs!$D$23*(1+Inputs!$L$4)^Financials!AO$3))*AO$9)</f>
        <v>1848611.8528620324</v>
      </c>
      <c r="AP12" s="18">
        <f>IF(AP$2&lt;'Data Sources'!$C$23,0,((Inputs!$D$25*Inputs!$D$23*(1+Inputs!$L$4)^Financials!AP$3))*AP$9)</f>
        <v>1788979.212447128</v>
      </c>
      <c r="AQ12" s="18">
        <f>IF(AQ$2&lt;'Data Sources'!$C$23,0,((Inputs!$D$25*Inputs!$D$23*(1+Inputs!$L$4)^Financials!AQ$3))*AQ$9)</f>
        <v>1848611.8528620324</v>
      </c>
      <c r="AR12" s="18">
        <f>IF(AR$2&lt;'Data Sources'!$C$23,0,((Inputs!$D$25*Inputs!$D$23*(1+Inputs!$L$4)^Financials!AR$3))*AR$9)</f>
        <v>1788979.212447128</v>
      </c>
      <c r="AS12" s="18">
        <f>IF(AS$2&lt;'Data Sources'!$C$23,0,((Inputs!$D$25*Inputs!$D$23*(1+Inputs!$L$4)^Financials!AS$3))*AS$9)</f>
        <v>1848611.8528620324</v>
      </c>
      <c r="AT12" s="18">
        <f>IF(AT$2&lt;'Data Sources'!$C$23,0,((Inputs!$D$25*Inputs!$D$23*(1+Inputs!$L$4)^Financials!AT$3))*AT$9)</f>
        <v>1848611.8528620324</v>
      </c>
      <c r="AU12" s="18">
        <f>IF(AU$2&lt;'Data Sources'!$C$23,0,((Inputs!$D$25*Inputs!$D$23*(1+Inputs!$L$4)^Financials!AU$3))*AU$9)</f>
        <v>1788979.212447128</v>
      </c>
      <c r="AV12" s="18">
        <f>IF(AV$2&lt;'Data Sources'!$C$23,0,((Inputs!$D$25*Inputs!$D$23*(1+Inputs!$L$4)^Financials!AV$3))*AV$9)</f>
        <v>1848611.8528620324</v>
      </c>
      <c r="AW12" s="18">
        <f>IF(AW$2&lt;'Data Sources'!$C$23,0,((Inputs!$D$25*Inputs!$D$23*(1+Inputs!$L$4)^Financials!AW$3))*AW$9)</f>
        <v>1788979.212447128</v>
      </c>
      <c r="AX12" s="18">
        <f>IF(AX$2&lt;'Data Sources'!$C$23,0,((Inputs!$D$25*Inputs!$D$23*(1+Inputs!$L$4)^Financials!AX$3))*AX$9)</f>
        <v>1848611.8528620324</v>
      </c>
      <c r="AY12" s="18">
        <f>IF(AY$2&lt;'Data Sources'!$C$23,0,((Inputs!$D$25*Inputs!$D$23*(1+Inputs!$L$4)^Financials!AY$3))*AY$9)</f>
        <v>1848611.8528620324</v>
      </c>
      <c r="AZ12" s="18">
        <f>IF(AZ$2&lt;'Data Sources'!$C$23,0,((Inputs!$D$25*Inputs!$D$23*(1+Inputs!$L$4)^Financials!AZ$3))*AZ$9)</f>
        <v>1729346.5720322237</v>
      </c>
      <c r="BA12" s="18">
        <f>IF(BA$2&lt;'Data Sources'!$C$23,0,((Inputs!$D$25*Inputs!$D$23*(1+Inputs!$L$4)^Financials!BA$3))*BA$9)</f>
        <v>1848611.8528620324</v>
      </c>
      <c r="BB12" s="18">
        <f>IF(BB$2&lt;'Data Sources'!$C$23,0,((Inputs!$D$25*Inputs!$D$23*(1+Inputs!$L$4)^Financials!BB$3))*BB$9)</f>
        <v>1788979.212447128</v>
      </c>
      <c r="BC12" s="18">
        <f>IF(BC$2&lt;'Data Sources'!$C$23,0,((Inputs!$D$25*Inputs!$D$23*(1+Inputs!$L$4)^Financials!BC$3))*BC$9)</f>
        <v>1848611.8528620324</v>
      </c>
      <c r="BD12" s="18">
        <f>IF(BD$2&lt;'Data Sources'!$C$23,0,((Inputs!$D$25*Inputs!$D$23*(1+Inputs!$L$4)^Financials!BD$3))*BD$9)</f>
        <v>1788979.212447128</v>
      </c>
      <c r="BE12" s="18">
        <f>IF(BE$2&lt;'Data Sources'!$C$23,0,((Inputs!$D$25*Inputs!$D$23*(1+Inputs!$L$4)^Financials!BE$3))*BE$9)</f>
        <v>1848611.8528620324</v>
      </c>
      <c r="BF12" s="18">
        <f>IF(BF$2&lt;'Data Sources'!$C$23,0,((Inputs!$D$25*Inputs!$D$23*(1+Inputs!$L$4)^Financials!BF$3))*BF$9)</f>
        <v>1848611.8528620324</v>
      </c>
      <c r="BG12" s="18">
        <f>IF(BG$2&lt;'Data Sources'!$C$23,0,((Inputs!$D$25*Inputs!$D$23*(1+Inputs!$L$4)^Financials!BG$3))*BG$9)</f>
        <v>1788979.212447128</v>
      </c>
      <c r="BH12" s="18">
        <f>IF(BH$2&lt;'Data Sources'!$C$23,0,((Inputs!$D$25*Inputs!$D$23*(1+Inputs!$L$4)^Financials!BH$3))*BH$9)</f>
        <v>1848611.8528620324</v>
      </c>
      <c r="BI12" s="18">
        <f>IF(BI$2&lt;'Data Sources'!$C$23,0,((Inputs!$D$25*Inputs!$D$23*(1+Inputs!$L$4)^Financials!BI$3))*BI$9)</f>
        <v>1788979.212447128</v>
      </c>
      <c r="BJ12" s="18">
        <f>IF(BJ$2&lt;'Data Sources'!$C$23,0,((Inputs!$D$25*Inputs!$D$23*(1+Inputs!$L$4)^Financials!BJ$3))*BJ$9)</f>
        <v>1848611.8528620324</v>
      </c>
      <c r="BK12" s="18">
        <f>IF(BK$2&lt;'Data Sources'!$C$23,0,((Inputs!$D$25*Inputs!$D$23*(1+Inputs!$L$4)^Financials!BK$3))*BK$9)</f>
        <v>1848611.8528620324</v>
      </c>
      <c r="BL12" s="18">
        <f>IF(BL$2&lt;'Data Sources'!$C$23,0,((Inputs!$D$25*Inputs!$D$23*(1+Inputs!$L$4)^Financials!BL$3))*BL$9)</f>
        <v>1669713.9316173196</v>
      </c>
      <c r="BM12" s="18">
        <f>IF(BM$2&lt;'Data Sources'!$C$23,0,((Inputs!$D$25*Inputs!$D$23*(1+Inputs!$L$4)^Financials!BM$3))*BM$9)</f>
        <v>1848611.8528620324</v>
      </c>
      <c r="BN12" s="18">
        <f>IF(BN$2&lt;'Data Sources'!$C$23,0,((Inputs!$D$25*Inputs!$D$23*(1+Inputs!$L$4)^Financials!BN$3))*BN$9)</f>
        <v>1788979.212447128</v>
      </c>
      <c r="BO12" s="18">
        <f>IF(BO$2&lt;'Data Sources'!$C$23,0,((Inputs!$D$25*Inputs!$D$23*(1+Inputs!$L$4)^Financials!BO$3))*BO$9)</f>
        <v>1848611.8528620324</v>
      </c>
      <c r="BP12" s="18">
        <f>IF(BP$2&lt;'Data Sources'!$C$23,0,((Inputs!$D$25*Inputs!$D$23*(1+Inputs!$L$4)^Financials!BP$3))*BP$9)</f>
        <v>1788979.212447128</v>
      </c>
      <c r="BQ12" s="18">
        <f>IF(BQ$2&lt;'Data Sources'!$C$23,0,((Inputs!$D$25*Inputs!$D$23*(1+Inputs!$L$4)^Financials!BQ$3))*BQ$9)</f>
        <v>1848611.8528620324</v>
      </c>
      <c r="BR12" s="18">
        <f>IF(BR$2&lt;'Data Sources'!$C$23,0,((Inputs!$D$25*Inputs!$D$23*(1+Inputs!$L$4)^Financials!BR$3))*BR$9)</f>
        <v>1848611.8528620324</v>
      </c>
      <c r="BS12" s="18">
        <f>IF(BS$2&lt;'Data Sources'!$C$23,0,((Inputs!$D$25*Inputs!$D$23*(1+Inputs!$L$4)^Financials!BS$3))*BS$9)</f>
        <v>1788979.212447128</v>
      </c>
      <c r="BT12" s="18">
        <f>IF(BT$2&lt;'Data Sources'!$C$23,0,((Inputs!$D$25*Inputs!$D$23*(1+Inputs!$L$4)^Financials!BT$3))*BT$9)</f>
        <v>1848611.8528620324</v>
      </c>
      <c r="BU12" s="18">
        <f>IF(BU$2&lt;'Data Sources'!$C$23,0,((Inputs!$D$25*Inputs!$D$23*(1+Inputs!$L$4)^Financials!BU$3))*BU$9)</f>
        <v>1788979.212447128</v>
      </c>
      <c r="BV12" s="18">
        <f>IF(BV$2&lt;'Data Sources'!$C$23,0,((Inputs!$D$25*Inputs!$D$23*(1+Inputs!$L$4)^Financials!BV$3))*BV$9)</f>
        <v>1848611.8528620324</v>
      </c>
      <c r="BW12" s="18">
        <f>IF(BW$2&lt;'Data Sources'!$C$23,0,((Inputs!$D$25*Inputs!$D$23*(1+Inputs!$L$4)^Financials!BW$3))*BW$9)</f>
        <v>1848611.8528620324</v>
      </c>
      <c r="BX12" s="18">
        <f>IF(BX$2&lt;'Data Sources'!$C$23,0,((Inputs!$D$25*Inputs!$D$23*(1+Inputs!$L$4)^Financials!BX$3))*BX$9)</f>
        <v>1669713.9316173196</v>
      </c>
      <c r="BY12" s="18">
        <f>IF(BY$2&lt;'Data Sources'!$C$23,0,((Inputs!$D$25*Inputs!$D$23*(1+Inputs!$L$4)^Financials!BY$3))*BY$9)</f>
        <v>1848611.8528620324</v>
      </c>
      <c r="BZ12" s="18">
        <f>IF(BZ$2&lt;'Data Sources'!$C$23,0,((Inputs!$D$25*Inputs!$D$23*(1+Inputs!$L$4)^Financials!BZ$3))*BZ$9)</f>
        <v>1788979.212447128</v>
      </c>
      <c r="CA12" s="18">
        <f>IF(CA$2&lt;'Data Sources'!$C$23,0,((Inputs!$D$25*Inputs!$D$23*(1+Inputs!$L$4)^Financials!CA$3))*CA$9)</f>
        <v>1848611.8528620324</v>
      </c>
      <c r="CB12" s="18">
        <f>IF(CB$2&lt;'Data Sources'!$C$23,0,((Inputs!$D$25*Inputs!$D$23*(1+Inputs!$L$4)^Financials!CB$3))*CB$9)</f>
        <v>1788979.212447128</v>
      </c>
      <c r="CC12" s="18">
        <f>IF(CC$2&lt;'Data Sources'!$C$23,0,((Inputs!$D$25*Inputs!$D$23*(1+Inputs!$L$4)^Financials!CC$3))*CC$9)</f>
        <v>1848611.8528620324</v>
      </c>
      <c r="CD12" s="18">
        <f>IF(CD$2&lt;'Data Sources'!$C$23,0,((Inputs!$D$25*Inputs!$D$23*(1+Inputs!$L$4)^Financials!CD$3))*CD$9)</f>
        <v>1848611.8528620324</v>
      </c>
      <c r="CE12" s="18">
        <f>IF(CE$2&lt;'Data Sources'!$C$23,0,((Inputs!$D$25*Inputs!$D$23*(1+Inputs!$L$4)^Financials!CE$3))*CE$9)</f>
        <v>1788979.212447128</v>
      </c>
      <c r="CF12" s="18">
        <f>IF(CF$2&lt;'Data Sources'!$C$23,0,((Inputs!$D$25*Inputs!$D$23*(1+Inputs!$L$4)^Financials!CF$3))*CF$9)</f>
        <v>1848611.8528620324</v>
      </c>
      <c r="CG12" s="18">
        <f>IF(CG$2&lt;'Data Sources'!$C$23,0,((Inputs!$D$25*Inputs!$D$23*(1+Inputs!$L$4)^Financials!CG$3))*CG$9)</f>
        <v>1788979.212447128</v>
      </c>
      <c r="CH12" s="18">
        <f>IF(CH$2&lt;'Data Sources'!$C$23,0,((Inputs!$D$25*Inputs!$D$23*(1+Inputs!$L$4)^Financials!CH$3))*CH$9)</f>
        <v>1848611.8528620324</v>
      </c>
      <c r="CI12" s="18">
        <f>IF(CI$2&lt;'Data Sources'!$C$23,0,((Inputs!$D$25*Inputs!$D$23*(1+Inputs!$L$4)^Financials!CI$3))*CI$9)</f>
        <v>1848611.8528620324</v>
      </c>
      <c r="CJ12" s="18">
        <f>IF(CJ$2&lt;'Data Sources'!$C$23,0,((Inputs!$D$25*Inputs!$D$23*(1+Inputs!$L$4)^Financials!CJ$3))*CJ$9)</f>
        <v>1669713.9316173196</v>
      </c>
      <c r="CK12" s="18">
        <f>IF(CK$2&lt;'Data Sources'!$C$23,0,((Inputs!$D$25*Inputs!$D$23*(1+Inputs!$L$4)^Financials!CK$3))*CK$9)</f>
        <v>1848611.8528620324</v>
      </c>
      <c r="CL12" s="18">
        <f>IF(CL$2&lt;'Data Sources'!$C$23,0,((Inputs!$D$25*Inputs!$D$23*(1+Inputs!$L$4)^Financials!CL$3))*CL$9)</f>
        <v>1788979.212447128</v>
      </c>
      <c r="CM12" s="18">
        <f>IF(CM$2&lt;'Data Sources'!$C$23,0,((Inputs!$D$25*Inputs!$D$23*(1+Inputs!$L$4)^Financials!CM$3))*CM$9)</f>
        <v>1848611.8528620324</v>
      </c>
      <c r="CN12" s="18">
        <f>IF(CN$2&lt;'Data Sources'!$C$23,0,((Inputs!$D$25*Inputs!$D$23*(1+Inputs!$L$4)^Financials!CN$3))*CN$9)</f>
        <v>1788979.212447128</v>
      </c>
      <c r="CO12" s="18">
        <f>IF(CO$2&lt;'Data Sources'!$C$23,0,((Inputs!$D$25*Inputs!$D$23*(1+Inputs!$L$4)^Financials!CO$3))*CO$9)</f>
        <v>1848611.8528620324</v>
      </c>
      <c r="CP12" s="18">
        <f>IF(CP$2&lt;'Data Sources'!$C$23,0,((Inputs!$D$25*Inputs!$D$23*(1+Inputs!$L$4)^Financials!CP$3))*CP$9)</f>
        <v>1848611.8528620324</v>
      </c>
      <c r="CQ12" s="18">
        <f>IF(CQ$2&lt;'Data Sources'!$C$23,0,((Inputs!$D$25*Inputs!$D$23*(1+Inputs!$L$4)^Financials!CQ$3))*CQ$9)</f>
        <v>1788979.212447128</v>
      </c>
      <c r="CR12" s="18">
        <f>IF(CR$2&lt;'Data Sources'!$C$23,0,((Inputs!$D$25*Inputs!$D$23*(1+Inputs!$L$4)^Financials!CR$3))*CR$9)</f>
        <v>1848611.8528620324</v>
      </c>
      <c r="CS12" s="18">
        <f>IF(CS$2&lt;'Data Sources'!$C$23,0,((Inputs!$D$25*Inputs!$D$23*(1+Inputs!$L$4)^Financials!CS$3))*CS$9)</f>
        <v>1788979.212447128</v>
      </c>
      <c r="CT12" s="18">
        <f>IF(CT$2&lt;'Data Sources'!$C$23,0,((Inputs!$D$25*Inputs!$D$23*(1+Inputs!$L$4)^Financials!CT$3))*CT$9)</f>
        <v>1848611.8528620324</v>
      </c>
      <c r="CU12" s="18">
        <f>IF(CU$2&lt;'Data Sources'!$C$23,0,((Inputs!$D$25*Inputs!$D$23*(1+Inputs!$L$4)^Financials!CU$3))*CU$9)</f>
        <v>1848611.8528620324</v>
      </c>
      <c r="CV12" s="18">
        <f>IF(CV$2&lt;'Data Sources'!$C$23,0,((Inputs!$D$25*Inputs!$D$23*(1+Inputs!$L$4)^Financials!CV$3))*CV$9)</f>
        <v>1669713.9316173196</v>
      </c>
      <c r="CW12" s="18">
        <f>IF(CW$2&lt;'Data Sources'!$C$23,0,((Inputs!$D$25*Inputs!$D$23*(1+Inputs!$L$4)^Financials!CW$3))*CW$9)</f>
        <v>1848611.8528620324</v>
      </c>
      <c r="CX12" s="18">
        <f>IF(CX$2&lt;'Data Sources'!$C$23,0,((Inputs!$D$25*Inputs!$D$23*(1+Inputs!$L$4)^Financials!CX$3))*CX$9)</f>
        <v>1788979.212447128</v>
      </c>
      <c r="CY12" s="18">
        <f>IF(CY$2&lt;'Data Sources'!$C$23,0,((Inputs!$D$25*Inputs!$D$23*(1+Inputs!$L$4)^Financials!CY$3))*CY$9)</f>
        <v>1848611.8528620324</v>
      </c>
      <c r="CZ12" s="18">
        <f>IF(CZ$2&lt;'Data Sources'!$C$23,0,((Inputs!$D$25*Inputs!$D$23*(1+Inputs!$L$4)^Financials!CZ$3))*CZ$9)</f>
        <v>1788979.212447128</v>
      </c>
      <c r="DA12" s="18">
        <f>IF(DA$2&lt;'Data Sources'!$C$23,0,((Inputs!$D$25*Inputs!$D$23*(1+Inputs!$L$4)^Financials!DA$3))*DA$9)</f>
        <v>1848611.8528620324</v>
      </c>
      <c r="DB12" s="18">
        <f>IF(DB$2&lt;'Data Sources'!$C$23,0,((Inputs!$D$25*Inputs!$D$23*(1+Inputs!$L$4)^Financials!DB$3))*DB$9)</f>
        <v>1848611.8528620324</v>
      </c>
      <c r="DC12" s="18">
        <f>IF(DC$2&lt;'Data Sources'!$C$23,0,((Inputs!$D$25*Inputs!$D$23*(1+Inputs!$L$4)^Financials!DC$3))*DC$9)</f>
        <v>1788979.212447128</v>
      </c>
      <c r="DD12" s="18">
        <f>IF(DD$2&lt;'Data Sources'!$C$23,0,((Inputs!$D$25*Inputs!$D$23*(1+Inputs!$L$4)^Financials!DD$3))*DD$9)</f>
        <v>1848611.8528620324</v>
      </c>
      <c r="DE12" s="18">
        <f>IF(DE$2&lt;'Data Sources'!$C$23,0,((Inputs!$D$25*Inputs!$D$23*(1+Inputs!$L$4)^Financials!DE$3))*DE$9)</f>
        <v>1788979.212447128</v>
      </c>
      <c r="DF12" s="18">
        <f>IF(DF$2&lt;'Data Sources'!$C$23,0,((Inputs!$D$25*Inputs!$D$23*(1+Inputs!$L$4)^Financials!DF$3))*DF$9)</f>
        <v>1848611.8528620324</v>
      </c>
      <c r="DG12" s="18">
        <f>IF(DG$2&lt;'Data Sources'!$C$23,0,((Inputs!$D$25*Inputs!$D$23*(1+Inputs!$L$4)^Financials!DG$3))*DG$9)</f>
        <v>1848611.8528620324</v>
      </c>
      <c r="DH12" s="18">
        <f>IF(DH$2&lt;'Data Sources'!$C$23,0,((Inputs!$D$25*Inputs!$D$23*(1+Inputs!$L$4)^Financials!DH$3))*DH$9)</f>
        <v>1669713.9316173196</v>
      </c>
      <c r="DI12" s="18">
        <f>IF(DI$2&lt;'Data Sources'!$C$23,0,((Inputs!$D$25*Inputs!$D$23*(1+Inputs!$L$4)^Financials!DI$3))*DI$9)</f>
        <v>1848611.8528620324</v>
      </c>
      <c r="DJ12" s="18">
        <f>IF(DJ$2&lt;'Data Sources'!$C$23,0,((Inputs!$D$25*Inputs!$D$23*(1+Inputs!$L$4)^Financials!DJ$3))*DJ$9)</f>
        <v>1788979.212447128</v>
      </c>
      <c r="DK12" s="18">
        <f>IF(DK$2&lt;'Data Sources'!$C$23,0,((Inputs!$D$25*Inputs!$D$23*(1+Inputs!$L$4)^Financials!DK$3))*DK$9)</f>
        <v>1848611.8528620324</v>
      </c>
      <c r="DL12" s="18">
        <f>IF(DL$2&lt;'Data Sources'!$C$23,0,((Inputs!$D$25*Inputs!$D$23*(1+Inputs!$L$4)^Financials!DL$3))*DL$9)</f>
        <v>1788979.212447128</v>
      </c>
      <c r="DM12" s="18">
        <f>IF(DM$2&lt;'Data Sources'!$C$23,0,((Inputs!$D$25*Inputs!$D$23*(1+Inputs!$L$4)^Financials!DM$3))*DM$9)</f>
        <v>1848611.8528620324</v>
      </c>
      <c r="DN12" s="18">
        <f>IF(DN$2&lt;'Data Sources'!$C$23,0,((Inputs!$D$25*Inputs!$D$23*(1+Inputs!$L$4)^Financials!DN$3))*DN$9)</f>
        <v>1848611.8528620324</v>
      </c>
      <c r="DO12" s="18">
        <f>IF(DO$2&lt;'Data Sources'!$C$23,0,((Inputs!$D$25*Inputs!$D$23*(1+Inputs!$L$4)^Financials!DO$3))*DO$9)</f>
        <v>1788979.212447128</v>
      </c>
      <c r="DP12" s="18">
        <f>IF(DP$2&lt;'Data Sources'!$C$23,0,((Inputs!$D$25*Inputs!$D$23*(1+Inputs!$L$4)^Financials!DP$3))*DP$9)</f>
        <v>1848611.8528620324</v>
      </c>
      <c r="DQ12" s="18">
        <f>IF(DQ$2&lt;'Data Sources'!$C$23,0,((Inputs!$D$25*Inputs!$D$23*(1+Inputs!$L$4)^Financials!DQ$3))*DQ$9)</f>
        <v>1788979.212447128</v>
      </c>
      <c r="DR12" s="18">
        <f>IF(DR$2&lt;'Data Sources'!$C$23,0,((Inputs!$D$25*Inputs!$D$23*(1+Inputs!$L$4)^Financials!DR$3))*DR$9)</f>
        <v>1848611.8528620324</v>
      </c>
      <c r="DS12" s="18">
        <f>IF(DS$2&lt;'Data Sources'!$C$23,0,((Inputs!$D$25*Inputs!$D$23*(1+Inputs!$L$4)^Financials!DS$3))*DS$9)</f>
        <v>1848611.8528620324</v>
      </c>
      <c r="DT12" s="18">
        <f>IF(DT$2&lt;'Data Sources'!$C$23,0,((Inputs!$D$25*Inputs!$D$23*(1+Inputs!$L$4)^Financials!DT$3))*DT$9)</f>
        <v>1669713.9316173196</v>
      </c>
      <c r="DU12" s="18">
        <f>IF(DU$2&lt;'Data Sources'!$C$23,0,((Inputs!$D$25*Inputs!$D$23*(1+Inputs!$L$4)^Financials!DU$3))*DU$9)</f>
        <v>1848611.8528620324</v>
      </c>
      <c r="DV12" s="18">
        <f>IF(DV$2&lt;'Data Sources'!$C$23,0,((Inputs!$D$25*Inputs!$D$23*(1+Inputs!$L$4)^Financials!DV$3))*DV$9)</f>
        <v>1788979.212447128</v>
      </c>
      <c r="DW12" s="18">
        <f>IF(DW$2&lt;'Data Sources'!$C$23,0,((Inputs!$D$25*Inputs!$D$23*(1+Inputs!$L$4)^Financials!DW$3))*DW$9)</f>
        <v>1848611.8528620324</v>
      </c>
      <c r="DX12" s="18">
        <f>IF(DX$2&lt;'Data Sources'!$C$23,0,((Inputs!$D$25*Inputs!$D$23*(1+Inputs!$L$4)^Financials!DX$3))*DX$9)</f>
        <v>1788979.212447128</v>
      </c>
      <c r="DY12" s="18">
        <f>IF(DY$2&lt;'Data Sources'!$C$23,0,((Inputs!$D$25*Inputs!$D$23*(1+Inputs!$L$4)^Financials!DY$3))*DY$9)</f>
        <v>1848611.8528620324</v>
      </c>
      <c r="DZ12" s="18">
        <f>IF(DZ$2&lt;'Data Sources'!$C$23,0,((Inputs!$D$25*Inputs!$D$23*(1+Inputs!$L$4)^Financials!DZ$3))*DZ$9)</f>
        <v>1848611.8528620324</v>
      </c>
      <c r="EA12" s="18">
        <f>IF(EA$2&lt;'Data Sources'!$C$23,0,((Inputs!$D$25*Inputs!$D$23*(1+Inputs!$L$4)^Financials!EA$3))*EA$9)</f>
        <v>1788979.212447128</v>
      </c>
      <c r="EB12" s="18">
        <f>IF(EB$2&lt;'Data Sources'!$C$23,0,((Inputs!$D$25*Inputs!$D$23*(1+Inputs!$L$4)^Financials!EB$3))*EB$9)</f>
        <v>1848611.8528620324</v>
      </c>
      <c r="EC12" s="18">
        <f>IF(EC$2&lt;'Data Sources'!$C$23,0,((Inputs!$D$25*Inputs!$D$23*(1+Inputs!$L$4)^Financials!EC$3))*EC$9)</f>
        <v>1788979.212447128</v>
      </c>
      <c r="ED12" s="18">
        <f>IF(ED$2&lt;'Data Sources'!$C$23,0,((Inputs!$D$25*Inputs!$D$23*(1+Inputs!$L$4)^Financials!ED$3))*ED$9)</f>
        <v>1848611.8528620324</v>
      </c>
      <c r="EE12" s="18">
        <f>IF(EE$2&lt;'Data Sources'!$C$23,0,((Inputs!$D$25*Inputs!$D$23*(1+Inputs!$L$4)^Financials!EE$3))*EE$9)</f>
        <v>1848611.8528620324</v>
      </c>
      <c r="EF12" s="18">
        <f>IF(EF$2&lt;'Data Sources'!$C$23,0,((Inputs!$D$25*Inputs!$D$23*(1+Inputs!$L$4)^Financials!EF$3))*EF$9)</f>
        <v>1669713.9316173196</v>
      </c>
      <c r="EG12" s="18">
        <f>IF(EG$2&lt;'Data Sources'!$C$23,0,((Inputs!$D$25*Inputs!$D$23*(1+Inputs!$L$4)^Financials!EG$3))*EG$9)</f>
        <v>1848611.8528620324</v>
      </c>
      <c r="EH12" s="18">
        <f>IF(EH$2&lt;'Data Sources'!$C$23,0,((Inputs!$D$25*Inputs!$D$23*(1+Inputs!$L$4)^Financials!EH$3))*EH$9)</f>
        <v>1788979.212447128</v>
      </c>
      <c r="EI12" s="18">
        <f>IF(EI$2&lt;'Data Sources'!$C$23,0,((Inputs!$D$25*Inputs!$D$23*(1+Inputs!$L$4)^Financials!EI$3))*EI$9)</f>
        <v>1848611.8528620324</v>
      </c>
      <c r="EJ12" s="18">
        <f>IF(EJ$2&lt;'Data Sources'!$C$23,0,((Inputs!$D$25*Inputs!$D$23*(1+Inputs!$L$4)^Financials!EJ$3))*EJ$9)</f>
        <v>1788979.212447128</v>
      </c>
      <c r="EK12" s="18">
        <f>IF(EK$2&lt;'Data Sources'!$C$23,0,((Inputs!$D$25*Inputs!$D$23*(1+Inputs!$L$4)^Financials!EK$3))*EK$9)</f>
        <v>1848611.8528620324</v>
      </c>
      <c r="EL12" s="18">
        <f>IF(EL$2&lt;'Data Sources'!$C$23,0,((Inputs!$D$25*Inputs!$D$23*(1+Inputs!$L$4)^Financials!EL$3))*EL$9)</f>
        <v>1848611.8528620324</v>
      </c>
      <c r="EM12" s="18">
        <f>IF(EM$2&lt;'Data Sources'!$C$23,0,((Inputs!$D$25*Inputs!$D$23*(1+Inputs!$L$4)^Financials!EM$3))*EM$9)</f>
        <v>1788979.212447128</v>
      </c>
      <c r="EN12" s="18">
        <f>IF(EN$2&lt;'Data Sources'!$C$23,0,((Inputs!$D$25*Inputs!$D$23*(1+Inputs!$L$4)^Financials!EN$3))*EN$9)</f>
        <v>1848611.8528620324</v>
      </c>
      <c r="EO12" s="18">
        <f>IF(EO$2&lt;'Data Sources'!$C$23,0,((Inputs!$D$25*Inputs!$D$23*(1+Inputs!$L$4)^Financials!EO$3))*EO$9)</f>
        <v>1788979.212447128</v>
      </c>
      <c r="EP12" s="18">
        <f>IF(EP$2&lt;'Data Sources'!$C$23,0,((Inputs!$D$25*Inputs!$D$23*(1+Inputs!$L$4)^Financials!EP$3))*EP$9)</f>
        <v>1848611.8528620324</v>
      </c>
      <c r="EQ12" s="18">
        <f>IF(EQ$2&lt;'Data Sources'!$C$23,0,((Inputs!$D$25*Inputs!$D$23*(1+Inputs!$L$4)^Financials!EQ$3))*EQ$9)</f>
        <v>1848611.8528620324</v>
      </c>
      <c r="ER12" s="18">
        <f>IF(ER$2&lt;'Data Sources'!$C$23,0,((Inputs!$D$25*Inputs!$D$23*(1+Inputs!$L$4)^Financials!ER$3))*ER$9)</f>
        <v>1669713.9316173196</v>
      </c>
      <c r="ES12" s="18">
        <f>IF(ES$2&lt;'Data Sources'!$C$23,0,((Inputs!$D$25*Inputs!$D$23*(1+Inputs!$L$4)^Financials!ES$3))*ES$9)</f>
        <v>1848611.8528620324</v>
      </c>
      <c r="ET12" s="18">
        <f>IF(ET$2&lt;'Data Sources'!$C$23,0,((Inputs!$D$25*Inputs!$D$23*(1+Inputs!$L$4)^Financials!ET$3))*ET$9)</f>
        <v>1788979.212447128</v>
      </c>
      <c r="EU12" s="18">
        <f>IF(EU$2&lt;'Data Sources'!$C$23,0,((Inputs!$D$25*Inputs!$D$23*(1+Inputs!$L$4)^Financials!EU$3))*EU$9)</f>
        <v>1848611.8528620324</v>
      </c>
      <c r="EV12" s="18">
        <f>IF(EV$2&lt;'Data Sources'!$C$23,0,((Inputs!$D$25*Inputs!$D$23*(1+Inputs!$L$4)^Financials!EV$3))*EV$9)</f>
        <v>1788979.212447128</v>
      </c>
      <c r="EW12" s="18">
        <f>IF(EW$2&lt;'Data Sources'!$C$23,0,((Inputs!$D$25*Inputs!$D$23*(1+Inputs!$L$4)^Financials!EW$3))*EW$9)</f>
        <v>1848611.8528620324</v>
      </c>
      <c r="EX12" s="18">
        <f>IF(EX$2&lt;'Data Sources'!$C$23,0,((Inputs!$D$25*Inputs!$D$23*(1+Inputs!$L$4)^Financials!EX$3))*EX$9)</f>
        <v>1848611.8528620324</v>
      </c>
      <c r="EY12" s="18">
        <f>IF(EY$2&lt;'Data Sources'!$C$23,0,((Inputs!$D$25*Inputs!$D$23*(1+Inputs!$L$4)^Financials!EY$3))*EY$9)</f>
        <v>1788979.212447128</v>
      </c>
      <c r="EZ12" s="18">
        <f>IF(EZ$2&lt;'Data Sources'!$C$23,0,((Inputs!$D$25*Inputs!$D$23*(1+Inputs!$L$4)^Financials!EZ$3))*EZ$9)</f>
        <v>1848611.8528620324</v>
      </c>
      <c r="FA12" s="18">
        <f>IF(FA$2&lt;'Data Sources'!$C$23,0,((Inputs!$D$25*Inputs!$D$23*(1+Inputs!$L$4)^Financials!FA$3))*FA$9)</f>
        <v>1788979.212447128</v>
      </c>
      <c r="FB12" s="18">
        <f>IF(FB$2&lt;'Data Sources'!$C$23,0,((Inputs!$D$25*Inputs!$D$23*(1+Inputs!$L$4)^Financials!FB$3))*FB$9)</f>
        <v>1848611.8528620324</v>
      </c>
      <c r="FC12" s="18">
        <f>IF(FC$2&lt;'Data Sources'!$C$23,0,((Inputs!$D$25*Inputs!$D$23*(1+Inputs!$L$4)^Financials!FC$3))*FC$9)</f>
        <v>1848611.8528620324</v>
      </c>
      <c r="FD12" s="18">
        <f>IF(FD$2&lt;'Data Sources'!$C$23,0,((Inputs!$D$25*Inputs!$D$23*(1+Inputs!$L$4)^Financials!FD$3))*FD$9)</f>
        <v>1669713.9316173196</v>
      </c>
      <c r="FE12" s="18">
        <f>IF(FE$2&lt;'Data Sources'!$C$23,0,((Inputs!$D$25*Inputs!$D$23*(1+Inputs!$L$4)^Financials!FE$3))*FE$9)</f>
        <v>1848611.8528620324</v>
      </c>
      <c r="FF12" s="18">
        <f>IF(FF$2&lt;'Data Sources'!$C$23,0,((Inputs!$D$25*Inputs!$D$23*(1+Inputs!$L$4)^Financials!FF$3))*FF$9)</f>
        <v>1788979.212447128</v>
      </c>
      <c r="FG12" s="18">
        <f>IF(FG$2&lt;'Data Sources'!$C$23,0,((Inputs!$D$25*Inputs!$D$23*(1+Inputs!$L$4)^Financials!FG$3))*FG$9)</f>
        <v>1848611.8528620324</v>
      </c>
      <c r="FH12" s="18">
        <f>IF(FH$2&lt;'Data Sources'!$C$23,0,((Inputs!$D$25*Inputs!$D$23*(1+Inputs!$L$4)^Financials!FH$3))*FH$9)</f>
        <v>1788979.212447128</v>
      </c>
      <c r="FI12" s="18">
        <f>IF(FI$2&lt;'Data Sources'!$C$23,0,((Inputs!$D$25*Inputs!$D$23*(1+Inputs!$L$4)^Financials!FI$3))*FI$9)</f>
        <v>1848611.8528620324</v>
      </c>
      <c r="FJ12" s="18">
        <f>IF(FJ$2&lt;'Data Sources'!$C$23,0,((Inputs!$D$25*Inputs!$D$23*(1+Inputs!$L$4)^Financials!FJ$3))*FJ$9)</f>
        <v>1848611.8528620324</v>
      </c>
      <c r="FK12" s="18">
        <f>IF(FK$2&lt;'Data Sources'!$C$23,0,((Inputs!$D$25*Inputs!$D$23*(1+Inputs!$L$4)^Financials!FK$3))*FK$9)</f>
        <v>1788979.212447128</v>
      </c>
      <c r="FL12" s="18">
        <f>IF(FL$2&lt;'Data Sources'!$C$23,0,((Inputs!$D$25*Inputs!$D$23*(1+Inputs!$L$4)^Financials!FL$3))*FL$9)</f>
        <v>1848611.8528620324</v>
      </c>
      <c r="FM12" s="18">
        <f>IF(FM$2&lt;'Data Sources'!$C$23,0,((Inputs!$D$25*Inputs!$D$23*(1+Inputs!$L$4)^Financials!FM$3))*FM$9)</f>
        <v>1788979.212447128</v>
      </c>
      <c r="FN12" s="18">
        <f>IF(FN$2&lt;'Data Sources'!$C$23,0,((Inputs!$D$25*Inputs!$D$23*(1+Inputs!$L$4)^Financials!FN$3))*FN$9)</f>
        <v>1848611.8528620324</v>
      </c>
      <c r="FO12" s="18">
        <f>IF(FO$2&lt;'Data Sources'!$C$23,0,((Inputs!$D$25*Inputs!$D$23*(1+Inputs!$L$4)^Financials!FO$3))*FO$9)</f>
        <v>1848611.8528620324</v>
      </c>
      <c r="FP12" s="18">
        <f>IF(FP$2&lt;'Data Sources'!$C$23,0,((Inputs!$D$25*Inputs!$D$23*(1+Inputs!$L$4)^Financials!FP$3))*FP$9)</f>
        <v>1669713.9316173196</v>
      </c>
      <c r="FQ12" s="18">
        <f>IF(FQ$2&lt;'Data Sources'!$C$23,0,((Inputs!$D$25*Inputs!$D$23*(1+Inputs!$L$4)^Financials!FQ$3))*FQ$9)</f>
        <v>1848611.8528620324</v>
      </c>
      <c r="FR12" s="18">
        <f>IF(FR$2&lt;'Data Sources'!$C$23,0,((Inputs!$D$25*Inputs!$D$23*(1+Inputs!$L$4)^Financials!FR$3))*FR$9)</f>
        <v>1788979.212447128</v>
      </c>
      <c r="FS12" s="18">
        <f>IF(FS$2&lt;'Data Sources'!$C$23,0,((Inputs!$D$25*Inputs!$D$23*(1+Inputs!$L$4)^Financials!FS$3))*FS$9)</f>
        <v>1848611.8528620324</v>
      </c>
      <c r="FT12" s="18">
        <f>IF(FT$2&lt;'Data Sources'!$C$23,0,((Inputs!$D$25*Inputs!$D$23*(1+Inputs!$L$4)^Financials!FT$3))*FT$9)</f>
        <v>1788979.212447128</v>
      </c>
      <c r="FU12" s="18">
        <f>IF(FU$2&lt;'Data Sources'!$C$23,0,((Inputs!$D$25*Inputs!$D$23*(1+Inputs!$L$4)^Financials!FU$3))*FU$9)</f>
        <v>1848611.8528620324</v>
      </c>
      <c r="FV12" s="18">
        <f>IF(FV$2&lt;'Data Sources'!$C$23,0,((Inputs!$D$25*Inputs!$D$23*(1+Inputs!$L$4)^Financials!FV$3))*FV$9)</f>
        <v>1848611.8528620324</v>
      </c>
      <c r="FW12" s="18">
        <f>IF(FW$2&lt;'Data Sources'!$C$23,0,((Inputs!$D$25*Inputs!$D$23*(1+Inputs!$L$4)^Financials!FW$3))*FW$9)</f>
        <v>1788979.212447128</v>
      </c>
      <c r="FX12" s="18">
        <f>IF(FX$2&lt;'Data Sources'!$C$23,0,((Inputs!$D$25*Inputs!$D$23*(1+Inputs!$L$4)^Financials!FX$3))*FX$9)</f>
        <v>1848611.8528620324</v>
      </c>
      <c r="FY12" s="18">
        <f>IF(FY$2&lt;'Data Sources'!$C$23,0,((Inputs!$D$25*Inputs!$D$23*(1+Inputs!$L$4)^Financials!FY$3))*FY$9)</f>
        <v>1788979.212447128</v>
      </c>
      <c r="FZ12" s="18">
        <f>IF(FZ$2&lt;'Data Sources'!$C$23,0,((Inputs!$D$25*Inputs!$D$23*(1+Inputs!$L$4)^Financials!FZ$3))*FZ$9)</f>
        <v>1848611.8528620324</v>
      </c>
      <c r="GA12" s="18">
        <f>IF(GA$2&lt;'Data Sources'!$C$23,0,((Inputs!$D$25*Inputs!$D$23*(1+Inputs!$L$4)^Financials!GA$3))*GA$9)</f>
        <v>1848611.8528620324</v>
      </c>
      <c r="GB12" s="18">
        <f>IF(GB$2&lt;'Data Sources'!$C$23,0,((Inputs!$D$25*Inputs!$D$23*(1+Inputs!$L$4)^Financials!GB$3))*GB$9)</f>
        <v>1669713.9316173196</v>
      </c>
      <c r="GC12" s="18">
        <f>IF(GC$2&lt;'Data Sources'!$C$23,0,((Inputs!$D$25*Inputs!$D$23*(1+Inputs!$L$4)^Financials!GC$3))*GC$9)</f>
        <v>1848611.8528620324</v>
      </c>
      <c r="GD12" s="18">
        <f>IF(GD$2&lt;'Data Sources'!$C$23,0,((Inputs!$D$25*Inputs!$D$23*(1+Inputs!$L$4)^Financials!GD$3))*GD$9)</f>
        <v>1788979.212447128</v>
      </c>
      <c r="GE12" s="18">
        <f>IF(GE$2&lt;'Data Sources'!$C$23,0,((Inputs!$D$25*Inputs!$D$23*(1+Inputs!$L$4)^Financials!GE$3))*GE$9)</f>
        <v>1848611.8528620324</v>
      </c>
      <c r="GF12" s="18">
        <f>IF(GF$2&lt;'Data Sources'!$C$23,0,((Inputs!$D$25*Inputs!$D$23*(1+Inputs!$L$4)^Financials!GF$3))*GF$9)</f>
        <v>1788979.212447128</v>
      </c>
      <c r="GG12" s="18">
        <f>IF(GG$2&lt;'Data Sources'!$C$23,0,((Inputs!$D$25*Inputs!$D$23*(1+Inputs!$L$4)^Financials!GG$3))*GG$9)</f>
        <v>1848611.8528620324</v>
      </c>
      <c r="GH12" s="18">
        <f>IF(GH$2&lt;'Data Sources'!$C$23,0,((Inputs!$D$25*Inputs!$D$23*(1+Inputs!$L$4)^Financials!GH$3))*GH$9)</f>
        <v>1848611.8528620324</v>
      </c>
      <c r="GI12" s="18">
        <f>IF(GI$2&lt;'Data Sources'!$C$23,0,((Inputs!$D$25*Inputs!$D$23*(1+Inputs!$L$4)^Financials!GI$3))*GI$9)</f>
        <v>1788979.212447128</v>
      </c>
      <c r="GJ12" s="18">
        <f>IF(GJ$2&lt;'Data Sources'!$C$23,0,((Inputs!$D$25*Inputs!$D$23*(1+Inputs!$L$4)^Financials!GJ$3))*GJ$9)</f>
        <v>1848611.8528620324</v>
      </c>
      <c r="GK12" s="18">
        <f>IF(GK$2&lt;'Data Sources'!$C$23,0,((Inputs!$D$25*Inputs!$D$23*(1+Inputs!$L$4)^Financials!GK$3))*GK$9)</f>
        <v>1788979.212447128</v>
      </c>
      <c r="GL12" s="18">
        <f>IF(GL$2&lt;'Data Sources'!$C$23,0,((Inputs!$D$25*Inputs!$D$23*(1+Inputs!$L$4)^Financials!GL$3))*GL$9)</f>
        <v>1848611.8528620324</v>
      </c>
      <c r="GM12" s="18">
        <f>IF(GM$2&lt;'Data Sources'!$C$23,0,((Inputs!$D$25*Inputs!$D$23*(1+Inputs!$L$4)^Financials!GM$3))*GM$9)</f>
        <v>1848611.8528620324</v>
      </c>
      <c r="GN12" s="18">
        <f>IF(GN$2&lt;'Data Sources'!$C$23,0,((Inputs!$D$25*Inputs!$D$23*(1+Inputs!$L$4)^Financials!GN$3))*GN$9)</f>
        <v>1669713.9316173196</v>
      </c>
      <c r="GO12" s="18">
        <f>IF(GO$2&lt;'Data Sources'!$C$23,0,((Inputs!$D$25*Inputs!$D$23*(1+Inputs!$L$4)^Financials!GO$3))*GO$9)</f>
        <v>1848611.8528620324</v>
      </c>
      <c r="GP12" s="18">
        <f>IF(GP$2&lt;'Data Sources'!$C$23,0,((Inputs!$D$25*Inputs!$D$23*(1+Inputs!$L$4)^Financials!GP$3))*GP$9)</f>
        <v>1788979.212447128</v>
      </c>
      <c r="GQ12" s="18">
        <f>IF(GQ$2&lt;'Data Sources'!$C$23,0,((Inputs!$D$25*Inputs!$D$23*(1+Inputs!$L$4)^Financials!GQ$3))*GQ$9)</f>
        <v>1848611.8528620324</v>
      </c>
      <c r="GR12" s="18">
        <f>IF(GR$2&lt;'Data Sources'!$C$23,0,((Inputs!$D$25*Inputs!$D$23*(1+Inputs!$L$4)^Financials!GR$3))*GR$9)</f>
        <v>1788979.212447128</v>
      </c>
      <c r="GS12" s="18">
        <f>IF(GS$2&lt;'Data Sources'!$C$23,0,((Inputs!$D$25*Inputs!$D$23*(1+Inputs!$L$4)^Financials!GS$3))*GS$9)</f>
        <v>1848611.8528620324</v>
      </c>
      <c r="GT12" s="18">
        <f>IF(GT$2&lt;'Data Sources'!$C$23,0,((Inputs!$D$25*Inputs!$D$23*(1+Inputs!$L$4)^Financials!GT$3))*GT$9)</f>
        <v>1848611.8528620324</v>
      </c>
      <c r="GU12" s="18">
        <f>IF(GU$2&lt;'Data Sources'!$C$23,0,((Inputs!$D$25*Inputs!$D$23*(1+Inputs!$L$4)^Financials!GU$3))*GU$9)</f>
        <v>1788979.212447128</v>
      </c>
      <c r="GV12" s="18">
        <f>IF(GV$2&lt;'Data Sources'!$C$23,0,((Inputs!$D$25*Inputs!$D$23*(1+Inputs!$L$4)^Financials!GV$3))*GV$9)</f>
        <v>1848611.8528620324</v>
      </c>
      <c r="GW12" s="18">
        <f>IF(GW$2&lt;'Data Sources'!$C$23,0,((Inputs!$D$25*Inputs!$D$23*(1+Inputs!$L$4)^Financials!GW$3))*GW$9)</f>
        <v>1788979.212447128</v>
      </c>
      <c r="GX12" s="18">
        <f>IF(GX$2&lt;'Data Sources'!$C$23,0,((Inputs!$D$25*Inputs!$D$23*(1+Inputs!$L$4)^Financials!GX$3))*GX$9)</f>
        <v>1848611.8528620324</v>
      </c>
      <c r="GY12" s="18">
        <f>IF(GY$2&lt;'Data Sources'!$C$23,0,((Inputs!$D$25*Inputs!$D$23*(1+Inputs!$L$4)^Financials!GY$3))*GY$9)</f>
        <v>1848611.8528620324</v>
      </c>
      <c r="GZ12" s="18">
        <f>IF(GZ$2&lt;'Data Sources'!$C$23,0,((Inputs!$D$25*Inputs!$D$23*(1+Inputs!$L$4)^Financials!GZ$3))*GZ$9)</f>
        <v>1669713.9316173196</v>
      </c>
      <c r="HA12" s="18">
        <f>IF(HA$2&lt;'Data Sources'!$C$23,0,((Inputs!$D$25*Inputs!$D$23*(1+Inputs!$L$4)^Financials!HA$3))*HA$9)</f>
        <v>1848611.8528620324</v>
      </c>
      <c r="HB12" s="18">
        <f>IF(HB$2&lt;'Data Sources'!$C$23,0,((Inputs!$D$25*Inputs!$D$23*(1+Inputs!$L$4)^Financials!HB$3))*HB$9)</f>
        <v>1788979.212447128</v>
      </c>
      <c r="HC12" s="18">
        <f>IF(HC$2&lt;'Data Sources'!$C$23,0,((Inputs!$D$25*Inputs!$D$23*(1+Inputs!$L$4)^Financials!HC$3))*HC$9)</f>
        <v>1848611.8528620324</v>
      </c>
      <c r="HD12" s="18">
        <f>IF(HD$2&lt;'Data Sources'!$C$23,0,((Inputs!$D$25*Inputs!$D$23*(1+Inputs!$L$4)^Financials!HD$3))*HD$9)</f>
        <v>1788979.212447128</v>
      </c>
      <c r="HE12" s="18">
        <f>IF(HE$2&lt;'Data Sources'!$C$23,0,((Inputs!$D$25*Inputs!$D$23*(1+Inputs!$L$4)^Financials!HE$3))*HE$9)</f>
        <v>1848611.8528620324</v>
      </c>
      <c r="HF12" s="18">
        <f>IF(HF$2&lt;'Data Sources'!$C$23,0,((Inputs!$D$25*Inputs!$D$23*(1+Inputs!$L$4)^Financials!HF$3))*HF$9)</f>
        <v>1848611.8528620324</v>
      </c>
      <c r="HG12" s="18">
        <f>IF(HG$2&lt;'Data Sources'!$C$23,0,((Inputs!$D$25*Inputs!$D$23*(1+Inputs!$L$4)^Financials!HG$3))*HG$9)</f>
        <v>1788979.212447128</v>
      </c>
      <c r="HH12" s="18">
        <f>IF(HH$2&lt;'Data Sources'!$C$23,0,((Inputs!$D$25*Inputs!$D$23*(1+Inputs!$L$4)^Financials!HH$3))*HH$9)</f>
        <v>1848611.8528620324</v>
      </c>
      <c r="HI12" s="18">
        <f>IF(HI$2&lt;'Data Sources'!$C$23,0,((Inputs!$D$25*Inputs!$D$23*(1+Inputs!$L$4)^Financials!HI$3))*HI$9)</f>
        <v>1788979.212447128</v>
      </c>
      <c r="HJ12" s="18">
        <f>IF(HJ$2&lt;'Data Sources'!$C$23,0,((Inputs!$D$25*Inputs!$D$23*(1+Inputs!$L$4)^Financials!HJ$3))*HJ$9)</f>
        <v>1848611.8528620324</v>
      </c>
      <c r="HK12" s="18">
        <f>IF(HK$2&lt;'Data Sources'!$C$23,0,((Inputs!$D$25*Inputs!$D$23*(1+Inputs!$L$4)^Financials!HK$3))*HK$9)</f>
        <v>1848611.8528620324</v>
      </c>
      <c r="HL12" s="18">
        <f>IF(HL$2&lt;'Data Sources'!$C$23,0,((Inputs!$D$25*Inputs!$D$23*(1+Inputs!$L$4)^Financials!HL$3))*HL$9)</f>
        <v>1669713.9316173196</v>
      </c>
      <c r="HM12" s="18">
        <f>IF(HM$2&lt;'Data Sources'!$C$23,0,((Inputs!$D$25*Inputs!$D$23*(1+Inputs!$L$4)^Financials!HM$3))*HM$9)</f>
        <v>1848611.8528620324</v>
      </c>
      <c r="HN12" s="18">
        <f>IF(HN$2&lt;'Data Sources'!$C$23,0,((Inputs!$D$25*Inputs!$D$23*(1+Inputs!$L$4)^Financials!HN$3))*HN$9)</f>
        <v>1788979.212447128</v>
      </c>
      <c r="HO12" s="18">
        <f>IF(HO$2&lt;'Data Sources'!$C$23,0,((Inputs!$D$25*Inputs!$D$23*(1+Inputs!$L$4)^Financials!HO$3))*HO$9)</f>
        <v>1848611.8528620324</v>
      </c>
      <c r="HP12" s="18">
        <f>IF(HP$2&lt;'Data Sources'!$C$23,0,((Inputs!$D$25*Inputs!$D$23*(1+Inputs!$L$4)^Financials!HP$3))*HP$9)</f>
        <v>1788979.212447128</v>
      </c>
      <c r="HQ12" s="18">
        <f>IF(HQ$2&lt;'Data Sources'!$C$23,0,((Inputs!$D$25*Inputs!$D$23*(1+Inputs!$L$4)^Financials!HQ$3))*HQ$9)</f>
        <v>1848611.8528620324</v>
      </c>
      <c r="HR12" s="18">
        <f>IF(HR$2&lt;'Data Sources'!$C$23,0,((Inputs!$D$25*Inputs!$D$23*(1+Inputs!$L$4)^Financials!HR$3))*HR$9)</f>
        <v>1848611.8528620324</v>
      </c>
      <c r="HS12" s="18">
        <f>IF(HS$2&lt;'Data Sources'!$C$23,0,((Inputs!$D$25*Inputs!$D$23*(1+Inputs!$L$4)^Financials!HS$3))*HS$9)</f>
        <v>1788979.212447128</v>
      </c>
      <c r="HT12" s="18">
        <f>IF(HT$2&lt;'Data Sources'!$C$23,0,((Inputs!$D$25*Inputs!$D$23*(1+Inputs!$L$4)^Financials!HT$3))*HT$9)</f>
        <v>1848611.8528620324</v>
      </c>
      <c r="HU12" s="18">
        <f>IF(HU$2&lt;'Data Sources'!$C$23,0,((Inputs!$D$25*Inputs!$D$23*(1+Inputs!$L$4)^Financials!HU$3))*HU$9)</f>
        <v>1788979.212447128</v>
      </c>
      <c r="HV12" s="18">
        <f>IF(HV$2&lt;'Data Sources'!$C$23,0,((Inputs!$D$25*Inputs!$D$23*(1+Inputs!$L$4)^Financials!HV$3))*HV$9)</f>
        <v>1848611.8528620324</v>
      </c>
      <c r="HW12" s="18">
        <f>IF(HW$2&lt;'Data Sources'!$C$23,0,((Inputs!$D$25*Inputs!$D$23*(1+Inputs!$L$4)^Financials!HW$3))*HW$9)</f>
        <v>1848611.8528620324</v>
      </c>
      <c r="HX12" s="18">
        <f>IF(HX$2&lt;'Data Sources'!$C$23,0,((Inputs!$D$25*Inputs!$D$23*(1+Inputs!$L$4)^Financials!HX$3))*HX$9)</f>
        <v>1669713.9316173196</v>
      </c>
      <c r="HY12" s="18">
        <f>IF(HY$2&lt;'Data Sources'!$C$23,0,((Inputs!$D$25*Inputs!$D$23*(1+Inputs!$L$4)^Financials!HY$3))*HY$9)</f>
        <v>1848611.8528620324</v>
      </c>
      <c r="HZ12" s="18">
        <f>IF(HZ$2&lt;'Data Sources'!$C$23,0,((Inputs!$D$25*Inputs!$D$23*(1+Inputs!$L$4)^Financials!HZ$3))*HZ$9)</f>
        <v>1788979.212447128</v>
      </c>
      <c r="IA12" s="18">
        <f>IF(IA$2&lt;'Data Sources'!$C$23,0,((Inputs!$D$25*Inputs!$D$23*(1+Inputs!$L$4)^Financials!IA$3))*IA$9)</f>
        <v>1848611.8528620324</v>
      </c>
      <c r="IB12" s="18">
        <f>IF(IB$2&lt;'Data Sources'!$C$23,0,((Inputs!$D$25*Inputs!$D$23*(1+Inputs!$L$4)^Financials!IB$3))*IB$9)</f>
        <v>1788979.212447128</v>
      </c>
      <c r="IC12" s="18">
        <f>IF(IC$2&lt;'Data Sources'!$C$23,0,((Inputs!$D$25*Inputs!$D$23*(1+Inputs!$L$4)^Financials!IC$3))*IC$9)</f>
        <v>1848611.8528620324</v>
      </c>
      <c r="ID12" s="18">
        <f>IF(ID$2&lt;'Data Sources'!$C$23,0,((Inputs!$D$25*Inputs!$D$23*(1+Inputs!$L$4)^Financials!ID$3))*ID$9)</f>
        <v>1848611.8528620324</v>
      </c>
      <c r="IE12" s="18">
        <f>IF(IE$2&lt;'Data Sources'!$C$23,0,((Inputs!$D$25*Inputs!$D$23*(1+Inputs!$L$4)^Financials!IE$3))*IE$9)</f>
        <v>1788979.212447128</v>
      </c>
      <c r="IF12" s="18">
        <f>IF(IF$2&lt;'Data Sources'!$C$23,0,((Inputs!$D$25*Inputs!$D$23*(1+Inputs!$L$4)^Financials!IF$3))*IF$9)</f>
        <v>1848611.8528620324</v>
      </c>
      <c r="IG12" s="18">
        <f>IF(IG$2&lt;'Data Sources'!$C$23,0,((Inputs!$D$25*Inputs!$D$23*(1+Inputs!$L$4)^Financials!IG$3))*IG$9)</f>
        <v>1788979.212447128</v>
      </c>
      <c r="IH12" s="18">
        <f>IF(IH$2&lt;'Data Sources'!$C$23,0,((Inputs!$D$25*Inputs!$D$23*(1+Inputs!$L$4)^Financials!IH$3))*IH$9)</f>
        <v>1848611.8528620324</v>
      </c>
      <c r="II12" s="18">
        <f>IF(II$2&lt;'Data Sources'!$C$23,0,((Inputs!$D$25*Inputs!$D$23*(1+Inputs!$L$4)^Financials!II$3))*II$9)</f>
        <v>1848611.8528620324</v>
      </c>
      <c r="IJ12" s="18">
        <f>IF(IJ$2&lt;'Data Sources'!$C$23,0,((Inputs!$D$25*Inputs!$D$23*(1+Inputs!$L$4)^Financials!IJ$3))*IJ$9)</f>
        <v>1669713.9316173196</v>
      </c>
      <c r="IK12" s="18">
        <f>IF(IK$2&lt;'Data Sources'!$C$23,0,((Inputs!$D$25*Inputs!$D$23*(1+Inputs!$L$4)^Financials!IK$3))*IK$9)</f>
        <v>1848611.8528620324</v>
      </c>
      <c r="IL12" s="18">
        <f>IF(IL$2&lt;'Data Sources'!$C$23,0,((Inputs!$D$25*Inputs!$D$23*(1+Inputs!$L$4)^Financials!IL$3))*IL$9)</f>
        <v>1788979.212447128</v>
      </c>
      <c r="IM12" s="18">
        <f>IF(IM$2&lt;'Data Sources'!$C$23,0,((Inputs!$D$25*Inputs!$D$23*(1+Inputs!$L$4)^Financials!IM$3))*IM$9)</f>
        <v>1848611.8528620324</v>
      </c>
      <c r="IN12" s="18">
        <f>IF(IN$2&lt;'Data Sources'!$C$23,0,((Inputs!$D$25*Inputs!$D$23*(1+Inputs!$L$4)^Financials!IN$3))*IN$9)</f>
        <v>1788979.212447128</v>
      </c>
      <c r="IO12" s="18">
        <f>IF(IO$2&lt;'Data Sources'!$C$23,0,((Inputs!$D$25*Inputs!$D$23*(1+Inputs!$L$4)^Financials!IO$3))*IO$9)</f>
        <v>1848611.8528620324</v>
      </c>
      <c r="IP12" s="18">
        <f>IF(IP$2&lt;'Data Sources'!$C$23,0,((Inputs!$D$25*Inputs!$D$23*(1+Inputs!$L$4)^Financials!IP$3))*IP$9)</f>
        <v>1848611.8528620324</v>
      </c>
      <c r="IQ12" s="18">
        <f>IF(IQ$2&lt;'Data Sources'!$C$23,0,((Inputs!$D$25*Inputs!$D$23*(1+Inputs!$L$4)^Financials!IQ$3))*IQ$9)</f>
        <v>1788979.212447128</v>
      </c>
      <c r="IR12" s="18">
        <f>IF(IR$2&lt;'Data Sources'!$C$23,0,((Inputs!$D$25*Inputs!$D$23*(1+Inputs!$L$4)^Financials!IR$3))*IR$9)</f>
        <v>1848611.8528620324</v>
      </c>
      <c r="IS12" s="18">
        <f>IF(IS$2&lt;'Data Sources'!$C$23,0,((Inputs!$D$25*Inputs!$D$23*(1+Inputs!$L$4)^Financials!IS$3))*IS$9)</f>
        <v>1788979.212447128</v>
      </c>
      <c r="IT12" s="18">
        <f>IF(IT$2&lt;'Data Sources'!$C$23,0,((Inputs!$D$25*Inputs!$D$23*(1+Inputs!$L$4)^Financials!IT$3))*IT$9)</f>
        <v>1848611.8528620324</v>
      </c>
      <c r="IU12" s="18">
        <f>IF(IU$2&lt;'Data Sources'!$C$23,0,((Inputs!$D$25*Inputs!$D$23*(1+Inputs!$L$4)^Financials!IU$3))*IU$9)</f>
        <v>1848611.8528620324</v>
      </c>
      <c r="IV12" s="18">
        <f>IF(IV$2&lt;'Data Sources'!$C$23,0,((Inputs!$D$25*Inputs!$D$23*(1+Inputs!$L$4)^Financials!IV$3))*IV$9)</f>
        <v>1669713.9316173196</v>
      </c>
      <c r="IW12" s="18">
        <f>IF(IW$2&lt;'Data Sources'!$C$23,0,((Inputs!$D$25*Inputs!$D$23*(1+Inputs!$L$4)^Financials!IW$3))*IW$9)</f>
        <v>1848611.8528620324</v>
      </c>
      <c r="IX12" s="18">
        <f>IF(IX$2&lt;'Data Sources'!$C$23,0,((Inputs!$D$25*Inputs!$D$23*(1+Inputs!$L$4)^Financials!IX$3))*IX$9)</f>
        <v>1788979.212447128</v>
      </c>
      <c r="IY12" s="18">
        <f>IF(IY$2&lt;'Data Sources'!$C$23,0,((Inputs!$D$25*Inputs!$D$23*(1+Inputs!$L$4)^Financials!IY$3))*IY$9)</f>
        <v>1848611.8528620324</v>
      </c>
      <c r="IZ12" s="18">
        <f>IF(IZ$2&lt;'Data Sources'!$C$23,0,((Inputs!$D$25*Inputs!$D$23*(1+Inputs!$L$4)^Financials!IZ$3))*IZ$9)</f>
        <v>1788979.212447128</v>
      </c>
      <c r="JA12" s="18">
        <f>IF(JA$2&lt;'Data Sources'!$C$23,0,((Inputs!$D$25*Inputs!$D$23*(1+Inputs!$L$4)^Financials!JA$3))*JA$9)</f>
        <v>1848611.8528620324</v>
      </c>
      <c r="JB12" s="18">
        <f>IF(JB$2&lt;'Data Sources'!$C$23,0,((Inputs!$D$25*Inputs!$D$23*(1+Inputs!$L$4)^Financials!JB$3))*JB$9)</f>
        <v>1848611.8528620324</v>
      </c>
      <c r="JC12" s="18">
        <f>IF(JC$2&lt;'Data Sources'!$C$23,0,((Inputs!$D$25*Inputs!$D$23*(1+Inputs!$L$4)^Financials!JC$3))*JC$9)</f>
        <v>1788979.212447128</v>
      </c>
      <c r="JD12" s="18">
        <f>IF(JD$2&lt;'Data Sources'!$C$23,0,((Inputs!$D$25*Inputs!$D$23*(1+Inputs!$L$4)^Financials!JD$3))*JD$9)</f>
        <v>1848611.8528620324</v>
      </c>
      <c r="JE12" s="18">
        <f>IF(JE$2&lt;'Data Sources'!$C$23,0,((Inputs!$D$25*Inputs!$D$23*(1+Inputs!$L$4)^Financials!JE$3))*JE$9)</f>
        <v>1788979.212447128</v>
      </c>
      <c r="JF12" s="18">
        <f>IF(JF$2&lt;'Data Sources'!$C$23,0,((Inputs!$D$25*Inputs!$D$23*(1+Inputs!$L$4)^Financials!JF$3))*JF$9)</f>
        <v>1848611.8528620324</v>
      </c>
      <c r="JG12" s="18">
        <f>IF(JG$2&lt;'Data Sources'!$C$23,0,((Inputs!$D$25*Inputs!$D$23*(1+Inputs!$L$4)^Financials!JG$3))*JG$9)</f>
        <v>1848611.8528620324</v>
      </c>
      <c r="JH12" s="18">
        <f>IF(JH$2&lt;'Data Sources'!$C$23,0,((Inputs!$D$25*Inputs!$D$23*(1+Inputs!$L$4)^Financials!JH$3))*JH$9)</f>
        <v>1669713.9316173196</v>
      </c>
      <c r="JI12" s="18">
        <f>IF(JI$2&lt;'Data Sources'!$C$23,0,((Inputs!$D$25*Inputs!$D$23*(1+Inputs!$L$4)^Financials!JI$3))*JI$9)</f>
        <v>1848611.8528620324</v>
      </c>
      <c r="JJ12" s="18">
        <f>IF(JJ$2&lt;'Data Sources'!$C$23,0,((Inputs!$D$25*Inputs!$D$23*(1+Inputs!$L$4)^Financials!JJ$3))*JJ$9)</f>
        <v>1788979.212447128</v>
      </c>
      <c r="JK12" s="18">
        <f>IF(JK$2&lt;'Data Sources'!$C$23,0,((Inputs!$D$25*Inputs!$D$23*(1+Inputs!$L$4)^Financials!JK$3))*JK$9)</f>
        <v>1848611.8528620324</v>
      </c>
      <c r="JL12" s="18">
        <f>IF(JL$2&lt;'Data Sources'!$C$23,0,((Inputs!$D$25*Inputs!$D$23*(1+Inputs!$L$4)^Financials!JL$3))*JL$9)</f>
        <v>1788979.212447128</v>
      </c>
      <c r="JM12" s="18">
        <f>IF(JM$2&lt;'Data Sources'!$C$23,0,((Inputs!$D$25*Inputs!$D$23*(1+Inputs!$L$4)^Financials!JM$3))*JM$9)</f>
        <v>1848611.8528620324</v>
      </c>
      <c r="JN12" s="18">
        <f>IF(JN$2&lt;'Data Sources'!$C$23,0,((Inputs!$D$25*Inputs!$D$23*(1+Inputs!$L$4)^Financials!JN$3))*JN$9)</f>
        <v>1848611.8528620324</v>
      </c>
      <c r="JO12" s="18">
        <f>IF(JO$2&lt;'Data Sources'!$C$23,0,((Inputs!$D$25*Inputs!$D$23*(1+Inputs!$L$4)^Financials!JO$3))*JO$9)</f>
        <v>1788979.212447128</v>
      </c>
      <c r="JP12" s="18">
        <f>IF(JP$2&lt;'Data Sources'!$C$23,0,((Inputs!$D$25*Inputs!$D$23*(1+Inputs!$L$4)^Financials!JP$3))*JP$9)</f>
        <v>1848611.8528620324</v>
      </c>
      <c r="JQ12" s="18">
        <f>IF(JQ$2&lt;'Data Sources'!$C$23,0,((Inputs!$D$25*Inputs!$D$23*(1+Inputs!$L$4)^Financials!JQ$3))*JQ$9)</f>
        <v>1788979.212447128</v>
      </c>
      <c r="JR12" s="18">
        <f>IF(JR$2&lt;'Data Sources'!$C$23,0,((Inputs!$D$25*Inputs!$D$23*(1+Inputs!$L$4)^Financials!JR$3))*JR$9)</f>
        <v>1848611.8528620324</v>
      </c>
      <c r="JS12" s="18"/>
      <c r="JT12" s="18"/>
    </row>
    <row r="13" spans="2:280" x14ac:dyDescent="0.2">
      <c r="B13" s="22" t="str">
        <f>Inputs!B21</f>
        <v>RNG Sale price</v>
      </c>
      <c r="C13" s="18">
        <f>IF(C$1&lt;CapEx!$O$7,0,((Inputs!$D$44*Inputs!$D$21*(1+Inputs!$L$4)^Financials!C$3))*C$8)</f>
        <v>0</v>
      </c>
      <c r="D13" s="18">
        <f>IF(D$1&lt;CapEx!$O$7,0,((Inputs!$D$44*Inputs!$D$21*(1+Inputs!$L$4)^Financials!D$3))*D$8)</f>
        <v>0</v>
      </c>
      <c r="E13" s="18">
        <f>IF(E$1&lt;CapEx!$O$7,0,((Inputs!$D$44*Inputs!$D$21*(1+Inputs!$L$4)^Financials!E$3))*E$8)</f>
        <v>0</v>
      </c>
      <c r="F13" s="18">
        <f>IF(F$1&lt;CapEx!$O$7,0,((Inputs!$D$44*Inputs!$D$21*(1+Inputs!$L$4)^Financials!F$3))*F$8)</f>
        <v>0</v>
      </c>
      <c r="G13" s="18">
        <f>IF(G$1&lt;CapEx!$O$7,0,((Inputs!$D$44*Inputs!$D$21*(1+Inputs!$L$4)^Financials!G$3))*G$8)</f>
        <v>0</v>
      </c>
      <c r="H13" s="18">
        <f>IF(H$1&lt;CapEx!$O$7,0,((Inputs!$D$44*Inputs!$D$21*(1+Inputs!$L$4)^Financials!H$3))*H$8)</f>
        <v>0</v>
      </c>
      <c r="I13" s="18">
        <f>IF(I$1&lt;CapEx!$O$7,0,((Inputs!$D$44*Inputs!$D$21*(1+Inputs!$L$4)^Financials!I$3))*I$8)</f>
        <v>0</v>
      </c>
      <c r="J13" s="18">
        <f>IF(J$1&lt;CapEx!$O$7,0,((Inputs!$D$44*Inputs!$D$21*(1+Inputs!$L$4)^Financials!J$3))*J$8)</f>
        <v>0</v>
      </c>
      <c r="K13" s="18">
        <f>IF(K$1&lt;CapEx!$O$7,0,((Inputs!$D$44*Inputs!$D$21*(1+Inputs!$L$4)^Financials!K$3))*K$8)</f>
        <v>0</v>
      </c>
      <c r="L13" s="18">
        <f>IF(L$1&lt;CapEx!$O$7,0,((Inputs!$D$44*Inputs!$D$21*(1+Inputs!$L$4)^Financials!L$3))*L$8)</f>
        <v>0</v>
      </c>
      <c r="M13" s="18">
        <f>IF(M$1&lt;CapEx!$O$7,0,((Inputs!$D$44*Inputs!$D$21*(1+Inputs!$L$4)^Financials!M$3))*M$8)</f>
        <v>0</v>
      </c>
      <c r="N13" s="18">
        <f>IF(N$1&lt;CapEx!$O$7,0,((Inputs!$D$44*Inputs!$D$21*(1+Inputs!$L$4)^Financials!N$3))*N$8)</f>
        <v>0</v>
      </c>
      <c r="O13" s="18">
        <f>IF(O$1&lt;CapEx!$O$7,0,((Inputs!$D$44*Inputs!$D$21*(1+Inputs!$L$4)^Financials!O$3))*O$8)</f>
        <v>0</v>
      </c>
      <c r="P13" s="18">
        <f>IF(P$1&lt;CapEx!$O$7,0,((Inputs!$D$44*Inputs!$D$21*(1+Inputs!$L$4)^Financials!P$3))*P$8)</f>
        <v>0</v>
      </c>
      <c r="Q13" s="18">
        <f>IF(Q$1&lt;CapEx!$O$7,0,((Inputs!$D$44*Inputs!$D$21*(1+Inputs!$L$4)^Financials!Q$3))*Q$8)</f>
        <v>0</v>
      </c>
      <c r="R13" s="18">
        <f>IF(R$1&lt;CapEx!$O$7,0,((Inputs!$D$44*Inputs!$D$21*(1+Inputs!$L$4)^Financials!R$3))*R$8)</f>
        <v>0</v>
      </c>
      <c r="S13" s="18">
        <f>IF(S$1&lt;CapEx!$O$7,0,((Inputs!$D$44*Inputs!$D$21*(1+Inputs!$L$4)^Financials!S$3))*S$8)</f>
        <v>0</v>
      </c>
      <c r="T13" s="18">
        <f>IF(T$1&lt;CapEx!$O$7,0,((Inputs!$D$44*Inputs!$D$21*(1+Inputs!$L$4)^Financials!T$3))*T$8)</f>
        <v>0</v>
      </c>
      <c r="U13" s="18">
        <f>IF(U$1&lt;CapEx!$O$7,0,((Inputs!$D$44*Inputs!$D$21*(1+Inputs!$L$4)^Financials!U$3))*U$8)</f>
        <v>0</v>
      </c>
      <c r="V13" s="18">
        <f>IF(V$1&lt;CapEx!$O$7,0,((Inputs!$D$44*Inputs!$D$21*(1+Inputs!$L$4)^Financials!V$3))*V$8)</f>
        <v>0</v>
      </c>
      <c r="W13" s="18">
        <f>IF(W$1&lt;CapEx!$O$7,0,((Inputs!$D$44*Inputs!$D$21*(1+Inputs!$L$4)^Financials!W$3))*W$8)</f>
        <v>0</v>
      </c>
      <c r="X13" s="18">
        <f>IF(X$1&lt;CapEx!$O$7,0,((Inputs!$D$44*Inputs!$D$21*(1+Inputs!$L$4)^Financials!X$3))*X$8)</f>
        <v>0</v>
      </c>
      <c r="Y13" s="18">
        <f>IF(Y$1&lt;CapEx!$O$7,0,((Inputs!$D$44*Inputs!$D$21*(1+Inputs!$L$4)^Financials!Y$3))*Y$8)</f>
        <v>0</v>
      </c>
      <c r="Z13" s="18">
        <f>IF(Z$1&lt;CapEx!$O$7,0,((Inputs!$D$44*Inputs!$D$21*(1+Inputs!$L$4)^Financials!Z$3))*Z$8)</f>
        <v>0</v>
      </c>
      <c r="AA13" s="18">
        <f>IF(AA$1&lt;CapEx!$O$7,0,((Inputs!$D$44*Inputs!$D$21*(1+Inputs!$L$4)^Financials!AA$3))*AA$8)</f>
        <v>0</v>
      </c>
      <c r="AB13" s="18">
        <f>IF(AB$1&lt;CapEx!$O$7,0,((Inputs!$D$44*Inputs!$D$21*(1+Inputs!$L$4)^Financials!AB$3))*AB$8)</f>
        <v>0</v>
      </c>
      <c r="AC13" s="18">
        <f>IF(AC$1&lt;CapEx!$O$7,0,((Inputs!$D$44*Inputs!$D$21*(1+Inputs!$L$4)^Financials!AC$3))*AC$8)</f>
        <v>0</v>
      </c>
      <c r="AD13" s="18">
        <f>IF(AD$1&lt;CapEx!$O$7,0,((Inputs!$D$44*Inputs!$D$21*(1+Inputs!$L$4)^Financials!AD$3))*AD$8)</f>
        <v>0</v>
      </c>
      <c r="AE13" s="18">
        <f>IF(AE$1&lt;CapEx!$O$7,0,((Inputs!$D$44*Inputs!$D$21*(1+Inputs!$L$4)^Financials!AE$3))*AE$8)</f>
        <v>0</v>
      </c>
      <c r="AF13" s="18">
        <f>IF(AF$1&lt;CapEx!$O$7,0,((Inputs!$D$44*Inputs!$D$21*(1+Inputs!$L$4)^Financials!AF$3))*AF$8)</f>
        <v>0</v>
      </c>
      <c r="AG13" s="18">
        <f>IF(AG$1&lt;CapEx!$O$7,0,((Inputs!$D$44*Inputs!$D$21*(1+Inputs!$L$4)^Financials!AG$3))*AG$8)</f>
        <v>0</v>
      </c>
      <c r="AH13" s="18">
        <f>IF(AH$1&lt;CapEx!$O$7,0,((Inputs!$D$44*Inputs!$D$21*(1+Inputs!$L$4)^Financials!AH$3))*AH$8)</f>
        <v>0</v>
      </c>
      <c r="AI13" s="18">
        <f>IF(AI$1&lt;CapEx!$O$7,0,((Inputs!$D$44*Inputs!$D$21*(1+Inputs!$L$4)^Financials!AI$3))*AI$8)</f>
        <v>0</v>
      </c>
      <c r="AJ13" s="18">
        <f>IF(AJ$1&lt;CapEx!$O$7,0,((Inputs!$D$44*Inputs!$D$21*(1+Inputs!$L$4)^Financials!AJ$3))*AJ$8)</f>
        <v>0</v>
      </c>
      <c r="AK13" s="18">
        <f>IF(AK$1&lt;CapEx!$O$7,0,((Inputs!$D$44*Inputs!$D$21*(1+Inputs!$L$4)^Financials!AK$3))*AK$8)</f>
        <v>0</v>
      </c>
      <c r="AL13" s="18">
        <f>IF(AL$1&lt;CapEx!$O$7,0,((Inputs!$D$44*Inputs!$D$21*(1+Inputs!$L$4)^Financials!AL$3))*AL$8)</f>
        <v>0</v>
      </c>
      <c r="AM13" s="18">
        <f>IF(AM$1&lt;CapEx!$O$7,0,((Inputs!$D$44*Inputs!$D$21*(1+Inputs!$L$4)^Financials!AM$3))*AM$8)</f>
        <v>0</v>
      </c>
      <c r="AN13" s="18">
        <f>IF(AN$1&lt;CapEx!$O$7,0,((Inputs!$D$44*Inputs!$D$21*(1+Inputs!$L$4)^Financials!AN$3))*AN$8)</f>
        <v>0</v>
      </c>
      <c r="AO13" s="18">
        <f>IF(AO$1&lt;CapEx!$O$7,0,((Inputs!$D$44*Inputs!$D$21*(1+Inputs!$L$4)^Financials!AO$3))*AO$8)</f>
        <v>0</v>
      </c>
      <c r="AP13" s="18">
        <f>IF(AP$1&lt;CapEx!$O$7,0,((Inputs!$D$44*Inputs!$D$21*(1+Inputs!$L$4)^Financials!AP$3))*AP$8)</f>
        <v>0</v>
      </c>
      <c r="AQ13" s="18">
        <f>IF(AQ$1&lt;CapEx!$O$7,0,((Inputs!$D$44*Inputs!$D$21*(1+Inputs!$L$4)^Financials!AQ$3))*AQ$8)</f>
        <v>0</v>
      </c>
      <c r="AR13" s="18">
        <f>IF(AR$1&lt;CapEx!$O$7,0,((Inputs!$D$44*Inputs!$D$21*(1+Inputs!$L$4)^Financials!AR$3))*AR$8)</f>
        <v>0</v>
      </c>
      <c r="AS13" s="18">
        <f>IF(AS$1&lt;CapEx!$O$7,0,((Inputs!$D$44*Inputs!$D$21*(1+Inputs!$L$4)^Financials!AS$3))*AS$8)</f>
        <v>0</v>
      </c>
      <c r="AT13" s="18">
        <f>IF(AT$1&lt;CapEx!$O$7,0,((Inputs!$D$44*Inputs!$D$21*(1+Inputs!$L$4)^Financials!AT$3))*AT$8)</f>
        <v>0</v>
      </c>
      <c r="AU13" s="18">
        <f>IF(AU$1&lt;CapEx!$O$7,0,((Inputs!$D$44*Inputs!$D$21*(1+Inputs!$L$4)^Financials!AU$3))*AU$8)</f>
        <v>0</v>
      </c>
      <c r="AV13" s="18">
        <f>IF(AV$1&lt;CapEx!$O$7,0,((Inputs!$D$44*Inputs!$D$21*(1+Inputs!$L$4)^Financials!AV$3))*AV$8)</f>
        <v>0</v>
      </c>
      <c r="AW13" s="18">
        <f>IF(AW$1&lt;CapEx!$O$7,0,((Inputs!$D$44*Inputs!$D$21*(1+Inputs!$L$4)^Financials!AW$3))*AW$8)</f>
        <v>0</v>
      </c>
      <c r="AX13" s="18">
        <f>IF(AX$1&lt;CapEx!$O$7,0,((Inputs!$D$44*Inputs!$D$21*(1+Inputs!$L$4)^Financials!AX$3))*AX$8)</f>
        <v>0</v>
      </c>
      <c r="AY13" s="18">
        <f>IF(AY$1&lt;CapEx!$O$7,0,((Inputs!$D$44*Inputs!$D$21*(1+Inputs!$L$4)^Financials!AY$3))*AY$8)</f>
        <v>0</v>
      </c>
      <c r="AZ13" s="18">
        <f>IF(AZ$1&lt;CapEx!$O$7,0,((Inputs!$D$44*Inputs!$D$21*(1+Inputs!$L$4)^Financials!AZ$3))*AZ$8)</f>
        <v>0</v>
      </c>
      <c r="BA13" s="18">
        <f>IF(BA$1&lt;CapEx!$O$7,0,((Inputs!$D$44*Inputs!$D$21*(1+Inputs!$L$4)^Financials!BA$3))*BA$8)</f>
        <v>0</v>
      </c>
      <c r="BB13" s="18">
        <f>IF(BB$1&lt;CapEx!$O$7,0,((Inputs!$D$44*Inputs!$D$21*(1+Inputs!$L$4)^Financials!BB$3))*BB$8)</f>
        <v>0</v>
      </c>
      <c r="BC13" s="18">
        <f>IF(BC$1&lt;CapEx!$O$7,0,((Inputs!$D$44*Inputs!$D$21*(1+Inputs!$L$4)^Financials!BC$3))*BC$8)</f>
        <v>0</v>
      </c>
      <c r="BD13" s="18">
        <f>IF(BD$1&lt;CapEx!$O$7,0,((Inputs!$D$44*Inputs!$D$21*(1+Inputs!$L$4)^Financials!BD$3))*BD$8)</f>
        <v>0</v>
      </c>
      <c r="BE13" s="18">
        <f>IF(BE$1&lt;CapEx!$O$7,0,((Inputs!$D$44*Inputs!$D$21*(1+Inputs!$L$4)^Financials!BE$3))*BE$8)</f>
        <v>0</v>
      </c>
      <c r="BF13" s="18">
        <f>IF(BF$1&lt;CapEx!$O$7,0,((Inputs!$D$44*Inputs!$D$21*(1+Inputs!$L$4)^Financials!BF$3))*BF$8)</f>
        <v>0</v>
      </c>
      <c r="BG13" s="18">
        <f>IF(BG$1&lt;CapEx!$O$7,0,((Inputs!$D$44*Inputs!$D$21*(1+Inputs!$L$4)^Financials!BG$3))*BG$8)</f>
        <v>0</v>
      </c>
      <c r="BH13" s="18">
        <f>IF(BH$1&lt;CapEx!$O$7,0,((Inputs!$D$44*Inputs!$D$21*(1+Inputs!$L$4)^Financials!BH$3))*BH$8)</f>
        <v>0</v>
      </c>
      <c r="BI13" s="18">
        <f>IF(BI$1&lt;CapEx!$O$7,0,((Inputs!$D$44*Inputs!$D$21*(1+Inputs!$L$4)^Financials!BI$3))*BI$8)</f>
        <v>0</v>
      </c>
      <c r="BJ13" s="18">
        <f>IF(BJ$1&lt;CapEx!$O$7,0,((Inputs!$D$44*Inputs!$D$21*(1+Inputs!$L$4)^Financials!BJ$3))*BJ$8)</f>
        <v>0</v>
      </c>
      <c r="BK13" s="18">
        <f>IF(BK$1&lt;CapEx!$O$7,0,((Inputs!$D$44*Inputs!$D$21*(1+Inputs!$L$4)^Financials!BK$3))*BK$8)</f>
        <v>0</v>
      </c>
      <c r="BL13" s="18">
        <f>IF(BL$1&lt;CapEx!$O$7,0,((Inputs!$D$44*Inputs!$D$21*(1+Inputs!$L$4)^Financials!BL$3))*BL$8)</f>
        <v>0</v>
      </c>
      <c r="BM13" s="18">
        <f>IF(BM$1&lt;CapEx!$O$7,0,((Inputs!$D$44*Inputs!$D$21*(1+Inputs!$L$4)^Financials!BM$3))*BM$8)</f>
        <v>0</v>
      </c>
      <c r="BN13" s="18">
        <f>IF(BN$1&lt;CapEx!$O$7,0,((Inputs!$D$44*Inputs!$D$21*(1+Inputs!$L$4)^Financials!BN$3))*BN$8)</f>
        <v>0</v>
      </c>
      <c r="BO13" s="18">
        <f>IF(BO$1&lt;CapEx!$O$7,0,((Inputs!$D$44*Inputs!$D$21*(1+Inputs!$L$4)^Financials!BO$3))*BO$8)</f>
        <v>0</v>
      </c>
      <c r="BP13" s="18">
        <f>IF(BP$1&lt;CapEx!$O$7,0,((Inputs!$D$44*Inputs!$D$21*(1+Inputs!$L$4)^Financials!BP$3))*BP$8)</f>
        <v>0</v>
      </c>
      <c r="BQ13" s="18">
        <f>IF(BQ$1&lt;CapEx!$O$7,0,((Inputs!$D$44*Inputs!$D$21*(1+Inputs!$L$4)^Financials!BQ$3))*BQ$8)</f>
        <v>0</v>
      </c>
      <c r="BR13" s="18">
        <f>IF(BR$1&lt;CapEx!$O$7,0,((Inputs!$D$44*Inputs!$D$21*(1+Inputs!$L$4)^Financials!BR$3))*BR$8)</f>
        <v>0</v>
      </c>
      <c r="BS13" s="18">
        <f>IF(BS$1&lt;CapEx!$O$7,0,((Inputs!$D$44*Inputs!$D$21*(1+Inputs!$L$4)^Financials!BS$3))*BS$8)</f>
        <v>0</v>
      </c>
      <c r="BT13" s="18">
        <f>IF(BT$1&lt;CapEx!$O$7,0,((Inputs!$D$44*Inputs!$D$21*(1+Inputs!$L$4)^Financials!BT$3))*BT$8)</f>
        <v>0</v>
      </c>
      <c r="BU13" s="18">
        <f>IF(BU$1&lt;CapEx!$O$7,0,((Inputs!$D$44*Inputs!$D$21*(1+Inputs!$L$4)^Financials!BU$3))*BU$8)</f>
        <v>0</v>
      </c>
      <c r="BV13" s="18">
        <f>IF(BV$1&lt;CapEx!$O$7,0,((Inputs!$D$44*Inputs!$D$21*(1+Inputs!$L$4)^Financials!BV$3))*BV$8)</f>
        <v>0</v>
      </c>
      <c r="BW13" s="18">
        <f>IF(BW$1&lt;CapEx!$O$7,0,((Inputs!$D$44*Inputs!$D$21*(1+Inputs!$L$4)^Financials!BW$3))*BW$8)</f>
        <v>0</v>
      </c>
      <c r="BX13" s="18">
        <f>IF(BX$1&lt;CapEx!$O$7,0,((Inputs!$D$44*Inputs!$D$21*(1+Inputs!$L$4)^Financials!BX$3))*BX$8)</f>
        <v>0</v>
      </c>
      <c r="BY13" s="18">
        <f>IF(BY$1&lt;CapEx!$O$7,0,((Inputs!$D$44*Inputs!$D$21*(1+Inputs!$L$4)^Financials!BY$3))*BY$8)</f>
        <v>0</v>
      </c>
      <c r="BZ13" s="18">
        <f>IF(BZ$1&lt;CapEx!$O$7,0,((Inputs!$D$44*Inputs!$D$21*(1+Inputs!$L$4)^Financials!BZ$3))*BZ$8)</f>
        <v>0</v>
      </c>
      <c r="CA13" s="18">
        <f>IF(CA$1&lt;CapEx!$O$7,0,((Inputs!$D$44*Inputs!$D$21*(1+Inputs!$L$4)^Financials!CA$3))*CA$8)</f>
        <v>0</v>
      </c>
      <c r="CB13" s="18">
        <f>IF(CB$1&lt;CapEx!$O$7,0,((Inputs!$D$44*Inputs!$D$21*(1+Inputs!$L$4)^Financials!CB$3))*CB$8)</f>
        <v>0</v>
      </c>
      <c r="CC13" s="18">
        <f>IF(CC$1&lt;CapEx!$O$7,0,((Inputs!$D$44*Inputs!$D$21*(1+Inputs!$L$4)^Financials!CC$3))*CC$8)</f>
        <v>0</v>
      </c>
      <c r="CD13" s="18">
        <f>IF(CD$1&lt;CapEx!$O$7,0,((Inputs!$D$44*Inputs!$D$21*(1+Inputs!$L$4)^Financials!CD$3))*CD$8)</f>
        <v>0</v>
      </c>
      <c r="CE13" s="18">
        <f>IF(CE$1&lt;CapEx!$O$7,0,((Inputs!$D$44*Inputs!$D$21*(1+Inputs!$L$4)^Financials!CE$3))*CE$8)</f>
        <v>0</v>
      </c>
      <c r="CF13" s="18">
        <f>IF(CF$1&lt;CapEx!$O$7,0,((Inputs!$D$44*Inputs!$D$21*(1+Inputs!$L$4)^Financials!CF$3))*CF$8)</f>
        <v>0</v>
      </c>
      <c r="CG13" s="18">
        <f>IF(CG$1&lt;CapEx!$O$7,0,((Inputs!$D$44*Inputs!$D$21*(1+Inputs!$L$4)^Financials!CG$3))*CG$8)</f>
        <v>0</v>
      </c>
      <c r="CH13" s="18">
        <f>IF(CH$1&lt;CapEx!$O$7,0,((Inputs!$D$44*Inputs!$D$21*(1+Inputs!$L$4)^Financials!CH$3))*CH$8)</f>
        <v>0</v>
      </c>
      <c r="CI13" s="18">
        <f>IF(CI$1&lt;CapEx!$O$7,0,((Inputs!$D$44*Inputs!$D$21*(1+Inputs!$L$4)^Financials!CI$3))*CI$8)</f>
        <v>0</v>
      </c>
      <c r="CJ13" s="18">
        <f>IF(CJ$1&lt;CapEx!$O$7,0,((Inputs!$D$44*Inputs!$D$21*(1+Inputs!$L$4)^Financials!CJ$3))*CJ$8)</f>
        <v>0</v>
      </c>
      <c r="CK13" s="18">
        <f>IF(CK$1&lt;CapEx!$O$7,0,((Inputs!$D$44*Inputs!$D$21*(1+Inputs!$L$4)^Financials!CK$3))*CK$8)</f>
        <v>0</v>
      </c>
      <c r="CL13" s="18">
        <f>IF(CL$1&lt;CapEx!$O$7,0,((Inputs!$D$44*Inputs!$D$21*(1+Inputs!$L$4)^Financials!CL$3))*CL$8)</f>
        <v>0</v>
      </c>
      <c r="CM13" s="18">
        <f>IF(CM$1&lt;CapEx!$O$7,0,((Inputs!$D$44*Inputs!$D$21*(1+Inputs!$L$4)^Financials!CM$3))*CM$8)</f>
        <v>0</v>
      </c>
      <c r="CN13" s="18">
        <f>IF(CN$1&lt;CapEx!$O$7,0,((Inputs!$D$44*Inputs!$D$21*(1+Inputs!$L$4)^Financials!CN$3))*CN$8)</f>
        <v>0</v>
      </c>
      <c r="CO13" s="18">
        <f>IF(CO$1&lt;CapEx!$O$7,0,((Inputs!$D$44*Inputs!$D$21*(1+Inputs!$L$4)^Financials!CO$3))*CO$8)</f>
        <v>0</v>
      </c>
      <c r="CP13" s="18">
        <f>IF(CP$1&lt;CapEx!$O$7,0,((Inputs!$D$44*Inputs!$D$21*(1+Inputs!$L$4)^Financials!CP$3))*CP$8)</f>
        <v>0</v>
      </c>
      <c r="CQ13" s="18">
        <f>IF(CQ$1&lt;CapEx!$O$7,0,((Inputs!$D$44*Inputs!$D$21*(1+Inputs!$L$4)^Financials!CQ$3))*CQ$8)</f>
        <v>0</v>
      </c>
      <c r="CR13" s="18">
        <f>IF(CR$1&lt;CapEx!$O$7,0,((Inputs!$D$44*Inputs!$D$21*(1+Inputs!$L$4)^Financials!CR$3))*CR$8)</f>
        <v>0</v>
      </c>
      <c r="CS13" s="18">
        <f>IF(CS$1&lt;CapEx!$O$7,0,((Inputs!$D$44*Inputs!$D$21*(1+Inputs!$L$4)^Financials!CS$3))*CS$8)</f>
        <v>0</v>
      </c>
      <c r="CT13" s="18">
        <f>IF(CT$1&lt;CapEx!$O$7,0,((Inputs!$D$44*Inputs!$D$21*(1+Inputs!$L$4)^Financials!CT$3))*CT$8)</f>
        <v>0</v>
      </c>
      <c r="CU13" s="18">
        <f>IF(CU$1&lt;CapEx!$O$7,0,((Inputs!$D$44*Inputs!$D$21*(1+Inputs!$L$4)^Financials!CU$3))*CU$8)</f>
        <v>0</v>
      </c>
      <c r="CV13" s="18">
        <f>IF(CV$1&lt;CapEx!$O$7,0,((Inputs!$D$44*Inputs!$D$21*(1+Inputs!$L$4)^Financials!CV$3))*CV$8)</f>
        <v>0</v>
      </c>
      <c r="CW13" s="18">
        <f>IF(CW$1&lt;CapEx!$O$7,0,((Inputs!$D$44*Inputs!$D$21*(1+Inputs!$L$4)^Financials!CW$3))*CW$8)</f>
        <v>0</v>
      </c>
      <c r="CX13" s="18">
        <f>IF(CX$1&lt;CapEx!$O$7,0,((Inputs!$D$44*Inputs!$D$21*(1+Inputs!$L$4)^Financials!CX$3))*CX$8)</f>
        <v>0</v>
      </c>
      <c r="CY13" s="18">
        <f>IF(CY$1&lt;CapEx!$O$7,0,((Inputs!$D$44*Inputs!$D$21*(1+Inputs!$L$4)^Financials!CY$3))*CY$8)</f>
        <v>0</v>
      </c>
      <c r="CZ13" s="18">
        <f>IF(CZ$1&lt;CapEx!$O$7,0,((Inputs!$D$44*Inputs!$D$21*(1+Inputs!$L$4)^Financials!CZ$3))*CZ$8)</f>
        <v>0</v>
      </c>
      <c r="DA13" s="18">
        <f>IF(DA$1&lt;CapEx!$O$7,0,((Inputs!$D$44*Inputs!$D$21*(1+Inputs!$L$4)^Financials!DA$3))*DA$8)</f>
        <v>0</v>
      </c>
      <c r="DB13" s="18">
        <f>IF(DB$1&lt;CapEx!$O$7,0,((Inputs!$D$44*Inputs!$D$21*(1+Inputs!$L$4)^Financials!DB$3))*DB$8)</f>
        <v>0</v>
      </c>
      <c r="DC13" s="18">
        <f>IF(DC$1&lt;CapEx!$O$7,0,((Inputs!$D$44*Inputs!$D$21*(1+Inputs!$L$4)^Financials!DC$3))*DC$8)</f>
        <v>0</v>
      </c>
      <c r="DD13" s="18">
        <f>IF(DD$1&lt;CapEx!$O$7,0,((Inputs!$D$44*Inputs!$D$21*(1+Inputs!$L$4)^Financials!DD$3))*DD$8)</f>
        <v>0</v>
      </c>
      <c r="DE13" s="18">
        <f>IF(DE$1&lt;CapEx!$O$7,0,((Inputs!$D$44*Inputs!$D$21*(1+Inputs!$L$4)^Financials!DE$3))*DE$8)</f>
        <v>0</v>
      </c>
      <c r="DF13" s="18">
        <f>IF(DF$1&lt;CapEx!$O$7,0,((Inputs!$D$44*Inputs!$D$21*(1+Inputs!$L$4)^Financials!DF$3))*DF$8)</f>
        <v>0</v>
      </c>
      <c r="DG13" s="18">
        <f>IF(DG$1&lt;CapEx!$O$7,0,((Inputs!$D$44*Inputs!$D$21*(1+Inputs!$L$4)^Financials!DG$3))*DG$8)</f>
        <v>0</v>
      </c>
      <c r="DH13" s="18">
        <f>IF(DH$1&lt;CapEx!$O$7,0,((Inputs!$D$44*Inputs!$D$21*(1+Inputs!$L$4)^Financials!DH$3))*DH$8)</f>
        <v>0</v>
      </c>
      <c r="DI13" s="18">
        <f>IF(DI$1&lt;CapEx!$O$7,0,((Inputs!$D$44*Inputs!$D$21*(1+Inputs!$L$4)^Financials!DI$3))*DI$8)</f>
        <v>0</v>
      </c>
      <c r="DJ13" s="18">
        <f>IF(DJ$1&lt;CapEx!$O$7,0,((Inputs!$D$44*Inputs!$D$21*(1+Inputs!$L$4)^Financials!DJ$3))*DJ$8)</f>
        <v>0</v>
      </c>
      <c r="DK13" s="18">
        <f>IF(DK$1&lt;CapEx!$O$7,0,((Inputs!$D$44*Inputs!$D$21*(1+Inputs!$L$4)^Financials!DK$3))*DK$8)</f>
        <v>0</v>
      </c>
      <c r="DL13" s="18">
        <f>IF(DL$1&lt;CapEx!$O$7,0,((Inputs!$D$44*Inputs!$D$21*(1+Inputs!$L$4)^Financials!DL$3))*DL$8)</f>
        <v>0</v>
      </c>
      <c r="DM13" s="18">
        <f>IF(DM$1&lt;CapEx!$O$7,0,((Inputs!$D$44*Inputs!$D$21*(1+Inputs!$L$4)^Financials!DM$3))*DM$8)</f>
        <v>0</v>
      </c>
      <c r="DN13" s="18">
        <f>IF(DN$1&lt;CapEx!$O$7,0,((Inputs!$D$44*Inputs!$D$21*(1+Inputs!$L$4)^Financials!DN$3))*DN$8)</f>
        <v>0</v>
      </c>
      <c r="DO13" s="18">
        <f>IF(DO$1&lt;CapEx!$O$7,0,((Inputs!$D$44*Inputs!$D$21*(1+Inputs!$L$4)^Financials!DO$3))*DO$8)</f>
        <v>0</v>
      </c>
      <c r="DP13" s="18">
        <f>IF(DP$1&lt;CapEx!$O$7,0,((Inputs!$D$44*Inputs!$D$21*(1+Inputs!$L$4)^Financials!DP$3))*DP$8)</f>
        <v>0</v>
      </c>
      <c r="DQ13" s="18">
        <f>IF(DQ$1&lt;CapEx!$O$7,0,((Inputs!$D$44*Inputs!$D$21*(1+Inputs!$L$4)^Financials!DQ$3))*DQ$8)</f>
        <v>0</v>
      </c>
      <c r="DR13" s="18">
        <f>IF(DR$1&lt;CapEx!$O$7,0,((Inputs!$D$44*Inputs!$D$21*(1+Inputs!$L$4)^Financials!DR$3))*DR$8)</f>
        <v>0</v>
      </c>
      <c r="DS13" s="18">
        <f>IF(DS$1&lt;CapEx!$O$7,0,((Inputs!$D$44*Inputs!$D$21*(1+Inputs!$L$4)^Financials!DS$3))*DS$8)</f>
        <v>0</v>
      </c>
      <c r="DT13" s="18">
        <f>IF(DT$1&lt;CapEx!$O$7,0,((Inputs!$D$44*Inputs!$D$21*(1+Inputs!$L$4)^Financials!DT$3))*DT$8)</f>
        <v>0</v>
      </c>
      <c r="DU13" s="18">
        <f>IF(DU$1&lt;CapEx!$O$7,0,((Inputs!$D$44*Inputs!$D$21*(1+Inputs!$L$4)^Financials!DU$3))*DU$8)</f>
        <v>0</v>
      </c>
      <c r="DV13" s="18">
        <f>IF(DV$1&lt;CapEx!$O$7,0,((Inputs!$D$44*Inputs!$D$21*(1+Inputs!$L$4)^Financials!DV$3))*DV$8)</f>
        <v>0</v>
      </c>
      <c r="DW13" s="18">
        <f>IF(DW$1&lt;CapEx!$O$7,0,((Inputs!$D$44*Inputs!$D$21*(1+Inputs!$L$4)^Financials!DW$3))*DW$8)</f>
        <v>0</v>
      </c>
      <c r="DX13" s="18">
        <f>IF(DX$1&lt;CapEx!$O$7,0,((Inputs!$D$44*Inputs!$D$21*(1+Inputs!$L$4)^Financials!DX$3))*DX$8)</f>
        <v>0</v>
      </c>
      <c r="DY13" s="18">
        <f>IF(DY$1&lt;CapEx!$O$7,0,((Inputs!$D$44*Inputs!$D$21*(1+Inputs!$L$4)^Financials!DY$3))*DY$8)</f>
        <v>0</v>
      </c>
      <c r="DZ13" s="18">
        <f>IF(DZ$1&lt;CapEx!$O$7,0,((Inputs!$D$44*Inputs!$D$21*(1+Inputs!$L$4)^Financials!DZ$3))*DZ$8)</f>
        <v>0</v>
      </c>
      <c r="EA13" s="18">
        <f>IF(EA$1&lt;CapEx!$O$7,0,((Inputs!$D$44*Inputs!$D$21*(1+Inputs!$L$4)^Financials!EA$3))*EA$8)</f>
        <v>0</v>
      </c>
      <c r="EB13" s="18">
        <f>IF(EB$1&lt;CapEx!$O$7,0,((Inputs!$D$44*Inputs!$D$21*(1+Inputs!$L$4)^Financials!EB$3))*EB$8)</f>
        <v>0</v>
      </c>
      <c r="EC13" s="18">
        <f>IF(EC$1&lt;CapEx!$O$7,0,((Inputs!$D$44*Inputs!$D$21*(1+Inputs!$L$4)^Financials!EC$3))*EC$8)</f>
        <v>0</v>
      </c>
      <c r="ED13" s="18">
        <f>IF(ED$1&lt;CapEx!$O$7,0,((Inputs!$D$44*Inputs!$D$21*(1+Inputs!$L$4)^Financials!ED$3))*ED$8)</f>
        <v>0</v>
      </c>
      <c r="EE13" s="18">
        <f>IF(EE$1&lt;CapEx!$O$7,0,((Inputs!$D$44*Inputs!$D$21*(1+Inputs!$L$4)^Financials!EE$3))*EE$8)</f>
        <v>0</v>
      </c>
      <c r="EF13" s="18">
        <f>IF(EF$1&lt;CapEx!$O$7,0,((Inputs!$D$44*Inputs!$D$21*(1+Inputs!$L$4)^Financials!EF$3))*EF$8)</f>
        <v>0</v>
      </c>
      <c r="EG13" s="18">
        <f>IF(EG$1&lt;CapEx!$O$7,0,((Inputs!$D$44*Inputs!$D$21*(1+Inputs!$L$4)^Financials!EG$3))*EG$8)</f>
        <v>0</v>
      </c>
      <c r="EH13" s="18">
        <f>IF(EH$1&lt;CapEx!$O$7,0,((Inputs!$D$44*Inputs!$D$21*(1+Inputs!$L$4)^Financials!EH$3))*EH$8)</f>
        <v>0</v>
      </c>
      <c r="EI13" s="18">
        <f>IF(EI$1&lt;CapEx!$O$7,0,((Inputs!$D$44*Inputs!$D$21*(1+Inputs!$L$4)^Financials!EI$3))*EI$8)</f>
        <v>0</v>
      </c>
      <c r="EJ13" s="18">
        <f>IF(EJ$1&lt;CapEx!$O$7,0,((Inputs!$D$44*Inputs!$D$21*(1+Inputs!$L$4)^Financials!EJ$3))*EJ$8)</f>
        <v>0</v>
      </c>
      <c r="EK13" s="18">
        <f>IF(EK$1&lt;CapEx!$O$7,0,((Inputs!$D$44*Inputs!$D$21*(1+Inputs!$L$4)^Financials!EK$3))*EK$8)</f>
        <v>0</v>
      </c>
      <c r="EL13" s="18">
        <f>IF(EL$1&lt;CapEx!$O$7,0,((Inputs!$D$44*Inputs!$D$21*(1+Inputs!$L$4)^Financials!EL$3))*EL$8)</f>
        <v>0</v>
      </c>
      <c r="EM13" s="18">
        <f>IF(EM$1&lt;CapEx!$O$7,0,((Inputs!$D$44*Inputs!$D$21*(1+Inputs!$L$4)^Financials!EM$3))*EM$8)</f>
        <v>0</v>
      </c>
      <c r="EN13" s="18">
        <f>IF(EN$1&lt;CapEx!$O$7,0,((Inputs!$D$44*Inputs!$D$21*(1+Inputs!$L$4)^Financials!EN$3))*EN$8)</f>
        <v>0</v>
      </c>
      <c r="EO13" s="18">
        <f>IF(EO$1&lt;CapEx!$O$7,0,((Inputs!$D$44*Inputs!$D$21*(1+Inputs!$L$4)^Financials!EO$3))*EO$8)</f>
        <v>0</v>
      </c>
      <c r="EP13" s="18">
        <f>IF(EP$1&lt;CapEx!$O$7,0,((Inputs!$D$44*Inputs!$D$21*(1+Inputs!$L$4)^Financials!EP$3))*EP$8)</f>
        <v>0</v>
      </c>
      <c r="EQ13" s="18">
        <f>IF(EQ$1&lt;CapEx!$O$7,0,((Inputs!$D$44*Inputs!$D$21*(1+Inputs!$L$4)^Financials!EQ$3))*EQ$8)</f>
        <v>0</v>
      </c>
      <c r="ER13" s="18">
        <f>IF(ER$1&lt;CapEx!$O$7,0,((Inputs!$D$44*Inputs!$D$21*(1+Inputs!$L$4)^Financials!ER$3))*ER$8)</f>
        <v>0</v>
      </c>
      <c r="ES13" s="18">
        <f>IF(ES$1&lt;CapEx!$O$7,0,((Inputs!$D$44*Inputs!$D$21*(1+Inputs!$L$4)^Financials!ES$3))*ES$8)</f>
        <v>0</v>
      </c>
      <c r="ET13" s="18">
        <f>IF(ET$1&lt;CapEx!$O$7,0,((Inputs!$D$44*Inputs!$D$21*(1+Inputs!$L$4)^Financials!ET$3))*ET$8)</f>
        <v>0</v>
      </c>
      <c r="EU13" s="18">
        <f>IF(EU$1&lt;CapEx!$O$7,0,((Inputs!$D$44*Inputs!$D$21*(1+Inputs!$L$4)^Financials!EU$3))*EU$8)</f>
        <v>0</v>
      </c>
      <c r="EV13" s="18">
        <f>IF(EV$1&lt;CapEx!$O$7,0,((Inputs!$D$44*Inputs!$D$21*(1+Inputs!$L$4)^Financials!EV$3))*EV$8)</f>
        <v>0</v>
      </c>
      <c r="EW13" s="18">
        <f>IF(EW$1&lt;CapEx!$O$7,0,((Inputs!$D$44*Inputs!$D$21*(1+Inputs!$L$4)^Financials!EW$3))*EW$8)</f>
        <v>0</v>
      </c>
      <c r="EX13" s="18">
        <f>IF(EX$1&lt;CapEx!$O$7,0,((Inputs!$D$44*Inputs!$D$21*(1+Inputs!$L$4)^Financials!EX$3))*EX$8)</f>
        <v>0</v>
      </c>
      <c r="EY13" s="18">
        <f>IF(EY$1&lt;CapEx!$O$7,0,((Inputs!$D$44*Inputs!$D$21*(1+Inputs!$L$4)^Financials!EY$3))*EY$8)</f>
        <v>0</v>
      </c>
      <c r="EZ13" s="18">
        <f>IF(EZ$1&lt;CapEx!$O$7,0,((Inputs!$D$44*Inputs!$D$21*(1+Inputs!$L$4)^Financials!EZ$3))*EZ$8)</f>
        <v>0</v>
      </c>
      <c r="FA13" s="18">
        <f>IF(FA$1&lt;CapEx!$O$7,0,((Inputs!$D$44*Inputs!$D$21*(1+Inputs!$L$4)^Financials!FA$3))*FA$8)</f>
        <v>0</v>
      </c>
      <c r="FB13" s="18">
        <f>IF(FB$1&lt;CapEx!$O$7,0,((Inputs!$D$44*Inputs!$D$21*(1+Inputs!$L$4)^Financials!FB$3))*FB$8)</f>
        <v>0</v>
      </c>
      <c r="FC13" s="18">
        <f>IF(FC$1&lt;CapEx!$O$7,0,((Inputs!$D$44*Inputs!$D$21*(1+Inputs!$L$4)^Financials!FC$3))*FC$8)</f>
        <v>0</v>
      </c>
      <c r="FD13" s="18">
        <f>IF(FD$1&lt;CapEx!$O$7,0,((Inputs!$D$44*Inputs!$D$21*(1+Inputs!$L$4)^Financials!FD$3))*FD$8)</f>
        <v>0</v>
      </c>
      <c r="FE13" s="18">
        <f>IF(FE$1&lt;CapEx!$O$7,0,((Inputs!$D$44*Inputs!$D$21*(1+Inputs!$L$4)^Financials!FE$3))*FE$8)</f>
        <v>0</v>
      </c>
      <c r="FF13" s="18">
        <f>IF(FF$1&lt;CapEx!$O$7,0,((Inputs!$D$44*Inputs!$D$21*(1+Inputs!$L$4)^Financials!FF$3))*FF$8)</f>
        <v>0</v>
      </c>
      <c r="FG13" s="18">
        <f>IF(FG$1&lt;CapEx!$O$7,0,((Inputs!$D$44*Inputs!$D$21*(1+Inputs!$L$4)^Financials!FG$3))*FG$8)</f>
        <v>0</v>
      </c>
      <c r="FH13" s="18">
        <f>IF(FH$1&lt;CapEx!$O$7,0,((Inputs!$D$44*Inputs!$D$21*(1+Inputs!$L$4)^Financials!FH$3))*FH$8)</f>
        <v>0</v>
      </c>
      <c r="FI13" s="18">
        <f>IF(FI$1&lt;CapEx!$O$7,0,((Inputs!$D$44*Inputs!$D$21*(1+Inputs!$L$4)^Financials!FI$3))*FI$8)</f>
        <v>0</v>
      </c>
      <c r="FJ13" s="18">
        <f>IF(FJ$1&lt;CapEx!$O$7,0,((Inputs!$D$44*Inputs!$D$21*(1+Inputs!$L$4)^Financials!FJ$3))*FJ$8)</f>
        <v>0</v>
      </c>
      <c r="FK13" s="18">
        <f>IF(FK$1&lt;CapEx!$O$7,0,((Inputs!$D$44*Inputs!$D$21*(1+Inputs!$L$4)^Financials!FK$3))*FK$8)</f>
        <v>0</v>
      </c>
      <c r="FL13" s="18">
        <f>IF(FL$1&lt;CapEx!$O$7,0,((Inputs!$D$44*Inputs!$D$21*(1+Inputs!$L$4)^Financials!FL$3))*FL$8)</f>
        <v>0</v>
      </c>
      <c r="FM13" s="18">
        <f>IF(FM$1&lt;CapEx!$O$7,0,((Inputs!$D$44*Inputs!$D$21*(1+Inputs!$L$4)^Financials!FM$3))*FM$8)</f>
        <v>0</v>
      </c>
      <c r="FN13" s="18">
        <f>IF(FN$1&lt;CapEx!$O$7,0,((Inputs!$D$44*Inputs!$D$21*(1+Inputs!$L$4)^Financials!FN$3))*FN$8)</f>
        <v>0</v>
      </c>
      <c r="FO13" s="18">
        <f>IF(FO$1&lt;CapEx!$O$7,0,((Inputs!$D$44*Inputs!$D$21*(1+Inputs!$L$4)^Financials!FO$3))*FO$8)</f>
        <v>0</v>
      </c>
      <c r="FP13" s="18">
        <f>IF(FP$1&lt;CapEx!$O$7,0,((Inputs!$D$44*Inputs!$D$21*(1+Inputs!$L$4)^Financials!FP$3))*FP$8)</f>
        <v>0</v>
      </c>
      <c r="FQ13" s="18">
        <f>IF(FQ$1&lt;CapEx!$O$7,0,((Inputs!$D$44*Inputs!$D$21*(1+Inputs!$L$4)^Financials!FQ$3))*FQ$8)</f>
        <v>0</v>
      </c>
      <c r="FR13" s="18">
        <f>IF(FR$1&lt;CapEx!$O$7,0,((Inputs!$D$44*Inputs!$D$21*(1+Inputs!$L$4)^Financials!FR$3))*FR$8)</f>
        <v>0</v>
      </c>
      <c r="FS13" s="18">
        <f>IF(FS$1&lt;CapEx!$O$7,0,((Inputs!$D$44*Inputs!$D$21*(1+Inputs!$L$4)^Financials!FS$3))*FS$8)</f>
        <v>0</v>
      </c>
      <c r="FT13" s="18">
        <f>IF(FT$1&lt;CapEx!$O$7,0,((Inputs!$D$44*Inputs!$D$21*(1+Inputs!$L$4)^Financials!FT$3))*FT$8)</f>
        <v>0</v>
      </c>
      <c r="FU13" s="18">
        <f>IF(FU$1&lt;CapEx!$O$7,0,((Inputs!$D$44*Inputs!$D$21*(1+Inputs!$L$4)^Financials!FU$3))*FU$8)</f>
        <v>0</v>
      </c>
      <c r="FV13" s="18">
        <f>IF(FV$1&lt;CapEx!$O$7,0,((Inputs!$D$44*Inputs!$D$21*(1+Inputs!$L$4)^Financials!FV$3))*FV$8)</f>
        <v>0</v>
      </c>
      <c r="FW13" s="18">
        <f>IF(FW$1&lt;CapEx!$O$7,0,((Inputs!$D$44*Inputs!$D$21*(1+Inputs!$L$4)^Financials!FW$3))*FW$8)</f>
        <v>0</v>
      </c>
      <c r="FX13" s="18">
        <f>IF(FX$1&lt;CapEx!$O$7,0,((Inputs!$D$44*Inputs!$D$21*(1+Inputs!$L$4)^Financials!FX$3))*FX$8)</f>
        <v>0</v>
      </c>
      <c r="FY13" s="18">
        <f>IF(FY$1&lt;CapEx!$O$7,0,((Inputs!$D$44*Inputs!$D$21*(1+Inputs!$L$4)^Financials!FY$3))*FY$8)</f>
        <v>0</v>
      </c>
      <c r="FZ13" s="18">
        <f>IF(FZ$1&lt;CapEx!$O$7,0,((Inputs!$D$44*Inputs!$D$21*(1+Inputs!$L$4)^Financials!FZ$3))*FZ$8)</f>
        <v>0</v>
      </c>
      <c r="GA13" s="18">
        <f>IF(GA$1&lt;CapEx!$O$7,0,((Inputs!$D$44*Inputs!$D$21*(1+Inputs!$L$4)^Financials!GA$3))*GA$8)</f>
        <v>0</v>
      </c>
      <c r="GB13" s="18">
        <f>IF(GB$1&lt;CapEx!$O$7,0,((Inputs!$D$44*Inputs!$D$21*(1+Inputs!$L$4)^Financials!GB$3))*GB$8)</f>
        <v>0</v>
      </c>
      <c r="GC13" s="18">
        <f>IF(GC$1&lt;CapEx!$O$7,0,((Inputs!$D$44*Inputs!$D$21*(1+Inputs!$L$4)^Financials!GC$3))*GC$8)</f>
        <v>0</v>
      </c>
      <c r="GD13" s="18">
        <f>IF(GD$1&lt;CapEx!$O$7,0,((Inputs!$D$44*Inputs!$D$21*(1+Inputs!$L$4)^Financials!GD$3))*GD$8)</f>
        <v>0</v>
      </c>
      <c r="GE13" s="18">
        <f>IF(GE$1&lt;CapEx!$O$7,0,((Inputs!$D$44*Inputs!$D$21*(1+Inputs!$L$4)^Financials!GE$3))*GE$8)</f>
        <v>0</v>
      </c>
      <c r="GF13" s="18">
        <f>IF(GF$1&lt;CapEx!$O$7,0,((Inputs!$D$44*Inputs!$D$21*(1+Inputs!$L$4)^Financials!GF$3))*GF$8)</f>
        <v>0</v>
      </c>
      <c r="GG13" s="18">
        <f>IF(GG$1&lt;CapEx!$O$7,0,((Inputs!$D$44*Inputs!$D$21*(1+Inputs!$L$4)^Financials!GG$3))*GG$8)</f>
        <v>0</v>
      </c>
      <c r="GH13" s="18">
        <f>IF(GH$1&lt;CapEx!$O$7,0,((Inputs!$D$44*Inputs!$D$21*(1+Inputs!$L$4)^Financials!GH$3))*GH$8)</f>
        <v>0</v>
      </c>
      <c r="GI13" s="18">
        <f>IF(GI$1&lt;CapEx!$O$7,0,((Inputs!$D$44*Inputs!$D$21*(1+Inputs!$L$4)^Financials!GI$3))*GI$8)</f>
        <v>0</v>
      </c>
      <c r="GJ13" s="18">
        <f>IF(GJ$1&lt;CapEx!$O$7,0,((Inputs!$D$44*Inputs!$D$21*(1+Inputs!$L$4)^Financials!GJ$3))*GJ$8)</f>
        <v>0</v>
      </c>
      <c r="GK13" s="18">
        <f>IF(GK$1&lt;CapEx!$O$7,0,((Inputs!$D$44*Inputs!$D$21*(1+Inputs!$L$4)^Financials!GK$3))*GK$8)</f>
        <v>0</v>
      </c>
      <c r="GL13" s="18">
        <f>IF(GL$1&lt;CapEx!$O$7,0,((Inputs!$D$44*Inputs!$D$21*(1+Inputs!$L$4)^Financials!GL$3))*GL$8)</f>
        <v>0</v>
      </c>
      <c r="GM13" s="18">
        <f>IF(GM$1&lt;CapEx!$O$7,0,((Inputs!$D$44*Inputs!$D$21*(1+Inputs!$L$4)^Financials!GM$3))*GM$8)</f>
        <v>0</v>
      </c>
      <c r="GN13" s="18">
        <f>IF(GN$1&lt;CapEx!$O$7,0,((Inputs!$D$44*Inputs!$D$21*(1+Inputs!$L$4)^Financials!GN$3))*GN$8)</f>
        <v>0</v>
      </c>
      <c r="GO13" s="18">
        <f>IF(GO$1&lt;CapEx!$O$7,0,((Inputs!$D$44*Inputs!$D$21*(1+Inputs!$L$4)^Financials!GO$3))*GO$8)</f>
        <v>0</v>
      </c>
      <c r="GP13" s="18">
        <f>IF(GP$1&lt;CapEx!$O$7,0,((Inputs!$D$44*Inputs!$D$21*(1+Inputs!$L$4)^Financials!GP$3))*GP$8)</f>
        <v>0</v>
      </c>
      <c r="GQ13" s="18">
        <f>IF(GQ$1&lt;CapEx!$O$7,0,((Inputs!$D$44*Inputs!$D$21*(1+Inputs!$L$4)^Financials!GQ$3))*GQ$8)</f>
        <v>0</v>
      </c>
      <c r="GR13" s="18">
        <f>IF(GR$1&lt;CapEx!$O$7,0,((Inputs!$D$44*Inputs!$D$21*(1+Inputs!$L$4)^Financials!GR$3))*GR$8)</f>
        <v>0</v>
      </c>
      <c r="GS13" s="18">
        <f>IF(GS$1&lt;CapEx!$O$7,0,((Inputs!$D$44*Inputs!$D$21*(1+Inputs!$L$4)^Financials!GS$3))*GS$8)</f>
        <v>0</v>
      </c>
      <c r="GT13" s="18">
        <f>IF(GT$1&lt;CapEx!$O$7,0,((Inputs!$D$44*Inputs!$D$21*(1+Inputs!$L$4)^Financials!GT$3))*GT$8)</f>
        <v>0</v>
      </c>
      <c r="GU13" s="18">
        <f>IF(GU$1&lt;CapEx!$O$7,0,((Inputs!$D$44*Inputs!$D$21*(1+Inputs!$L$4)^Financials!GU$3))*GU$8)</f>
        <v>0</v>
      </c>
      <c r="GV13" s="18">
        <f>IF(GV$1&lt;CapEx!$O$7,0,((Inputs!$D$44*Inputs!$D$21*(1+Inputs!$L$4)^Financials!GV$3))*GV$8)</f>
        <v>0</v>
      </c>
      <c r="GW13" s="18">
        <f>IF(GW$1&lt;CapEx!$O$7,0,((Inputs!$D$44*Inputs!$D$21*(1+Inputs!$L$4)^Financials!GW$3))*GW$8)</f>
        <v>0</v>
      </c>
      <c r="GX13" s="18">
        <f>IF(GX$1&lt;CapEx!$O$7,0,((Inputs!$D$44*Inputs!$D$21*(1+Inputs!$L$4)^Financials!GX$3))*GX$8)</f>
        <v>0</v>
      </c>
      <c r="GY13" s="18">
        <f>IF(GY$1&lt;CapEx!$O$7,0,((Inputs!$D$44*Inputs!$D$21*(1+Inputs!$L$4)^Financials!GY$3))*GY$8)</f>
        <v>0</v>
      </c>
      <c r="GZ13" s="18">
        <f>IF(GZ$1&lt;CapEx!$O$7,0,((Inputs!$D$44*Inputs!$D$21*(1+Inputs!$L$4)^Financials!GZ$3))*GZ$8)</f>
        <v>0</v>
      </c>
      <c r="HA13" s="18">
        <f>IF(HA$1&lt;CapEx!$O$7,0,((Inputs!$D$44*Inputs!$D$21*(1+Inputs!$L$4)^Financials!HA$3))*HA$8)</f>
        <v>0</v>
      </c>
      <c r="HB13" s="18">
        <f>IF(HB$1&lt;CapEx!$O$7,0,((Inputs!$D$44*Inputs!$D$21*(1+Inputs!$L$4)^Financials!HB$3))*HB$8)</f>
        <v>0</v>
      </c>
      <c r="HC13" s="18">
        <f>IF(HC$1&lt;CapEx!$O$7,0,((Inputs!$D$44*Inputs!$D$21*(1+Inputs!$L$4)^Financials!HC$3))*HC$8)</f>
        <v>0</v>
      </c>
      <c r="HD13" s="18">
        <f>IF(HD$1&lt;CapEx!$O$7,0,((Inputs!$D$44*Inputs!$D$21*(1+Inputs!$L$4)^Financials!HD$3))*HD$8)</f>
        <v>0</v>
      </c>
      <c r="HE13" s="18">
        <f>IF(HE$1&lt;CapEx!$O$7,0,((Inputs!$D$44*Inputs!$D$21*(1+Inputs!$L$4)^Financials!HE$3))*HE$8)</f>
        <v>0</v>
      </c>
      <c r="HF13" s="18">
        <f>IF(HF$1&lt;CapEx!$O$7,0,((Inputs!$D$44*Inputs!$D$21*(1+Inputs!$L$4)^Financials!HF$3))*HF$8)</f>
        <v>0</v>
      </c>
      <c r="HG13" s="18">
        <f>IF(HG$1&lt;CapEx!$O$7,0,((Inputs!$D$44*Inputs!$D$21*(1+Inputs!$L$4)^Financials!HG$3))*HG$8)</f>
        <v>0</v>
      </c>
      <c r="HH13" s="18">
        <f>IF(HH$1&lt;CapEx!$O$7,0,((Inputs!$D$44*Inputs!$D$21*(1+Inputs!$L$4)^Financials!HH$3))*HH$8)</f>
        <v>0</v>
      </c>
      <c r="HI13" s="18">
        <f>IF(HI$1&lt;CapEx!$O$7,0,((Inputs!$D$44*Inputs!$D$21*(1+Inputs!$L$4)^Financials!HI$3))*HI$8)</f>
        <v>0</v>
      </c>
      <c r="HJ13" s="18">
        <f>IF(HJ$1&lt;CapEx!$O$7,0,((Inputs!$D$44*Inputs!$D$21*(1+Inputs!$L$4)^Financials!HJ$3))*HJ$8)</f>
        <v>0</v>
      </c>
      <c r="HK13" s="18">
        <f>IF(HK$1&lt;CapEx!$O$7,0,((Inputs!$D$44*Inputs!$D$21*(1+Inputs!$L$4)^Financials!HK$3))*HK$8)</f>
        <v>0</v>
      </c>
      <c r="HL13" s="18">
        <f>IF(HL$1&lt;CapEx!$O$7,0,((Inputs!$D$44*Inputs!$D$21*(1+Inputs!$L$4)^Financials!HL$3))*HL$8)</f>
        <v>0</v>
      </c>
      <c r="HM13" s="18">
        <f>IF(HM$1&lt;CapEx!$O$7,0,((Inputs!$D$44*Inputs!$D$21*(1+Inputs!$L$4)^Financials!HM$3))*HM$8)</f>
        <v>0</v>
      </c>
      <c r="HN13" s="18">
        <f>IF(HN$1&lt;CapEx!$O$7,0,((Inputs!$D$44*Inputs!$D$21*(1+Inputs!$L$4)^Financials!HN$3))*HN$8)</f>
        <v>0</v>
      </c>
      <c r="HO13" s="18">
        <f>IF(HO$1&lt;CapEx!$O$7,0,((Inputs!$D$44*Inputs!$D$21*(1+Inputs!$L$4)^Financials!HO$3))*HO$8)</f>
        <v>0</v>
      </c>
      <c r="HP13" s="18">
        <f>IF(HP$1&lt;CapEx!$O$7,0,((Inputs!$D$44*Inputs!$D$21*(1+Inputs!$L$4)^Financials!HP$3))*HP$8)</f>
        <v>0</v>
      </c>
      <c r="HQ13" s="18">
        <f>IF(HQ$1&lt;CapEx!$O$7,0,((Inputs!$D$44*Inputs!$D$21*(1+Inputs!$L$4)^Financials!HQ$3))*HQ$8)</f>
        <v>0</v>
      </c>
      <c r="HR13" s="18">
        <f>IF(HR$1&lt;CapEx!$O$7,0,((Inputs!$D$44*Inputs!$D$21*(1+Inputs!$L$4)^Financials!HR$3))*HR$8)</f>
        <v>0</v>
      </c>
      <c r="HS13" s="18">
        <f>IF(HS$1&lt;CapEx!$O$7,0,((Inputs!$D$44*Inputs!$D$21*(1+Inputs!$L$4)^Financials!HS$3))*HS$8)</f>
        <v>0</v>
      </c>
      <c r="HT13" s="18">
        <f>IF(HT$1&lt;CapEx!$O$7,0,((Inputs!$D$44*Inputs!$D$21*(1+Inputs!$L$4)^Financials!HT$3))*HT$8)</f>
        <v>0</v>
      </c>
      <c r="HU13" s="18">
        <f>IF(HU$1&lt;CapEx!$O$7,0,((Inputs!$D$44*Inputs!$D$21*(1+Inputs!$L$4)^Financials!HU$3))*HU$8)</f>
        <v>0</v>
      </c>
      <c r="HV13" s="18">
        <f>IF(HV$1&lt;CapEx!$O$7,0,((Inputs!$D$44*Inputs!$D$21*(1+Inputs!$L$4)^Financials!HV$3))*HV$8)</f>
        <v>0</v>
      </c>
      <c r="HW13" s="18">
        <f>IF(HW$1&lt;CapEx!$O$7,0,((Inputs!$D$44*Inputs!$D$21*(1+Inputs!$L$4)^Financials!HW$3))*HW$8)</f>
        <v>0</v>
      </c>
      <c r="HX13" s="18">
        <f>IF(HX$1&lt;CapEx!$O$7,0,((Inputs!$D$44*Inputs!$D$21*(1+Inputs!$L$4)^Financials!HX$3))*HX$8)</f>
        <v>0</v>
      </c>
      <c r="HY13" s="18">
        <f>IF(HY$1&lt;CapEx!$O$7,0,((Inputs!$D$44*Inputs!$D$21*(1+Inputs!$L$4)^Financials!HY$3))*HY$8)</f>
        <v>0</v>
      </c>
      <c r="HZ13" s="18">
        <f>IF(HZ$1&lt;CapEx!$O$7,0,((Inputs!$D$44*Inputs!$D$21*(1+Inputs!$L$4)^Financials!HZ$3))*HZ$8)</f>
        <v>0</v>
      </c>
      <c r="IA13" s="18">
        <f>IF(IA$1&lt;CapEx!$O$7,0,((Inputs!$D$44*Inputs!$D$21*(1+Inputs!$L$4)^Financials!IA$3))*IA$8)</f>
        <v>0</v>
      </c>
      <c r="IB13" s="18">
        <f>IF(IB$1&lt;CapEx!$O$7,0,((Inputs!$D$44*Inputs!$D$21*(1+Inputs!$L$4)^Financials!IB$3))*IB$8)</f>
        <v>0</v>
      </c>
      <c r="IC13" s="18">
        <f>IF(IC$1&lt;CapEx!$O$7,0,((Inputs!$D$44*Inputs!$D$21*(1+Inputs!$L$4)^Financials!IC$3))*IC$8)</f>
        <v>0</v>
      </c>
      <c r="ID13" s="18">
        <f>IF(ID$1&lt;CapEx!$O$7,0,((Inputs!$D$44*Inputs!$D$21*(1+Inputs!$L$4)^Financials!ID$3))*ID$8)</f>
        <v>0</v>
      </c>
      <c r="IE13" s="18">
        <f>IF(IE$1&lt;CapEx!$O$7,0,((Inputs!$D$44*Inputs!$D$21*(1+Inputs!$L$4)^Financials!IE$3))*IE$8)</f>
        <v>0</v>
      </c>
      <c r="IF13" s="18">
        <f>IF(IF$1&lt;CapEx!$O$7,0,((Inputs!$D$44*Inputs!$D$21*(1+Inputs!$L$4)^Financials!IF$3))*IF$8)</f>
        <v>0</v>
      </c>
      <c r="IG13" s="18">
        <f>IF(IG$1&lt;CapEx!$O$7,0,((Inputs!$D$44*Inputs!$D$21*(1+Inputs!$L$4)^Financials!IG$3))*IG$8)</f>
        <v>0</v>
      </c>
      <c r="IH13" s="18">
        <f>IF(IH$1&lt;CapEx!$O$7,0,((Inputs!$D$44*Inputs!$D$21*(1+Inputs!$L$4)^Financials!IH$3))*IH$8)</f>
        <v>0</v>
      </c>
      <c r="II13" s="18">
        <f>IF(II$1&lt;CapEx!$O$7,0,((Inputs!$D$44*Inputs!$D$21*(1+Inputs!$L$4)^Financials!II$3))*II$8)</f>
        <v>0</v>
      </c>
      <c r="IJ13" s="18">
        <f>IF(IJ$1&lt;CapEx!$O$7,0,((Inputs!$D$44*Inputs!$D$21*(1+Inputs!$L$4)^Financials!IJ$3))*IJ$8)</f>
        <v>0</v>
      </c>
      <c r="IK13" s="18">
        <f>IF(IK$1&lt;CapEx!$O$7,0,((Inputs!$D$44*Inputs!$D$21*(1+Inputs!$L$4)^Financials!IK$3))*IK$8)</f>
        <v>0</v>
      </c>
      <c r="IL13" s="18">
        <f>IF(IL$1&lt;CapEx!$O$7,0,((Inputs!$D$44*Inputs!$D$21*(1+Inputs!$L$4)^Financials!IL$3))*IL$8)</f>
        <v>0</v>
      </c>
      <c r="IM13" s="18">
        <f>IF(IM$1&lt;CapEx!$O$7,0,((Inputs!$D$44*Inputs!$D$21*(1+Inputs!$L$4)^Financials!IM$3))*IM$8)</f>
        <v>0</v>
      </c>
      <c r="IN13" s="18">
        <f>IF(IN$1&lt;CapEx!$O$7,0,((Inputs!$D$44*Inputs!$D$21*(1+Inputs!$L$4)^Financials!IN$3))*IN$8)</f>
        <v>0</v>
      </c>
      <c r="IO13" s="18">
        <f>IF(IO$1&lt;CapEx!$O$7,0,((Inputs!$D$44*Inputs!$D$21*(1+Inputs!$L$4)^Financials!IO$3))*IO$8)</f>
        <v>0</v>
      </c>
      <c r="IP13" s="18">
        <f>IF(IP$1&lt;CapEx!$O$7,0,((Inputs!$D$44*Inputs!$D$21*(1+Inputs!$L$4)^Financials!IP$3))*IP$8)</f>
        <v>0</v>
      </c>
      <c r="IQ13" s="18">
        <f>IF(IQ$1&lt;CapEx!$O$7,0,((Inputs!$D$44*Inputs!$D$21*(1+Inputs!$L$4)^Financials!IQ$3))*IQ$8)</f>
        <v>0</v>
      </c>
      <c r="IR13" s="18">
        <f>IF(IR$1&lt;CapEx!$O$7,0,((Inputs!$D$44*Inputs!$D$21*(1+Inputs!$L$4)^Financials!IR$3))*IR$8)</f>
        <v>0</v>
      </c>
      <c r="IS13" s="18">
        <f>IF(IS$1&lt;CapEx!$O$7,0,((Inputs!$D$44*Inputs!$D$21*(1+Inputs!$L$4)^Financials!IS$3))*IS$8)</f>
        <v>0</v>
      </c>
      <c r="IT13" s="18">
        <f>IF(IT$1&lt;CapEx!$O$7,0,((Inputs!$D$44*Inputs!$D$21*(1+Inputs!$L$4)^Financials!IT$3))*IT$8)</f>
        <v>0</v>
      </c>
      <c r="IU13" s="18">
        <f>IF(IU$1&lt;CapEx!$O$7,0,((Inputs!$D$44*Inputs!$D$21*(1+Inputs!$L$4)^Financials!IU$3))*IU$8)</f>
        <v>0</v>
      </c>
      <c r="IV13" s="18">
        <f>IF(IV$1&lt;CapEx!$O$7,0,((Inputs!$D$44*Inputs!$D$21*(1+Inputs!$L$4)^Financials!IV$3))*IV$8)</f>
        <v>0</v>
      </c>
      <c r="IW13" s="18">
        <f>IF(IW$1&lt;CapEx!$O$7,0,((Inputs!$D$44*Inputs!$D$21*(1+Inputs!$L$4)^Financials!IW$3))*IW$8)</f>
        <v>0</v>
      </c>
      <c r="IX13" s="18">
        <f>IF(IX$1&lt;CapEx!$O$7,0,((Inputs!$D$44*Inputs!$D$21*(1+Inputs!$L$4)^Financials!IX$3))*IX$8)</f>
        <v>0</v>
      </c>
      <c r="IY13" s="18">
        <f>IF(IY$1&lt;CapEx!$O$7,0,((Inputs!$D$44*Inputs!$D$21*(1+Inputs!$L$4)^Financials!IY$3))*IY$8)</f>
        <v>0</v>
      </c>
      <c r="IZ13" s="18">
        <f>IF(IZ$1&lt;CapEx!$O$7,0,((Inputs!$D$44*Inputs!$D$21*(1+Inputs!$L$4)^Financials!IZ$3))*IZ$8)</f>
        <v>0</v>
      </c>
      <c r="JA13" s="18">
        <f>IF(JA$1&lt;CapEx!$O$7,0,((Inputs!$D$44*Inputs!$D$21*(1+Inputs!$L$4)^Financials!JA$3))*JA$8)</f>
        <v>0</v>
      </c>
      <c r="JB13" s="18">
        <f>IF(JB$1&lt;CapEx!$O$7,0,((Inputs!$D$44*Inputs!$D$21*(1+Inputs!$L$4)^Financials!JB$3))*JB$8)</f>
        <v>0</v>
      </c>
      <c r="JC13" s="18">
        <f>IF(JC$1&lt;CapEx!$O$7,0,((Inputs!$D$44*Inputs!$D$21*(1+Inputs!$L$4)^Financials!JC$3))*JC$8)</f>
        <v>0</v>
      </c>
      <c r="JD13" s="18">
        <f>IF(JD$1&lt;CapEx!$O$7,0,((Inputs!$D$44*Inputs!$D$21*(1+Inputs!$L$4)^Financials!JD$3))*JD$8)</f>
        <v>0</v>
      </c>
      <c r="JE13" s="18">
        <f>IF(JE$1&lt;CapEx!$O$7,0,((Inputs!$D$44*Inputs!$D$21*(1+Inputs!$L$4)^Financials!JE$3))*JE$8)</f>
        <v>0</v>
      </c>
      <c r="JF13" s="18">
        <f>IF(JF$1&lt;CapEx!$O$7,0,((Inputs!$D$44*Inputs!$D$21*(1+Inputs!$L$4)^Financials!JF$3))*JF$8)</f>
        <v>0</v>
      </c>
      <c r="JG13" s="18">
        <f>IF(JG$1&lt;CapEx!$O$7,0,((Inputs!$D$44*Inputs!$D$21*(1+Inputs!$L$4)^Financials!JG$3))*JG$8)</f>
        <v>0</v>
      </c>
      <c r="JH13" s="18">
        <f>IF(JH$1&lt;CapEx!$O$7,0,((Inputs!$D$44*Inputs!$D$21*(1+Inputs!$L$4)^Financials!JH$3))*JH$8)</f>
        <v>0</v>
      </c>
      <c r="JI13" s="18">
        <f>IF(JI$1&lt;CapEx!$O$7,0,((Inputs!$D$44*Inputs!$D$21*(1+Inputs!$L$4)^Financials!JI$3))*JI$8)</f>
        <v>0</v>
      </c>
      <c r="JJ13" s="18">
        <f>IF(JJ$1&lt;CapEx!$O$7,0,((Inputs!$D$44*Inputs!$D$21*(1+Inputs!$L$4)^Financials!JJ$3))*JJ$8)</f>
        <v>0</v>
      </c>
      <c r="JK13" s="18">
        <f>IF(JK$1&lt;CapEx!$O$7,0,((Inputs!$D$44*Inputs!$D$21*(1+Inputs!$L$4)^Financials!JK$3))*JK$8)</f>
        <v>0</v>
      </c>
      <c r="JL13" s="18">
        <f>IF(JL$1&lt;CapEx!$O$7,0,((Inputs!$D$44*Inputs!$D$21*(1+Inputs!$L$4)^Financials!JL$3))*JL$8)</f>
        <v>0</v>
      </c>
      <c r="JM13" s="18">
        <f>IF(JM$1&lt;CapEx!$O$7,0,((Inputs!$D$44*Inputs!$D$21*(1+Inputs!$L$4)^Financials!JM$3))*JM$8)</f>
        <v>0</v>
      </c>
      <c r="JN13" s="18">
        <f>IF(JN$1&lt;CapEx!$O$7,0,((Inputs!$D$44*Inputs!$D$21*(1+Inputs!$L$4)^Financials!JN$3))*JN$8)</f>
        <v>0</v>
      </c>
      <c r="JO13" s="18">
        <f>IF(JO$1&lt;CapEx!$O$7,0,((Inputs!$D$44*Inputs!$D$21*(1+Inputs!$L$4)^Financials!JO$3))*JO$8)</f>
        <v>0</v>
      </c>
      <c r="JP13" s="18">
        <f>IF(JP$1&lt;CapEx!$O$7,0,((Inputs!$D$44*Inputs!$D$21*(1+Inputs!$L$4)^Financials!JP$3))*JP$8)</f>
        <v>0</v>
      </c>
      <c r="JQ13" s="18">
        <f>IF(JQ$1&lt;CapEx!$O$7,0,((Inputs!$D$44*Inputs!$D$21*(1+Inputs!$L$4)^Financials!JQ$3))*JQ$8)</f>
        <v>0</v>
      </c>
      <c r="JR13" s="18">
        <f>IF(JR$1&lt;CapEx!$O$7,0,((Inputs!$D$44*Inputs!$D$21*(1+Inputs!$L$4)^Financials!JR$3))*JR$8)</f>
        <v>0</v>
      </c>
      <c r="JS13" s="18"/>
      <c r="JT13" s="18"/>
    </row>
    <row r="14" spans="2:280" x14ac:dyDescent="0.2">
      <c r="B14" s="22" t="str">
        <f>Inputs!B3</f>
        <v xml:space="preserve">Activated Carbon Ash </v>
      </c>
      <c r="C14" s="18">
        <f>IF(C$1&lt;CapEx!$O$7,0,(VLOOKUP($B14,Inputs!$B$25:$D$44,3,0)*(VLOOKUP(Financials!$B14,Inputs!$B$3:$D$21,3,0)*(1+Inputs!$L$9)^Financials!C$3)*C$8))</f>
        <v>0</v>
      </c>
      <c r="D14" s="18">
        <f>IF(D$1&lt;CapEx!$O$7,0,(VLOOKUP($B14,Inputs!$B$25:$D$44,3,0)*(VLOOKUP(Financials!$B14,Inputs!$B$3:$D$21,3,0)*(1+Inputs!$L$9)^Financials!D$3)*D$8))</f>
        <v>0</v>
      </c>
      <c r="E14" s="18">
        <f>IF(E$1&lt;CapEx!$O$7,0,(VLOOKUP($B14,Inputs!$B$25:$D$44,3,0)*(VLOOKUP(Financials!$B14,Inputs!$B$3:$D$21,3,0)*(1+Inputs!$L$9)^Financials!E$3)*E$8))</f>
        <v>0</v>
      </c>
      <c r="F14" s="18">
        <f>IF(F$1&lt;CapEx!$O$7,0,(VLOOKUP($B14,Inputs!$B$25:$D$44,3,0)*(VLOOKUP(Financials!$B14,Inputs!$B$3:$D$21,3,0)*(1+Inputs!$L$9)^Financials!F$3)*F$8))</f>
        <v>0</v>
      </c>
      <c r="G14" s="18">
        <f>IF(G$1&lt;CapEx!$O$7,0,(VLOOKUP($B14,Inputs!$B$25:$D$44,3,0)*(VLOOKUP(Financials!$B14,Inputs!$B$3:$D$21,3,0)*(1+Inputs!$L$9)^Financials!G$3)*G$8))</f>
        <v>0</v>
      </c>
      <c r="H14" s="18">
        <f>IF(H$1&lt;CapEx!$O$7,0,(VLOOKUP($B14,Inputs!$B$25:$D$44,3,0)*(VLOOKUP(Financials!$B14,Inputs!$B$3:$D$21,3,0)*(1+Inputs!$L$9)^Financials!H$3)*H$8))</f>
        <v>0</v>
      </c>
      <c r="I14" s="18">
        <f>IF(I$1&lt;CapEx!$O$7,0,(VLOOKUP($B14,Inputs!$B$25:$D$44,3,0)*(VLOOKUP(Financials!$B14,Inputs!$B$3:$D$21,3,0)*(1+Inputs!$L$9)^Financials!I$3)*I$8))</f>
        <v>0</v>
      </c>
      <c r="J14" s="18">
        <f>IF(J$1&lt;CapEx!$O$7,0,(VLOOKUP($B14,Inputs!$B$25:$D$44,3,0)*(VLOOKUP(Financials!$B14,Inputs!$B$3:$D$21,3,0)*(1+Inputs!$L$9)^Financials!J$3)*J$8))</f>
        <v>0</v>
      </c>
      <c r="K14" s="18">
        <f>IF(K$1&lt;CapEx!$O$7,0,(VLOOKUP($B14,Inputs!$B$25:$D$44,3,0)*(VLOOKUP(Financials!$B14,Inputs!$B$3:$D$21,3,0)*(1+Inputs!$L$9)^Financials!K$3)*K$8))</f>
        <v>0</v>
      </c>
      <c r="L14" s="18">
        <f>IF(L$1&lt;CapEx!$O$7,0,(VLOOKUP($B14,Inputs!$B$25:$D$44,3,0)*(VLOOKUP(Financials!$B14,Inputs!$B$3:$D$21,3,0)*(1+Inputs!$L$9)^Financials!L$3)*L$8))</f>
        <v>0</v>
      </c>
      <c r="M14" s="18">
        <f>IF(M$1&lt;CapEx!$O$7,0,(VLOOKUP($B14,Inputs!$B$25:$D$44,3,0)*(VLOOKUP(Financials!$B14,Inputs!$B$3:$D$21,3,0)*(1+Inputs!$L$9)^Financials!M$3)*M$8))</f>
        <v>0</v>
      </c>
      <c r="N14" s="18">
        <f>IF(N$1&lt;CapEx!$O$7,0,(VLOOKUP($B14,Inputs!$B$25:$D$44,3,0)*(VLOOKUP(Financials!$B14,Inputs!$B$3:$D$21,3,0)*(1+Inputs!$L$9)^Financials!N$3)*N$8))</f>
        <v>0</v>
      </c>
      <c r="O14" s="18">
        <f>IF(O$1&lt;CapEx!$O$7,0,(VLOOKUP($B14,Inputs!$B$25:$D$44,3,0)*(VLOOKUP(Financials!$B14,Inputs!$B$3:$D$21,3,0)*(1+Inputs!$L$9)^Financials!O$3)*O$8))</f>
        <v>0</v>
      </c>
      <c r="P14" s="18">
        <f>IF(P$1&lt;CapEx!$O$7,0,(VLOOKUP($B14,Inputs!$B$25:$D$44,3,0)*(VLOOKUP(Financials!$B14,Inputs!$B$3:$D$21,3,0)*(1+Inputs!$L$9)^Financials!P$3)*P$8))</f>
        <v>0</v>
      </c>
      <c r="Q14" s="18">
        <f>IF(Q$1&lt;CapEx!$O$7,0,(VLOOKUP($B14,Inputs!$B$25:$D$44,3,0)*(VLOOKUP(Financials!$B14,Inputs!$B$3:$D$21,3,0)*(1+Inputs!$L$9)^Financials!Q$3)*Q$8))</f>
        <v>0</v>
      </c>
      <c r="R14" s="18">
        <f>IF(R$1&lt;CapEx!$O$7,0,(VLOOKUP($B14,Inputs!$B$25:$D$44,3,0)*(VLOOKUP(Financials!$B14,Inputs!$B$3:$D$21,3,0)*(1+Inputs!$L$9)^Financials!R$3)*R$8))</f>
        <v>1276593.5745350346</v>
      </c>
      <c r="S14" s="18">
        <f>IF(S$1&lt;CapEx!$O$7,0,(VLOOKUP($B14,Inputs!$B$25:$D$44,3,0)*(VLOOKUP(Financials!$B14,Inputs!$B$3:$D$21,3,0)*(1+Inputs!$L$9)^Financials!S$3)*S$8))</f>
        <v>1321345.2715090129</v>
      </c>
      <c r="T14" s="18">
        <f>IF(T$1&lt;CapEx!$O$7,0,(VLOOKUP($B14,Inputs!$B$25:$D$44,3,0)*(VLOOKUP(Financials!$B14,Inputs!$B$3:$D$21,3,0)*(1+Inputs!$L$9)^Financials!T$3)*T$8))</f>
        <v>1280852.4325434139</v>
      </c>
      <c r="U14" s="18">
        <f>IF(U$1&lt;CapEx!$O$7,0,(VLOOKUP($B14,Inputs!$B$25:$D$44,3,0)*(VLOOKUP(Financials!$B14,Inputs!$B$3:$D$21,3,0)*(1+Inputs!$L$9)^Financials!U$3)*U$8))</f>
        <v>1325753.4261509085</v>
      </c>
      <c r="V14" s="18">
        <f>IF(V$1&lt;CapEx!$O$7,0,(VLOOKUP($B14,Inputs!$B$25:$D$44,3,0)*(VLOOKUP(Financials!$B14,Inputs!$B$3:$D$21,3,0)*(1+Inputs!$L$9)^Financials!V$3)*V$8))</f>
        <v>1327963.0151944931</v>
      </c>
      <c r="W14" s="18">
        <f>IF(W$1&lt;CapEx!$O$7,0,(VLOOKUP($B14,Inputs!$B$25:$D$44,3,0)*(VLOOKUP(Financials!$B14,Inputs!$B$3:$D$21,3,0)*(1+Inputs!$L$9)^Financials!W$3)*W$8))</f>
        <v>1287267.3744062749</v>
      </c>
      <c r="X14" s="18">
        <f>IF(X$1&lt;CapEx!$O$7,0,(VLOOKUP($B14,Inputs!$B$25:$D$44,3,0)*(VLOOKUP(Financials!$B14,Inputs!$B$3:$D$21,3,0)*(1+Inputs!$L$9)^Financials!X$3)*X$8))</f>
        <v>1332393.2473646284</v>
      </c>
      <c r="Y14" s="18">
        <f>IF(Y$1&lt;CapEx!$O$7,0,(VLOOKUP($B14,Inputs!$B$25:$D$44,3,0)*(VLOOKUP(Financials!$B14,Inputs!$B$3:$D$21,3,0)*(1+Inputs!$L$9)^Financials!Y$3)*Y$8))</f>
        <v>1291561.8413970028</v>
      </c>
      <c r="Z14" s="18">
        <f>IF(Z$1&lt;CapEx!$O$7,0,(VLOOKUP($B14,Inputs!$B$25:$D$44,3,0)*(VLOOKUP(Financials!$B14,Inputs!$B$3:$D$21,3,0)*(1+Inputs!$L$9)^Financials!Z$3)*Z$8))</f>
        <v>1336838.259281531</v>
      </c>
      <c r="AA14" s="18">
        <f>IF(AA$1&lt;CapEx!$O$7,0,(VLOOKUP($B14,Inputs!$B$25:$D$44,3,0)*(VLOOKUP(Financials!$B14,Inputs!$B$3:$D$21,3,0)*(1+Inputs!$L$9)^Financials!AA$3)*AA$8))</f>
        <v>1339066.3230470002</v>
      </c>
      <c r="AB14" s="18">
        <f>IF(AB$1&lt;CapEx!$O$7,0,(VLOOKUP($B14,Inputs!$B$25:$D$44,3,0)*(VLOOKUP(Financials!$B14,Inputs!$B$3:$D$21,3,0)*(1+Inputs!$L$9)^Financials!AB$3)*AB$8))</f>
        <v>1211495.0582922003</v>
      </c>
      <c r="AC14" s="18">
        <f>IF(AC$1&lt;CapEx!$O$7,0,(VLOOKUP($B14,Inputs!$B$25:$D$44,3,0)*(VLOOKUP(Financials!$B14,Inputs!$B$3:$D$21,3,0)*(1+Inputs!$L$9)^Financials!AC$3)*AC$8))</f>
        <v>1343533.5970858324</v>
      </c>
      <c r="AD14" s="18">
        <f>IF(AD$1&lt;CapEx!$O$7,0,(VLOOKUP($B14,Inputs!$B$25:$D$44,3,0)*(VLOOKUP(Financials!$B14,Inputs!$B$3:$D$21,3,0)*(1+Inputs!$L$9)^Financials!AD$3)*AD$8))</f>
        <v>1302360.7933041696</v>
      </c>
      <c r="AE14" s="18">
        <f>IF(AE$1&lt;CapEx!$O$7,0,(VLOOKUP($B14,Inputs!$B$25:$D$44,3,0)*(VLOOKUP(Financials!$B14,Inputs!$B$3:$D$21,3,0)*(1+Inputs!$L$9)^Financials!AE$3)*AE$8))</f>
        <v>1348015.7744472215</v>
      </c>
      <c r="AF14" s="18">
        <f>IF(AF$1&lt;CapEx!$O$7,0,(VLOOKUP($B14,Inputs!$B$25:$D$44,3,0)*(VLOOKUP(Financials!$B14,Inputs!$B$3:$D$21,3,0)*(1+Inputs!$L$9)^Financials!AF$3)*AF$8))</f>
        <v>1306705.6136173874</v>
      </c>
      <c r="AG14" s="18">
        <f>IF(AG$1&lt;CapEx!$O$7,0,(VLOOKUP($B14,Inputs!$B$25:$D$44,3,0)*(VLOOKUP(Financials!$B14,Inputs!$B$3:$D$21,3,0)*(1+Inputs!$L$9)^Financials!AG$3)*AG$8))</f>
        <v>1352512.9048503083</v>
      </c>
      <c r="AH14" s="18">
        <f>IF(AH$1&lt;CapEx!$O$7,0,(VLOOKUP($B14,Inputs!$B$25:$D$44,3,0)*(VLOOKUP(Financials!$B14,Inputs!$B$3:$D$21,3,0)*(1+Inputs!$L$9)^Financials!AH$3)*AH$8))</f>
        <v>1354767.0930250592</v>
      </c>
      <c r="AI14" s="18">
        <f>IF(AI$1&lt;CapEx!$O$7,0,(VLOOKUP($B14,Inputs!$B$25:$D$44,3,0)*(VLOOKUP(Financials!$B14,Inputs!$B$3:$D$21,3,0)*(1+Inputs!$L$9)^Financials!AI$3)*AI$8))</f>
        <v>1313250.0369484846</v>
      </c>
      <c r="AJ14" s="18">
        <f>IF(AJ$1&lt;CapEx!$O$7,0,(VLOOKUP($B14,Inputs!$B$25:$D$44,3,0)*(VLOOKUP(Financials!$B14,Inputs!$B$3:$D$21,3,0)*(1+Inputs!$L$9)^Financials!AJ$3)*AJ$8))</f>
        <v>1359286.7465770675</v>
      </c>
      <c r="AK14" s="18">
        <f>IF(AK$1&lt;CapEx!$O$7,0,(VLOOKUP($B14,Inputs!$B$25:$D$44,3,0)*(VLOOKUP(Financials!$B14,Inputs!$B$3:$D$21,3,0)*(1+Inputs!$L$9)^Financials!AK$3)*AK$8))</f>
        <v>1317631.1849884158</v>
      </c>
      <c r="AL14" s="18">
        <f>IF(AL$1&lt;CapEx!$O$7,0,(VLOOKUP($B14,Inputs!$B$25:$D$44,3,0)*(VLOOKUP(Financials!$B14,Inputs!$B$3:$D$21,3,0)*(1+Inputs!$L$9)^Financials!AL$3)*AL$8))</f>
        <v>1363821.4781955096</v>
      </c>
      <c r="AM14" s="18">
        <f>IF(AM$1&lt;CapEx!$O$7,0,(VLOOKUP($B14,Inputs!$B$25:$D$44,3,0)*(VLOOKUP(Financials!$B14,Inputs!$B$3:$D$21,3,0)*(1+Inputs!$L$9)^Financials!AM$3)*AM$8))</f>
        <v>1366094.5139925024</v>
      </c>
      <c r="AN14" s="18">
        <f>IF(AN$1&lt;CapEx!$O$7,0,(VLOOKUP($B14,Inputs!$B$25:$D$44,3,0)*(VLOOKUP(Financials!$B14,Inputs!$B$3:$D$21,3,0)*(1+Inputs!$L$9)^Financials!AN$3)*AN$8))</f>
        <v>1235948.3054551522</v>
      </c>
      <c r="AO14" s="18">
        <f>IF(AO$1&lt;CapEx!$O$7,0,(VLOOKUP($B14,Inputs!$B$25:$D$44,3,0)*(VLOOKUP(Financials!$B14,Inputs!$B$3:$D$21,3,0)*(1+Inputs!$L$9)^Financials!AO$3)*AO$8))</f>
        <v>1370651.9570794608</v>
      </c>
      <c r="AP14" s="18">
        <f>IF(AP$1&lt;CapEx!$O$7,0,(VLOOKUP($B14,Inputs!$B$25:$D$44,3,0)*(VLOOKUP(Financials!$B14,Inputs!$B$3:$D$21,3,0)*(1+Inputs!$L$9)^Financials!AP$3)*AP$8))</f>
        <v>1328648.1067818648</v>
      </c>
      <c r="AQ14" s="18">
        <f>IF(AQ$1&lt;CapEx!$O$7,0,(VLOOKUP($B14,Inputs!$B$25:$D$44,3,0)*(VLOOKUP(Financials!$B14,Inputs!$B$3:$D$21,3,0)*(1+Inputs!$L$9)^Financials!AQ$3)*AQ$8))</f>
        <v>1375224.60430294</v>
      </c>
      <c r="AR14" s="18">
        <f>IF(AR$1&lt;CapEx!$O$7,0,(VLOOKUP($B14,Inputs!$B$25:$D$44,3,0)*(VLOOKUP(Financials!$B14,Inputs!$B$3:$D$21,3,0)*(1+Inputs!$L$9)^Financials!AR$3)*AR$8))</f>
        <v>1333080.6244936562</v>
      </c>
      <c r="AS14" s="18">
        <f>IF(AS$1&lt;CapEx!$O$7,0,(VLOOKUP($B14,Inputs!$B$25:$D$44,3,0)*(VLOOKUP(Financials!$B14,Inputs!$B$3:$D$21,3,0)*(1+Inputs!$L$9)^Financials!AS$3)*AS$8))</f>
        <v>1379812.5063856286</v>
      </c>
      <c r="AT14" s="18">
        <f>IF(AT$1&lt;CapEx!$O$7,0,(VLOOKUP($B14,Inputs!$B$25:$D$44,3,0)*(VLOOKUP(Financials!$B14,Inputs!$B$3:$D$21,3,0)*(1+Inputs!$L$9)^Financials!AT$3)*AT$8))</f>
        <v>1382112.1938962715</v>
      </c>
      <c r="AU14" s="18">
        <f>IF(AU$1&lt;CapEx!$O$7,0,(VLOOKUP($B14,Inputs!$B$25:$D$44,3,0)*(VLOOKUP(Financials!$B14,Inputs!$B$3:$D$21,3,0)*(1+Inputs!$L$9)^Financials!AU$3)*AU$8))</f>
        <v>1339757.1427929988</v>
      </c>
      <c r="AV14" s="18">
        <f>IF(AV$1&lt;CapEx!$O$7,0,(VLOOKUP($B14,Inputs!$B$25:$D$44,3,0)*(VLOOKUP(Financials!$B14,Inputs!$B$3:$D$21,3,0)*(1+Inputs!$L$9)^Financials!AV$3)*AV$8))</f>
        <v>1386723.0737431312</v>
      </c>
      <c r="AW14" s="18">
        <f>IF(AW$1&lt;CapEx!$O$7,0,(VLOOKUP($B14,Inputs!$B$25:$D$44,3,0)*(VLOOKUP(Financials!$B14,Inputs!$B$3:$D$21,3,0)*(1+Inputs!$L$9)^Financials!AW$3)*AW$8))</f>
        <v>1344226.7214832611</v>
      </c>
      <c r="AX14" s="18">
        <f>IF(AX$1&lt;CapEx!$O$7,0,(VLOOKUP($B14,Inputs!$B$25:$D$44,3,0)*(VLOOKUP(Financials!$B14,Inputs!$B$3:$D$21,3,0)*(1+Inputs!$L$9)^Financials!AX$3)*AX$8))</f>
        <v>1391349.3359974802</v>
      </c>
      <c r="AY14" s="18">
        <f>IF(AY$1&lt;CapEx!$O$7,0,(VLOOKUP($B14,Inputs!$B$25:$D$44,3,0)*(VLOOKUP(Financials!$B14,Inputs!$B$3:$D$21,3,0)*(1+Inputs!$L$9)^Financials!AY$3)*AY$8))</f>
        <v>1393668.2515574761</v>
      </c>
      <c r="AZ14" s="18">
        <f>IF(AZ$1&lt;CapEx!$O$7,0,(VLOOKUP($B14,Inputs!$B$25:$D$44,3,0)*(VLOOKUP(Financials!$B14,Inputs!$B$3:$D$21,3,0)*(1+Inputs!$L$9)^Financials!AZ$3)*AZ$8))</f>
        <v>1305927.094429852</v>
      </c>
      <c r="BA14" s="18">
        <f>IF(BA$1&lt;CapEx!$O$7,0,(VLOOKUP($B14,Inputs!$B$25:$D$44,3,0)*(VLOOKUP(Financials!$B14,Inputs!$B$3:$D$21,3,0)*(1+Inputs!$L$9)^Financials!BA$3)*BA$8))</f>
        <v>1398317.6836966998</v>
      </c>
      <c r="BB14" s="18">
        <f>IF(BB$1&lt;CapEx!$O$7,0,(VLOOKUP($B14,Inputs!$B$25:$D$44,3,0)*(VLOOKUP(Financials!$B14,Inputs!$B$3:$D$21,3,0)*(1+Inputs!$L$9)^Financials!BB$3)*BB$8))</f>
        <v>1355466.0127447043</v>
      </c>
      <c r="BC14" s="18">
        <f>IF(BC$1&lt;CapEx!$O$7,0,(VLOOKUP($B14,Inputs!$B$25:$D$44,3,0)*(VLOOKUP(Financials!$B14,Inputs!$B$3:$D$21,3,0)*(1+Inputs!$L$9)^Financials!BC$3)*BC$8))</f>
        <v>1402982.6268581436</v>
      </c>
      <c r="BD14" s="18">
        <f>IF(BD$1&lt;CapEx!$O$7,0,(VLOOKUP($B14,Inputs!$B$25:$D$44,3,0)*(VLOOKUP(Financials!$B14,Inputs!$B$3:$D$21,3,0)*(1+Inputs!$L$9)^Financials!BD$3)*BD$8))</f>
        <v>1359987.9979705552</v>
      </c>
      <c r="BE14" s="18">
        <f>IF(BE$1&lt;CapEx!$O$7,0,(VLOOKUP($B14,Inputs!$B$25:$D$44,3,0)*(VLOOKUP(Financials!$B14,Inputs!$B$3:$D$21,3,0)*(1+Inputs!$L$9)^Financials!BE$3)*BE$8))</f>
        <v>1407663.132788301</v>
      </c>
      <c r="BF14" s="18">
        <f>IF(BF$1&lt;CapEx!$O$7,0,(VLOOKUP($B14,Inputs!$B$25:$D$44,3,0)*(VLOOKUP(Financials!$B14,Inputs!$B$3:$D$21,3,0)*(1+Inputs!$L$9)^Financials!BF$3)*BF$8))</f>
        <v>1410009.2380096151</v>
      </c>
      <c r="BG14" s="18">
        <f>IF(BG$1&lt;CapEx!$O$7,0,(VLOOKUP($B14,Inputs!$B$25:$D$44,3,0)*(VLOOKUP(Financials!$B14,Inputs!$B$3:$D$21,3,0)*(1+Inputs!$L$9)^Financials!BG$3)*BG$8))</f>
        <v>1366799.2774899655</v>
      </c>
      <c r="BH14" s="18">
        <f>IF(BH$1&lt;CapEx!$O$7,0,(VLOOKUP($B14,Inputs!$B$25:$D$44,3,0)*(VLOOKUP(Financials!$B14,Inputs!$B$3:$D$21,3,0)*(1+Inputs!$L$9)^Financials!BH$3)*BH$8))</f>
        <v>1414713.1854953081</v>
      </c>
      <c r="BI14" s="18">
        <f>IF(BI$1&lt;CapEx!$O$7,0,(VLOOKUP($B14,Inputs!$B$25:$D$44,3,0)*(VLOOKUP(Financials!$B14,Inputs!$B$3:$D$21,3,0)*(1+Inputs!$L$9)^Financials!BI$3)*BI$8))</f>
        <v>1371359.0717462588</v>
      </c>
      <c r="BJ14" s="18">
        <f>IF(BJ$1&lt;CapEx!$O$7,0,(VLOOKUP($B14,Inputs!$B$25:$D$44,3,0)*(VLOOKUP(Financials!$B14,Inputs!$B$3:$D$21,3,0)*(1+Inputs!$L$9)^Financials!BJ$3)*BJ$8))</f>
        <v>1419432.8258724748</v>
      </c>
      <c r="BK14" s="18">
        <f>IF(BK$1&lt;CapEx!$O$7,0,(VLOOKUP($B14,Inputs!$B$25:$D$44,3,0)*(VLOOKUP(Financials!$B14,Inputs!$B$3:$D$21,3,0)*(1+Inputs!$L$9)^Financials!BK$3)*BK$8))</f>
        <v>1421798.547248929</v>
      </c>
      <c r="BL14" s="18">
        <f>IF(BL$1&lt;CapEx!$O$7,0,(VLOOKUP($B14,Inputs!$B$25:$D$44,3,0)*(VLOOKUP(Financials!$B14,Inputs!$B$3:$D$21,3,0)*(1+Inputs!$L$9)^Financials!BL$3)*BL$8))</f>
        <v>1286345.4813497302</v>
      </c>
      <c r="BM14" s="18">
        <f>IF(BM$1&lt;CapEx!$O$7,0,(VLOOKUP($B14,Inputs!$B$25:$D$44,3,0)*(VLOOKUP(Financials!$B14,Inputs!$B$3:$D$21,3,0)*(1+Inputs!$L$9)^Financials!BM$3)*BM$8))</f>
        <v>1426541.8251801683</v>
      </c>
      <c r="BN14" s="18">
        <f>IF(BN$1&lt;CapEx!$O$7,0,(VLOOKUP($B14,Inputs!$B$25:$D$44,3,0)*(VLOOKUP(Financials!$B14,Inputs!$B$3:$D$21,3,0)*(1+Inputs!$L$9)^Financials!BN$3)*BN$8))</f>
        <v>1382825.2208601309</v>
      </c>
      <c r="BO14" s="18">
        <f>IF(BO$1&lt;CapEx!$O$7,0,(VLOOKUP($B14,Inputs!$B$25:$D$44,3,0)*(VLOOKUP(Financials!$B14,Inputs!$B$3:$D$21,3,0)*(1+Inputs!$L$9)^Financials!BO$3)*BO$8))</f>
        <v>1431300.9272136164</v>
      </c>
      <c r="BP14" s="18">
        <f>IF(BP$1&lt;CapEx!$O$7,0,(VLOOKUP($B14,Inputs!$B$25:$D$44,3,0)*(VLOOKUP(Financials!$B14,Inputs!$B$3:$D$21,3,0)*(1+Inputs!$L$9)^Financials!BP$3)*BP$8))</f>
        <v>1387438.4794441671</v>
      </c>
      <c r="BQ14" s="18">
        <f>IF(BQ$1&lt;CapEx!$O$7,0,(VLOOKUP($B14,Inputs!$B$25:$D$44,3,0)*(VLOOKUP(Financials!$B14,Inputs!$B$3:$D$21,3,0)*(1+Inputs!$L$9)^Financials!BQ$3)*BQ$8))</f>
        <v>1436075.906140238</v>
      </c>
      <c r="BR14" s="18">
        <f>IF(BR$1&lt;CapEx!$O$7,0,(VLOOKUP($B14,Inputs!$B$25:$D$44,3,0)*(VLOOKUP(Financials!$B14,Inputs!$B$3:$D$21,3,0)*(1+Inputs!$L$9)^Financials!BR$3)*BR$8))</f>
        <v>1438469.3659838047</v>
      </c>
      <c r="BS14" s="18">
        <f>IF(BS$1&lt;CapEx!$O$7,0,(VLOOKUP($B14,Inputs!$B$25:$D$44,3,0)*(VLOOKUP(Financials!$B14,Inputs!$B$3:$D$21,3,0)*(1+Inputs!$L$9)^Financials!BS$3)*BS$8))</f>
        <v>1394387.2402520434</v>
      </c>
      <c r="BT14" s="18">
        <f>IF(BT$1&lt;CapEx!$O$7,0,(VLOOKUP($B14,Inputs!$B$25:$D$44,3,0)*(VLOOKUP(Financials!$B14,Inputs!$B$3:$D$21,3,0)*(1+Inputs!$L$9)^Financials!BT$3)*BT$8))</f>
        <v>1443268.2596186567</v>
      </c>
      <c r="BU14" s="18">
        <f>IF(BU$1&lt;CapEx!$O$7,0,(VLOOKUP($B14,Inputs!$B$25:$D$44,3,0)*(VLOOKUP(Financials!$B14,Inputs!$B$3:$D$21,3,0)*(1+Inputs!$L$9)^Financials!BU$3)*BU$8))</f>
        <v>1399039.0710174399</v>
      </c>
      <c r="BV14" s="18">
        <f>IF(BV$1&lt;CapEx!$O$7,0,(VLOOKUP($B14,Inputs!$B$25:$D$44,3,0)*(VLOOKUP(Financials!$B14,Inputs!$B$3:$D$21,3,0)*(1+Inputs!$L$9)^Financials!BV$3)*BV$8))</f>
        <v>1448083.1628958848</v>
      </c>
      <c r="BW14" s="18">
        <f>IF(BW$1&lt;CapEx!$O$7,0,(VLOOKUP($B14,Inputs!$B$25:$D$44,3,0)*(VLOOKUP(Financials!$B14,Inputs!$B$3:$D$21,3,0)*(1+Inputs!$L$9)^Financials!BW$3)*BW$8))</f>
        <v>1450496.6348340446</v>
      </c>
      <c r="BX14" s="18">
        <f>IF(BX$1&lt;CapEx!$O$7,0,(VLOOKUP($B14,Inputs!$B$25:$D$44,3,0)*(VLOOKUP(Financials!$B14,Inputs!$B$3:$D$21,3,0)*(1+Inputs!$L$9)^Financials!BX$3)*BX$8))</f>
        <v>1312309.536074586</v>
      </c>
      <c r="BY14" s="18">
        <f>IF(BY$1&lt;CapEx!$O$7,0,(VLOOKUP($B14,Inputs!$B$25:$D$44,3,0)*(VLOOKUP(Financials!$B14,Inputs!$B$3:$D$21,3,0)*(1+Inputs!$L$9)^Financials!BY$3)*BY$8))</f>
        <v>1455335.652774144</v>
      </c>
      <c r="BZ14" s="18">
        <f>IF(BZ$1&lt;CapEx!$O$7,0,(VLOOKUP($B14,Inputs!$B$25:$D$44,3,0)*(VLOOKUP(Financials!$B14,Inputs!$B$3:$D$21,3,0)*(1+Inputs!$L$9)^Financials!BZ$3)*BZ$8))</f>
        <v>1410736.6569633235</v>
      </c>
      <c r="CA14" s="18">
        <f>IF(CA$1&lt;CapEx!$O$7,0,(VLOOKUP($B14,Inputs!$B$25:$D$44,3,0)*(VLOOKUP(Financials!$B14,Inputs!$B$3:$D$21,3,0)*(1+Inputs!$L$9)^Financials!CA$3)*CA$8))</f>
        <v>1460190.81421576</v>
      </c>
      <c r="CB14" s="18">
        <f>IF(CB$1&lt;CapEx!$O$7,0,(VLOOKUP($B14,Inputs!$B$25:$D$44,3,0)*(VLOOKUP(Financials!$B14,Inputs!$B$3:$D$21,3,0)*(1+Inputs!$L$9)^Financials!CB$3)*CB$8))</f>
        <v>1415443.0311994709</v>
      </c>
      <c r="CC14" s="18">
        <f>IF(CC$1&lt;CapEx!$O$7,0,(VLOOKUP($B14,Inputs!$B$25:$D$44,3,0)*(VLOOKUP(Financials!$B14,Inputs!$B$3:$D$21,3,0)*(1+Inputs!$L$9)^Financials!CC$3)*CC$8))</f>
        <v>1465062.173015408</v>
      </c>
      <c r="CD14" s="18">
        <f>IF(CD$1&lt;CapEx!$O$7,0,(VLOOKUP($B14,Inputs!$B$25:$D$44,3,0)*(VLOOKUP(Financials!$B14,Inputs!$B$3:$D$21,3,0)*(1+Inputs!$L$9)^Financials!CD$3)*CD$8))</f>
        <v>1467503.9433037671</v>
      </c>
      <c r="CE14" s="18">
        <f>IF(CE$1&lt;CapEx!$O$7,0,(VLOOKUP($B14,Inputs!$B$25:$D$44,3,0)*(VLOOKUP(Financials!$B14,Inputs!$B$3:$D$21,3,0)*(1+Inputs!$L$9)^Financials!CE$3)*CE$8))</f>
        <v>1422532.0482670388</v>
      </c>
      <c r="CF14" s="18">
        <f>IF(CF$1&lt;CapEx!$O$7,0,(VLOOKUP($B14,Inputs!$B$25:$D$44,3,0)*(VLOOKUP(Financials!$B14,Inputs!$B$3:$D$21,3,0)*(1+Inputs!$L$9)^Financials!CF$3)*CF$8))</f>
        <v>1472399.6995146221</v>
      </c>
      <c r="CG14" s="18">
        <f>IF(CG$1&lt;CapEx!$O$7,0,(VLOOKUP($B14,Inputs!$B$25:$D$44,3,0)*(VLOOKUP(Financials!$B14,Inputs!$B$3:$D$21,3,0)*(1+Inputs!$L$9)^Financials!CG$3)*CG$8))</f>
        <v>1427277.7732391742</v>
      </c>
      <c r="CH14" s="18">
        <f>IF(CH$1&lt;CapEx!$O$7,0,(VLOOKUP($B14,Inputs!$B$25:$D$44,3,0)*(VLOOKUP(Financials!$B14,Inputs!$B$3:$D$21,3,0)*(1+Inputs!$L$9)^Financials!CH$3)*CH$8))</f>
        <v>1477311.7885121698</v>
      </c>
      <c r="CI14" s="18">
        <f>IF(CI$1&lt;CapEx!$O$7,0,(VLOOKUP($B14,Inputs!$B$25:$D$44,3,0)*(VLOOKUP(Financials!$B14,Inputs!$B$3:$D$21,3,0)*(1+Inputs!$L$9)^Financials!CI$3)*CI$8))</f>
        <v>1479773.9748263569</v>
      </c>
      <c r="CJ14" s="18">
        <f>IF(CJ$1&lt;CapEx!$O$7,0,(VLOOKUP($B14,Inputs!$B$25:$D$44,3,0)*(VLOOKUP(Financials!$B14,Inputs!$B$3:$D$21,3,0)*(1+Inputs!$L$9)^Financials!CJ$3)*CJ$8))</f>
        <v>1338797.6585149427</v>
      </c>
      <c r="CK14" s="18">
        <f>IF(CK$1&lt;CapEx!$O$7,0,(VLOOKUP($B14,Inputs!$B$25:$D$44,3,0)*(VLOOKUP(Financials!$B14,Inputs!$B$3:$D$21,3,0)*(1+Inputs!$L$9)^Financials!CK$3)*CK$8))</f>
        <v>1484710.6652257082</v>
      </c>
      <c r="CL14" s="18">
        <f>IF(CL$1&lt;CapEx!$O$7,0,(VLOOKUP($B14,Inputs!$B$25:$D$44,3,0)*(VLOOKUP(Financials!$B14,Inputs!$B$3:$D$21,3,0)*(1+Inputs!$L$9)^Financials!CL$3)*CL$8))</f>
        <v>1439211.4674204045</v>
      </c>
      <c r="CM14" s="18">
        <f>IF(CM$1&lt;CapEx!$O$7,0,(VLOOKUP($B14,Inputs!$B$25:$D$44,3,0)*(VLOOKUP(Financials!$B14,Inputs!$B$3:$D$21,3,0)*(1+Inputs!$L$9)^Financials!CM$3)*CM$8))</f>
        <v>1489663.8249727532</v>
      </c>
      <c r="CN14" s="18">
        <f>IF(CN$1&lt;CapEx!$O$7,0,(VLOOKUP($B14,Inputs!$B$25:$D$44,3,0)*(VLOOKUP(Financials!$B14,Inputs!$B$3:$D$21,3,0)*(1+Inputs!$L$9)^Financials!CN$3)*CN$8))</f>
        <v>1444012.8367881044</v>
      </c>
      <c r="CO14" s="18">
        <f>IF(CO$1&lt;CapEx!$O$7,0,(VLOOKUP($B14,Inputs!$B$25:$D$44,3,0)*(VLOOKUP(Financials!$B14,Inputs!$B$3:$D$21,3,0)*(1+Inputs!$L$9)^Financials!CO$3)*CO$8))</f>
        <v>1494633.5090110651</v>
      </c>
      <c r="CP14" s="18">
        <f>IF(CP$1&lt;CapEx!$O$7,0,(VLOOKUP($B14,Inputs!$B$25:$D$44,3,0)*(VLOOKUP(Financials!$B14,Inputs!$B$3:$D$21,3,0)*(1+Inputs!$L$9)^Financials!CP$3)*CP$8))</f>
        <v>1497124.5648594168</v>
      </c>
      <c r="CQ14" s="18">
        <f>IF(CQ$1&lt;CapEx!$O$7,0,(VLOOKUP($B14,Inputs!$B$25:$D$44,3,0)*(VLOOKUP(Financials!$B14,Inputs!$B$3:$D$21,3,0)*(1+Inputs!$L$9)^Financials!CQ$3)*CQ$8))</f>
        <v>1451244.9410975964</v>
      </c>
      <c r="CR14" s="18">
        <f>IF(CR$1&lt;CapEx!$O$7,0,(VLOOKUP($B14,Inputs!$B$25:$D$44,3,0)*(VLOOKUP(Financials!$B14,Inputs!$B$3:$D$21,3,0)*(1+Inputs!$L$9)^Financials!CR$3)*CR$8))</f>
        <v>1502119.138754962</v>
      </c>
      <c r="CS14" s="18">
        <f>IF(CS$1&lt;CapEx!$O$7,0,(VLOOKUP($B14,Inputs!$B$25:$D$44,3,0)*(VLOOKUP(Financials!$B14,Inputs!$B$3:$D$21,3,0)*(1+Inputs!$L$9)^Financials!CS$3)*CS$8))</f>
        <v>1456086.4554705359</v>
      </c>
      <c r="CT14" s="18">
        <f>IF(CT$1&lt;CapEx!$O$7,0,(VLOOKUP($B14,Inputs!$B$25:$D$44,3,0)*(VLOOKUP(Financials!$B14,Inputs!$B$3:$D$21,3,0)*(1+Inputs!$L$9)^Financials!CT$3)*CT$8))</f>
        <v>1507130.3751039756</v>
      </c>
      <c r="CU14" s="18">
        <f>IF(CU$1&lt;CapEx!$O$7,0,(VLOOKUP($B14,Inputs!$B$25:$D$44,3,0)*(VLOOKUP(Financials!$B14,Inputs!$B$3:$D$21,3,0)*(1+Inputs!$L$9)^Financials!CU$3)*CU$8))</f>
        <v>1509642.2590624823</v>
      </c>
      <c r="CV14" s="18">
        <f>IF(CV$1&lt;CapEx!$O$7,0,(VLOOKUP($B14,Inputs!$B$25:$D$44,3,0)*(VLOOKUP(Financials!$B14,Inputs!$B$3:$D$21,3,0)*(1+Inputs!$L$9)^Financials!CV$3)*CV$8))</f>
        <v>1365820.4266399704</v>
      </c>
      <c r="CW14" s="18">
        <f>IF(CW$1&lt;CapEx!$O$7,0,(VLOOKUP($B14,Inputs!$B$25:$D$44,3,0)*(VLOOKUP(Financials!$B14,Inputs!$B$3:$D$21,3,0)*(1+Inputs!$L$9)^Financials!CW$3)*CW$8))</f>
        <v>1514678.5933767436</v>
      </c>
      <c r="CX14" s="18">
        <f>IF(CX$1&lt;CapEx!$O$7,0,(VLOOKUP($B14,Inputs!$B$25:$D$44,3,0)*(VLOOKUP(Financials!$B14,Inputs!$B$3:$D$21,3,0)*(1+Inputs!$L$9)^Financials!CX$3)*CX$8))</f>
        <v>1468261.0235797146</v>
      </c>
      <c r="CY14" s="18">
        <f>IF(CY$1&lt;CapEx!$O$7,0,(VLOOKUP($B14,Inputs!$B$25:$D$44,3,0)*(VLOOKUP(Financials!$B14,Inputs!$B$3:$D$21,3,0)*(1+Inputs!$L$9)^Financials!CY$3)*CY$8))</f>
        <v>1519731.7294618704</v>
      </c>
      <c r="CZ14" s="18">
        <f>IF(CZ$1&lt;CapEx!$O$7,0,(VLOOKUP($B14,Inputs!$B$25:$D$44,3,0)*(VLOOKUP(Financials!$B14,Inputs!$B$3:$D$21,3,0)*(1+Inputs!$L$9)^Financials!CZ$3)*CZ$8))</f>
        <v>1473159.3054944901</v>
      </c>
      <c r="DA14" s="18">
        <f>IF(DA$1&lt;CapEx!$O$7,0,(VLOOKUP($B14,Inputs!$B$25:$D$44,3,0)*(VLOOKUP(Financials!$B14,Inputs!$B$3:$D$21,3,0)*(1+Inputs!$L$9)^Financials!DA$3)*DA$8))</f>
        <v>1524801.7233704361</v>
      </c>
      <c r="DB14" s="18">
        <f>IF(DB$1&lt;CapEx!$O$7,0,(VLOOKUP($B14,Inputs!$B$25:$D$44,3,0)*(VLOOKUP(Financials!$B14,Inputs!$B$3:$D$21,3,0)*(1+Inputs!$L$9)^Financials!DB$3)*DB$8))</f>
        <v>1527343.0595760539</v>
      </c>
      <c r="DC14" s="18">
        <f>IF(DC$1&lt;CapEx!$O$7,0,(VLOOKUP($B14,Inputs!$B$25:$D$44,3,0)*(VLOOKUP(Financials!$B14,Inputs!$B$3:$D$21,3,0)*(1+Inputs!$L$9)^Financials!DC$3)*DC$8))</f>
        <v>1480537.3851696907</v>
      </c>
      <c r="DD14" s="18">
        <f>IF(DD$1&lt;CapEx!$O$7,0,(VLOOKUP($B14,Inputs!$B$25:$D$44,3,0)*(VLOOKUP(Financials!$B14,Inputs!$B$3:$D$21,3,0)*(1+Inputs!$L$9)^Financials!DD$3)*DD$8))</f>
        <v>1532438.445727584</v>
      </c>
      <c r="DE14" s="18">
        <f>IF(DE$1&lt;CapEx!$O$7,0,(VLOOKUP($B14,Inputs!$B$25:$D$44,3,0)*(VLOOKUP(Financials!$B14,Inputs!$B$3:$D$21,3,0)*(1+Inputs!$L$9)^Financials!DE$3)*DE$8))</f>
        <v>1485476.6223907711</v>
      </c>
      <c r="DF14" s="18">
        <f>IF(DF$1&lt;CapEx!$O$7,0,(VLOOKUP($B14,Inputs!$B$25:$D$44,3,0)*(VLOOKUP(Financials!$B14,Inputs!$B$3:$D$21,3,0)*(1+Inputs!$L$9)^Financials!DF$3)*DF$8))</f>
        <v>1537550.8306534698</v>
      </c>
      <c r="DG14" s="18">
        <f>IF(DG$1&lt;CapEx!$O$7,0,(VLOOKUP($B14,Inputs!$B$25:$D$44,3,0)*(VLOOKUP(Financials!$B14,Inputs!$B$3:$D$21,3,0)*(1+Inputs!$L$9)^Financials!DG$3)*DG$8))</f>
        <v>1540113.4153712261</v>
      </c>
      <c r="DH14" s="18">
        <f>IF(DH$1&lt;CapEx!$O$7,0,(VLOOKUP($B14,Inputs!$B$25:$D$44,3,0)*(VLOOKUP(Financials!$B14,Inputs!$B$3:$D$21,3,0)*(1+Inputs!$L$9)^Financials!DH$3)*DH$8))</f>
        <v>1393388.6319283326</v>
      </c>
      <c r="DI14" s="18">
        <f>IF(DI$1&lt;CapEx!$O$7,0,(VLOOKUP($B14,Inputs!$B$25:$D$44,3,0)*(VLOOKUP(Financials!$B14,Inputs!$B$3:$D$21,3,0)*(1+Inputs!$L$9)^Financials!DI$3)*DI$8))</f>
        <v>1545251.4048486173</v>
      </c>
      <c r="DJ14" s="18">
        <f>IF(DJ$1&lt;CapEx!$O$7,0,(VLOOKUP($B14,Inputs!$B$25:$D$44,3,0)*(VLOOKUP(Financials!$B14,Inputs!$B$3:$D$21,3,0)*(1+Inputs!$L$9)^Financials!DJ$3)*DJ$8))</f>
        <v>1497896.9263129341</v>
      </c>
      <c r="DK14" s="18">
        <f>IF(DK$1&lt;CapEx!$O$7,0,(VLOOKUP($B14,Inputs!$B$25:$D$44,3,0)*(VLOOKUP(Financials!$B14,Inputs!$B$3:$D$21,3,0)*(1+Inputs!$L$9)^Financials!DK$3)*DK$8))</f>
        <v>1550406.5352297933</v>
      </c>
      <c r="DL14" s="18">
        <f>IF(DL$1&lt;CapEx!$O$7,0,(VLOOKUP($B14,Inputs!$B$25:$D$44,3,0)*(VLOOKUP(Financials!$B14,Inputs!$B$3:$D$21,3,0)*(1+Inputs!$L$9)^Financials!DL$3)*DL$8))</f>
        <v>1502894.0768921061</v>
      </c>
      <c r="DM14" s="18">
        <f>IF(DM$1&lt;CapEx!$O$7,0,(VLOOKUP($B14,Inputs!$B$25:$D$44,3,0)*(VLOOKUP(Financials!$B14,Inputs!$B$3:$D$21,3,0)*(1+Inputs!$L$9)^Financials!DM$3)*DM$8))</f>
        <v>1555578.8636987128</v>
      </c>
      <c r="DN14" s="18">
        <f>IF(DN$1&lt;CapEx!$O$7,0,(VLOOKUP($B14,Inputs!$B$25:$D$44,3,0)*(VLOOKUP(Financials!$B14,Inputs!$B$3:$D$21,3,0)*(1+Inputs!$L$9)^Financials!DN$3)*DN$8))</f>
        <v>1558171.4951382109</v>
      </c>
      <c r="DO14" s="18">
        <f>IF(DO$1&lt;CapEx!$O$7,0,(VLOOKUP($B14,Inputs!$B$25:$D$44,3,0)*(VLOOKUP(Financials!$B14,Inputs!$B$3:$D$21,3,0)*(1+Inputs!$L$9)^Financials!DO$3)*DO$8))</f>
        <v>1510421.0783517172</v>
      </c>
      <c r="DP14" s="18">
        <f>IF(DP$1&lt;CapEx!$O$7,0,(VLOOKUP($B14,Inputs!$B$25:$D$44,3,0)*(VLOOKUP(Financials!$B14,Inputs!$B$3:$D$21,3,0)*(1+Inputs!$L$9)^Financials!DP$3)*DP$8))</f>
        <v>1563369.728376158</v>
      </c>
      <c r="DQ14" s="18">
        <f>IF(DQ$1&lt;CapEx!$O$7,0,(VLOOKUP($B14,Inputs!$B$25:$D$44,3,0)*(VLOOKUP(Financials!$B14,Inputs!$B$3:$D$21,3,0)*(1+Inputs!$L$9)^Financials!DQ$3)*DQ$8))</f>
        <v>1515460.0108936629</v>
      </c>
      <c r="DR14" s="18">
        <f>IF(DR$1&lt;CapEx!$O$7,0,(VLOOKUP($B14,Inputs!$B$25:$D$44,3,0)*(VLOOKUP(Financials!$B14,Inputs!$B$3:$D$21,3,0)*(1+Inputs!$L$9)^Financials!DR$3)*DR$8))</f>
        <v>1568585.3034977687</v>
      </c>
      <c r="DS14" s="18">
        <f>IF(DS$1&lt;CapEx!$O$7,0,(VLOOKUP($B14,Inputs!$B$25:$D$44,3,0)*(VLOOKUP(Financials!$B14,Inputs!$B$3:$D$21,3,0)*(1+Inputs!$L$9)^Financials!DS$3)*DS$8))</f>
        <v>1571199.6123369315</v>
      </c>
      <c r="DT14" s="18">
        <f>IF(DT$1&lt;CapEx!$O$7,0,(VLOOKUP($B14,Inputs!$B$25:$D$44,3,0)*(VLOOKUP(Financials!$B14,Inputs!$B$3:$D$21,3,0)*(1+Inputs!$L$9)^Financials!DT$3)*DT$8))</f>
        <v>1421513.2836777358</v>
      </c>
      <c r="DU14" s="18">
        <f>IF(DU$1&lt;CapEx!$O$7,0,(VLOOKUP($B14,Inputs!$B$25:$D$44,3,0)*(VLOOKUP(Financials!$B14,Inputs!$B$3:$D$21,3,0)*(1+Inputs!$L$9)^Financials!DU$3)*DU$8))</f>
        <v>1576441.3088214225</v>
      </c>
      <c r="DV14" s="18">
        <f>IF(DV$1&lt;CapEx!$O$7,0,(VLOOKUP($B14,Inputs!$B$25:$D$44,3,0)*(VLOOKUP(Financials!$B14,Inputs!$B$3:$D$21,3,0)*(1+Inputs!$L$9)^Financials!DV$3)*DV$8))</f>
        <v>1528131.0106478627</v>
      </c>
      <c r="DW14" s="18">
        <f>IF(DW$1&lt;CapEx!$O$7,0,(VLOOKUP($B14,Inputs!$B$25:$D$44,3,0)*(VLOOKUP(Financials!$B14,Inputs!$B$3:$D$21,3,0)*(1+Inputs!$L$9)^Financials!DW$3)*DW$8))</f>
        <v>1581700.4921877966</v>
      </c>
      <c r="DX14" s="18">
        <f>IF(DX$1&lt;CapEx!$O$7,0,(VLOOKUP($B14,Inputs!$B$25:$D$44,3,0)*(VLOOKUP(Financials!$B14,Inputs!$B$3:$D$21,3,0)*(1+Inputs!$L$9)^Financials!DX$3)*DX$8))</f>
        <v>1533229.0254917189</v>
      </c>
      <c r="DY14" s="18">
        <f>IF(DY$1&lt;CapEx!$O$7,0,(VLOOKUP($B14,Inputs!$B$25:$D$44,3,0)*(VLOOKUP(Financials!$B14,Inputs!$B$3:$D$21,3,0)*(1+Inputs!$L$9)^Financials!DY$3)*DY$8))</f>
        <v>1586977.2207742345</v>
      </c>
      <c r="DZ14" s="18">
        <f>IF(DZ$1&lt;CapEx!$O$7,0,(VLOOKUP($B14,Inputs!$B$25:$D$44,3,0)*(VLOOKUP(Financials!$B14,Inputs!$B$3:$D$21,3,0)*(1+Inputs!$L$9)^Financials!DZ$3)*DZ$8))</f>
        <v>1589622.1828088583</v>
      </c>
      <c r="EA14" s="18">
        <f>IF(EA$1&lt;CapEx!$O$7,0,(VLOOKUP($B14,Inputs!$B$25:$D$44,3,0)*(VLOOKUP(Financials!$B14,Inputs!$B$3:$D$21,3,0)*(1+Inputs!$L$9)^Financials!EA$3)*EA$8))</f>
        <v>1540907.9546260063</v>
      </c>
      <c r="EB14" s="18">
        <f>IF(EB$1&lt;CapEx!$O$7,0,(VLOOKUP($B14,Inputs!$B$25:$D$44,3,0)*(VLOOKUP(Financials!$B14,Inputs!$B$3:$D$21,3,0)*(1+Inputs!$L$9)^Financials!EB$3)*EB$8))</f>
        <v>1594925.3390353958</v>
      </c>
      <c r="EC14" s="18">
        <f>IF(EC$1&lt;CapEx!$O$7,0,(VLOOKUP($B14,Inputs!$B$25:$D$44,3,0)*(VLOOKUP(Financials!$B14,Inputs!$B$3:$D$21,3,0)*(1+Inputs!$L$9)^Financials!EC$3)*EC$8))</f>
        <v>1546048.5947746336</v>
      </c>
      <c r="ED14" s="18">
        <f>IF(ED$1&lt;CapEx!$O$7,0,(VLOOKUP($B14,Inputs!$B$25:$D$44,3,0)*(VLOOKUP(Financials!$B14,Inputs!$B$3:$D$21,3,0)*(1+Inputs!$L$9)^Financials!ED$3)*ED$8))</f>
        <v>1600246.1871803447</v>
      </c>
      <c r="EE14" s="18">
        <f>IF(EE$1&lt;CapEx!$O$7,0,(VLOOKUP($B14,Inputs!$B$25:$D$44,3,0)*(VLOOKUP(Financials!$B14,Inputs!$B$3:$D$21,3,0)*(1+Inputs!$L$9)^Financials!EE$3)*EE$8))</f>
        <v>1602913.2641589788</v>
      </c>
      <c r="EF14" s="18">
        <f>IF(EF$1&lt;CapEx!$O$7,0,(VLOOKUP($B14,Inputs!$B$25:$D$44,3,0)*(VLOOKUP(Financials!$B14,Inputs!$B$3:$D$21,3,0)*(1+Inputs!$L$9)^Financials!EF$3)*EF$8))</f>
        <v>1450205.6134014674</v>
      </c>
      <c r="EG14" s="18">
        <f>IF(EG$1&lt;CapEx!$O$7,0,(VLOOKUP($B14,Inputs!$B$25:$D$44,3,0)*(VLOOKUP(Financials!$B14,Inputs!$B$3:$D$21,3,0)*(1+Inputs!$L$9)^Financials!EG$3)*EG$8))</f>
        <v>1608260.7609096868</v>
      </c>
      <c r="EH14" s="18">
        <f>IF(EH$1&lt;CapEx!$O$7,0,(VLOOKUP($B14,Inputs!$B$25:$D$44,3,0)*(VLOOKUP(Financials!$B14,Inputs!$B$3:$D$21,3,0)*(1+Inputs!$L$9)^Financials!EH$3)*EH$8))</f>
        <v>1558975.3504947131</v>
      </c>
      <c r="EI14" s="18">
        <f>IF(EI$1&lt;CapEx!$O$7,0,(VLOOKUP($B14,Inputs!$B$25:$D$44,3,0)*(VLOOKUP(Financials!$B14,Inputs!$B$3:$D$21,3,0)*(1+Inputs!$L$9)^Financials!EI$3)*EI$8))</f>
        <v>1613626.0975037224</v>
      </c>
      <c r="EJ14" s="18">
        <f>IF(EJ$1&lt;CapEx!$O$7,0,(VLOOKUP($B14,Inputs!$B$25:$D$44,3,0)*(VLOOKUP(Financials!$B14,Inputs!$B$3:$D$21,3,0)*(1+Inputs!$L$9)^Financials!EJ$3)*EJ$8))</f>
        <v>1564176.2654834469</v>
      </c>
      <c r="EK14" s="18">
        <f>IF(EK$1&lt;CapEx!$O$7,0,(VLOOKUP($B14,Inputs!$B$25:$D$44,3,0)*(VLOOKUP(Financials!$B14,Inputs!$B$3:$D$21,3,0)*(1+Inputs!$L$9)^Financials!EK$3)*EK$8))</f>
        <v>1619009.3334567836</v>
      </c>
      <c r="EL14" s="18">
        <f>IF(EL$1&lt;CapEx!$O$7,0,(VLOOKUP($B14,Inputs!$B$25:$D$44,3,0)*(VLOOKUP(Financials!$B14,Inputs!$B$3:$D$21,3,0)*(1+Inputs!$L$9)^Financials!EL$3)*EL$8))</f>
        <v>1621707.6823458779</v>
      </c>
      <c r="EM14" s="18">
        <f>IF(EM$1&lt;CapEx!$O$7,0,(VLOOKUP($B14,Inputs!$B$25:$D$44,3,0)*(VLOOKUP(Financials!$B14,Inputs!$B$3:$D$21,3,0)*(1+Inputs!$L$9)^Financials!EM$3)*EM$8))</f>
        <v>1572010.1888546336</v>
      </c>
      <c r="EN14" s="18">
        <f>IF(EN$1&lt;CapEx!$O$7,0,(VLOOKUP($B14,Inputs!$B$25:$D$44,3,0)*(VLOOKUP(Financials!$B14,Inputs!$B$3:$D$21,3,0)*(1+Inputs!$L$9)^Financials!EN$3)*EN$8))</f>
        <v>1627117.8793639264</v>
      </c>
      <c r="EO14" s="18">
        <f>IF(EO$1&lt;CapEx!$O$7,0,(VLOOKUP($B14,Inputs!$B$25:$D$44,3,0)*(VLOOKUP(Financials!$B14,Inputs!$B$3:$D$21,3,0)*(1+Inputs!$L$9)^Financials!EO$3)*EO$8))</f>
        <v>1577254.589512452</v>
      </c>
      <c r="EP14" s="18">
        <f>IF(EP$1&lt;CapEx!$O$7,0,(VLOOKUP($B14,Inputs!$B$25:$D$44,3,0)*(VLOOKUP(Financials!$B14,Inputs!$B$3:$D$21,3,0)*(1+Inputs!$L$9)^Financials!EP$3)*EP$8))</f>
        <v>1632546.1254003607</v>
      </c>
      <c r="EQ14" s="18">
        <f>IF(EQ$1&lt;CapEx!$O$7,0,(VLOOKUP($B14,Inputs!$B$25:$D$44,3,0)*(VLOOKUP(Financials!$B14,Inputs!$B$3:$D$21,3,0)*(1+Inputs!$L$9)^Financials!EQ$3)*EQ$8))</f>
        <v>1635267.0356093615</v>
      </c>
      <c r="ER14" s="18">
        <f>IF(ER$1&lt;CapEx!$O$7,0,(VLOOKUP($B14,Inputs!$B$25:$D$44,3,0)*(VLOOKUP(Financials!$B14,Inputs!$B$3:$D$21,3,0)*(1+Inputs!$L$9)^Financials!ER$3)*ER$8))</f>
        <v>1479477.0793136735</v>
      </c>
      <c r="ES14" s="18">
        <f>IF(ES$1&lt;CapEx!$O$7,0,(VLOOKUP($B14,Inputs!$B$25:$D$44,3,0)*(VLOOKUP(Financials!$B14,Inputs!$B$3:$D$21,3,0)*(1+Inputs!$L$9)^Financials!ES$3)*ES$8))</f>
        <v>1640722.4681364915</v>
      </c>
      <c r="ET14" s="18">
        <f>IF(ET$1&lt;CapEx!$O$7,0,(VLOOKUP($B14,Inputs!$B$25:$D$44,3,0)*(VLOOKUP(Financials!$B14,Inputs!$B$3:$D$21,3,0)*(1+Inputs!$L$9)^Financials!ET$3)*ET$8))</f>
        <v>1590442.2634677931</v>
      </c>
      <c r="EU14" s="18">
        <f>IF(EU$1&lt;CapEx!$O$7,0,(VLOOKUP($B14,Inputs!$B$25:$D$44,3,0)*(VLOOKUP(Financials!$B14,Inputs!$B$3:$D$21,3,0)*(1+Inputs!$L$9)^Financials!EU$3)*EU$8))</f>
        <v>1646196.1005926915</v>
      </c>
      <c r="EV14" s="18">
        <f>IF(EV$1&lt;CapEx!$O$7,0,(VLOOKUP($B14,Inputs!$B$25:$D$44,3,0)*(VLOOKUP(Financials!$B14,Inputs!$B$3:$D$21,3,0)*(1+Inputs!$L$9)^Financials!EV$3)*EV$8))</f>
        <v>1595748.1555745285</v>
      </c>
      <c r="EW14" s="18">
        <f>IF(EW$1&lt;CapEx!$O$7,0,(VLOOKUP($B14,Inputs!$B$25:$D$44,3,0)*(VLOOKUP(Financials!$B14,Inputs!$B$3:$D$21,3,0)*(1+Inputs!$L$9)^Financials!EW$3)*EW$8))</f>
        <v>1651687.9936949466</v>
      </c>
      <c r="EX14" s="18">
        <f>IF(EX$1&lt;CapEx!$O$7,0,(VLOOKUP($B14,Inputs!$B$25:$D$44,3,0)*(VLOOKUP(Financials!$B14,Inputs!$B$3:$D$21,3,0)*(1+Inputs!$L$9)^Financials!EX$3)*EX$8))</f>
        <v>1654440.807017772</v>
      </c>
      <c r="EY14" s="18">
        <f>IF(EY$1&lt;CapEx!$O$7,0,(VLOOKUP($B14,Inputs!$B$25:$D$44,3,0)*(VLOOKUP(Financials!$B14,Inputs!$B$3:$D$21,3,0)*(1+Inputs!$L$9)^Financials!EY$3)*EY$8))</f>
        <v>1603740.2016414208</v>
      </c>
      <c r="EZ14" s="18">
        <f>IF(EZ$1&lt;CapEx!$O$7,0,(VLOOKUP($B14,Inputs!$B$25:$D$44,3,0)*(VLOOKUP(Financials!$B14,Inputs!$B$3:$D$21,3,0)*(1+Inputs!$L$9)^Financials!EZ$3)*EZ$8))</f>
        <v>1659960.2053767396</v>
      </c>
      <c r="FA14" s="18">
        <f>IF(FA$1&lt;CapEx!$O$7,0,(VLOOKUP($B14,Inputs!$B$25:$D$44,3,0)*(VLOOKUP(Financials!$B14,Inputs!$B$3:$D$21,3,0)*(1+Inputs!$L$9)^Financials!FA$3)*FA$8))</f>
        <v>1609090.4571474527</v>
      </c>
      <c r="FB14" s="18">
        <f>IF(FB$1&lt;CapEx!$O$7,0,(VLOOKUP($B14,Inputs!$B$25:$D$44,3,0)*(VLOOKUP(Financials!$B14,Inputs!$B$3:$D$21,3,0)*(1+Inputs!$L$9)^Financials!FB$3)*FB$8))</f>
        <v>1665498.0170618994</v>
      </c>
      <c r="FC14" s="18">
        <f>IF(FC$1&lt;CapEx!$O$7,0,(VLOOKUP($B14,Inputs!$B$25:$D$44,3,0)*(VLOOKUP(Financials!$B14,Inputs!$B$3:$D$21,3,0)*(1+Inputs!$L$9)^Financials!FC$3)*FC$8))</f>
        <v>1668273.847090336</v>
      </c>
      <c r="FD14" s="18">
        <f>IF(FD$1&lt;CapEx!$O$7,0,(VLOOKUP($B14,Inputs!$B$25:$D$44,3,0)*(VLOOKUP(Financials!$B14,Inputs!$B$3:$D$21,3,0)*(1+Inputs!$L$9)^Financials!FD$3)*FD$8))</f>
        <v>1509339.3709051711</v>
      </c>
      <c r="FE14" s="18">
        <f>IF(FE$1&lt;CapEx!$O$7,0,(VLOOKUP($B14,Inputs!$B$25:$D$44,3,0)*(VLOOKUP(Financials!$B14,Inputs!$B$3:$D$21,3,0)*(1+Inputs!$L$9)^Financials!FE$3)*FE$8))</f>
        <v>1673839.3940079904</v>
      </c>
      <c r="FF14" s="18">
        <f>IF(FF$1&lt;CapEx!$O$7,0,(VLOOKUP($B14,Inputs!$B$25:$D$44,3,0)*(VLOOKUP(Financials!$B14,Inputs!$B$3:$D$21,3,0)*(1+Inputs!$L$9)^Financials!FF$3)*FF$8))</f>
        <v>1622544.3158045202</v>
      </c>
      <c r="FG14" s="18">
        <f>IF(FG$1&lt;CapEx!$O$7,0,(VLOOKUP($B14,Inputs!$B$25:$D$44,3,0)*(VLOOKUP(Financials!$B14,Inputs!$B$3:$D$21,3,0)*(1+Inputs!$L$9)^Financials!FG$3)*FG$8))</f>
        <v>1679423.5082085566</v>
      </c>
      <c r="FH14" s="18">
        <f>IF(FH$1&lt;CapEx!$O$7,0,(VLOOKUP($B14,Inputs!$B$25:$D$44,3,0)*(VLOOKUP(Financials!$B14,Inputs!$B$3:$D$21,3,0)*(1+Inputs!$L$9)^Financials!FH$3)*FH$8))</f>
        <v>1627957.3039247459</v>
      </c>
      <c r="FI14" s="18">
        <f>IF(FI$1&lt;CapEx!$O$7,0,(VLOOKUP($B14,Inputs!$B$25:$D$44,3,0)*(VLOOKUP(Financials!$B14,Inputs!$B$3:$D$21,3,0)*(1+Inputs!$L$9)^Financials!FI$3)*FI$8))</f>
        <v>1685026.2516345524</v>
      </c>
      <c r="FJ14" s="18">
        <f>IF(FJ$1&lt;CapEx!$O$7,0,(VLOOKUP($B14,Inputs!$B$25:$D$44,3,0)*(VLOOKUP(Financials!$B14,Inputs!$B$3:$D$21,3,0)*(1+Inputs!$L$9)^Financials!FJ$3)*FJ$8))</f>
        <v>1687834.6287206102</v>
      </c>
      <c r="FK14" s="18">
        <f>IF(FK$1&lt;CapEx!$O$7,0,(VLOOKUP($B14,Inputs!$B$25:$D$44,3,0)*(VLOOKUP(Financials!$B14,Inputs!$B$3:$D$21,3,0)*(1+Inputs!$L$9)^Financials!FK$3)*FK$8))</f>
        <v>1636110.6642920754</v>
      </c>
      <c r="FL14" s="18">
        <f>IF(FL$1&lt;CapEx!$O$7,0,(VLOOKUP($B14,Inputs!$B$25:$D$44,3,0)*(VLOOKUP(Financials!$B14,Inputs!$B$3:$D$21,3,0)*(1+Inputs!$L$9)^Financials!FL$3)*FL$8))</f>
        <v>1693465.432579203</v>
      </c>
      <c r="FM14" s="18">
        <f>IF(FM$1&lt;CapEx!$O$7,0,(VLOOKUP($B14,Inputs!$B$25:$D$44,3,0)*(VLOOKUP(Financials!$B14,Inputs!$B$3:$D$21,3,0)*(1+Inputs!$L$9)^Financials!FM$3)*FM$8))</f>
        <v>1641568.9112582277</v>
      </c>
      <c r="FN14" s="18">
        <f>IF(FN$1&lt;CapEx!$O$7,0,(VLOOKUP($B14,Inputs!$B$25:$D$44,3,0)*(VLOOKUP(Financials!$B14,Inputs!$B$3:$D$21,3,0)*(1+Inputs!$L$9)^Financials!FN$3)*FN$8))</f>
        <v>1699115.0214251138</v>
      </c>
      <c r="FO14" s="18">
        <f>IF(FO$1&lt;CapEx!$O$7,0,(VLOOKUP($B14,Inputs!$B$25:$D$44,3,0)*(VLOOKUP(Financials!$B14,Inputs!$B$3:$D$21,3,0)*(1+Inputs!$L$9)^Financials!FO$3)*FO$8))</f>
        <v>1701946.8797941552</v>
      </c>
      <c r="FP14" s="18">
        <f>IF(FP$1&lt;CapEx!$O$7,0,(VLOOKUP($B14,Inputs!$B$25:$D$44,3,0)*(VLOOKUP(Financials!$B14,Inputs!$B$3:$D$21,3,0)*(1+Inputs!$L$9)^Financials!FP$3)*FP$8))</f>
        <v>1539804.4136116155</v>
      </c>
      <c r="FQ14" s="18">
        <f>IF(FQ$1&lt;CapEx!$O$7,0,(VLOOKUP($B14,Inputs!$B$25:$D$44,3,0)*(VLOOKUP(Financials!$B14,Inputs!$B$3:$D$21,3,0)*(1+Inputs!$L$9)^Financials!FQ$3)*FQ$8))</f>
        <v>1707624.7636903578</v>
      </c>
      <c r="FR14" s="18">
        <f>IF(FR$1&lt;CapEx!$O$7,0,(VLOOKUP($B14,Inputs!$B$25:$D$44,3,0)*(VLOOKUP(Financials!$B14,Inputs!$B$3:$D$21,3,0)*(1+Inputs!$L$9)^Financials!FR$3)*FR$8))</f>
        <v>1655294.3273837178</v>
      </c>
      <c r="FS14" s="18">
        <f>IF(FS$1&lt;CapEx!$O$7,0,(VLOOKUP($B14,Inputs!$B$25:$D$44,3,0)*(VLOOKUP(Financials!$B14,Inputs!$B$3:$D$21,3,0)*(1+Inputs!$L$9)^Financials!FS$3)*FS$8))</f>
        <v>1713321.5896381142</v>
      </c>
      <c r="FT14" s="18">
        <f>IF(FT$1&lt;CapEx!$O$7,0,(VLOOKUP($B14,Inputs!$B$25:$D$44,3,0)*(VLOOKUP(Financials!$B14,Inputs!$B$3:$D$21,3,0)*(1+Inputs!$L$9)^Financials!FT$3)*FT$8))</f>
        <v>1660816.573181462</v>
      </c>
      <c r="FU14" s="18">
        <f>IF(FU$1&lt;CapEx!$O$7,0,(VLOOKUP($B14,Inputs!$B$25:$D$44,3,0)*(VLOOKUP(Financials!$B14,Inputs!$B$3:$D$21,3,0)*(1+Inputs!$L$9)^Financials!FU$3)*FU$8))</f>
        <v>1719037.4208302128</v>
      </c>
      <c r="FV14" s="18">
        <f>IF(FV$1&lt;CapEx!$O$7,0,(VLOOKUP($B14,Inputs!$B$25:$D$44,3,0)*(VLOOKUP(Financials!$B14,Inputs!$B$3:$D$21,3,0)*(1+Inputs!$L$9)^Financials!FV$3)*FV$8))</f>
        <v>1721902.4831982632</v>
      </c>
      <c r="FW14" s="18">
        <f>IF(FW$1&lt;CapEx!$O$7,0,(VLOOKUP($B14,Inputs!$B$25:$D$44,3,0)*(VLOOKUP(Financials!$B14,Inputs!$B$3:$D$21,3,0)*(1+Inputs!$L$9)^Financials!FW$3)*FW$8))</f>
        <v>1669134.5038744453</v>
      </c>
      <c r="FX14" s="18">
        <f>IF(FX$1&lt;CapEx!$O$7,0,(VLOOKUP($B14,Inputs!$B$25:$D$44,3,0)*(VLOOKUP(Financials!$B14,Inputs!$B$3:$D$21,3,0)*(1+Inputs!$L$9)^Financials!FX$3)*FX$8))</f>
        <v>1727646.9412047109</v>
      </c>
      <c r="FY14" s="18">
        <f>IF(FY$1&lt;CapEx!$O$7,0,(VLOOKUP($B14,Inputs!$B$25:$D$44,3,0)*(VLOOKUP(Financials!$B14,Inputs!$B$3:$D$21,3,0)*(1+Inputs!$L$9)^Financials!FY$3)*FY$8))</f>
        <v>1674702.92203876</v>
      </c>
      <c r="FZ14" s="18">
        <f>IF(FZ$1&lt;CapEx!$O$7,0,(VLOOKUP($B14,Inputs!$B$25:$D$44,3,0)*(VLOOKUP(Financials!$B14,Inputs!$B$3:$D$21,3,0)*(1+Inputs!$L$9)^Financials!FZ$3)*FZ$8))</f>
        <v>1733410.5633613414</v>
      </c>
      <c r="GA14" s="18">
        <f>IF(GA$1&lt;CapEx!$O$7,0,(VLOOKUP($B14,Inputs!$B$25:$D$44,3,0)*(VLOOKUP(Financials!$B14,Inputs!$B$3:$D$21,3,0)*(1+Inputs!$L$9)^Financials!GA$3)*GA$8))</f>
        <v>1736299.5809669434</v>
      </c>
      <c r="GB14" s="18">
        <f>IF(GB$1&lt;CapEx!$O$7,0,(VLOOKUP($B14,Inputs!$B$25:$D$44,3,0)*(VLOOKUP(Financials!$B14,Inputs!$B$3:$D$21,3,0)*(1+Inputs!$L$9)^Financials!GB$3)*GB$8))</f>
        <v>1570884.3735758991</v>
      </c>
      <c r="GC14" s="18">
        <f>IF(GC$1&lt;CapEx!$O$7,0,(VLOOKUP($B14,Inputs!$B$25:$D$44,3,0)*(VLOOKUP(Financials!$B14,Inputs!$B$3:$D$21,3,0)*(1+Inputs!$L$9)^Financials!GC$3)*GC$8))</f>
        <v>1742092.0692912252</v>
      </c>
      <c r="GD14" s="18">
        <f>IF(GD$1&lt;CapEx!$O$7,0,(VLOOKUP($B14,Inputs!$B$25:$D$44,3,0)*(VLOOKUP(Financials!$B14,Inputs!$B$3:$D$21,3,0)*(1+Inputs!$L$9)^Financials!GD$3)*GD$8))</f>
        <v>1688705.3768452043</v>
      </c>
      <c r="GE14" s="18">
        <f>IF(GE$1&lt;CapEx!$O$7,0,(VLOOKUP($B14,Inputs!$B$25:$D$44,3,0)*(VLOOKUP(Financials!$B14,Inputs!$B$3:$D$21,3,0)*(1+Inputs!$L$9)^Financials!GE$3)*GE$8))</f>
        <v>1747903.8820001665</v>
      </c>
      <c r="GF14" s="18">
        <f>IF(GF$1&lt;CapEx!$O$7,0,(VLOOKUP($B14,Inputs!$B$25:$D$44,3,0)*(VLOOKUP(Financials!$B14,Inputs!$B$3:$D$21,3,0)*(1+Inputs!$L$9)^Financials!GF$3)*GF$8))</f>
        <v>1694339.0856162901</v>
      </c>
      <c r="GG14" s="18">
        <f>IF(GG$1&lt;CapEx!$O$7,0,(VLOOKUP($B14,Inputs!$B$25:$D$44,3,0)*(VLOOKUP(Financials!$B14,Inputs!$B$3:$D$21,3,0)*(1+Inputs!$L$9)^Financials!GG$3)*GG$8))</f>
        <v>1753735.0835620617</v>
      </c>
      <c r="GH14" s="18">
        <f>IF(GH$1&lt;CapEx!$O$7,0,(VLOOKUP($B14,Inputs!$B$25:$D$44,3,0)*(VLOOKUP(Financials!$B14,Inputs!$B$3:$D$21,3,0)*(1+Inputs!$L$9)^Financials!GH$3)*GH$8))</f>
        <v>1756657.9753679987</v>
      </c>
      <c r="GI14" s="18">
        <f>IF(GI$1&lt;CapEx!$O$7,0,(VLOOKUP($B14,Inputs!$B$25:$D$44,3,0)*(VLOOKUP(Financials!$B14,Inputs!$B$3:$D$21,3,0)*(1+Inputs!$L$9)^Financials!GI$3)*GI$8))</f>
        <v>1702824.9083809149</v>
      </c>
      <c r="GJ14" s="18">
        <f>IF(GJ$1&lt;CapEx!$O$7,0,(VLOOKUP($B14,Inputs!$B$25:$D$44,3,0)*(VLOOKUP(Financials!$B14,Inputs!$B$3:$D$21,3,0)*(1+Inputs!$L$9)^Financials!GJ$3)*GJ$8))</f>
        <v>1762518.3815580457</v>
      </c>
      <c r="GK14" s="18">
        <f>IF(GK$1&lt;CapEx!$O$7,0,(VLOOKUP($B14,Inputs!$B$25:$D$44,3,0)*(VLOOKUP(Financials!$B14,Inputs!$B$3:$D$21,3,0)*(1+Inputs!$L$9)^Financials!GK$3)*GK$8))</f>
        <v>1708505.7214780413</v>
      </c>
      <c r="GL14" s="18">
        <f>IF(GL$1&lt;CapEx!$O$7,0,(VLOOKUP($B14,Inputs!$B$25:$D$44,3,0)*(VLOOKUP(Financials!$B14,Inputs!$B$3:$D$21,3,0)*(1+Inputs!$L$9)^Financials!GL$3)*GL$8))</f>
        <v>1768398.3387142997</v>
      </c>
      <c r="GM14" s="18">
        <f>IF(GM$1&lt;CapEx!$O$7,0,(VLOOKUP($B14,Inputs!$B$25:$D$44,3,0)*(VLOOKUP(Financials!$B14,Inputs!$B$3:$D$21,3,0)*(1+Inputs!$L$9)^Financials!GM$3)*GM$8))</f>
        <v>1771345.6692788235</v>
      </c>
      <c r="GN14" s="18">
        <f>IF(GN$1&lt;CapEx!$O$7,0,(VLOOKUP($B14,Inputs!$B$25:$D$44,3,0)*(VLOOKUP(Financials!$B14,Inputs!$B$3:$D$21,3,0)*(1+Inputs!$L$9)^Financials!GN$3)*GN$8))</f>
        <v>1602591.6625066688</v>
      </c>
      <c r="GO14" s="18">
        <f>IF(GO$1&lt;CapEx!$O$7,0,(VLOOKUP($B14,Inputs!$B$25:$D$44,3,0)*(VLOOKUP(Financials!$B14,Inputs!$B$3:$D$21,3,0)*(1+Inputs!$L$9)^Financials!GO$3)*GO$8))</f>
        <v>1777255.0752477234</v>
      </c>
      <c r="GP14" s="18">
        <f>IF(GP$1&lt;CapEx!$O$7,0,(VLOOKUP($B14,Inputs!$B$25:$D$44,3,0)*(VLOOKUP(Financials!$B14,Inputs!$B$3:$D$21,3,0)*(1+Inputs!$L$9)^Financials!GP$3)*GP$8))</f>
        <v>1722790.8068127127</v>
      </c>
      <c r="GQ14" s="18">
        <f>IF(GQ$1&lt;CapEx!$O$7,0,(VLOOKUP($B14,Inputs!$B$25:$D$44,3,0)*(VLOOKUP(Financials!$B14,Inputs!$B$3:$D$21,3,0)*(1+Inputs!$L$9)^Financials!GQ$3)*GQ$8))</f>
        <v>1783184.1956515361</v>
      </c>
      <c r="GR14" s="18">
        <f>IF(GR$1&lt;CapEx!$O$7,0,(VLOOKUP($B14,Inputs!$B$25:$D$44,3,0)*(VLOOKUP(Financials!$B14,Inputs!$B$3:$D$21,3,0)*(1+Inputs!$L$9)^Financials!GR$3)*GR$8))</f>
        <v>1728538.2283654406</v>
      </c>
      <c r="GS14" s="18">
        <f>IF(GS$1&lt;CapEx!$O$7,0,(VLOOKUP($B14,Inputs!$B$25:$D$44,3,0)*(VLOOKUP(Financials!$B14,Inputs!$B$3:$D$21,3,0)*(1+Inputs!$L$9)^Financials!GS$3)*GS$8))</f>
        <v>1789133.0962598072</v>
      </c>
      <c r="GT14" s="18">
        <f>IF(GT$1&lt;CapEx!$O$7,0,(VLOOKUP($B14,Inputs!$B$25:$D$44,3,0)*(VLOOKUP(Financials!$B14,Inputs!$B$3:$D$21,3,0)*(1+Inputs!$L$9)^Financials!GT$3)*GT$8))</f>
        <v>1792114.984753574</v>
      </c>
      <c r="GU14" s="18">
        <f>IF(GU$1&lt;CapEx!$O$7,0,(VLOOKUP($B14,Inputs!$B$25:$D$44,3,0)*(VLOOKUP(Financials!$B14,Inputs!$B$3:$D$21,3,0)*(1+Inputs!$L$9)^Financials!GU$3)*GU$8))</f>
        <v>1737195.3319949964</v>
      </c>
      <c r="GV14" s="18">
        <f>IF(GV$1&lt;CapEx!$O$7,0,(VLOOKUP($B14,Inputs!$B$25:$D$44,3,0)*(VLOOKUP(Financials!$B14,Inputs!$B$3:$D$21,3,0)*(1+Inputs!$L$9)^Financials!GV$3)*GV$8))</f>
        <v>1798093.6794665989</v>
      </c>
      <c r="GW14" s="18">
        <f>IF(GW$1&lt;CapEx!$O$7,0,(VLOOKUP($B14,Inputs!$B$25:$D$44,3,0)*(VLOOKUP(Financials!$B14,Inputs!$B$3:$D$21,3,0)*(1+Inputs!$L$9)^Financials!GW$3)*GW$8))</f>
        <v>1742990.8086442354</v>
      </c>
      <c r="GX14" s="18">
        <f>IF(GX$1&lt;CapEx!$O$7,0,(VLOOKUP($B14,Inputs!$B$25:$D$44,3,0)*(VLOOKUP(Financials!$B14,Inputs!$B$3:$D$21,3,0)*(1+Inputs!$L$9)^Financials!GX$3)*GX$8))</f>
        <v>1804092.3197694866</v>
      </c>
      <c r="GY14" s="18">
        <f>IF(GY$1&lt;CapEx!$O$7,0,(VLOOKUP($B14,Inputs!$B$25:$D$44,3,0)*(VLOOKUP(Financials!$B14,Inputs!$B$3:$D$21,3,0)*(1+Inputs!$L$9)^Financials!GY$3)*GY$8))</f>
        <v>1807099.1403024357</v>
      </c>
      <c r="GZ14" s="18">
        <f>IF(GZ$1&lt;CapEx!$O$7,0,(VLOOKUP($B14,Inputs!$B$25:$D$44,3,0)*(VLOOKUP(Financials!$B14,Inputs!$B$3:$D$21,3,0)*(1+Inputs!$L$9)^Financials!GZ$3)*GZ$8))</f>
        <v>1634938.9426349131</v>
      </c>
      <c r="HA14" s="18">
        <f>IF(HA$1&lt;CapEx!$O$7,0,(VLOOKUP($B14,Inputs!$B$25:$D$44,3,0)*(VLOOKUP(Financials!$B14,Inputs!$B$3:$D$21,3,0)*(1+Inputs!$L$9)^Financials!HA$3)*HA$8))</f>
        <v>1813127.8238232785</v>
      </c>
      <c r="HB14" s="18">
        <f>IF(HB$1&lt;CapEx!$O$7,0,(VLOOKUP($B14,Inputs!$B$25:$D$44,3,0)*(VLOOKUP(Financials!$B14,Inputs!$B$3:$D$21,3,0)*(1+Inputs!$L$9)^Financials!HB$3)*HB$8))</f>
        <v>1757564.2292222427</v>
      </c>
      <c r="HC14" s="18">
        <f>IF(HC$1&lt;CapEx!$O$7,0,(VLOOKUP($B14,Inputs!$B$25:$D$44,3,0)*(VLOOKUP(Financials!$B14,Inputs!$B$3:$D$21,3,0)*(1+Inputs!$L$9)^Financials!HC$3)*HC$8))</f>
        <v>1819176.6197022002</v>
      </c>
      <c r="HD14" s="18">
        <f>IF(HD$1&lt;CapEx!$O$7,0,(VLOOKUP($B14,Inputs!$B$25:$D$44,3,0)*(VLOOKUP(Financials!$B14,Inputs!$B$3:$D$21,3,0)*(1+Inputs!$L$9)^Financials!HD$3)*HD$8))</f>
        <v>1763427.6587758425</v>
      </c>
      <c r="HE14" s="18">
        <f>IF(HE$1&lt;CapEx!$O$7,0,(VLOOKUP($B14,Inputs!$B$25:$D$44,3,0)*(VLOOKUP(Financials!$B14,Inputs!$B$3:$D$21,3,0)*(1+Inputs!$L$9)^Financials!HE$3)*HE$8))</f>
        <v>1825245.5950362624</v>
      </c>
      <c r="HF14" s="18">
        <f>IF(HF$1&lt;CapEx!$O$7,0,(VLOOKUP($B14,Inputs!$B$25:$D$44,3,0)*(VLOOKUP(Financials!$B14,Inputs!$B$3:$D$21,3,0)*(1+Inputs!$L$9)^Financials!HF$3)*HF$8))</f>
        <v>1828287.6710279896</v>
      </c>
      <c r="HG14" s="18">
        <f>IF(HG$1&lt;CapEx!$O$7,0,(VLOOKUP($B14,Inputs!$B$25:$D$44,3,0)*(VLOOKUP(Financials!$B14,Inputs!$B$3:$D$21,3,0)*(1+Inputs!$L$9)^Financials!HG$3)*HG$8))</f>
        <v>1772259.5004642284</v>
      </c>
      <c r="HH14" s="18">
        <f>IF(HH$1&lt;CapEx!$O$7,0,(VLOOKUP($B14,Inputs!$B$25:$D$44,3,0)*(VLOOKUP(Financials!$B14,Inputs!$B$3:$D$21,3,0)*(1+Inputs!$L$9)^Financials!HH$3)*HH$8))</f>
        <v>1834387.0418416134</v>
      </c>
      <c r="HI14" s="18">
        <f>IF(HI$1&lt;CapEx!$O$7,0,(VLOOKUP($B14,Inputs!$B$25:$D$44,3,0)*(VLOOKUP(Financials!$B14,Inputs!$B$3:$D$21,3,0)*(1+Inputs!$L$9)^Financials!HI$3)*HI$8))</f>
        <v>1778171.9550754996</v>
      </c>
      <c r="HJ14" s="18">
        <f>IF(HJ$1&lt;CapEx!$O$7,0,(VLOOKUP($B14,Inputs!$B$25:$D$44,3,0)*(VLOOKUP(Financials!$B14,Inputs!$B$3:$D$21,3,0)*(1+Inputs!$L$9)^Financials!HJ$3)*HJ$8))</f>
        <v>1840506.7608339803</v>
      </c>
      <c r="HK14" s="18">
        <f>IF(HK$1&lt;CapEx!$O$7,0,(VLOOKUP($B14,Inputs!$B$25:$D$44,3,0)*(VLOOKUP(Financials!$B14,Inputs!$B$3:$D$21,3,0)*(1+Inputs!$L$9)^Financials!HK$3)*HK$8))</f>
        <v>1843574.2721020365</v>
      </c>
      <c r="HL14" s="18">
        <f>IF(HL$1&lt;CapEx!$O$7,0,(VLOOKUP($B14,Inputs!$B$25:$D$44,3,0)*(VLOOKUP(Financials!$B14,Inputs!$B$3:$D$21,3,0)*(1+Inputs!$L$9)^Financials!HL$3)*HL$8))</f>
        <v>1667939.1317705957</v>
      </c>
      <c r="HM14" s="18">
        <f>IF(HM$1&lt;CapEx!$O$7,0,(VLOOKUP($B14,Inputs!$B$25:$D$44,3,0)*(VLOOKUP(Financials!$B14,Inputs!$B$3:$D$21,3,0)*(1+Inputs!$L$9)^Financials!HM$3)*HM$8))</f>
        <v>1849724.6407153555</v>
      </c>
      <c r="HN14" s="18">
        <f>IF(HN$1&lt;CapEx!$O$7,0,(VLOOKUP($B14,Inputs!$B$25:$D$44,3,0)*(VLOOKUP(Financials!$B14,Inputs!$B$3:$D$21,3,0)*(1+Inputs!$L$9)^Financials!HN$3)*HN$8))</f>
        <v>1793039.5307579492</v>
      </c>
      <c r="HO14" s="18">
        <f>IF(HO$1&lt;CapEx!$O$7,0,(VLOOKUP($B14,Inputs!$B$25:$D$44,3,0)*(VLOOKUP(Financials!$B14,Inputs!$B$3:$D$21,3,0)*(1+Inputs!$L$9)^Financials!HO$3)*HO$8))</f>
        <v>1855895.527641742</v>
      </c>
      <c r="HP14" s="18">
        <f>IF(HP$1&lt;CapEx!$O$7,0,(VLOOKUP($B14,Inputs!$B$25:$D$44,3,0)*(VLOOKUP(Financials!$B14,Inputs!$B$3:$D$21,3,0)*(1+Inputs!$L$9)^Financials!HP$3)*HP$8))</f>
        <v>1799021.3098591724</v>
      </c>
      <c r="HQ14" s="18">
        <f>IF(HQ$1&lt;CapEx!$O$7,0,(VLOOKUP($B14,Inputs!$B$25:$D$44,3,0)*(VLOOKUP(Financials!$B14,Inputs!$B$3:$D$21,3,0)*(1+Inputs!$L$9)^Financials!HQ$3)*HQ$8))</f>
        <v>1862087.0013325689</v>
      </c>
      <c r="HR14" s="18">
        <f>IF(HR$1&lt;CapEx!$O$7,0,(VLOOKUP($B14,Inputs!$B$25:$D$44,3,0)*(VLOOKUP(Financials!$B14,Inputs!$B$3:$D$21,3,0)*(1+Inputs!$L$9)^Financials!HR$3)*HR$8))</f>
        <v>1865190.4796681236</v>
      </c>
      <c r="HS14" s="18">
        <f>IF(HS$1&lt;CapEx!$O$7,0,(VLOOKUP($B14,Inputs!$B$25:$D$44,3,0)*(VLOOKUP(Financials!$B14,Inputs!$B$3:$D$21,3,0)*(1+Inputs!$L$9)^Financials!HS$3)*HS$8))</f>
        <v>1808031.4165815201</v>
      </c>
      <c r="HT14" s="18">
        <f>IF(HT$1&lt;CapEx!$O$7,0,(VLOOKUP($B14,Inputs!$B$25:$D$44,3,0)*(VLOOKUP(Financials!$B14,Inputs!$B$3:$D$21,3,0)*(1+Inputs!$L$9)^Financials!HT$3)*HT$8))</f>
        <v>1871412.9623516831</v>
      </c>
      <c r="HU14" s="18">
        <f>IF(HU$1&lt;CapEx!$O$7,0,(VLOOKUP($B14,Inputs!$B$25:$D$44,3,0)*(VLOOKUP(Financials!$B14,Inputs!$B$3:$D$21,3,0)*(1+Inputs!$L$9)^Financials!HU$3)*HU$8))</f>
        <v>1814063.2102796158</v>
      </c>
      <c r="HV14" s="18">
        <f>IF(HV$1&lt;CapEx!$O$7,0,(VLOOKUP($B14,Inputs!$B$25:$D$44,3,0)*(VLOOKUP(Financials!$B14,Inputs!$B$3:$D$21,3,0)*(1+Inputs!$L$9)^Financials!HV$3)*HV$8))</f>
        <v>1877656.2039288627</v>
      </c>
      <c r="HW14" s="18">
        <f>IF(HW$1&lt;CapEx!$O$7,0,(VLOOKUP($B14,Inputs!$B$25:$D$44,3,0)*(VLOOKUP(Financials!$B14,Inputs!$B$3:$D$21,3,0)*(1+Inputs!$L$9)^Financials!HW$3)*HW$8))</f>
        <v>1880785.6309354112</v>
      </c>
      <c r="HX14" s="18">
        <f>IF(HX$1&lt;CapEx!$O$7,0,(VLOOKUP($B14,Inputs!$B$25:$D$44,3,0)*(VLOOKUP(Financials!$B14,Inputs!$B$3:$D$21,3,0)*(1+Inputs!$L$9)^Financials!HX$3)*HX$8))</f>
        <v>1701605.4084613491</v>
      </c>
      <c r="HY14" s="18">
        <f>IF(HY$1&lt;CapEx!$O$7,0,(VLOOKUP($B14,Inputs!$B$25:$D$44,3,0)*(VLOOKUP(Financials!$B14,Inputs!$B$3:$D$21,3,0)*(1+Inputs!$L$9)^Financials!HY$3)*HY$8))</f>
        <v>1887060.140776393</v>
      </c>
      <c r="HZ14" s="18">
        <f>IF(HZ$1&lt;CapEx!$O$7,0,(VLOOKUP($B14,Inputs!$B$25:$D$44,3,0)*(VLOOKUP(Financials!$B14,Inputs!$B$3:$D$21,3,0)*(1+Inputs!$L$9)^Financials!HZ$3)*HZ$8))</f>
        <v>1829230.8783977618</v>
      </c>
      <c r="IA14" s="18">
        <f>IF(IA$1&lt;CapEx!$O$7,0,(VLOOKUP($B14,Inputs!$B$25:$D$44,3,0)*(VLOOKUP(Financials!$B14,Inputs!$B$3:$D$21,3,0)*(1+Inputs!$L$9)^Financials!IA$3)*IA$8))</f>
        <v>1893355.5830793721</v>
      </c>
      <c r="IB14" s="18">
        <f>IF(IB$1&lt;CapEx!$O$7,0,(VLOOKUP($B14,Inputs!$B$25:$D$44,3,0)*(VLOOKUP(Financials!$B14,Inputs!$B$3:$D$21,3,0)*(1+Inputs!$L$9)^Financials!IB$3)*IB$8))</f>
        <v>1835333.3958559718</v>
      </c>
      <c r="IC14" s="18">
        <f>IF(IC$1&lt;CapEx!$O$7,0,(VLOOKUP($B14,Inputs!$B$25:$D$44,3,0)*(VLOOKUP(Financials!$B14,Inputs!$B$3:$D$21,3,0)*(1+Inputs!$L$9)^Financials!IC$3)*IC$8))</f>
        <v>1899672.0276773677</v>
      </c>
      <c r="ID14" s="18">
        <f>IF(ID$1&lt;CapEx!$O$7,0,(VLOOKUP($B14,Inputs!$B$25:$D$44,3,0)*(VLOOKUP(Financials!$B14,Inputs!$B$3:$D$21,3,0)*(1+Inputs!$L$9)^Financials!ID$3)*ID$8))</f>
        <v>1902838.1477234967</v>
      </c>
      <c r="IE14" s="18">
        <f>IF(IE$1&lt;CapEx!$O$7,0,(VLOOKUP($B14,Inputs!$B$25:$D$44,3,0)*(VLOOKUP(Financials!$B14,Inputs!$B$3:$D$21,3,0)*(1+Inputs!$L$9)^Financials!IE$3)*IE$8))</f>
        <v>1844525.3657771321</v>
      </c>
      <c r="IF14" s="18">
        <f>IF(IF$1&lt;CapEx!$O$7,0,(VLOOKUP($B14,Inputs!$B$25:$D$44,3,0)*(VLOOKUP(Financials!$B14,Inputs!$B$3:$D$21,3,0)*(1+Inputs!$L$9)^Financials!IF$3)*IF$8))</f>
        <v>1909186.2272107631</v>
      </c>
      <c r="IG14" s="18">
        <f>IF(IG$1&lt;CapEx!$O$7,0,(VLOOKUP($B14,Inputs!$B$25:$D$44,3,0)*(VLOOKUP(Financials!$B14,Inputs!$B$3:$D$21,3,0)*(1+Inputs!$L$9)^Financials!IG$3)*IG$8))</f>
        <v>1850678.9073446272</v>
      </c>
      <c r="IH14" s="18">
        <f>IF(IH$1&lt;CapEx!$O$7,0,(VLOOKUP($B14,Inputs!$B$25:$D$44,3,0)*(VLOOKUP(Financials!$B14,Inputs!$B$3:$D$21,3,0)*(1+Inputs!$L$9)^Financials!IH$3)*IH$8))</f>
        <v>1915555.4845965423</v>
      </c>
      <c r="II14" s="18">
        <f>IF(II$1&lt;CapEx!$O$7,0,(VLOOKUP($B14,Inputs!$B$25:$D$44,3,0)*(VLOOKUP(Financials!$B14,Inputs!$B$3:$D$21,3,0)*(1+Inputs!$L$9)^Financials!II$3)*II$8))</f>
        <v>1918748.0770708697</v>
      </c>
      <c r="IJ14" s="18">
        <f>IF(IJ$1&lt;CapEx!$O$7,0,(VLOOKUP($B14,Inputs!$B$25:$D$44,3,0)*(VLOOKUP(Financials!$B14,Inputs!$B$3:$D$21,3,0)*(1+Inputs!$L$9)^Financials!IJ$3)*IJ$8))</f>
        <v>1735951.2172553011</v>
      </c>
      <c r="IK14" s="18">
        <f>IF(IK$1&lt;CapEx!$O$7,0,(VLOOKUP($B14,Inputs!$B$25:$D$44,3,0)*(VLOOKUP(Financials!$B14,Inputs!$B$3:$D$21,3,0)*(1+Inputs!$L$9)^Financials!IK$3)*IK$8))</f>
        <v>1925149.2338502093</v>
      </c>
      <c r="IL14" s="18">
        <f>IF(IL$1&lt;CapEx!$O$7,0,(VLOOKUP($B14,Inputs!$B$25:$D$44,3,0)*(VLOOKUP(Financials!$B14,Inputs!$B$3:$D$21,3,0)*(1+Inputs!$L$9)^Financials!IL$3)*IL$8))</f>
        <v>1866152.7250709287</v>
      </c>
      <c r="IM14" s="18">
        <f>IF(IM$1&lt;CapEx!$O$7,0,(VLOOKUP($B14,Inputs!$B$25:$D$44,3,0)*(VLOOKUP(Financials!$B14,Inputs!$B$3:$D$21,3,0)*(1+Inputs!$L$9)^Financials!IM$3)*IM$8))</f>
        <v>1931571.745599804</v>
      </c>
      <c r="IN14" s="18">
        <f>IF(IN$1&lt;CapEx!$O$7,0,(VLOOKUP($B14,Inputs!$B$25:$D$44,3,0)*(VLOOKUP(Financials!$B14,Inputs!$B$3:$D$21,3,0)*(1+Inputs!$L$9)^Financials!IN$3)*IN$8))</f>
        <v>1872378.4179120678</v>
      </c>
      <c r="IO14" s="18">
        <f>IF(IO$1&lt;CapEx!$O$7,0,(VLOOKUP($B14,Inputs!$B$25:$D$44,3,0)*(VLOOKUP(Financials!$B14,Inputs!$B$3:$D$21,3,0)*(1+Inputs!$L$9)^Financials!IO$3)*IO$8))</f>
        <v>1938015.6835622082</v>
      </c>
      <c r="IP14" s="18">
        <f>IF(IP$1&lt;CapEx!$O$7,0,(VLOOKUP($B14,Inputs!$B$25:$D$44,3,0)*(VLOOKUP(Financials!$B14,Inputs!$B$3:$D$21,3,0)*(1+Inputs!$L$9)^Financials!IP$3)*IP$8))</f>
        <v>1941245.7097014787</v>
      </c>
      <c r="IQ14" s="18">
        <f>IF(IQ$1&lt;CapEx!$O$7,0,(VLOOKUP($B14,Inputs!$B$25:$D$44,3,0)*(VLOOKUP(Financials!$B14,Inputs!$B$3:$D$21,3,0)*(1+Inputs!$L$9)^Financials!IQ$3)*IQ$8))</f>
        <v>1881755.9218235298</v>
      </c>
      <c r="IR14" s="18">
        <f>IF(IR$1&lt;CapEx!$O$7,0,(VLOOKUP($B14,Inputs!$B$25:$D$44,3,0)*(VLOOKUP(Financials!$B14,Inputs!$B$3:$D$21,3,0)*(1+Inputs!$L$9)^Financials!IR$3)*IR$8))</f>
        <v>1947721.92108301</v>
      </c>
      <c r="IS14" s="18">
        <f>IF(IS$1&lt;CapEx!$O$7,0,(VLOOKUP($B14,Inputs!$B$25:$D$44,3,0)*(VLOOKUP(Financials!$B14,Inputs!$B$3:$D$21,3,0)*(1+Inputs!$L$9)^Financials!IS$3)*IS$8))</f>
        <v>1888033.6686627248</v>
      </c>
      <c r="IT14" s="18">
        <f>IF(IT$1&lt;CapEx!$O$7,0,(VLOOKUP($B14,Inputs!$B$25:$D$44,3,0)*(VLOOKUP(Financials!$B14,Inputs!$B$3:$D$21,3,0)*(1+Inputs!$L$9)^Financials!IT$3)*IT$8))</f>
        <v>1954219.7378252903</v>
      </c>
      <c r="IU14" s="18">
        <f>IF(IU$1&lt;CapEx!$O$7,0,(VLOOKUP($B14,Inputs!$B$25:$D$44,3,0)*(VLOOKUP(Financials!$B14,Inputs!$B$3:$D$21,3,0)*(1+Inputs!$L$9)^Financials!IU$3)*IU$8))</f>
        <v>1957476.7707216665</v>
      </c>
      <c r="IV14" s="18">
        <f>IF(IV$1&lt;CapEx!$O$7,0,(VLOOKUP($B14,Inputs!$B$25:$D$44,3,0)*(VLOOKUP(Financials!$B14,Inputs!$B$3:$D$21,3,0)*(1+Inputs!$L$9)^Financials!IV$3)*IV$8))</f>
        <v>1770990.2740701186</v>
      </c>
      <c r="IW14" s="18">
        <f>IF(IW$1&lt;CapEx!$O$7,0,(VLOOKUP($B14,Inputs!$B$25:$D$44,3,0)*(VLOOKUP(Financials!$B14,Inputs!$B$3:$D$21,3,0)*(1+Inputs!$L$9)^Financials!IW$3)*IW$8))</f>
        <v>1964007.1307262131</v>
      </c>
      <c r="IX14" s="18">
        <f>IF(IX$1&lt;CapEx!$O$7,0,(VLOOKUP($B14,Inputs!$B$25:$D$44,3,0)*(VLOOKUP(Financials!$B14,Inputs!$B$3:$D$21,3,0)*(1+Inputs!$L$9)^Financials!IX$3)*IX$8))</f>
        <v>1903819.8154297648</v>
      </c>
      <c r="IY14" s="18">
        <f>IF(IY$1&lt;CapEx!$O$7,0,(VLOOKUP($B14,Inputs!$B$25:$D$44,3,0)*(VLOOKUP(Financials!$B14,Inputs!$B$3:$D$21,3,0)*(1+Inputs!$L$9)^Financials!IY$3)*IY$8))</f>
        <v>1970559.2767373305</v>
      </c>
      <c r="IZ14" s="18">
        <f>IF(IZ$1&lt;CapEx!$O$7,0,(VLOOKUP($B14,Inputs!$B$25:$D$44,3,0)*(VLOOKUP(Financials!$B14,Inputs!$B$3:$D$21,3,0)*(1+Inputs!$L$9)^Financials!IZ$3)*IZ$8))</f>
        <v>1910171.1698695736</v>
      </c>
      <c r="JA14" s="18">
        <f>IF(JA$1&lt;CapEx!$O$7,0,(VLOOKUP($B14,Inputs!$B$25:$D$44,3,0)*(VLOOKUP(Financials!$B14,Inputs!$B$3:$D$21,3,0)*(1+Inputs!$L$9)^Financials!JA$3)*JA$8))</f>
        <v>1977133.2814355572</v>
      </c>
      <c r="JB14" s="18">
        <f>IF(JB$1&lt;CapEx!$O$7,0,(VLOOKUP($B14,Inputs!$B$25:$D$44,3,0)*(VLOOKUP(Financials!$B14,Inputs!$B$3:$D$21,3,0)*(1+Inputs!$L$9)^Financials!JB$3)*JB$8))</f>
        <v>1980428.5035712835</v>
      </c>
      <c r="JC14" s="18">
        <f>IF(JC$1&lt;CapEx!$O$7,0,(VLOOKUP($B14,Inputs!$B$25:$D$44,3,0)*(VLOOKUP(Financials!$B14,Inputs!$B$3:$D$21,3,0)*(1+Inputs!$L$9)^Financials!JC$3)*JC$8))</f>
        <v>1919737.9526553897</v>
      </c>
      <c r="JD14" s="18">
        <f>IF(JD$1&lt;CapEx!$O$7,0,(VLOOKUP($B14,Inputs!$B$25:$D$44,3,0)*(VLOOKUP(Financials!$B14,Inputs!$B$3:$D$21,3,0)*(1+Inputs!$L$9)^Financials!JD$3)*JD$8))</f>
        <v>1987035.4331068089</v>
      </c>
      <c r="JE14" s="18">
        <f>IF(JE$1&lt;CapEx!$O$7,0,(VLOOKUP($B14,Inputs!$B$25:$D$44,3,0)*(VLOOKUP(Financials!$B14,Inputs!$B$3:$D$21,3,0)*(1+Inputs!$L$9)^Financials!JE$3)*JE$8))</f>
        <v>1926142.4117696648</v>
      </c>
      <c r="JF14" s="18">
        <f>IF(JF$1&lt;CapEx!$O$7,0,(VLOOKUP($B14,Inputs!$B$25:$D$44,3,0)*(VLOOKUP(Financials!$B14,Inputs!$B$3:$D$21,3,0)*(1+Inputs!$L$9)^Financials!JF$3)*JF$8))</f>
        <v>1993664.4040933684</v>
      </c>
      <c r="JG14" s="18">
        <f>IF(JG$1&lt;CapEx!$O$7,0,(VLOOKUP($B14,Inputs!$B$25:$D$44,3,0)*(VLOOKUP(Financials!$B14,Inputs!$B$3:$D$21,3,0)*(1+Inputs!$L$9)^Financials!JG$3)*JG$8))</f>
        <v>1996987.1781001908</v>
      </c>
      <c r="JH14" s="18">
        <f>IF(JH$1&lt;CapEx!$O$7,0,(VLOOKUP($B14,Inputs!$B$25:$D$44,3,0)*(VLOOKUP(Financials!$B14,Inputs!$B$3:$D$21,3,0)*(1+Inputs!$L$9)^Financials!JH$3)*JH$8))</f>
        <v>1806736.5716704307</v>
      </c>
      <c r="JI14" s="18">
        <f>IF(JI$1&lt;CapEx!$O$7,0,(VLOOKUP($B14,Inputs!$B$25:$D$44,3,0)*(VLOOKUP(Financials!$B14,Inputs!$B$3:$D$21,3,0)*(1+Inputs!$L$9)^Financials!JI$3)*JI$8))</f>
        <v>2003649.3492137976</v>
      </c>
      <c r="JJ14" s="18">
        <f>IF(JJ$1&lt;CapEx!$O$7,0,(VLOOKUP($B14,Inputs!$B$25:$D$44,3,0)*(VLOOKUP(Financials!$B14,Inputs!$B$3:$D$21,3,0)*(1+Inputs!$L$9)^Financials!JJ$3)*JJ$8))</f>
        <v>1942247.1917378907</v>
      </c>
      <c r="JK14" s="18">
        <f>IF(JK$1&lt;CapEx!$O$7,0,(VLOOKUP($B14,Inputs!$B$25:$D$44,3,0)*(VLOOKUP(Financials!$B14,Inputs!$B$3:$D$21,3,0)*(1+Inputs!$L$9)^Financials!JK$3)*JK$8))</f>
        <v>2010333.7460704807</v>
      </c>
      <c r="JL14" s="18">
        <f>IF(JL$1&lt;CapEx!$O$7,0,(VLOOKUP($B14,Inputs!$B$25:$D$44,3,0)*(VLOOKUP(Financials!$B14,Inputs!$B$3:$D$21,3,0)*(1+Inputs!$L$9)^Financials!JL$3)*JL$8))</f>
        <v>1948726.7441747722</v>
      </c>
      <c r="JM14" s="18">
        <f>IF(JM$1&lt;CapEx!$O$7,0,(VLOOKUP($B14,Inputs!$B$25:$D$44,3,0)*(VLOOKUP(Financials!$B14,Inputs!$B$3:$D$21,3,0)*(1+Inputs!$L$9)^Financials!JM$3)*JM$8))</f>
        <v>2017040.4428177883</v>
      </c>
      <c r="JN14" s="18">
        <f>IF(JN$1&lt;CapEx!$O$7,0,(VLOOKUP($B14,Inputs!$B$25:$D$44,3,0)*(VLOOKUP(Financials!$B14,Inputs!$B$3:$D$21,3,0)*(1+Inputs!$L$9)^Financials!JN$3)*JN$8))</f>
        <v>2020402.1768891513</v>
      </c>
      <c r="JO14" s="18">
        <f>IF(JO$1&lt;CapEx!$O$7,0,(VLOOKUP($B14,Inputs!$B$25:$D$44,3,0)*(VLOOKUP(Financials!$B14,Inputs!$B$3:$D$21,3,0)*(1+Inputs!$L$9)^Financials!JO$3)*JO$8))</f>
        <v>1958486.6263070647</v>
      </c>
      <c r="JP14" s="18">
        <f>IF(JP$1&lt;CapEx!$O$7,0,(VLOOKUP($B14,Inputs!$B$25:$D$44,3,0)*(VLOOKUP(Financials!$B14,Inputs!$B$3:$D$21,3,0)*(1+Inputs!$L$9)^Financials!JP$3)*JP$8))</f>
        <v>2027142.4630403845</v>
      </c>
      <c r="JQ14" s="18">
        <f>IF(JQ$1&lt;CapEx!$O$7,0,(VLOOKUP($B14,Inputs!$B$25:$D$44,3,0)*(VLOOKUP(Financials!$B14,Inputs!$B$3:$D$21,3,0)*(1+Inputs!$L$9)^Financials!JQ$3)*JQ$8))</f>
        <v>1965020.3553020502</v>
      </c>
      <c r="JR14" s="18">
        <f>IF(JR$1&lt;CapEx!$O$7,0,(VLOOKUP($B14,Inputs!$B$25:$D$44,3,0)*(VLOOKUP(Financials!$B14,Inputs!$B$3:$D$21,3,0)*(1+Inputs!$L$9)^Financials!JR$3)*JR$8))</f>
        <v>2033905.2355351392</v>
      </c>
    </row>
    <row r="15" spans="2:280" x14ac:dyDescent="0.2">
      <c r="B15" s="22" t="str">
        <f>Inputs!B4</f>
        <v>Aluminum</v>
      </c>
      <c r="C15" s="18">
        <f>IF(C$1&lt;CapEx!$O$7,0,(VLOOKUP($B15,Inputs!$B$25:$D$44,3,0)*(VLOOKUP(Financials!$B15,Inputs!$B$3:$D$21,3,0)*(1+Inputs!$L$9)^Financials!C$3)*C$8))</f>
        <v>0</v>
      </c>
      <c r="D15" s="18">
        <f>IF(D$1&lt;CapEx!$O$7,0,(VLOOKUP($B15,Inputs!$B$25:$D$44,3,0)*(VLOOKUP(Financials!$B15,Inputs!$B$3:$D$21,3,0)*(1+Inputs!$L$9)^Financials!D$3)*D$8))</f>
        <v>0</v>
      </c>
      <c r="E15" s="18">
        <f>IF(E$1&lt;CapEx!$O$7,0,(VLOOKUP($B15,Inputs!$B$25:$D$44,3,0)*(VLOOKUP(Financials!$B15,Inputs!$B$3:$D$21,3,0)*(1+Inputs!$L$9)^Financials!E$3)*E$8))</f>
        <v>0</v>
      </c>
      <c r="F15" s="18">
        <f>IF(F$1&lt;CapEx!$O$7,0,(VLOOKUP($B15,Inputs!$B$25:$D$44,3,0)*(VLOOKUP(Financials!$B15,Inputs!$B$3:$D$21,3,0)*(1+Inputs!$L$9)^Financials!F$3)*F$8))</f>
        <v>0</v>
      </c>
      <c r="G15" s="18">
        <f>IF(G$1&lt;CapEx!$O$7,0,(VLOOKUP($B15,Inputs!$B$25:$D$44,3,0)*(VLOOKUP(Financials!$B15,Inputs!$B$3:$D$21,3,0)*(1+Inputs!$L$9)^Financials!G$3)*G$8))</f>
        <v>0</v>
      </c>
      <c r="H15" s="18">
        <f>IF(H$1&lt;CapEx!$O$7,0,(VLOOKUP($B15,Inputs!$B$25:$D$44,3,0)*(VLOOKUP(Financials!$B15,Inputs!$B$3:$D$21,3,0)*(1+Inputs!$L$9)^Financials!H$3)*H$8))</f>
        <v>0</v>
      </c>
      <c r="I15" s="18">
        <f>IF(I$1&lt;CapEx!$O$7,0,(VLOOKUP($B15,Inputs!$B$25:$D$44,3,0)*(VLOOKUP(Financials!$B15,Inputs!$B$3:$D$21,3,0)*(1+Inputs!$L$9)^Financials!I$3)*I$8))</f>
        <v>0</v>
      </c>
      <c r="J15" s="18">
        <f>IF(J$1&lt;CapEx!$O$7,0,(VLOOKUP($B15,Inputs!$B$25:$D$44,3,0)*(VLOOKUP(Financials!$B15,Inputs!$B$3:$D$21,3,0)*(1+Inputs!$L$9)^Financials!J$3)*J$8))</f>
        <v>0</v>
      </c>
      <c r="K15" s="18">
        <f>IF(K$1&lt;CapEx!$O$7,0,(VLOOKUP($B15,Inputs!$B$25:$D$44,3,0)*(VLOOKUP(Financials!$B15,Inputs!$B$3:$D$21,3,0)*(1+Inputs!$L$9)^Financials!K$3)*K$8))</f>
        <v>0</v>
      </c>
      <c r="L15" s="18">
        <f>IF(L$1&lt;CapEx!$O$7,0,(VLOOKUP($B15,Inputs!$B$25:$D$44,3,0)*(VLOOKUP(Financials!$B15,Inputs!$B$3:$D$21,3,0)*(1+Inputs!$L$9)^Financials!L$3)*L$8))</f>
        <v>0</v>
      </c>
      <c r="M15" s="18">
        <f>IF(M$1&lt;CapEx!$O$7,0,(VLOOKUP($B15,Inputs!$B$25:$D$44,3,0)*(VLOOKUP(Financials!$B15,Inputs!$B$3:$D$21,3,0)*(1+Inputs!$L$9)^Financials!M$3)*M$8))</f>
        <v>0</v>
      </c>
      <c r="N15" s="18">
        <f>IF(N$1&lt;CapEx!$O$7,0,(VLOOKUP($B15,Inputs!$B$25:$D$44,3,0)*(VLOOKUP(Financials!$B15,Inputs!$B$3:$D$21,3,0)*(1+Inputs!$L$9)^Financials!N$3)*N$8))</f>
        <v>0</v>
      </c>
      <c r="O15" s="18">
        <f>IF(O$1&lt;CapEx!$O$7,0,(VLOOKUP($B15,Inputs!$B$25:$D$44,3,0)*(VLOOKUP(Financials!$B15,Inputs!$B$3:$D$21,3,0)*(1+Inputs!$L$9)^Financials!O$3)*O$8))</f>
        <v>0</v>
      </c>
      <c r="P15" s="18">
        <f>IF(P$1&lt;CapEx!$O$7,0,(VLOOKUP($B15,Inputs!$B$25:$D$44,3,0)*(VLOOKUP(Financials!$B15,Inputs!$B$3:$D$21,3,0)*(1+Inputs!$L$9)^Financials!P$3)*P$8))</f>
        <v>0</v>
      </c>
      <c r="Q15" s="18">
        <f>IF(Q$1&lt;CapEx!$O$7,0,(VLOOKUP($B15,Inputs!$B$25:$D$44,3,0)*(VLOOKUP(Financials!$B15,Inputs!$B$3:$D$21,3,0)*(1+Inputs!$L$9)^Financials!Q$3)*Q$8))</f>
        <v>0</v>
      </c>
      <c r="R15" s="18">
        <f>IF(R$1&lt;CapEx!$O$7,0,(VLOOKUP($B15,Inputs!$B$25:$D$44,3,0)*(VLOOKUP(Financials!$B15,Inputs!$B$3:$D$21,3,0)*(1+Inputs!$L$9)^Financials!R$3)*R$8))</f>
        <v>284674.5</v>
      </c>
      <c r="S15" s="18">
        <f>IF(S$1&lt;CapEx!$O$7,0,(VLOOKUP($B15,Inputs!$B$25:$D$44,3,0)*(VLOOKUP(Financials!$B15,Inputs!$B$3:$D$21,3,0)*(1+Inputs!$L$9)^Financials!S$3)*S$8))</f>
        <v>294653.92275000003</v>
      </c>
      <c r="T15" s="18">
        <f>IF(T$1&lt;CapEx!$O$7,0,(VLOOKUP($B15,Inputs!$B$25:$D$44,3,0)*(VLOOKUP(Financials!$B15,Inputs!$B$3:$D$21,3,0)*(1+Inputs!$L$9)^Financials!T$3)*T$8))</f>
        <v>285624.20576250006</v>
      </c>
      <c r="U15" s="18">
        <f>IF(U$1&lt;CapEx!$O$7,0,(VLOOKUP($B15,Inputs!$B$25:$D$44,3,0)*(VLOOKUP(Financials!$B15,Inputs!$B$3:$D$21,3,0)*(1+Inputs!$L$9)^Financials!U$3)*U$8))</f>
        <v>295636.92097561876</v>
      </c>
      <c r="V15" s="18">
        <f>IF(V$1&lt;CapEx!$O$7,0,(VLOOKUP($B15,Inputs!$B$25:$D$44,3,0)*(VLOOKUP(Financials!$B15,Inputs!$B$3:$D$21,3,0)*(1+Inputs!$L$9)^Financials!V$3)*V$8))</f>
        <v>296129.64917724486</v>
      </c>
      <c r="W15" s="18">
        <f>IF(W$1&lt;CapEx!$O$7,0,(VLOOKUP($B15,Inputs!$B$25:$D$44,3,0)*(VLOOKUP(Financials!$B15,Inputs!$B$3:$D$21,3,0)*(1+Inputs!$L$9)^Financials!W$3)*W$8))</f>
        <v>287054.70831536152</v>
      </c>
      <c r="X15" s="18">
        <f>IF(X$1&lt;CapEx!$O$7,0,(VLOOKUP($B15,Inputs!$B$25:$D$44,3,0)*(VLOOKUP(Financials!$B15,Inputs!$B$3:$D$21,3,0)*(1+Inputs!$L$9)^Financials!X$3)*X$8))</f>
        <v>297117.57059019455</v>
      </c>
      <c r="Y15" s="18">
        <f>IF(Y$1&lt;CapEx!$O$7,0,(VLOOKUP($B15,Inputs!$B$25:$D$44,3,0)*(VLOOKUP(Financials!$B15,Inputs!$B$3:$D$21,3,0)*(1+Inputs!$L$9)^Financials!Y$3)*Y$8))</f>
        <v>288012.35471726919</v>
      </c>
      <c r="Z15" s="18">
        <f>IF(Z$1&lt;CapEx!$O$7,0,(VLOOKUP($B15,Inputs!$B$25:$D$44,3,0)*(VLOOKUP(Financials!$B15,Inputs!$B$3:$D$21,3,0)*(1+Inputs!$L$9)^Financials!Z$3)*Z$8))</f>
        <v>298108.78781874687</v>
      </c>
      <c r="AA15" s="18">
        <f>IF(AA$1&lt;CapEx!$O$7,0,(VLOOKUP($B15,Inputs!$B$25:$D$44,3,0)*(VLOOKUP(Financials!$B15,Inputs!$B$3:$D$21,3,0)*(1+Inputs!$L$9)^Financials!AA$3)*AA$8))</f>
        <v>298605.63579844474</v>
      </c>
      <c r="AB15" s="18">
        <f>IF(AB$1&lt;CapEx!$O$7,0,(VLOOKUP($B15,Inputs!$B$25:$D$44,3,0)*(VLOOKUP(Financials!$B15,Inputs!$B$3:$D$21,3,0)*(1+Inputs!$L$9)^Financials!AB$3)*AB$8))</f>
        <v>270157.83006538864</v>
      </c>
      <c r="AC15" s="18">
        <f>IF(AC$1&lt;CapEx!$O$7,0,(VLOOKUP($B15,Inputs!$B$25:$D$44,3,0)*(VLOOKUP(Financials!$B15,Inputs!$B$3:$D$21,3,0)*(1+Inputs!$L$9)^Financials!AC$3)*AC$8))</f>
        <v>299601.81737787242</v>
      </c>
      <c r="AD15" s="18">
        <f>IF(AD$1&lt;CapEx!$O$7,0,(VLOOKUP($B15,Inputs!$B$25:$D$44,3,0)*(VLOOKUP(Financials!$B15,Inputs!$B$3:$D$21,3,0)*(1+Inputs!$L$9)^Financials!AD$3)*AD$8))</f>
        <v>290420.47136145376</v>
      </c>
      <c r="AE15" s="18">
        <f>IF(AE$1&lt;CapEx!$O$7,0,(VLOOKUP($B15,Inputs!$B$25:$D$44,3,0)*(VLOOKUP(Financials!$B15,Inputs!$B$3:$D$21,3,0)*(1+Inputs!$L$9)^Financials!AE$3)*AE$8))</f>
        <v>300601.32232973579</v>
      </c>
      <c r="AF15" s="18">
        <f>IF(AF$1&lt;CapEx!$O$7,0,(VLOOKUP($B15,Inputs!$B$25:$D$44,3,0)*(VLOOKUP(Financials!$B15,Inputs!$B$3:$D$21,3,0)*(1+Inputs!$L$9)^Financials!AF$3)*AF$8))</f>
        <v>291389.34632285684</v>
      </c>
      <c r="AG15" s="18">
        <f>IF(AG$1&lt;CapEx!$O$7,0,(VLOOKUP($B15,Inputs!$B$25:$D$44,3,0)*(VLOOKUP(Financials!$B15,Inputs!$B$3:$D$21,3,0)*(1+Inputs!$L$9)^Financials!AG$3)*AG$8))</f>
        <v>301604.16174117476</v>
      </c>
      <c r="AH15" s="18">
        <f>IF(AH$1&lt;CapEx!$O$7,0,(VLOOKUP($B15,Inputs!$B$25:$D$44,3,0)*(VLOOKUP(Financials!$B15,Inputs!$B$3:$D$21,3,0)*(1+Inputs!$L$9)^Financials!AH$3)*AH$8))</f>
        <v>302106.83534407686</v>
      </c>
      <c r="AI15" s="18">
        <f>IF(AI$1&lt;CapEx!$O$7,0,(VLOOKUP($B15,Inputs!$B$25:$D$44,3,0)*(VLOOKUP(Financials!$B15,Inputs!$B$3:$D$21,3,0)*(1+Inputs!$L$9)^Financials!AI$3)*AI$8))</f>
        <v>292848.72264804866</v>
      </c>
      <c r="AJ15" s="18">
        <f>IF(AJ$1&lt;CapEx!$O$7,0,(VLOOKUP($B15,Inputs!$B$25:$D$44,3,0)*(VLOOKUP(Financials!$B15,Inputs!$B$3:$D$21,3,0)*(1+Inputs!$L$9)^Financials!AJ$3)*AJ$8))</f>
        <v>303114.69731421082</v>
      </c>
      <c r="AK15" s="18">
        <f>IF(AK$1&lt;CapEx!$O$7,0,(VLOOKUP($B15,Inputs!$B$25:$D$44,3,0)*(VLOOKUP(Financials!$B15,Inputs!$B$3:$D$21,3,0)*(1+Inputs!$L$9)^Financials!AK$3)*AK$8))</f>
        <v>293825.69852554955</v>
      </c>
      <c r="AL15" s="18">
        <f>IF(AL$1&lt;CapEx!$O$7,0,(VLOOKUP($B15,Inputs!$B$25:$D$44,3,0)*(VLOOKUP(Financials!$B15,Inputs!$B$3:$D$21,3,0)*(1+Inputs!$L$9)^Financials!AL$3)*AL$8))</f>
        <v>304125.92162386188</v>
      </c>
      <c r="AM15" s="18">
        <f>IF(AM$1&lt;CapEx!$O$7,0,(VLOOKUP($B15,Inputs!$B$25:$D$44,3,0)*(VLOOKUP(Financials!$B15,Inputs!$B$3:$D$21,3,0)*(1+Inputs!$L$9)^Financials!AM$3)*AM$8))</f>
        <v>304632.79815990175</v>
      </c>
      <c r="AN15" s="18">
        <f>IF(AN$1&lt;CapEx!$O$7,0,(VLOOKUP($B15,Inputs!$B$25:$D$44,3,0)*(VLOOKUP(Financials!$B15,Inputs!$B$3:$D$21,3,0)*(1+Inputs!$L$9)^Financials!AN$3)*AN$8))</f>
        <v>275610.79179757129</v>
      </c>
      <c r="AO15" s="18">
        <f>IF(AO$1&lt;CapEx!$O$7,0,(VLOOKUP($B15,Inputs!$B$25:$D$44,3,0)*(VLOOKUP(Financials!$B15,Inputs!$B$3:$D$21,3,0)*(1+Inputs!$L$9)^Financials!AO$3)*AO$8))</f>
        <v>305649.08702265186</v>
      </c>
      <c r="AP15" s="18">
        <f>IF(AP$1&lt;CapEx!$O$7,0,(VLOOKUP($B15,Inputs!$B$25:$D$44,3,0)*(VLOOKUP(Financials!$B15,Inputs!$B$3:$D$21,3,0)*(1+Inputs!$L$9)^Financials!AP$3)*AP$8))</f>
        <v>296282.4214526029</v>
      </c>
      <c r="AQ15" s="18">
        <f>IF(AQ$1&lt;CapEx!$O$7,0,(VLOOKUP($B15,Inputs!$B$25:$D$44,3,0)*(VLOOKUP(Financials!$B15,Inputs!$B$3:$D$21,3,0)*(1+Inputs!$L$9)^Financials!AQ$3)*AQ$8))</f>
        <v>306668.76633796905</v>
      </c>
      <c r="AR15" s="18">
        <f>IF(AR$1&lt;CapEx!$O$7,0,(VLOOKUP($B15,Inputs!$B$25:$D$44,3,0)*(VLOOKUP(Financials!$B15,Inputs!$B$3:$D$21,3,0)*(1+Inputs!$L$9)^Financials!AR$3)*AR$8))</f>
        <v>297270.85253083782</v>
      </c>
      <c r="AS15" s="18">
        <f>IF(AS$1&lt;CapEx!$O$7,0,(VLOOKUP($B15,Inputs!$B$25:$D$44,3,0)*(VLOOKUP(Financials!$B15,Inputs!$B$3:$D$21,3,0)*(1+Inputs!$L$9)^Financials!AS$3)*AS$8))</f>
        <v>307691.84741677996</v>
      </c>
      <c r="AT15" s="18">
        <f>IF(AT$1&lt;CapEx!$O$7,0,(VLOOKUP($B15,Inputs!$B$25:$D$44,3,0)*(VLOOKUP(Financials!$B15,Inputs!$B$3:$D$21,3,0)*(1+Inputs!$L$9)^Financials!AT$3)*AT$8))</f>
        <v>308204.66716247465</v>
      </c>
      <c r="AU15" s="18">
        <f>IF(AU$1&lt;CapEx!$O$7,0,(VLOOKUP($B15,Inputs!$B$25:$D$44,3,0)*(VLOOKUP(Financials!$B15,Inputs!$B$3:$D$21,3,0)*(1+Inputs!$L$9)^Financials!AU$3)*AU$8))</f>
        <v>298759.68542685045</v>
      </c>
      <c r="AV15" s="18">
        <f>IF(AV$1&lt;CapEx!$O$7,0,(VLOOKUP($B15,Inputs!$B$25:$D$44,3,0)*(VLOOKUP(Financials!$B15,Inputs!$B$3:$D$21,3,0)*(1+Inputs!$L$9)^Financials!AV$3)*AV$8))</f>
        <v>309232.87217709178</v>
      </c>
      <c r="AW15" s="18">
        <f>IF(AW$1&lt;CapEx!$O$7,0,(VLOOKUP($B15,Inputs!$B$25:$D$44,3,0)*(VLOOKUP(Financials!$B15,Inputs!$B$3:$D$21,3,0)*(1+Inputs!$L$9)^Financials!AW$3)*AW$8))</f>
        <v>299756.38093295507</v>
      </c>
      <c r="AX15" s="18">
        <f>IF(AX$1&lt;CapEx!$O$7,0,(VLOOKUP($B15,Inputs!$B$25:$D$44,3,0)*(VLOOKUP(Financials!$B15,Inputs!$B$3:$D$21,3,0)*(1+Inputs!$L$9)^Financials!AX$3)*AX$8))</f>
        <v>310264.50739788258</v>
      </c>
      <c r="AY15" s="18">
        <f>IF(AY$1&lt;CapEx!$O$7,0,(VLOOKUP($B15,Inputs!$B$25:$D$44,3,0)*(VLOOKUP(Financials!$B15,Inputs!$B$3:$D$21,3,0)*(1+Inputs!$L$9)^Financials!AY$3)*AY$8))</f>
        <v>310781.61491021246</v>
      </c>
      <c r="AZ15" s="18">
        <f>IF(AZ$1&lt;CapEx!$O$7,0,(VLOOKUP($B15,Inputs!$B$25:$D$44,3,0)*(VLOOKUP(Financials!$B15,Inputs!$B$3:$D$21,3,0)*(1+Inputs!$L$9)^Financials!AZ$3)*AZ$8))</f>
        <v>291215.74012204795</v>
      </c>
      <c r="BA15" s="18">
        <f>IF(BA$1&lt;CapEx!$O$7,0,(VLOOKUP($B15,Inputs!$B$25:$D$44,3,0)*(VLOOKUP(Financials!$B15,Inputs!$B$3:$D$21,3,0)*(1+Inputs!$L$9)^Financials!BA$3)*BA$8))</f>
        <v>311818.4169088435</v>
      </c>
      <c r="BB15" s="18">
        <f>IF(BB$1&lt;CapEx!$O$7,0,(VLOOKUP($B15,Inputs!$B$25:$D$44,3,0)*(VLOOKUP(Financials!$B15,Inputs!$B$3:$D$21,3,0)*(1+Inputs!$L$9)^Financials!BB$3)*BB$8))</f>
        <v>302262.69122937892</v>
      </c>
      <c r="BC15" s="18">
        <f>IF(BC$1&lt;CapEx!$O$7,0,(VLOOKUP($B15,Inputs!$B$25:$D$44,3,0)*(VLOOKUP(Financials!$B15,Inputs!$B$3:$D$21,3,0)*(1+Inputs!$L$9)^Financials!BC$3)*BC$8))</f>
        <v>312858.67779414216</v>
      </c>
      <c r="BD15" s="18">
        <f>IF(BD$1&lt;CapEx!$O$7,0,(VLOOKUP($B15,Inputs!$B$25:$D$44,3,0)*(VLOOKUP(Financials!$B15,Inputs!$B$3:$D$21,3,0)*(1+Inputs!$L$9)^Financials!BD$3)*BD$8))</f>
        <v>303271.07315206359</v>
      </c>
      <c r="BE15" s="18">
        <f>IF(BE$1&lt;CapEx!$O$7,0,(VLOOKUP($B15,Inputs!$B$25:$D$44,3,0)*(VLOOKUP(Financials!$B15,Inputs!$B$3:$D$21,3,0)*(1+Inputs!$L$9)^Financials!BE$3)*BE$8))</f>
        <v>313902.4091053388</v>
      </c>
      <c r="BF15" s="18">
        <f>IF(BF$1&lt;CapEx!$O$7,0,(VLOOKUP($B15,Inputs!$B$25:$D$44,3,0)*(VLOOKUP(Financials!$B15,Inputs!$B$3:$D$21,3,0)*(1+Inputs!$L$9)^Financials!BF$3)*BF$8))</f>
        <v>314425.57978718111</v>
      </c>
      <c r="BG15" s="18">
        <f>IF(BG$1&lt;CapEx!$O$7,0,(VLOOKUP($B15,Inputs!$B$25:$D$44,3,0)*(VLOOKUP(Financials!$B15,Inputs!$B$3:$D$21,3,0)*(1+Inputs!$L$9)^Financials!BG$3)*BG$8))</f>
        <v>304789.95718079968</v>
      </c>
      <c r="BH15" s="18">
        <f>IF(BH$1&lt;CapEx!$O$7,0,(VLOOKUP($B15,Inputs!$B$25:$D$44,3,0)*(VLOOKUP(Financials!$B15,Inputs!$B$3:$D$21,3,0)*(1+Inputs!$L$9)^Financials!BH$3)*BH$8))</f>
        <v>315474.53845752665</v>
      </c>
      <c r="BI15" s="18">
        <f>IF(BI$1&lt;CapEx!$O$7,0,(VLOOKUP($B15,Inputs!$B$25:$D$44,3,0)*(VLOOKUP(Financials!$B15,Inputs!$B$3:$D$21,3,0)*(1+Inputs!$L$9)^Financials!BI$3)*BI$8))</f>
        <v>305806.77034350566</v>
      </c>
      <c r="BJ15" s="18">
        <f>IF(BJ$1&lt;CapEx!$O$7,0,(VLOOKUP($B15,Inputs!$B$25:$D$44,3,0)*(VLOOKUP(Financials!$B15,Inputs!$B$3:$D$21,3,0)*(1+Inputs!$L$9)^Financials!BJ$3)*BJ$8))</f>
        <v>316526.99657054746</v>
      </c>
      <c r="BK15" s="18">
        <f>IF(BK$1&lt;CapEx!$O$7,0,(VLOOKUP($B15,Inputs!$B$25:$D$44,3,0)*(VLOOKUP(Financials!$B15,Inputs!$B$3:$D$21,3,0)*(1+Inputs!$L$9)^Financials!BK$3)*BK$8))</f>
        <v>317054.5415648318</v>
      </c>
      <c r="BL15" s="18">
        <f>IF(BL$1&lt;CapEx!$O$7,0,(VLOOKUP($B15,Inputs!$B$25:$D$44,3,0)*(VLOOKUP(Financials!$B15,Inputs!$B$3:$D$21,3,0)*(1+Inputs!$L$9)^Financials!BL$3)*BL$8))</f>
        <v>286849.13040069834</v>
      </c>
      <c r="BM15" s="18">
        <f>IF(BM$1&lt;CapEx!$O$7,0,(VLOOKUP($B15,Inputs!$B$25:$D$44,3,0)*(VLOOKUP(Financials!$B15,Inputs!$B$3:$D$21,3,0)*(1+Inputs!$L$9)^Financials!BM$3)*BM$8))</f>
        <v>318112.27074377454</v>
      </c>
      <c r="BN15" s="18">
        <f>IF(BN$1&lt;CapEx!$O$7,0,(VLOOKUP($B15,Inputs!$B$25:$D$44,3,0)*(VLOOKUP(Financials!$B15,Inputs!$B$3:$D$21,3,0)*(1+Inputs!$L$9)^Financials!BN$3)*BN$8))</f>
        <v>308363.66889840085</v>
      </c>
      <c r="BO15" s="18">
        <f>IF(BO$1&lt;CapEx!$O$7,0,(VLOOKUP($B15,Inputs!$B$25:$D$44,3,0)*(VLOOKUP(Financials!$B15,Inputs!$B$3:$D$21,3,0)*(1+Inputs!$L$9)^Financials!BO$3)*BO$8))</f>
        <v>319173.52862478362</v>
      </c>
      <c r="BP15" s="18">
        <f>IF(BP$1&lt;CapEx!$O$7,0,(VLOOKUP($B15,Inputs!$B$25:$D$44,3,0)*(VLOOKUP(Financials!$B15,Inputs!$B$3:$D$21,3,0)*(1+Inputs!$L$9)^Financials!BP$3)*BP$8))</f>
        <v>309392.40436047572</v>
      </c>
      <c r="BQ15" s="18">
        <f>IF(BQ$1&lt;CapEx!$O$7,0,(VLOOKUP($B15,Inputs!$B$25:$D$44,3,0)*(VLOOKUP(Financials!$B15,Inputs!$B$3:$D$21,3,0)*(1+Inputs!$L$9)^Financials!BQ$3)*BQ$8))</f>
        <v>320238.32698000135</v>
      </c>
      <c r="BR15" s="18">
        <f>IF(BR$1&lt;CapEx!$O$7,0,(VLOOKUP($B15,Inputs!$B$25:$D$44,3,0)*(VLOOKUP(Financials!$B15,Inputs!$B$3:$D$21,3,0)*(1+Inputs!$L$9)^Financials!BR$3)*BR$8))</f>
        <v>320772.057524968</v>
      </c>
      <c r="BS15" s="18">
        <f>IF(BS$1&lt;CapEx!$O$7,0,(VLOOKUP($B15,Inputs!$B$25:$D$44,3,0)*(VLOOKUP(Financials!$B15,Inputs!$B$3:$D$21,3,0)*(1+Inputs!$L$9)^Financials!BS$3)*BS$8))</f>
        <v>310941.94608468679</v>
      </c>
      <c r="BT15" s="18">
        <f>IF(BT$1&lt;CapEx!$O$7,0,(VLOOKUP($B15,Inputs!$B$25:$D$44,3,0)*(VLOOKUP(Financials!$B15,Inputs!$B$3:$D$21,3,0)*(1+Inputs!$L$9)^Financials!BT$3)*BT$8))</f>
        <v>321842.18875021103</v>
      </c>
      <c r="BU15" s="18">
        <f>IF(BU$1&lt;CapEx!$O$7,0,(VLOOKUP($B15,Inputs!$B$25:$D$44,3,0)*(VLOOKUP(Financials!$B15,Inputs!$B$3:$D$21,3,0)*(1+Inputs!$L$9)^Financials!BU$3)*BU$8))</f>
        <v>311979.28296593041</v>
      </c>
      <c r="BV15" s="18">
        <f>IF(BV$1&lt;CapEx!$O$7,0,(VLOOKUP($B15,Inputs!$B$25:$D$44,3,0)*(VLOOKUP(Financials!$B15,Inputs!$B$3:$D$21,3,0)*(1+Inputs!$L$9)^Financials!BV$3)*BV$8))</f>
        <v>322915.89005212509</v>
      </c>
      <c r="BW15" s="18">
        <f>IF(BW$1&lt;CapEx!$O$7,0,(VLOOKUP($B15,Inputs!$B$25:$D$44,3,0)*(VLOOKUP(Financials!$B15,Inputs!$B$3:$D$21,3,0)*(1+Inputs!$L$9)^Financials!BW$3)*BW$8))</f>
        <v>323454.08320221194</v>
      </c>
      <c r="BX15" s="18">
        <f>IF(BX$1&lt;CapEx!$O$7,0,(VLOOKUP($B15,Inputs!$B$25:$D$44,3,0)*(VLOOKUP(Financials!$B15,Inputs!$B$3:$D$21,3,0)*(1+Inputs!$L$9)^Financials!BX$3)*BX$8))</f>
        <v>292638.99527563562</v>
      </c>
      <c r="BY15" s="18">
        <f>IF(BY$1&lt;CapEx!$O$7,0,(VLOOKUP($B15,Inputs!$B$25:$D$44,3,0)*(VLOOKUP(Financials!$B15,Inputs!$B$3:$D$21,3,0)*(1+Inputs!$L$9)^Financials!BY$3)*BY$8))</f>
        <v>324533.16196311708</v>
      </c>
      <c r="BZ15" s="18">
        <f>IF(BZ$1&lt;CapEx!$O$7,0,(VLOOKUP($B15,Inputs!$B$25:$D$44,3,0)*(VLOOKUP(Financials!$B15,Inputs!$B$3:$D$21,3,0)*(1+Inputs!$L$9)^Financials!BZ$3)*BZ$8))</f>
        <v>314587.79087069898</v>
      </c>
      <c r="CA15" s="18">
        <f>IF(CA$1&lt;CapEx!$O$7,0,(VLOOKUP($B15,Inputs!$B$25:$D$44,3,0)*(VLOOKUP(Financials!$B15,Inputs!$B$3:$D$21,3,0)*(1+Inputs!$L$9)^Financials!CA$3)*CA$8))</f>
        <v>325615.84065066639</v>
      </c>
      <c r="CB15" s="18">
        <f>IF(CB$1&lt;CapEx!$O$7,0,(VLOOKUP($B15,Inputs!$B$25:$D$44,3,0)*(VLOOKUP(Financials!$B15,Inputs!$B$3:$D$21,3,0)*(1+Inputs!$L$9)^Financials!CB$3)*CB$8))</f>
        <v>315637.2906952427</v>
      </c>
      <c r="CC15" s="18">
        <f>IF(CC$1&lt;CapEx!$O$7,0,(VLOOKUP($B15,Inputs!$B$25:$D$44,3,0)*(VLOOKUP(Financials!$B15,Inputs!$B$3:$D$21,3,0)*(1+Inputs!$L$9)^Financials!CC$3)*CC$8))</f>
        <v>326702.13127461495</v>
      </c>
      <c r="CD15" s="18">
        <f>IF(CD$1&lt;CapEx!$O$7,0,(VLOOKUP($B15,Inputs!$B$25:$D$44,3,0)*(VLOOKUP(Financials!$B15,Inputs!$B$3:$D$21,3,0)*(1+Inputs!$L$9)^Financials!CD$3)*CD$8))</f>
        <v>327246.63482673926</v>
      </c>
      <c r="CE15" s="18">
        <f>IF(CE$1&lt;CapEx!$O$7,0,(VLOOKUP($B15,Inputs!$B$25:$D$44,3,0)*(VLOOKUP(Financials!$B15,Inputs!$B$3:$D$21,3,0)*(1+Inputs!$L$9)^Financials!CE$3)*CE$8))</f>
        <v>317218.10892075859</v>
      </c>
      <c r="CF15" s="18">
        <f>IF(CF$1&lt;CapEx!$O$7,0,(VLOOKUP($B15,Inputs!$B$25:$D$44,3,0)*(VLOOKUP(Financials!$B15,Inputs!$B$3:$D$21,3,0)*(1+Inputs!$L$9)^Financials!CF$3)*CF$8))</f>
        <v>328338.36596125847</v>
      </c>
      <c r="CG15" s="18">
        <f>IF(CG$1&lt;CapEx!$O$7,0,(VLOOKUP($B15,Inputs!$B$25:$D$44,3,0)*(VLOOKUP(Financials!$B15,Inputs!$B$3:$D$21,3,0)*(1+Inputs!$L$9)^Financials!CG$3)*CG$8))</f>
        <v>318276.38377857476</v>
      </c>
      <c r="CH15" s="18">
        <f>IF(CH$1&lt;CapEx!$O$7,0,(VLOOKUP($B15,Inputs!$B$25:$D$44,3,0)*(VLOOKUP(Financials!$B15,Inputs!$B$3:$D$21,3,0)*(1+Inputs!$L$9)^Financials!CH$3)*CH$8))</f>
        <v>329433.73923214595</v>
      </c>
      <c r="CI15" s="18">
        <f>IF(CI$1&lt;CapEx!$O$7,0,(VLOOKUP($B15,Inputs!$B$25:$D$44,3,0)*(VLOOKUP(Financials!$B15,Inputs!$B$3:$D$21,3,0)*(1+Inputs!$L$9)^Financials!CI$3)*CI$8))</f>
        <v>329982.79546419956</v>
      </c>
      <c r="CJ15" s="18">
        <f>IF(CJ$1&lt;CapEx!$O$7,0,(VLOOKUP($B15,Inputs!$B$25:$D$44,3,0)*(VLOOKUP(Financials!$B15,Inputs!$B$3:$D$21,3,0)*(1+Inputs!$L$9)^Financials!CJ$3)*CJ$8))</f>
        <v>298545.72484255646</v>
      </c>
      <c r="CK15" s="18">
        <f>IF(CK$1&lt;CapEx!$O$7,0,(VLOOKUP($B15,Inputs!$B$25:$D$44,3,0)*(VLOOKUP(Financials!$B15,Inputs!$B$3:$D$21,3,0)*(1+Inputs!$L$9)^Financials!CK$3)*CK$8))</f>
        <v>331083.65473462315</v>
      </c>
      <c r="CL15" s="18">
        <f>IF(CL$1&lt;CapEx!$O$7,0,(VLOOKUP($B15,Inputs!$B$25:$D$44,3,0)*(VLOOKUP(Financials!$B15,Inputs!$B$3:$D$21,3,0)*(1+Inputs!$L$9)^Financials!CL$3)*CL$8))</f>
        <v>320937.54273469123</v>
      </c>
      <c r="CM15" s="18">
        <f>IF(CM$1&lt;CapEx!$O$7,0,(VLOOKUP($B15,Inputs!$B$25:$D$44,3,0)*(VLOOKUP(Financials!$B15,Inputs!$B$3:$D$21,3,0)*(1+Inputs!$L$9)^Financials!CM$3)*CM$8))</f>
        <v>332188.18659389071</v>
      </c>
      <c r="CN15" s="18">
        <f>IF(CN$1&lt;CapEx!$O$7,0,(VLOOKUP($B15,Inputs!$B$25:$D$44,3,0)*(VLOOKUP(Financials!$B15,Inputs!$B$3:$D$21,3,0)*(1+Inputs!$L$9)^Financials!CN$3)*CN$8))</f>
        <v>322008.22603698116</v>
      </c>
      <c r="CO15" s="18">
        <f>IF(CO$1&lt;CapEx!$O$7,0,(VLOOKUP($B15,Inputs!$B$25:$D$44,3,0)*(VLOOKUP(Financials!$B15,Inputs!$B$3:$D$21,3,0)*(1+Inputs!$L$9)^Financials!CO$3)*CO$8))</f>
        <v>333296.40329416649</v>
      </c>
      <c r="CP15" s="18">
        <f>IF(CP$1&lt;CapEx!$O$7,0,(VLOOKUP($B15,Inputs!$B$25:$D$44,3,0)*(VLOOKUP(Financials!$B15,Inputs!$B$3:$D$21,3,0)*(1+Inputs!$L$9)^Financials!CP$3)*CP$8))</f>
        <v>333851.89729965682</v>
      </c>
      <c r="CQ15" s="18">
        <f>IF(CQ$1&lt;CapEx!$O$7,0,(VLOOKUP($B15,Inputs!$B$25:$D$44,3,0)*(VLOOKUP(Financials!$B15,Inputs!$B$3:$D$21,3,0)*(1+Inputs!$L$9)^Financials!CQ$3)*CQ$8))</f>
        <v>323620.95205982862</v>
      </c>
      <c r="CR15" s="18">
        <f>IF(CR$1&lt;CapEx!$O$7,0,(VLOOKUP($B15,Inputs!$B$25:$D$44,3,0)*(VLOOKUP(Financials!$B15,Inputs!$B$3:$D$21,3,0)*(1+Inputs!$L$9)^Financials!CR$3)*CR$8))</f>
        <v>334965.66432370379</v>
      </c>
      <c r="CS15" s="18">
        <f>IF(CS$1&lt;CapEx!$O$7,0,(VLOOKUP($B15,Inputs!$B$25:$D$44,3,0)*(VLOOKUP(Financials!$B15,Inputs!$B$3:$D$21,3,0)*(1+Inputs!$L$9)^Financials!CS$3)*CS$8))</f>
        <v>324700.58751378377</v>
      </c>
      <c r="CT15" s="18">
        <f>IF(CT$1&lt;CapEx!$O$7,0,(VLOOKUP($B15,Inputs!$B$25:$D$44,3,0)*(VLOOKUP(Financials!$B15,Inputs!$B$3:$D$21,3,0)*(1+Inputs!$L$9)^Financials!CT$3)*CT$8))</f>
        <v>336083.14699829486</v>
      </c>
      <c r="CU15" s="18">
        <f>IF(CU$1&lt;CapEx!$O$7,0,(VLOOKUP($B15,Inputs!$B$25:$D$44,3,0)*(VLOOKUP(Financials!$B15,Inputs!$B$3:$D$21,3,0)*(1+Inputs!$L$9)^Financials!CU$3)*CU$8))</f>
        <v>336643.28557662532</v>
      </c>
      <c r="CV15" s="18">
        <f>IF(CV$1&lt;CapEx!$O$7,0,(VLOOKUP($B15,Inputs!$B$25:$D$44,3,0)*(VLOOKUP(Financials!$B15,Inputs!$B$3:$D$21,3,0)*(1+Inputs!$L$9)^Financials!CV$3)*CV$8))</f>
        <v>304571.67793997051</v>
      </c>
      <c r="CW15" s="18">
        <f>IF(CW$1&lt;CapEx!$O$7,0,(VLOOKUP($B15,Inputs!$B$25:$D$44,3,0)*(VLOOKUP(Financials!$B15,Inputs!$B$3:$D$21,3,0)*(1+Inputs!$L$9)^Financials!CW$3)*CW$8))</f>
        <v>337766.36498211854</v>
      </c>
      <c r="CX15" s="18">
        <f>IF(CX$1&lt;CapEx!$O$7,0,(VLOOKUP($B15,Inputs!$B$25:$D$44,3,0)*(VLOOKUP(Financials!$B15,Inputs!$B$3:$D$21,3,0)*(1+Inputs!$L$9)^Financials!CX$3)*CX$8))</f>
        <v>327415.46024879557</v>
      </c>
      <c r="CY15" s="18">
        <f>IF(CY$1&lt;CapEx!$O$7,0,(VLOOKUP($B15,Inputs!$B$25:$D$44,3,0)*(VLOOKUP(Financials!$B15,Inputs!$B$3:$D$21,3,0)*(1+Inputs!$L$9)^Financials!CY$3)*CY$8))</f>
        <v>338893.19110529509</v>
      </c>
      <c r="CZ15" s="18">
        <f>IF(CZ$1&lt;CapEx!$O$7,0,(VLOOKUP($B15,Inputs!$B$25:$D$44,3,0)*(VLOOKUP(Financials!$B15,Inputs!$B$3:$D$21,3,0)*(1+Inputs!$L$9)^Financials!CZ$3)*CZ$8))</f>
        <v>328507.7546036811</v>
      </c>
      <c r="DA15" s="18">
        <f>IF(DA$1&lt;CapEx!$O$7,0,(VLOOKUP($B15,Inputs!$B$25:$D$44,3,0)*(VLOOKUP(Financials!$B15,Inputs!$B$3:$D$21,3,0)*(1+Inputs!$L$9)^Financials!DA$3)*DA$8))</f>
        <v>340023.77644562139</v>
      </c>
      <c r="DB15" s="18">
        <f>IF(DB$1&lt;CapEx!$O$7,0,(VLOOKUP($B15,Inputs!$B$25:$D$44,3,0)*(VLOOKUP(Financials!$B15,Inputs!$B$3:$D$21,3,0)*(1+Inputs!$L$9)^Financials!DB$3)*DB$8))</f>
        <v>340590.4827396975</v>
      </c>
      <c r="DC15" s="18">
        <f>IF(DC$1&lt;CapEx!$O$7,0,(VLOOKUP($B15,Inputs!$B$25:$D$44,3,0)*(VLOOKUP(Financials!$B15,Inputs!$B$3:$D$21,3,0)*(1+Inputs!$L$9)^Financials!DC$3)*DC$8))</f>
        <v>330153.03246219055</v>
      </c>
      <c r="DD15" s="18">
        <f>IF(DD$1&lt;CapEx!$O$7,0,(VLOOKUP($B15,Inputs!$B$25:$D$44,3,0)*(VLOOKUP(Financials!$B15,Inputs!$B$3:$D$21,3,0)*(1+Inputs!$L$9)^Financials!DD$3)*DD$8))</f>
        <v>341726.73043350404</v>
      </c>
      <c r="DE15" s="18">
        <f>IF(DE$1&lt;CapEx!$O$7,0,(VLOOKUP($B15,Inputs!$B$25:$D$44,3,0)*(VLOOKUP(Financials!$B15,Inputs!$B$3:$D$21,3,0)*(1+Inputs!$L$9)^Financials!DE$3)*DE$8))</f>
        <v>331254.45966215472</v>
      </c>
      <c r="DF15" s="18">
        <f>IF(DF$1&lt;CapEx!$O$7,0,(VLOOKUP($B15,Inputs!$B$25:$D$44,3,0)*(VLOOKUP(Financials!$B15,Inputs!$B$3:$D$21,3,0)*(1+Inputs!$L$9)^Financials!DF$3)*DF$8))</f>
        <v>342866.76877586701</v>
      </c>
      <c r="DG15" s="18">
        <f>IF(DG$1&lt;CapEx!$O$7,0,(VLOOKUP($B15,Inputs!$B$25:$D$44,3,0)*(VLOOKUP(Financials!$B15,Inputs!$B$3:$D$21,3,0)*(1+Inputs!$L$9)^Financials!DG$3)*DG$8))</f>
        <v>343438.21339049347</v>
      </c>
      <c r="DH15" s="18">
        <f>IF(DH$1&lt;CapEx!$O$7,0,(VLOOKUP($B15,Inputs!$B$25:$D$44,3,0)*(VLOOKUP(Financials!$B15,Inputs!$B$3:$D$21,3,0)*(1+Inputs!$L$9)^Financials!DH$3)*DH$8))</f>
        <v>310719.26101802278</v>
      </c>
      <c r="DI15" s="18">
        <f>IF(DI$1&lt;CapEx!$O$7,0,(VLOOKUP($B15,Inputs!$B$25:$D$44,3,0)*(VLOOKUP(Financials!$B15,Inputs!$B$3:$D$21,3,0)*(1+Inputs!$L$9)^Financials!DI$3)*DI$8))</f>
        <v>344583.96143016568</v>
      </c>
      <c r="DJ15" s="18">
        <f>IF(DJ$1&lt;CapEx!$O$7,0,(VLOOKUP($B15,Inputs!$B$25:$D$44,3,0)*(VLOOKUP(Financials!$B15,Inputs!$B$3:$D$21,3,0)*(1+Inputs!$L$9)^Financials!DJ$3)*DJ$8))</f>
        <v>334024.13035408006</v>
      </c>
      <c r="DK15" s="18">
        <f>IF(DK$1&lt;CapEx!$O$7,0,(VLOOKUP($B15,Inputs!$B$25:$D$44,3,0)*(VLOOKUP(Financials!$B15,Inputs!$B$3:$D$21,3,0)*(1+Inputs!$L$9)^Financials!DK$3)*DK$8))</f>
        <v>345733.53181260359</v>
      </c>
      <c r="DL15" s="18">
        <f>IF(DL$1&lt;CapEx!$O$7,0,(VLOOKUP($B15,Inputs!$B$25:$D$44,3,0)*(VLOOKUP(Financials!$B15,Inputs!$B$3:$D$21,3,0)*(1+Inputs!$L$9)^Financials!DL$3)*DL$8))</f>
        <v>335138.47196673352</v>
      </c>
      <c r="DM15" s="18">
        <f>IF(DM$1&lt;CapEx!$O$7,0,(VLOOKUP($B15,Inputs!$B$25:$D$44,3,0)*(VLOOKUP(Financials!$B15,Inputs!$B$3:$D$21,3,0)*(1+Inputs!$L$9)^Financials!DM$3)*DM$8))</f>
        <v>346886.93728956732</v>
      </c>
      <c r="DN15" s="18">
        <f>IF(DN$1&lt;CapEx!$O$7,0,(VLOOKUP($B15,Inputs!$B$25:$D$44,3,0)*(VLOOKUP(Financials!$B15,Inputs!$B$3:$D$21,3,0)*(1+Inputs!$L$9)^Financials!DN$3)*DN$8))</f>
        <v>347465.08218505007</v>
      </c>
      <c r="DO15" s="18">
        <f>IF(DO$1&lt;CapEx!$O$7,0,(VLOOKUP($B15,Inputs!$B$25:$D$44,3,0)*(VLOOKUP(Financials!$B15,Inputs!$B$3:$D$21,3,0)*(1+Inputs!$L$9)^Financials!DO$3)*DO$8))</f>
        <v>336816.95869873406</v>
      </c>
      <c r="DP15" s="18">
        <f>IF(DP$1&lt;CapEx!$O$7,0,(VLOOKUP($B15,Inputs!$B$25:$D$44,3,0)*(VLOOKUP(Financials!$B15,Inputs!$B$3:$D$21,3,0)*(1+Inputs!$L$9)^Financials!DP$3)*DP$8))</f>
        <v>348624.26430645067</v>
      </c>
      <c r="DQ15" s="18">
        <f>IF(DQ$1&lt;CapEx!$O$7,0,(VLOOKUP($B15,Inputs!$B$25:$D$44,3,0)*(VLOOKUP(Financials!$B15,Inputs!$B$3:$D$21,3,0)*(1+Inputs!$L$9)^Financials!DQ$3)*DQ$8))</f>
        <v>337940.61749705946</v>
      </c>
      <c r="DR15" s="18">
        <f>IF(DR$1&lt;CapEx!$O$7,0,(VLOOKUP($B15,Inputs!$B$25:$D$44,3,0)*(VLOOKUP(Financials!$B15,Inputs!$B$3:$D$21,3,0)*(1+Inputs!$L$9)^Financials!DR$3)*DR$8))</f>
        <v>349787.31358820648</v>
      </c>
      <c r="DS15" s="18">
        <f>IF(DS$1&lt;CapEx!$O$7,0,(VLOOKUP($B15,Inputs!$B$25:$D$44,3,0)*(VLOOKUP(Financials!$B15,Inputs!$B$3:$D$21,3,0)*(1+Inputs!$L$9)^Financials!DS$3)*DS$8))</f>
        <v>350370.29244418681</v>
      </c>
      <c r="DT15" s="18">
        <f>IF(DT$1&lt;CapEx!$O$7,0,(VLOOKUP($B15,Inputs!$B$25:$D$44,3,0)*(VLOOKUP(Financials!$B15,Inputs!$B$3:$D$21,3,0)*(1+Inputs!$L$9)^Financials!DT$3)*DT$8))</f>
        <v>316990.92909950402</v>
      </c>
      <c r="DU15" s="18">
        <f>IF(DU$1&lt;CapEx!$O$7,0,(VLOOKUP($B15,Inputs!$B$25:$D$44,3,0)*(VLOOKUP(Financials!$B15,Inputs!$B$3:$D$21,3,0)*(1+Inputs!$L$9)^Financials!DU$3)*DU$8))</f>
        <v>351539.16666981316</v>
      </c>
      <c r="DV15" s="18">
        <f>IF(DV$1&lt;CapEx!$O$7,0,(VLOOKUP($B15,Inputs!$B$25:$D$44,3,0)*(VLOOKUP(Financials!$B15,Inputs!$B$3:$D$21,3,0)*(1+Inputs!$L$9)^Financials!DV$3)*DV$8))</f>
        <v>340766.19220735115</v>
      </c>
      <c r="DW15" s="18">
        <f>IF(DW$1&lt;CapEx!$O$7,0,(VLOOKUP($B15,Inputs!$B$25:$D$44,3,0)*(VLOOKUP(Financials!$B15,Inputs!$B$3:$D$21,3,0)*(1+Inputs!$L$9)^Financials!DW$3)*DW$8))</f>
        <v>352711.94038973114</v>
      </c>
      <c r="DX15" s="18">
        <f>IF(DX$1&lt;CapEx!$O$7,0,(VLOOKUP($B15,Inputs!$B$25:$D$44,3,0)*(VLOOKUP(Financials!$B15,Inputs!$B$3:$D$21,3,0)*(1+Inputs!$L$9)^Financials!DX$3)*DX$8))</f>
        <v>341903.02608746523</v>
      </c>
      <c r="DY15" s="18">
        <f>IF(DY$1&lt;CapEx!$O$7,0,(VLOOKUP($B15,Inputs!$B$25:$D$44,3,0)*(VLOOKUP(Financials!$B15,Inputs!$B$3:$D$21,3,0)*(1+Inputs!$L$9)^Financials!DY$3)*DY$8))</f>
        <v>353888.6266130869</v>
      </c>
      <c r="DZ15" s="18">
        <f>IF(DZ$1&lt;CapEx!$O$7,0,(VLOOKUP($B15,Inputs!$B$25:$D$44,3,0)*(VLOOKUP(Financials!$B15,Inputs!$B$3:$D$21,3,0)*(1+Inputs!$L$9)^Financials!DZ$3)*DZ$8))</f>
        <v>354478.44099077542</v>
      </c>
      <c r="EA15" s="18">
        <f>IF(EA$1&lt;CapEx!$O$7,0,(VLOOKUP($B15,Inputs!$B$25:$D$44,3,0)*(VLOOKUP(Financials!$B15,Inputs!$B$3:$D$21,3,0)*(1+Inputs!$L$9)^Financials!EA$3)*EA$8))</f>
        <v>343615.39199267107</v>
      </c>
      <c r="EB15" s="18">
        <f>IF(EB$1&lt;CapEx!$O$7,0,(VLOOKUP($B15,Inputs!$B$25:$D$44,3,0)*(VLOOKUP(Financials!$B15,Inputs!$B$3:$D$21,3,0)*(1+Inputs!$L$9)^Financials!EB$3)*EB$8))</f>
        <v>355661.02045641415</v>
      </c>
      <c r="EC15" s="18">
        <f>IF(EC$1&lt;CapEx!$O$7,0,(VLOOKUP($B15,Inputs!$B$25:$D$44,3,0)*(VLOOKUP(Financials!$B15,Inputs!$B$3:$D$21,3,0)*(1+Inputs!$L$9)^Financials!EC$3)*EC$8))</f>
        <v>344761.73111984663</v>
      </c>
      <c r="ED15" s="18">
        <f>IF(ED$1&lt;CapEx!$O$7,0,(VLOOKUP($B15,Inputs!$B$25:$D$44,3,0)*(VLOOKUP(Financials!$B15,Inputs!$B$3:$D$21,3,0)*(1+Inputs!$L$9)^Financials!ED$3)*ED$8))</f>
        <v>356847.54513854795</v>
      </c>
      <c r="EE15" s="18">
        <f>IF(EE$1&lt;CapEx!$O$7,0,(VLOOKUP($B15,Inputs!$B$25:$D$44,3,0)*(VLOOKUP(Financials!$B15,Inputs!$B$3:$D$21,3,0)*(1+Inputs!$L$9)^Financials!EE$3)*EE$8))</f>
        <v>357442.29104711226</v>
      </c>
      <c r="EF15" s="18">
        <f>IF(EF$1&lt;CapEx!$O$7,0,(VLOOKUP($B15,Inputs!$B$25:$D$44,3,0)*(VLOOKUP(Financials!$B15,Inputs!$B$3:$D$21,3,0)*(1+Inputs!$L$9)^Financials!EF$3)*EF$8))</f>
        <v>323389.18676025828</v>
      </c>
      <c r="EG15" s="18">
        <f>IF(EG$1&lt;CapEx!$O$7,0,(VLOOKUP($B15,Inputs!$B$25:$D$44,3,0)*(VLOOKUP(Financials!$B15,Inputs!$B$3:$D$21,3,0)*(1+Inputs!$L$9)^Financials!EG$3)*EG$8))</f>
        <v>358634.75824585551</v>
      </c>
      <c r="EH15" s="18">
        <f>IF(EH$1&lt;CapEx!$O$7,0,(VLOOKUP($B15,Inputs!$B$25:$D$44,3,0)*(VLOOKUP(Financials!$B15,Inputs!$B$3:$D$21,3,0)*(1+Inputs!$L$9)^Financials!EH$3)*EH$8))</f>
        <v>347644.33823509549</v>
      </c>
      <c r="EI15" s="18">
        <f>IF(EI$1&lt;CapEx!$O$7,0,(VLOOKUP($B15,Inputs!$B$25:$D$44,3,0)*(VLOOKUP(Financials!$B15,Inputs!$B$3:$D$21,3,0)*(1+Inputs!$L$9)^Financials!EI$3)*EI$8))</f>
        <v>359831.20364767028</v>
      </c>
      <c r="EJ15" s="18">
        <f>IF(EJ$1&lt;CapEx!$O$7,0,(VLOOKUP($B15,Inputs!$B$25:$D$44,3,0)*(VLOOKUP(Financials!$B15,Inputs!$B$3:$D$21,3,0)*(1+Inputs!$L$9)^Financials!EJ$3)*EJ$8))</f>
        <v>348804.11837459652</v>
      </c>
      <c r="EK15" s="18">
        <f>IF(EK$1&lt;CapEx!$O$7,0,(VLOOKUP($B15,Inputs!$B$25:$D$44,3,0)*(VLOOKUP(Financials!$B15,Inputs!$B$3:$D$21,3,0)*(1+Inputs!$L$9)^Financials!EK$3)*EK$8))</f>
        <v>361031.64052428381</v>
      </c>
      <c r="EL15" s="18">
        <f>IF(EL$1&lt;CapEx!$O$7,0,(VLOOKUP($B15,Inputs!$B$25:$D$44,3,0)*(VLOOKUP(Financials!$B15,Inputs!$B$3:$D$21,3,0)*(1+Inputs!$L$9)^Financials!EL$3)*EL$8))</f>
        <v>361633.35992515757</v>
      </c>
      <c r="EM15" s="18">
        <f>IF(EM$1&lt;CapEx!$O$7,0,(VLOOKUP($B15,Inputs!$B$25:$D$44,3,0)*(VLOOKUP(Financials!$B15,Inputs!$B$3:$D$21,3,0)*(1+Inputs!$L$9)^Financials!EM$3)*EM$8))</f>
        <v>350551.04728228995</v>
      </c>
      <c r="EN15" s="18">
        <f>IF(EN$1&lt;CapEx!$O$7,0,(VLOOKUP($B15,Inputs!$B$25:$D$44,3,0)*(VLOOKUP(Financials!$B15,Inputs!$B$3:$D$21,3,0)*(1+Inputs!$L$9)^Financials!EN$3)*EN$8))</f>
        <v>362839.80899535236</v>
      </c>
      <c r="EO15" s="18">
        <f>IF(EO$1&lt;CapEx!$O$7,0,(VLOOKUP($B15,Inputs!$B$25:$D$44,3,0)*(VLOOKUP(Financials!$B15,Inputs!$B$3:$D$21,3,0)*(1+Inputs!$L$9)^Financials!EO$3)*EO$8))</f>
        <v>351720.52452614013</v>
      </c>
      <c r="EP15" s="18">
        <f>IF(EP$1&lt;CapEx!$O$7,0,(VLOOKUP($B15,Inputs!$B$25:$D$44,3,0)*(VLOOKUP(Financials!$B15,Inputs!$B$3:$D$21,3,0)*(1+Inputs!$L$9)^Financials!EP$3)*EP$8))</f>
        <v>364050.28291369532</v>
      </c>
      <c r="EQ15" s="18">
        <f>IF(EQ$1&lt;CapEx!$O$7,0,(VLOOKUP($B15,Inputs!$B$25:$D$44,3,0)*(VLOOKUP(Financials!$B15,Inputs!$B$3:$D$21,3,0)*(1+Inputs!$L$9)^Financials!EQ$3)*EQ$8))</f>
        <v>364657.03338521812</v>
      </c>
      <c r="ER15" s="18">
        <f>IF(ER$1&lt;CapEx!$O$7,0,(VLOOKUP($B15,Inputs!$B$25:$D$44,3,0)*(VLOOKUP(Financials!$B15,Inputs!$B$3:$D$21,3,0)*(1+Inputs!$L$9)^Financials!ER$3)*ER$8))</f>
        <v>329916.58912937914</v>
      </c>
      <c r="ES15" s="18">
        <f>IF(ES$1&lt;CapEx!$O$7,0,(VLOOKUP($B15,Inputs!$B$25:$D$44,3,0)*(VLOOKUP(Financials!$B15,Inputs!$B$3:$D$21,3,0)*(1+Inputs!$L$9)^Financials!ES$3)*ES$8))</f>
        <v>365873.56976603944</v>
      </c>
      <c r="ET15" s="18">
        <f>IF(ET$1&lt;CapEx!$O$7,0,(VLOOKUP($B15,Inputs!$B$25:$D$44,3,0)*(VLOOKUP(Financials!$B15,Inputs!$B$3:$D$21,3,0)*(1+Inputs!$L$9)^Financials!ET$3)*ET$8))</f>
        <v>354661.31520869315</v>
      </c>
      <c r="EU15" s="18">
        <f>IF(EU$1&lt;CapEx!$O$7,0,(VLOOKUP($B15,Inputs!$B$25:$D$44,3,0)*(VLOOKUP(Financials!$B15,Inputs!$B$3:$D$21,3,0)*(1+Inputs!$L$9)^Financials!EU$3)*EU$8))</f>
        <v>367094.16464739782</v>
      </c>
      <c r="EV15" s="18">
        <f>IF(EV$1&lt;CapEx!$O$7,0,(VLOOKUP($B15,Inputs!$B$25:$D$44,3,0)*(VLOOKUP(Financials!$B15,Inputs!$B$3:$D$21,3,0)*(1+Inputs!$L$9)^Financials!EV$3)*EV$8))</f>
        <v>355844.50476304215</v>
      </c>
      <c r="EW15" s="18">
        <f>IF(EW$1&lt;CapEx!$O$7,0,(VLOOKUP($B15,Inputs!$B$25:$D$44,3,0)*(VLOOKUP(Financials!$B15,Inputs!$B$3:$D$21,3,0)*(1+Inputs!$L$9)^Financials!EW$3)*EW$8))</f>
        <v>368318.83156890207</v>
      </c>
      <c r="EX15" s="18">
        <f>IF(EX$1&lt;CapEx!$O$7,0,(VLOOKUP($B15,Inputs!$B$25:$D$44,3,0)*(VLOOKUP(Financials!$B15,Inputs!$B$3:$D$21,3,0)*(1+Inputs!$L$9)^Financials!EX$3)*EX$8))</f>
        <v>368932.69628818368</v>
      </c>
      <c r="EY15" s="18">
        <f>IF(EY$1&lt;CapEx!$O$7,0,(VLOOKUP($B15,Inputs!$B$25:$D$44,3,0)*(VLOOKUP(Financials!$B15,Inputs!$B$3:$D$21,3,0)*(1+Inputs!$L$9)^Financials!EY$3)*EY$8))</f>
        <v>357626.69430515863</v>
      </c>
      <c r="EZ15" s="18">
        <f>IF(EZ$1&lt;CapEx!$O$7,0,(VLOOKUP($B15,Inputs!$B$25:$D$44,3,0)*(VLOOKUP(Financials!$B15,Inputs!$B$3:$D$21,3,0)*(1+Inputs!$L$9)^Financials!EZ$3)*EZ$8))</f>
        <v>370163.49675552291</v>
      </c>
      <c r="FA15" s="18">
        <f>IF(FA$1&lt;CapEx!$O$7,0,(VLOOKUP($B15,Inputs!$B$25:$D$44,3,0)*(VLOOKUP(Financials!$B15,Inputs!$B$3:$D$21,3,0)*(1+Inputs!$L$9)^Financials!FA$3)*FA$8))</f>
        <v>358819.77669366018</v>
      </c>
      <c r="FB15" s="18">
        <f>IF(FB$1&lt;CapEx!$O$7,0,(VLOOKUP($B15,Inputs!$B$25:$D$44,3,0)*(VLOOKUP(Financials!$B15,Inputs!$B$3:$D$21,3,0)*(1+Inputs!$L$9)^Financials!FB$3)*FB$8))</f>
        <v>371398.4033099768</v>
      </c>
      <c r="FC15" s="18">
        <f>IF(FC$1&lt;CapEx!$O$7,0,(VLOOKUP($B15,Inputs!$B$25:$D$44,3,0)*(VLOOKUP(Financials!$B15,Inputs!$B$3:$D$21,3,0)*(1+Inputs!$L$9)^Financials!FC$3)*FC$8))</f>
        <v>372017.40064882679</v>
      </c>
      <c r="FD15" s="18">
        <f>IF(FD$1&lt;CapEx!$O$7,0,(VLOOKUP($B15,Inputs!$B$25:$D$44,3,0)*(VLOOKUP(Financials!$B15,Inputs!$B$3:$D$21,3,0)*(1+Inputs!$L$9)^Financials!FD$3)*FD$8))</f>
        <v>336575.7429095945</v>
      </c>
      <c r="FE15" s="18">
        <f>IF(FE$1&lt;CapEx!$O$7,0,(VLOOKUP($B15,Inputs!$B$25:$D$44,3,0)*(VLOOKUP(Financials!$B15,Inputs!$B$3:$D$21,3,0)*(1+Inputs!$L$9)^Financials!FE$3)*FE$8))</f>
        <v>373258.49203265802</v>
      </c>
      <c r="FF15" s="18">
        <f>IF(FF$1&lt;CapEx!$O$7,0,(VLOOKUP($B15,Inputs!$B$25:$D$44,3,0)*(VLOOKUP(Financials!$B15,Inputs!$B$3:$D$21,3,0)*(1+Inputs!$L$9)^Financials!FF$3)*FF$8))</f>
        <v>361819.92534133478</v>
      </c>
      <c r="FG15" s="18">
        <f>IF(FG$1&lt;CapEx!$O$7,0,(VLOOKUP($B15,Inputs!$B$25:$D$44,3,0)*(VLOOKUP(Financials!$B15,Inputs!$B$3:$D$21,3,0)*(1+Inputs!$L$9)^Financials!FG$3)*FG$8))</f>
        <v>374503.72383524483</v>
      </c>
      <c r="FH15" s="18">
        <f>IF(FH$1&lt;CapEx!$O$7,0,(VLOOKUP($B15,Inputs!$B$25:$D$44,3,0)*(VLOOKUP(Financials!$B15,Inputs!$B$3:$D$21,3,0)*(1+Inputs!$L$9)^Financials!FH$3)*FH$8))</f>
        <v>363026.99681448739</v>
      </c>
      <c r="FI15" s="18">
        <f>IF(FI$1&lt;CapEx!$O$7,0,(VLOOKUP($B15,Inputs!$B$25:$D$44,3,0)*(VLOOKUP(Financials!$B15,Inputs!$B$3:$D$21,3,0)*(1+Inputs!$L$9)^Financials!FI$3)*FI$8))</f>
        <v>375753.10986948415</v>
      </c>
      <c r="FJ15" s="18">
        <f>IF(FJ$1&lt;CapEx!$O$7,0,(VLOOKUP($B15,Inputs!$B$25:$D$44,3,0)*(VLOOKUP(Financials!$B15,Inputs!$B$3:$D$21,3,0)*(1+Inputs!$L$9)^Financials!FJ$3)*FJ$8))</f>
        <v>376379.36505259998</v>
      </c>
      <c r="FK15" s="18">
        <f>IF(FK$1&lt;CapEx!$O$7,0,(VLOOKUP($B15,Inputs!$B$25:$D$44,3,0)*(VLOOKUP(Financials!$B15,Inputs!$B$3:$D$21,3,0)*(1+Inputs!$L$9)^Financials!FK$3)*FK$8))</f>
        <v>364845.15870421397</v>
      </c>
      <c r="FL15" s="18">
        <f>IF(FL$1&lt;CapEx!$O$7,0,(VLOOKUP($B15,Inputs!$B$25:$D$44,3,0)*(VLOOKUP(Financials!$B15,Inputs!$B$3:$D$21,3,0)*(1+Inputs!$L$9)^Financials!FL$3)*FL$8))</f>
        <v>377635.00843434501</v>
      </c>
      <c r="FM15" s="18">
        <f>IF(FM$1&lt;CapEx!$O$7,0,(VLOOKUP($B15,Inputs!$B$25:$D$44,3,0)*(VLOOKUP(Financials!$B15,Inputs!$B$3:$D$21,3,0)*(1+Inputs!$L$9)^Financials!FM$3)*FM$8))</f>
        <v>366062.32269200211</v>
      </c>
      <c r="FN15" s="18">
        <f>IF(FN$1&lt;CapEx!$O$7,0,(VLOOKUP($B15,Inputs!$B$25:$D$44,3,0)*(VLOOKUP(Financials!$B15,Inputs!$B$3:$D$21,3,0)*(1+Inputs!$L$9)^Financials!FN$3)*FN$8))</f>
        <v>378894.8407819274</v>
      </c>
      <c r="FO15" s="18">
        <f>IF(FO$1&lt;CapEx!$O$7,0,(VLOOKUP($B15,Inputs!$B$25:$D$44,3,0)*(VLOOKUP(Financials!$B15,Inputs!$B$3:$D$21,3,0)*(1+Inputs!$L$9)^Financials!FO$3)*FO$8))</f>
        <v>379526.33218323055</v>
      </c>
      <c r="FP15" s="18">
        <f>IF(FP$1&lt;CapEx!$O$7,0,(VLOOKUP($B15,Inputs!$B$25:$D$44,3,0)*(VLOOKUP(Financials!$B15,Inputs!$B$3:$D$21,3,0)*(1+Inputs!$L$9)^Financials!FP$3)*FP$8))</f>
        <v>343369.30741824757</v>
      </c>
      <c r="FQ15" s="18">
        <f>IF(FQ$1&lt;CapEx!$O$7,0,(VLOOKUP($B15,Inputs!$B$25:$D$44,3,0)*(VLOOKUP(Financials!$B15,Inputs!$B$3:$D$21,3,0)*(1+Inputs!$L$9)^Financials!FQ$3)*FQ$8))</f>
        <v>380792.47419698647</v>
      </c>
      <c r="FR15" s="18">
        <f>IF(FR$1&lt;CapEx!$O$7,0,(VLOOKUP($B15,Inputs!$B$25:$D$44,3,0)*(VLOOKUP(Financials!$B15,Inputs!$B$3:$D$21,3,0)*(1+Inputs!$L$9)^Financials!FR$3)*FR$8))</f>
        <v>369123.02740707877</v>
      </c>
      <c r="FS15" s="18">
        <f>IF(FS$1&lt;CapEx!$O$7,0,(VLOOKUP($B15,Inputs!$B$25:$D$44,3,0)*(VLOOKUP(Financials!$B15,Inputs!$B$3:$D$21,3,0)*(1+Inputs!$L$9)^Financials!FS$3)*FS$8))</f>
        <v>382062.84020118252</v>
      </c>
      <c r="FT15" s="18">
        <f>IF(FT$1&lt;CapEx!$O$7,0,(VLOOKUP($B15,Inputs!$B$25:$D$44,3,0)*(VLOOKUP(Financials!$B15,Inputs!$B$3:$D$21,3,0)*(1+Inputs!$L$9)^Financials!FT$3)*FT$8))</f>
        <v>370354.46284017852</v>
      </c>
      <c r="FU15" s="18">
        <f>IF(FU$1&lt;CapEx!$O$7,0,(VLOOKUP($B15,Inputs!$B$25:$D$44,3,0)*(VLOOKUP(Financials!$B15,Inputs!$B$3:$D$21,3,0)*(1+Inputs!$L$9)^Financials!FU$3)*FU$8))</f>
        <v>383337.44428752037</v>
      </c>
      <c r="FV15" s="18">
        <f>IF(FV$1&lt;CapEx!$O$7,0,(VLOOKUP($B15,Inputs!$B$25:$D$44,3,0)*(VLOOKUP(Financials!$B15,Inputs!$B$3:$D$21,3,0)*(1+Inputs!$L$9)^Financials!FV$3)*FV$8))</f>
        <v>383976.34002799966</v>
      </c>
      <c r="FW15" s="18">
        <f>IF(FW$1&lt;CapEx!$O$7,0,(VLOOKUP($B15,Inputs!$B$25:$D$44,3,0)*(VLOOKUP(Financials!$B15,Inputs!$B$3:$D$21,3,0)*(1+Inputs!$L$9)^Financials!FW$3)*FW$8))</f>
        <v>372209.32315617392</v>
      </c>
      <c r="FX15" s="18">
        <f>IF(FX$1&lt;CapEx!$O$7,0,(VLOOKUP($B15,Inputs!$B$25:$D$44,3,0)*(VLOOKUP(Financials!$B15,Inputs!$B$3:$D$21,3,0)*(1+Inputs!$L$9)^Financials!FX$3)*FX$8))</f>
        <v>385257.32776237087</v>
      </c>
      <c r="FY15" s="18">
        <f>IF(FY$1&lt;CapEx!$O$7,0,(VLOOKUP($B15,Inputs!$B$25:$D$44,3,0)*(VLOOKUP(Financials!$B15,Inputs!$B$3:$D$21,3,0)*(1+Inputs!$L$9)^Financials!FY$3)*FY$8))</f>
        <v>373451.05481481436</v>
      </c>
      <c r="FZ15" s="18">
        <f>IF(FZ$1&lt;CapEx!$O$7,0,(VLOOKUP($B15,Inputs!$B$25:$D$44,3,0)*(VLOOKUP(Financials!$B15,Inputs!$B$3:$D$21,3,0)*(1+Inputs!$L$9)^Financials!FZ$3)*FZ$8))</f>
        <v>386542.58901415596</v>
      </c>
      <c r="GA15" s="18">
        <f>IF(GA$1&lt;CapEx!$O$7,0,(VLOOKUP($B15,Inputs!$B$25:$D$44,3,0)*(VLOOKUP(Financials!$B15,Inputs!$B$3:$D$21,3,0)*(1+Inputs!$L$9)^Financials!GA$3)*GA$8))</f>
        <v>387186.82666251296</v>
      </c>
      <c r="GB15" s="18">
        <f>IF(GB$1&lt;CapEx!$O$7,0,(VLOOKUP($B15,Inputs!$B$25:$D$44,3,0)*(VLOOKUP(Financials!$B15,Inputs!$B$3:$D$21,3,0)*(1+Inputs!$L$9)^Financials!GB$3)*GB$8))</f>
        <v>350299.99564928858</v>
      </c>
      <c r="GC15" s="18">
        <f>IF(GC$1&lt;CapEx!$O$7,0,(VLOOKUP($B15,Inputs!$B$25:$D$44,3,0)*(VLOOKUP(Financials!$B15,Inputs!$B$3:$D$21,3,0)*(1+Inputs!$L$9)^Financials!GC$3)*GC$8))</f>
        <v>388478.52493701759</v>
      </c>
      <c r="GD15" s="18">
        <f>IF(GD$1&lt;CapEx!$O$7,0,(VLOOKUP($B15,Inputs!$B$25:$D$44,3,0)*(VLOOKUP(Financials!$B15,Inputs!$B$3:$D$21,3,0)*(1+Inputs!$L$9)^Financials!GD$3)*GD$8))</f>
        <v>376573.5378824962</v>
      </c>
      <c r="GE15" s="18">
        <f>IF(GE$1&lt;CapEx!$O$7,0,(VLOOKUP($B15,Inputs!$B$25:$D$44,3,0)*(VLOOKUP(Financials!$B15,Inputs!$B$3:$D$21,3,0)*(1+Inputs!$L$9)^Financials!GE$3)*GE$8))</f>
        <v>389774.53246048815</v>
      </c>
      <c r="GF15" s="18">
        <f>IF(GF$1&lt;CapEx!$O$7,0,(VLOOKUP($B15,Inputs!$B$25:$D$44,3,0)*(VLOOKUP(Financials!$B15,Inputs!$B$3:$D$21,3,0)*(1+Inputs!$L$9)^Financials!GF$3)*GF$8))</f>
        <v>377829.82904637634</v>
      </c>
      <c r="GG15" s="18">
        <f>IF(GG$1&lt;CapEx!$O$7,0,(VLOOKUP($B15,Inputs!$B$25:$D$44,3,0)*(VLOOKUP(Financials!$B15,Inputs!$B$3:$D$21,3,0)*(1+Inputs!$L$9)^Financials!GG$3)*GG$8))</f>
        <v>391074.86360905773</v>
      </c>
      <c r="GH15" s="18">
        <f>IF(GH$1&lt;CapEx!$O$7,0,(VLOOKUP($B15,Inputs!$B$25:$D$44,3,0)*(VLOOKUP(Financials!$B15,Inputs!$B$3:$D$21,3,0)*(1+Inputs!$L$9)^Financials!GH$3)*GH$8))</f>
        <v>391726.6550484061</v>
      </c>
      <c r="GI15" s="18">
        <f>IF(GI$1&lt;CapEx!$O$7,0,(VLOOKUP($B15,Inputs!$B$25:$D$44,3,0)*(VLOOKUP(Financials!$B15,Inputs!$B$3:$D$21,3,0)*(1+Inputs!$L$9)^Financials!GI$3)*GI$8))</f>
        <v>379722.12852272927</v>
      </c>
      <c r="GJ15" s="18">
        <f>IF(GJ$1&lt;CapEx!$O$7,0,(VLOOKUP($B15,Inputs!$B$25:$D$44,3,0)*(VLOOKUP(Financials!$B15,Inputs!$B$3:$D$21,3,0)*(1+Inputs!$L$9)^Financials!GJ$3)*GJ$8))</f>
        <v>393033.49869483156</v>
      </c>
      <c r="GK15" s="18">
        <f>IF(GK$1&lt;CapEx!$O$7,0,(VLOOKUP($B15,Inputs!$B$25:$D$44,3,0)*(VLOOKUP(Financials!$B15,Inputs!$B$3:$D$21,3,0)*(1+Inputs!$L$9)^Financials!GK$3)*GK$8))</f>
        <v>380988.92373482877</v>
      </c>
      <c r="GL15" s="18">
        <f>IF(GL$1&lt;CapEx!$O$7,0,(VLOOKUP($B15,Inputs!$B$25:$D$44,3,0)*(VLOOKUP(Financials!$B15,Inputs!$B$3:$D$21,3,0)*(1+Inputs!$L$9)^Financials!GL$3)*GL$8))</f>
        <v>394344.70211686642</v>
      </c>
      <c r="GM15" s="18">
        <f>IF(GM$1&lt;CapEx!$O$7,0,(VLOOKUP($B15,Inputs!$B$25:$D$44,3,0)*(VLOOKUP(Financials!$B15,Inputs!$B$3:$D$21,3,0)*(1+Inputs!$L$9)^Financials!GM$3)*GM$8))</f>
        <v>395001.94328706118</v>
      </c>
      <c r="GN15" s="18">
        <f>IF(GN$1&lt;CapEx!$O$7,0,(VLOOKUP($B15,Inputs!$B$25:$D$44,3,0)*(VLOOKUP(Financials!$B15,Inputs!$B$3:$D$21,3,0)*(1+Inputs!$L$9)^Financials!GN$3)*GN$8))</f>
        <v>357370.57535670244</v>
      </c>
      <c r="GO15" s="18">
        <f>IF(GO$1&lt;CapEx!$O$7,0,(VLOOKUP($B15,Inputs!$B$25:$D$44,3,0)*(VLOOKUP(Financials!$B15,Inputs!$B$3:$D$21,3,0)*(1+Inputs!$L$9)^Financials!GO$3)*GO$8))</f>
        <v>396319.71365897171</v>
      </c>
      <c r="GP15" s="18">
        <f>IF(GP$1&lt;CapEx!$O$7,0,(VLOOKUP($B15,Inputs!$B$25:$D$44,3,0)*(VLOOKUP(Financials!$B15,Inputs!$B$3:$D$21,3,0)*(1+Inputs!$L$9)^Financials!GP$3)*GP$8))</f>
        <v>384174.43211135804</v>
      </c>
      <c r="GQ15" s="18">
        <f>IF(GQ$1&lt;CapEx!$O$7,0,(VLOOKUP($B15,Inputs!$B$25:$D$44,3,0)*(VLOOKUP(Financials!$B15,Inputs!$B$3:$D$21,3,0)*(1+Inputs!$L$9)^Financials!GQ$3)*GQ$8))</f>
        <v>397641.88025926182</v>
      </c>
      <c r="GR15" s="18">
        <f>IF(GR$1&lt;CapEx!$O$7,0,(VLOOKUP($B15,Inputs!$B$25:$D$44,3,0)*(VLOOKUP(Financials!$B15,Inputs!$B$3:$D$21,3,0)*(1+Inputs!$L$9)^Financials!GR$3)*GR$8))</f>
        <v>385456.08070292958</v>
      </c>
      <c r="GS15" s="18">
        <f>IF(GS$1&lt;CapEx!$O$7,0,(VLOOKUP($B15,Inputs!$B$25:$D$44,3,0)*(VLOOKUP(Financials!$B15,Inputs!$B$3:$D$21,3,0)*(1+Inputs!$L$9)^Financials!GS$3)*GS$8))</f>
        <v>398968.45775423787</v>
      </c>
      <c r="GT15" s="18">
        <f>IF(GT$1&lt;CapEx!$O$7,0,(VLOOKUP($B15,Inputs!$B$25:$D$44,3,0)*(VLOOKUP(Financials!$B15,Inputs!$B$3:$D$21,3,0)*(1+Inputs!$L$9)^Financials!GT$3)*GT$8))</f>
        <v>399633.40518382838</v>
      </c>
      <c r="GU15" s="18">
        <f>IF(GU$1&lt;CapEx!$O$7,0,(VLOOKUP($B15,Inputs!$B$25:$D$44,3,0)*(VLOOKUP(Financials!$B15,Inputs!$B$3:$D$21,3,0)*(1+Inputs!$L$9)^Financials!GU$3)*GU$8))</f>
        <v>387386.575024969</v>
      </c>
      <c r="GV15" s="18">
        <f>IF(GV$1&lt;CapEx!$O$7,0,(VLOOKUP($B15,Inputs!$B$25:$D$44,3,0)*(VLOOKUP(Financials!$B15,Inputs!$B$3:$D$21,3,0)*(1+Inputs!$L$9)^Financials!GV$3)*GV$8))</f>
        <v>400966.62662723329</v>
      </c>
      <c r="GW15" s="18">
        <f>IF(GW$1&lt;CapEx!$O$7,0,(VLOOKUP($B15,Inputs!$B$25:$D$44,3,0)*(VLOOKUP(Financials!$B15,Inputs!$B$3:$D$21,3,0)*(1+Inputs!$L$9)^Financials!GW$3)*GW$8))</f>
        <v>388678.93968220515</v>
      </c>
      <c r="GX15" s="18">
        <f>IF(GX$1&lt;CapEx!$O$7,0,(VLOOKUP($B15,Inputs!$B$25:$D$44,3,0)*(VLOOKUP(Financials!$B15,Inputs!$B$3:$D$21,3,0)*(1+Inputs!$L$9)^Financials!GX$3)*GX$8))</f>
        <v>402304.29584550922</v>
      </c>
      <c r="GY15" s="18">
        <f>IF(GY$1&lt;CapEx!$O$7,0,(VLOOKUP($B15,Inputs!$B$25:$D$44,3,0)*(VLOOKUP(Financials!$B15,Inputs!$B$3:$D$21,3,0)*(1+Inputs!$L$9)^Financials!GY$3)*GY$8))</f>
        <v>402974.80300525174</v>
      </c>
      <c r="GZ15" s="18">
        <f>IF(GZ$1&lt;CapEx!$O$7,0,(VLOOKUP($B15,Inputs!$B$25:$D$44,3,0)*(VLOOKUP(Financials!$B15,Inputs!$B$3:$D$21,3,0)*(1+Inputs!$L$9)^Financials!GZ$3)*GZ$8))</f>
        <v>364583.87015980517</v>
      </c>
      <c r="HA15" s="18">
        <f>IF(HA$1&lt;CapEx!$O$7,0,(VLOOKUP($B15,Inputs!$B$25:$D$44,3,0)*(VLOOKUP(Financials!$B15,Inputs!$B$3:$D$21,3,0)*(1+Inputs!$L$9)^Financials!HA$3)*HA$8))</f>
        <v>404319.17172305548</v>
      </c>
      <c r="HB15" s="18">
        <f>IF(HB$1&lt;CapEx!$O$7,0,(VLOOKUP($B15,Inputs!$B$25:$D$44,3,0)*(VLOOKUP(Financials!$B15,Inputs!$B$3:$D$21,3,0)*(1+Inputs!$L$9)^Financials!HB$3)*HB$8))</f>
        <v>391928.74549283285</v>
      </c>
      <c r="HC15" s="18">
        <f>IF(HC$1&lt;CapEx!$O$7,0,(VLOOKUP($B15,Inputs!$B$25:$D$44,3,0)*(VLOOKUP(Financials!$B15,Inputs!$B$3:$D$21,3,0)*(1+Inputs!$L$9)^Financials!HC$3)*HC$8))</f>
        <v>405668.02540427609</v>
      </c>
      <c r="HD15" s="18">
        <f>IF(HD$1&lt;CapEx!$O$7,0,(VLOOKUP($B15,Inputs!$B$25:$D$44,3,0)*(VLOOKUP(Financials!$B15,Inputs!$B$3:$D$21,3,0)*(1+Inputs!$L$9)^Financials!HD$3)*HD$8))</f>
        <v>393236.26333543536</v>
      </c>
      <c r="HE15" s="18">
        <f>IF(HE$1&lt;CapEx!$O$7,0,(VLOOKUP($B15,Inputs!$B$25:$D$44,3,0)*(VLOOKUP(Financials!$B15,Inputs!$B$3:$D$21,3,0)*(1+Inputs!$L$9)^Financials!HE$3)*HE$8))</f>
        <v>407021.37901124987</v>
      </c>
      <c r="HF15" s="18">
        <f>IF(HF$1&lt;CapEx!$O$7,0,(VLOOKUP($B15,Inputs!$B$25:$D$44,3,0)*(VLOOKUP(Financials!$B15,Inputs!$B$3:$D$21,3,0)*(1+Inputs!$L$9)^Financials!HF$3)*HF$8))</f>
        <v>407699.74797626858</v>
      </c>
      <c r="HG15" s="18">
        <f>IF(HG$1&lt;CapEx!$O$7,0,(VLOOKUP($B15,Inputs!$B$25:$D$44,3,0)*(VLOOKUP(Financials!$B15,Inputs!$B$3:$D$21,3,0)*(1+Inputs!$L$9)^Financials!HG$3)*HG$8))</f>
        <v>395205.72344151197</v>
      </c>
      <c r="HH15" s="18">
        <f>IF(HH$1&lt;CapEx!$O$7,0,(VLOOKUP($B15,Inputs!$B$25:$D$44,3,0)*(VLOOKUP(Financials!$B15,Inputs!$B$3:$D$21,3,0)*(1+Inputs!$L$9)^Financials!HH$3)*HH$8))</f>
        <v>409059.87963548937</v>
      </c>
      <c r="HI15" s="18">
        <f>IF(HI$1&lt;CapEx!$O$7,0,(VLOOKUP($B15,Inputs!$B$25:$D$44,3,0)*(VLOOKUP(Financials!$B15,Inputs!$B$3:$D$21,3,0)*(1+Inputs!$L$9)^Financials!HI$3)*HI$8))</f>
        <v>396524.17364665994</v>
      </c>
      <c r="HJ15" s="18">
        <f>IF(HJ$1&lt;CapEx!$O$7,0,(VLOOKUP($B15,Inputs!$B$25:$D$44,3,0)*(VLOOKUP(Financials!$B15,Inputs!$B$3:$D$21,3,0)*(1+Inputs!$L$9)^Financials!HJ$3)*HJ$8))</f>
        <v>410424.54884505126</v>
      </c>
      <c r="HK15" s="18">
        <f>IF(HK$1&lt;CapEx!$O$7,0,(VLOOKUP($B15,Inputs!$B$25:$D$44,3,0)*(VLOOKUP(Financials!$B15,Inputs!$B$3:$D$21,3,0)*(1+Inputs!$L$9)^Financials!HK$3)*HK$8))</f>
        <v>411108.58975979296</v>
      </c>
      <c r="HL15" s="18">
        <f>IF(HL$1&lt;CapEx!$O$7,0,(VLOOKUP($B15,Inputs!$B$25:$D$44,3,0)*(VLOOKUP(Financials!$B15,Inputs!$B$3:$D$21,3,0)*(1+Inputs!$L$9)^Financials!HL$3)*HL$8))</f>
        <v>371942.76067084935</v>
      </c>
      <c r="HM15" s="18">
        <f>IF(HM$1&lt;CapEx!$O$7,0,(VLOOKUP($B15,Inputs!$B$25:$D$44,3,0)*(VLOOKUP(Financials!$B15,Inputs!$B$3:$D$21,3,0)*(1+Inputs!$L$9)^Financials!HM$3)*HM$8))</f>
        <v>412480.09369396395</v>
      </c>
      <c r="HN15" s="18">
        <f>IF(HN$1&lt;CapEx!$O$7,0,(VLOOKUP($B15,Inputs!$B$25:$D$44,3,0)*(VLOOKUP(Financials!$B15,Inputs!$B$3:$D$21,3,0)*(1+Inputs!$L$9)^Financials!HN$3)*HN$8))</f>
        <v>399839.57469366502</v>
      </c>
      <c r="HO15" s="18">
        <f>IF(HO$1&lt;CapEx!$O$7,0,(VLOOKUP($B15,Inputs!$B$25:$D$44,3,0)*(VLOOKUP(Financials!$B15,Inputs!$B$3:$D$21,3,0)*(1+Inputs!$L$9)^Financials!HO$3)*HO$8))</f>
        <v>413856.17311764858</v>
      </c>
      <c r="HP15" s="18">
        <f>IF(HP$1&lt;CapEx!$O$7,0,(VLOOKUP($B15,Inputs!$B$25:$D$44,3,0)*(VLOOKUP(Financials!$B15,Inputs!$B$3:$D$21,3,0)*(1+Inputs!$L$9)^Financials!HP$3)*HP$8))</f>
        <v>401173.48394146259</v>
      </c>
      <c r="HQ15" s="18">
        <f>IF(HQ$1&lt;CapEx!$O$7,0,(VLOOKUP($B15,Inputs!$B$25:$D$44,3,0)*(VLOOKUP(Financials!$B15,Inputs!$B$3:$D$21,3,0)*(1+Inputs!$L$9)^Financials!HQ$3)*HQ$8))</f>
        <v>415236.84329518827</v>
      </c>
      <c r="HR15" s="18">
        <f>IF(HR$1&lt;CapEx!$O$7,0,(VLOOKUP($B15,Inputs!$B$25:$D$44,3,0)*(VLOOKUP(Financials!$B15,Inputs!$B$3:$D$21,3,0)*(1+Inputs!$L$9)^Financials!HR$3)*HR$8))</f>
        <v>415928.9047006804</v>
      </c>
      <c r="HS15" s="18">
        <f>IF(HS$1&lt;CapEx!$O$7,0,(VLOOKUP($B15,Inputs!$B$25:$D$44,3,0)*(VLOOKUP(Financials!$B15,Inputs!$B$3:$D$21,3,0)*(1+Inputs!$L$9)^Financials!HS$3)*HS$8))</f>
        <v>403182.69633082079</v>
      </c>
      <c r="HT15" s="18">
        <f>IF(HT$1&lt;CapEx!$O$7,0,(VLOOKUP($B15,Inputs!$B$25:$D$44,3,0)*(VLOOKUP(Financials!$B15,Inputs!$B$3:$D$21,3,0)*(1+Inputs!$L$9)^Financials!HT$3)*HT$8))</f>
        <v>417316.48974108452</v>
      </c>
      <c r="HU15" s="18">
        <f>IF(HU$1&lt;CapEx!$O$7,0,(VLOOKUP($B15,Inputs!$B$25:$D$44,3,0)*(VLOOKUP(Financials!$B15,Inputs!$B$3:$D$21,3,0)*(1+Inputs!$L$9)^Financials!HU$3)*HU$8))</f>
        <v>404527.75860385789</v>
      </c>
      <c r="HV15" s="18">
        <f>IF(HV$1&lt;CapEx!$O$7,0,(VLOOKUP($B15,Inputs!$B$25:$D$44,3,0)*(VLOOKUP(Financials!$B15,Inputs!$B$3:$D$21,3,0)*(1+Inputs!$L$9)^Financials!HV$3)*HV$8))</f>
        <v>418708.70391935983</v>
      </c>
      <c r="HW15" s="18">
        <f>IF(HW$1&lt;CapEx!$O$7,0,(VLOOKUP($B15,Inputs!$B$25:$D$44,3,0)*(VLOOKUP(Financials!$B15,Inputs!$B$3:$D$21,3,0)*(1+Inputs!$L$9)^Financials!HW$3)*HW$8))</f>
        <v>419406.55175922555</v>
      </c>
      <c r="HX15" s="18">
        <f>IF(HX$1&lt;CapEx!$O$7,0,(VLOOKUP($B15,Inputs!$B$25:$D$44,3,0)*(VLOOKUP(Financials!$B15,Inputs!$B$3:$D$21,3,0)*(1+Inputs!$L$9)^Financials!HX$3)*HX$8))</f>
        <v>379450.18564538955</v>
      </c>
      <c r="HY15" s="18">
        <f>IF(HY$1&lt;CapEx!$O$7,0,(VLOOKUP($B15,Inputs!$B$25:$D$44,3,0)*(VLOOKUP(Financials!$B15,Inputs!$B$3:$D$21,3,0)*(1+Inputs!$L$9)^Financials!HY$3)*HY$8))</f>
        <v>420805.73861662229</v>
      </c>
      <c r="HZ15" s="18">
        <f>IF(HZ$1&lt;CapEx!$O$7,0,(VLOOKUP($B15,Inputs!$B$25:$D$44,3,0)*(VLOOKUP(Financials!$B15,Inputs!$B$3:$D$21,3,0)*(1+Inputs!$L$9)^Financials!HZ$3)*HZ$8))</f>
        <v>407910.07888482267</v>
      </c>
      <c r="IA15" s="18">
        <f>IF(IA$1&lt;CapEx!$O$7,0,(VLOOKUP($B15,Inputs!$B$25:$D$44,3,0)*(VLOOKUP(Financials!$B15,Inputs!$B$3:$D$21,3,0)*(1+Inputs!$L$9)^Financials!IA$3)*IA$8))</f>
        <v>422209.59331684047</v>
      </c>
      <c r="IB15" s="18">
        <f>IF(IB$1&lt;CapEx!$O$7,0,(VLOOKUP($B15,Inputs!$B$25:$D$44,3,0)*(VLOOKUP(Financials!$B15,Inputs!$B$3:$D$21,3,0)*(1+Inputs!$L$9)^Financials!IB$3)*IB$8))</f>
        <v>409270.91223132436</v>
      </c>
      <c r="IC15" s="18">
        <f>IF(IC$1&lt;CapEx!$O$7,0,(VLOOKUP($B15,Inputs!$B$25:$D$44,3,0)*(VLOOKUP(Financials!$B15,Inputs!$B$3:$D$21,3,0)*(1+Inputs!$L$9)^Financials!IC$3)*IC$8))</f>
        <v>423618.13143232261</v>
      </c>
      <c r="ID15" s="18">
        <f>IF(ID$1&lt;CapEx!$O$7,0,(VLOOKUP($B15,Inputs!$B$25:$D$44,3,0)*(VLOOKUP(Financials!$B15,Inputs!$B$3:$D$21,3,0)*(1+Inputs!$L$9)^Financials!ID$3)*ID$8))</f>
        <v>424324.16165137652</v>
      </c>
      <c r="IE15" s="18">
        <f>IF(IE$1&lt;CapEx!$O$7,0,(VLOOKUP($B15,Inputs!$B$25:$D$44,3,0)*(VLOOKUP(Financials!$B15,Inputs!$B$3:$D$21,3,0)*(1+Inputs!$L$9)^Financials!IE$3)*IE$8))</f>
        <v>411320.67927818926</v>
      </c>
      <c r="IF15" s="18">
        <f>IF(IF$1&lt;CapEx!$O$7,0,(VLOOKUP($B15,Inputs!$B$25:$D$44,3,0)*(VLOOKUP(Financials!$B15,Inputs!$B$3:$D$21,3,0)*(1+Inputs!$L$9)^Financials!IF$3)*IF$8))</f>
        <v>425739.7542017746</v>
      </c>
      <c r="IG15" s="18">
        <f>IF(IG$1&lt;CapEx!$O$7,0,(VLOOKUP($B15,Inputs!$B$25:$D$44,3,0)*(VLOOKUP(Financials!$B15,Inputs!$B$3:$D$21,3,0)*(1+Inputs!$L$9)^Financials!IG$3)*IG$8))</f>
        <v>412692.89076655899</v>
      </c>
      <c r="IH15" s="18">
        <f>IF(IH$1&lt;CapEx!$O$7,0,(VLOOKUP($B15,Inputs!$B$25:$D$44,3,0)*(VLOOKUP(Financials!$B15,Inputs!$B$3:$D$21,3,0)*(1+Inputs!$L$9)^Financials!IH$3)*IH$8))</f>
        <v>427160.06932620908</v>
      </c>
      <c r="II15" s="18">
        <f>IF(II$1&lt;CapEx!$O$7,0,(VLOOKUP($B15,Inputs!$B$25:$D$44,3,0)*(VLOOKUP(Financials!$B15,Inputs!$B$3:$D$21,3,0)*(1+Inputs!$L$9)^Financials!II$3)*II$8))</f>
        <v>427872.00277508609</v>
      </c>
      <c r="IJ15" s="18">
        <f>IF(IJ$1&lt;CapEx!$O$7,0,(VLOOKUP($B15,Inputs!$B$25:$D$44,3,0)*(VLOOKUP(Financials!$B15,Inputs!$B$3:$D$21,3,0)*(1+Inputs!$L$9)^Financials!IJ$3)*IJ$8))</f>
        <v>387109.14315586817</v>
      </c>
      <c r="IK15" s="18">
        <f>IF(IK$1&lt;CapEx!$O$7,0,(VLOOKUP($B15,Inputs!$B$25:$D$44,3,0)*(VLOOKUP(Financials!$B15,Inputs!$B$3:$D$21,3,0)*(1+Inputs!$L$9)^Financials!IK$3)*IK$8))</f>
        <v>429299.43131767743</v>
      </c>
      <c r="IL15" s="18">
        <f>IF(IL$1&lt;CapEx!$O$7,0,(VLOOKUP($B15,Inputs!$B$25:$D$44,3,0)*(VLOOKUP(Financials!$B15,Inputs!$B$3:$D$21,3,0)*(1+Inputs!$L$9)^Financials!IL$3)*IL$8))</f>
        <v>416143.48100310349</v>
      </c>
      <c r="IM15" s="18">
        <f>IF(IM$1&lt;CapEx!$O$7,0,(VLOOKUP($B15,Inputs!$B$25:$D$44,3,0)*(VLOOKUP(Financials!$B15,Inputs!$B$3:$D$21,3,0)*(1+Inputs!$L$9)^Financials!IM$3)*IM$8))</f>
        <v>430731.62192049</v>
      </c>
      <c r="IN15" s="18">
        <f>IF(IN$1&lt;CapEx!$O$7,0,(VLOOKUP($B15,Inputs!$B$25:$D$44,3,0)*(VLOOKUP(Financials!$B15,Inputs!$B$3:$D$21,3,0)*(1+Inputs!$L$9)^Financials!IN$3)*IN$8))</f>
        <v>417531.78189389431</v>
      </c>
      <c r="IO15" s="18">
        <f>IF(IO$1&lt;CapEx!$O$7,0,(VLOOKUP($B15,Inputs!$B$25:$D$44,3,0)*(VLOOKUP(Financials!$B15,Inputs!$B$3:$D$21,3,0)*(1+Inputs!$L$9)^Financials!IO$3)*IO$8))</f>
        <v>432168.59047028597</v>
      </c>
      <c r="IP15" s="18">
        <f>IF(IP$1&lt;CapEx!$O$7,0,(VLOOKUP($B15,Inputs!$B$25:$D$44,3,0)*(VLOOKUP(Financials!$B15,Inputs!$B$3:$D$21,3,0)*(1+Inputs!$L$9)^Financials!IP$3)*IP$8))</f>
        <v>432888.87145440315</v>
      </c>
      <c r="IQ15" s="18">
        <f>IF(IQ$1&lt;CapEx!$O$7,0,(VLOOKUP($B15,Inputs!$B$25:$D$44,3,0)*(VLOOKUP(Financials!$B15,Inputs!$B$3:$D$21,3,0)*(1+Inputs!$L$9)^Financials!IQ$3)*IQ$8))</f>
        <v>419622.92216789717</v>
      </c>
      <c r="IR15" s="18">
        <f>IF(IR$1&lt;CapEx!$O$7,0,(VLOOKUP($B15,Inputs!$B$25:$D$44,3,0)*(VLOOKUP(Financials!$B15,Inputs!$B$3:$D$21,3,0)*(1+Inputs!$L$9)^Financials!IR$3)*IR$8))</f>
        <v>434333.03682833846</v>
      </c>
      <c r="IS15" s="18">
        <f>IF(IS$1&lt;CapEx!$O$7,0,(VLOOKUP($B15,Inputs!$B$25:$D$44,3,0)*(VLOOKUP(Financials!$B15,Inputs!$B$3:$D$21,3,0)*(1+Inputs!$L$9)^Financials!IS$3)*IS$8))</f>
        <v>421022.8308610185</v>
      </c>
      <c r="IT15" s="18">
        <f>IF(IT$1&lt;CapEx!$O$7,0,(VLOOKUP($B15,Inputs!$B$25:$D$44,3,0)*(VLOOKUP(Financials!$B15,Inputs!$B$3:$D$21,3,0)*(1+Inputs!$L$9)^Financials!IT$3)*IT$8))</f>
        <v>435782.02009842417</v>
      </c>
      <c r="IU15" s="18">
        <f>IF(IU$1&lt;CapEx!$O$7,0,(VLOOKUP($B15,Inputs!$B$25:$D$44,3,0)*(VLOOKUP(Financials!$B15,Inputs!$B$3:$D$21,3,0)*(1+Inputs!$L$9)^Financials!IU$3)*IU$8))</f>
        <v>436508.32346525503</v>
      </c>
      <c r="IV15" s="18">
        <f>IF(IV$1&lt;CapEx!$O$7,0,(VLOOKUP($B15,Inputs!$B$25:$D$44,3,0)*(VLOOKUP(Financials!$B15,Inputs!$B$3:$D$21,3,0)*(1+Inputs!$L$9)^Financials!IV$3)*IV$8))</f>
        <v>394922.69178888772</v>
      </c>
      <c r="IW15" s="18">
        <f>IF(IW$1&lt;CapEx!$O$7,0,(VLOOKUP($B15,Inputs!$B$25:$D$44,3,0)*(VLOOKUP(Financials!$B15,Inputs!$B$3:$D$21,3,0)*(1+Inputs!$L$9)^Financials!IW$3)*IW$8))</f>
        <v>437964.56373325997</v>
      </c>
      <c r="IX15" s="18">
        <f>IF(IX$1&lt;CapEx!$O$7,0,(VLOOKUP($B15,Inputs!$B$25:$D$44,3,0)*(VLOOKUP(Financials!$B15,Inputs!$B$3:$D$21,3,0)*(1+Inputs!$L$9)^Financials!IX$3)*IX$8))</f>
        <v>424543.06903820852</v>
      </c>
      <c r="IY15" s="18">
        <f>IF(IY$1&lt;CapEx!$O$7,0,(VLOOKUP($B15,Inputs!$B$25:$D$44,3,0)*(VLOOKUP(Financials!$B15,Inputs!$B$3:$D$21,3,0)*(1+Inputs!$L$9)^Financials!IY$3)*IY$8))</f>
        <v>439425.66218060354</v>
      </c>
      <c r="IZ15" s="18">
        <f>IF(IZ$1&lt;CapEx!$O$7,0,(VLOOKUP($B15,Inputs!$B$25:$D$44,3,0)*(VLOOKUP(Financials!$B15,Inputs!$B$3:$D$21,3,0)*(1+Inputs!$L$9)^Financials!IZ$3)*IZ$8))</f>
        <v>425959.39188797207</v>
      </c>
      <c r="JA15" s="18">
        <f>IF(JA$1&lt;CapEx!$O$7,0,(VLOOKUP($B15,Inputs!$B$25:$D$44,3,0)*(VLOOKUP(Financials!$B15,Inputs!$B$3:$D$21,3,0)*(1+Inputs!$L$9)^Financials!JA$3)*JA$8))</f>
        <v>440891.6350147117</v>
      </c>
      <c r="JB15" s="18">
        <f>IF(JB$1&lt;CapEx!$O$7,0,(VLOOKUP($B15,Inputs!$B$25:$D$44,3,0)*(VLOOKUP(Financials!$B15,Inputs!$B$3:$D$21,3,0)*(1+Inputs!$L$9)^Financials!JB$3)*JB$8))</f>
        <v>441626.45440640295</v>
      </c>
      <c r="JC15" s="18">
        <f>IF(JC$1&lt;CapEx!$O$7,0,(VLOOKUP($B15,Inputs!$B$25:$D$44,3,0)*(VLOOKUP(Financials!$B15,Inputs!$B$3:$D$21,3,0)*(1+Inputs!$L$9)^Financials!JC$3)*JC$8))</f>
        <v>428092.74048104545</v>
      </c>
      <c r="JD15" s="18">
        <f>IF(JD$1&lt;CapEx!$O$7,0,(VLOOKUP($B15,Inputs!$B$25:$D$44,3,0)*(VLOOKUP(Financials!$B15,Inputs!$B$3:$D$21,3,0)*(1+Inputs!$L$9)^Financials!JD$3)*JD$8))</f>
        <v>443099.76932790875</v>
      </c>
      <c r="JE15" s="18">
        <f>IF(JE$1&lt;CapEx!$O$7,0,(VLOOKUP($B15,Inputs!$B$25:$D$44,3,0)*(VLOOKUP(Financials!$B15,Inputs!$B$3:$D$21,3,0)*(1+Inputs!$L$9)^Financials!JE$3)*JE$8))</f>
        <v>429520.90542915021</v>
      </c>
      <c r="JF15" s="18">
        <f>IF(JF$1&lt;CapEx!$O$7,0,(VLOOKUP($B15,Inputs!$B$25:$D$44,3,0)*(VLOOKUP(Financials!$B15,Inputs!$B$3:$D$21,3,0)*(1+Inputs!$L$9)^Financials!JF$3)*JF$8))</f>
        <v>444577.99939169444</v>
      </c>
      <c r="JG15" s="18">
        <f>IF(JG$1&lt;CapEx!$O$7,0,(VLOOKUP($B15,Inputs!$B$25:$D$44,3,0)*(VLOOKUP(Financials!$B15,Inputs!$B$3:$D$21,3,0)*(1+Inputs!$L$9)^Financials!JG$3)*JG$8))</f>
        <v>445318.96272401395</v>
      </c>
      <c r="JH15" s="18">
        <f>IF(JH$1&lt;CapEx!$O$7,0,(VLOOKUP($B15,Inputs!$B$25:$D$44,3,0)*(VLOOKUP(Financials!$B15,Inputs!$B$3:$D$21,3,0)*(1+Inputs!$L$9)^Financials!JH$3)*JH$8))</f>
        <v>402893.9518666509</v>
      </c>
      <c r="JI15" s="18">
        <f>IF(JI$1&lt;CapEx!$O$7,0,(VLOOKUP($B15,Inputs!$B$25:$D$44,3,0)*(VLOOKUP(Financials!$B15,Inputs!$B$3:$D$21,3,0)*(1+Inputs!$L$9)^Financials!JI$3)*JI$8))</f>
        <v>446804.59626354603</v>
      </c>
      <c r="JJ15" s="18">
        <f>IF(JJ$1&lt;CapEx!$O$7,0,(VLOOKUP($B15,Inputs!$B$25:$D$44,3,0)*(VLOOKUP(Financials!$B15,Inputs!$B$3:$D$21,3,0)*(1+Inputs!$L$9)^Financials!JJ$3)*JJ$8))</f>
        <v>433112.1973457922</v>
      </c>
      <c r="JK15" s="18">
        <f>IF(JK$1&lt;CapEx!$O$7,0,(VLOOKUP($B15,Inputs!$B$25:$D$44,3,0)*(VLOOKUP(Financials!$B15,Inputs!$B$3:$D$21,3,0)*(1+Inputs!$L$9)^Financials!JK$3)*JK$8))</f>
        <v>448295.18604163639</v>
      </c>
      <c r="JL15" s="18">
        <f>IF(JL$1&lt;CapEx!$O$7,0,(VLOOKUP($B15,Inputs!$B$25:$D$44,3,0)*(VLOOKUP(Financials!$B15,Inputs!$B$3:$D$21,3,0)*(1+Inputs!$L$9)^Financials!JL$3)*JL$8))</f>
        <v>434557.10775971529</v>
      </c>
      <c r="JM15" s="18">
        <f>IF(JM$1&lt;CapEx!$O$7,0,(VLOOKUP($B15,Inputs!$B$25:$D$44,3,0)*(VLOOKUP(Financials!$B15,Inputs!$B$3:$D$21,3,0)*(1+Inputs!$L$9)^Financials!JM$3)*JM$8))</f>
        <v>449790.74859284767</v>
      </c>
      <c r="JN15" s="18">
        <f>IF(JN$1&lt;CapEx!$O$7,0,(VLOOKUP($B15,Inputs!$B$25:$D$44,3,0)*(VLOOKUP(Financials!$B15,Inputs!$B$3:$D$21,3,0)*(1+Inputs!$L$9)^Financials!JN$3)*JN$8))</f>
        <v>450540.39984050248</v>
      </c>
      <c r="JO15" s="18">
        <f>IF(JO$1&lt;CapEx!$O$7,0,(VLOOKUP($B15,Inputs!$B$25:$D$44,3,0)*(VLOOKUP(Financials!$B15,Inputs!$B$3:$D$21,3,0)*(1+Inputs!$L$9)^Financials!JO$3)*JO$8))</f>
        <v>436733.51661958382</v>
      </c>
      <c r="JP15" s="18">
        <f>IF(JP$1&lt;CapEx!$O$7,0,(VLOOKUP($B15,Inputs!$B$25:$D$44,3,0)*(VLOOKUP(Financials!$B15,Inputs!$B$3:$D$21,3,0)*(1+Inputs!$L$9)^Financials!JP$3)*JP$8))</f>
        <v>452043.45267441485</v>
      </c>
      <c r="JQ15" s="18">
        <f>IF(JQ$1&lt;CapEx!$O$7,0,(VLOOKUP($B15,Inputs!$B$25:$D$44,3,0)*(VLOOKUP(Financials!$B15,Inputs!$B$3:$D$21,3,0)*(1+Inputs!$L$9)^Financials!JQ$3)*JQ$8))</f>
        <v>438190.50815697311</v>
      </c>
      <c r="JR15" s="18">
        <f>IF(JR$1&lt;CapEx!$O$7,0,(VLOOKUP($B15,Inputs!$B$25:$D$44,3,0)*(VLOOKUP(Financials!$B15,Inputs!$B$3:$D$21,3,0)*(1+Inputs!$L$9)^Financials!JR$3)*JR$8))</f>
        <v>453551.51985958708</v>
      </c>
    </row>
    <row r="16" spans="2:280" x14ac:dyDescent="0.2">
      <c r="B16" s="22" t="str">
        <f>Inputs!B5</f>
        <v>Ferrous Metals</v>
      </c>
      <c r="C16" s="18">
        <f>IF(C$1&lt;CapEx!$O$7,0,(VLOOKUP($B16,Inputs!$B$25:$D$44,3,0)*(VLOOKUP(Financials!$B16,Inputs!$B$3:$D$21,3,0)*(1+Inputs!$L$9)^Financials!C$3)*C$8))</f>
        <v>0</v>
      </c>
      <c r="D16" s="18">
        <f>IF(D$1&lt;CapEx!$O$7,0,(VLOOKUP($B16,Inputs!$B$25:$D$44,3,0)*(VLOOKUP(Financials!$B16,Inputs!$B$3:$D$21,3,0)*(1+Inputs!$L$9)^Financials!D$3)*D$8))</f>
        <v>0</v>
      </c>
      <c r="E16" s="18">
        <f>IF(E$1&lt;CapEx!$O$7,0,(VLOOKUP($B16,Inputs!$B$25:$D$44,3,0)*(VLOOKUP(Financials!$B16,Inputs!$B$3:$D$21,3,0)*(1+Inputs!$L$9)^Financials!E$3)*E$8))</f>
        <v>0</v>
      </c>
      <c r="F16" s="18">
        <f>IF(F$1&lt;CapEx!$O$7,0,(VLOOKUP($B16,Inputs!$B$25:$D$44,3,0)*(VLOOKUP(Financials!$B16,Inputs!$B$3:$D$21,3,0)*(1+Inputs!$L$9)^Financials!F$3)*F$8))</f>
        <v>0</v>
      </c>
      <c r="G16" s="18">
        <f>IF(G$1&lt;CapEx!$O$7,0,(VLOOKUP($B16,Inputs!$B$25:$D$44,3,0)*(VLOOKUP(Financials!$B16,Inputs!$B$3:$D$21,3,0)*(1+Inputs!$L$9)^Financials!G$3)*G$8))</f>
        <v>0</v>
      </c>
      <c r="H16" s="18">
        <f>IF(H$1&lt;CapEx!$O$7,0,(VLOOKUP($B16,Inputs!$B$25:$D$44,3,0)*(VLOOKUP(Financials!$B16,Inputs!$B$3:$D$21,3,0)*(1+Inputs!$L$9)^Financials!H$3)*H$8))</f>
        <v>0</v>
      </c>
      <c r="I16" s="18">
        <f>IF(I$1&lt;CapEx!$O$7,0,(VLOOKUP($B16,Inputs!$B$25:$D$44,3,0)*(VLOOKUP(Financials!$B16,Inputs!$B$3:$D$21,3,0)*(1+Inputs!$L$9)^Financials!I$3)*I$8))</f>
        <v>0</v>
      </c>
      <c r="J16" s="18">
        <f>IF(J$1&lt;CapEx!$O$7,0,(VLOOKUP($B16,Inputs!$B$25:$D$44,3,0)*(VLOOKUP(Financials!$B16,Inputs!$B$3:$D$21,3,0)*(1+Inputs!$L$9)^Financials!J$3)*J$8))</f>
        <v>0</v>
      </c>
      <c r="K16" s="18">
        <f>IF(K$1&lt;CapEx!$O$7,0,(VLOOKUP($B16,Inputs!$B$25:$D$44,3,0)*(VLOOKUP(Financials!$B16,Inputs!$B$3:$D$21,3,0)*(1+Inputs!$L$9)^Financials!K$3)*K$8))</f>
        <v>0</v>
      </c>
      <c r="L16" s="18">
        <f>IF(L$1&lt;CapEx!$O$7,0,(VLOOKUP($B16,Inputs!$B$25:$D$44,3,0)*(VLOOKUP(Financials!$B16,Inputs!$B$3:$D$21,3,0)*(1+Inputs!$L$9)^Financials!L$3)*L$8))</f>
        <v>0</v>
      </c>
      <c r="M16" s="18">
        <f>IF(M$1&lt;CapEx!$O$7,0,(VLOOKUP($B16,Inputs!$B$25:$D$44,3,0)*(VLOOKUP(Financials!$B16,Inputs!$B$3:$D$21,3,0)*(1+Inputs!$L$9)^Financials!M$3)*M$8))</f>
        <v>0</v>
      </c>
      <c r="N16" s="18">
        <f>IF(N$1&lt;CapEx!$O$7,0,(VLOOKUP($B16,Inputs!$B$25:$D$44,3,0)*(VLOOKUP(Financials!$B16,Inputs!$B$3:$D$21,3,0)*(1+Inputs!$L$9)^Financials!N$3)*N$8))</f>
        <v>0</v>
      </c>
      <c r="O16" s="18">
        <f>IF(O$1&lt;CapEx!$O$7,0,(VLOOKUP($B16,Inputs!$B$25:$D$44,3,0)*(VLOOKUP(Financials!$B16,Inputs!$B$3:$D$21,3,0)*(1+Inputs!$L$9)^Financials!O$3)*O$8))</f>
        <v>0</v>
      </c>
      <c r="P16" s="18">
        <f>IF(P$1&lt;CapEx!$O$7,0,(VLOOKUP($B16,Inputs!$B$25:$D$44,3,0)*(VLOOKUP(Financials!$B16,Inputs!$B$3:$D$21,3,0)*(1+Inputs!$L$9)^Financials!P$3)*P$8))</f>
        <v>0</v>
      </c>
      <c r="Q16" s="18">
        <f>IF(Q$1&lt;CapEx!$O$7,0,(VLOOKUP($B16,Inputs!$B$25:$D$44,3,0)*(VLOOKUP(Financials!$B16,Inputs!$B$3:$D$21,3,0)*(1+Inputs!$L$9)^Financials!Q$3)*Q$8))</f>
        <v>0</v>
      </c>
      <c r="R16" s="18">
        <f>IF(R$1&lt;CapEx!$O$7,0,(VLOOKUP($B16,Inputs!$B$25:$D$44,3,0)*(VLOOKUP(Financials!$B16,Inputs!$B$3:$D$21,3,0)*(1+Inputs!$L$9)^Financials!R$3)*R$8))</f>
        <v>36828.000000000058</v>
      </c>
      <c r="S16" s="18">
        <f>IF(S$1&lt;CapEx!$O$7,0,(VLOOKUP($B16,Inputs!$B$25:$D$44,3,0)*(VLOOKUP(Financials!$B16,Inputs!$B$3:$D$21,3,0)*(1+Inputs!$L$9)^Financials!S$3)*S$8))</f>
        <v>38119.026000000064</v>
      </c>
      <c r="T16" s="18">
        <f>IF(T$1&lt;CapEx!$O$7,0,(VLOOKUP($B16,Inputs!$B$25:$D$44,3,0)*(VLOOKUP(Financials!$B16,Inputs!$B$3:$D$21,3,0)*(1+Inputs!$L$9)^Financials!T$3)*T$8))</f>
        <v>36950.862300000066</v>
      </c>
      <c r="U16" s="18">
        <f>IF(U$1&lt;CapEx!$O$7,0,(VLOOKUP($B16,Inputs!$B$25:$D$44,3,0)*(VLOOKUP(Financials!$B16,Inputs!$B$3:$D$21,3,0)*(1+Inputs!$L$9)^Financials!U$3)*U$8))</f>
        <v>38246.195306183399</v>
      </c>
      <c r="V16" s="18">
        <f>IF(V$1&lt;CapEx!$O$7,0,(VLOOKUP($B16,Inputs!$B$25:$D$44,3,0)*(VLOOKUP(Financials!$B16,Inputs!$B$3:$D$21,3,0)*(1+Inputs!$L$9)^Financials!V$3)*V$8))</f>
        <v>38309.938965027039</v>
      </c>
      <c r="W16" s="18">
        <f>IF(W$1&lt;CapEx!$O$7,0,(VLOOKUP($B16,Inputs!$B$25:$D$44,3,0)*(VLOOKUP(Financials!$B16,Inputs!$B$3:$D$21,3,0)*(1+Inputs!$L$9)^Financials!W$3)*W$8))</f>
        <v>37135.924706421371</v>
      </c>
      <c r="X16" s="18">
        <f>IF(X$1&lt;CapEx!$O$7,0,(VLOOKUP($B16,Inputs!$B$25:$D$44,3,0)*(VLOOKUP(Financials!$B16,Inputs!$B$3:$D$21,3,0)*(1+Inputs!$L$9)^Financials!X$3)*X$8))</f>
        <v>38437.745178074263</v>
      </c>
      <c r="Y16" s="18">
        <f>IF(Y$1&lt;CapEx!$O$7,0,(VLOOKUP($B16,Inputs!$B$25:$D$44,3,0)*(VLOOKUP(Financials!$B16,Inputs!$B$3:$D$21,3,0)*(1+Inputs!$L$9)^Financials!Y$3)*Y$8))</f>
        <v>37259.814277455858</v>
      </c>
      <c r="Z16" s="18">
        <f>IF(Z$1&lt;CapEx!$O$7,0,(VLOOKUP($B16,Inputs!$B$25:$D$44,3,0)*(VLOOKUP(Financials!$B16,Inputs!$B$3:$D$21,3,0)*(1+Inputs!$L$9)^Financials!Z$3)*Z$8))</f>
        <v>38565.977766848897</v>
      </c>
      <c r="AA16" s="18">
        <f>IF(AA$1&lt;CapEx!$O$7,0,(VLOOKUP($B16,Inputs!$B$25:$D$44,3,0)*(VLOOKUP(Financials!$B16,Inputs!$B$3:$D$21,3,0)*(1+Inputs!$L$9)^Financials!AA$3)*AA$8))</f>
        <v>38630.25439646031</v>
      </c>
      <c r="AB16" s="18">
        <f>IF(AB$1&lt;CapEx!$O$7,0,(VLOOKUP($B16,Inputs!$B$25:$D$44,3,0)*(VLOOKUP(Financials!$B16,Inputs!$B$3:$D$21,3,0)*(1+Inputs!$L$9)^Financials!AB$3)*AB$8))</f>
        <v>34949.995751808296</v>
      </c>
      <c r="AC16" s="18">
        <f>IF(AC$1&lt;CapEx!$O$7,0,(VLOOKUP($B16,Inputs!$B$25:$D$44,3,0)*(VLOOKUP(Financials!$B16,Inputs!$B$3:$D$21,3,0)*(1+Inputs!$L$9)^Financials!AC$3)*AC$8))</f>
        <v>38759.129217377398</v>
      </c>
      <c r="AD16" s="18">
        <f>IF(AD$1&lt;CapEx!$O$7,0,(VLOOKUP($B16,Inputs!$B$25:$D$44,3,0)*(VLOOKUP(Financials!$B16,Inputs!$B$3:$D$21,3,0)*(1+Inputs!$L$9)^Financials!AD$3)*AD$8))</f>
        <v>37571.349451038412</v>
      </c>
      <c r="AE16" s="18">
        <f>IF(AE$1&lt;CapEx!$O$7,0,(VLOOKUP($B16,Inputs!$B$25:$D$44,3,0)*(VLOOKUP(Financials!$B16,Inputs!$B$3:$D$21,3,0)*(1+Inputs!$L$9)^Financials!AE$3)*AE$8))</f>
        <v>38888.433979016489</v>
      </c>
      <c r="AF16" s="18">
        <f>IF(AF$1&lt;CapEx!$O$7,0,(VLOOKUP($B16,Inputs!$B$25:$D$44,3,0)*(VLOOKUP(Financials!$B16,Inputs!$B$3:$D$21,3,0)*(1+Inputs!$L$9)^Financials!AF$3)*AF$8))</f>
        <v>37696.691647401472</v>
      </c>
      <c r="AG16" s="18">
        <f>IF(AG$1&lt;CapEx!$O$7,0,(VLOOKUP($B16,Inputs!$B$25:$D$44,3,0)*(VLOOKUP(Financials!$B16,Inputs!$B$3:$D$21,3,0)*(1+Inputs!$L$9)^Financials!AG$3)*AG$8))</f>
        <v>39018.170115707602</v>
      </c>
      <c r="AH16" s="18">
        <f>IF(AH$1&lt;CapEx!$O$7,0,(VLOOKUP($B16,Inputs!$B$25:$D$44,3,0)*(VLOOKUP(Financials!$B16,Inputs!$B$3:$D$21,3,0)*(1+Inputs!$L$9)^Financials!AH$3)*AH$8))</f>
        <v>39083.200399233792</v>
      </c>
      <c r="AI16" s="18">
        <f>IF(AI$1&lt;CapEx!$O$7,0,(VLOOKUP($B16,Inputs!$B$25:$D$44,3,0)*(VLOOKUP(Financials!$B16,Inputs!$B$3:$D$21,3,0)*(1+Inputs!$L$9)^Financials!AI$3)*AI$8))</f>
        <v>37885.489419257268</v>
      </c>
      <c r="AJ16" s="18">
        <f>IF(AJ$1&lt;CapEx!$O$7,0,(VLOOKUP($B16,Inputs!$B$25:$D$44,3,0)*(VLOOKUP(Financials!$B16,Inputs!$B$3:$D$21,3,0)*(1+Inputs!$L$9)^Financials!AJ$3)*AJ$8))</f>
        <v>39213.586298343456</v>
      </c>
      <c r="AK16" s="18">
        <f>IF(AK$1&lt;CapEx!$O$7,0,(VLOOKUP($B16,Inputs!$B$25:$D$44,3,0)*(VLOOKUP(Financials!$B16,Inputs!$B$3:$D$21,3,0)*(1+Inputs!$L$9)^Financials!AK$3)*AK$8))</f>
        <v>38011.879621458742</v>
      </c>
      <c r="AL16" s="18">
        <f>IF(AL$1&lt;CapEx!$O$7,0,(VLOOKUP($B16,Inputs!$B$25:$D$44,3,0)*(VLOOKUP(Financials!$B16,Inputs!$B$3:$D$21,3,0)*(1+Inputs!$L$9)^Financials!AL$3)*AL$8))</f>
        <v>39344.407179299873</v>
      </c>
      <c r="AM16" s="18">
        <f>IF(AM$1&lt;CapEx!$O$7,0,(VLOOKUP($B16,Inputs!$B$25:$D$44,3,0)*(VLOOKUP(Financials!$B16,Inputs!$B$3:$D$21,3,0)*(1+Inputs!$L$9)^Financials!AM$3)*AM$8))</f>
        <v>39409.981191265382</v>
      </c>
      <c r="AN16" s="18">
        <f>IF(AN$1&lt;CapEx!$O$7,0,(VLOOKUP($B16,Inputs!$B$25:$D$44,3,0)*(VLOOKUP(Financials!$B16,Inputs!$B$3:$D$21,3,0)*(1+Inputs!$L$9)^Financials!AN$3)*AN$8))</f>
        <v>35655.438897129774</v>
      </c>
      <c r="AO16" s="18">
        <f>IF(AO$1&lt;CapEx!$O$7,0,(VLOOKUP($B16,Inputs!$B$25:$D$44,3,0)*(VLOOKUP(Financials!$B16,Inputs!$B$3:$D$21,3,0)*(1+Inputs!$L$9)^Financials!AO$3)*AO$8))</f>
        <v>39541.457267406244</v>
      </c>
      <c r="AP16" s="18">
        <f>IF(AP$1&lt;CapEx!$O$7,0,(VLOOKUP($B16,Inputs!$B$25:$D$44,3,0)*(VLOOKUP(Financials!$B16,Inputs!$B$3:$D$21,3,0)*(1+Inputs!$L$9)^Financials!AP$3)*AP$8))</f>
        <v>38329.702931792199</v>
      </c>
      <c r="AQ16" s="18">
        <f>IF(AQ$1&lt;CapEx!$O$7,0,(VLOOKUP($B16,Inputs!$B$25:$D$44,3,0)*(VLOOKUP(Financials!$B16,Inputs!$B$3:$D$21,3,0)*(1+Inputs!$L$9)^Financials!AQ$3)*AQ$8))</f>
        <v>39673.371962345569</v>
      </c>
      <c r="AR16" s="18">
        <f>IF(AR$1&lt;CapEx!$O$7,0,(VLOOKUP($B16,Inputs!$B$25:$D$44,3,0)*(VLOOKUP(Financials!$B16,Inputs!$B$3:$D$21,3,0)*(1+Inputs!$L$9)^Financials!AR$3)*AR$8))</f>
        <v>38457.575079628528</v>
      </c>
      <c r="AS16" s="18">
        <f>IF(AS$1&lt;CapEx!$O$7,0,(VLOOKUP($B16,Inputs!$B$25:$D$44,3,0)*(VLOOKUP(Financials!$B16,Inputs!$B$3:$D$21,3,0)*(1+Inputs!$L$9)^Financials!AS$3)*AS$8))</f>
        <v>39805.7267393644</v>
      </c>
      <c r="AT16" s="18">
        <f>IF(AT$1&lt;CapEx!$O$7,0,(VLOOKUP($B16,Inputs!$B$25:$D$44,3,0)*(VLOOKUP(Financials!$B16,Inputs!$B$3:$D$21,3,0)*(1+Inputs!$L$9)^Financials!AT$3)*AT$8))</f>
        <v>39872.069617263347</v>
      </c>
      <c r="AU16" s="18">
        <f>IF(AU$1&lt;CapEx!$O$7,0,(VLOOKUP($B16,Inputs!$B$25:$D$44,3,0)*(VLOOKUP(Financials!$B16,Inputs!$B$3:$D$21,3,0)*(1+Inputs!$L$9)^Financials!AU$3)*AU$8))</f>
        <v>38650.183612863344</v>
      </c>
      <c r="AV16" s="18">
        <f>IF(AV$1&lt;CapEx!$O$7,0,(VLOOKUP($B16,Inputs!$B$25:$D$44,3,0)*(VLOOKUP(Financials!$B16,Inputs!$B$3:$D$21,3,0)*(1+Inputs!$L$9)^Financials!AV$3)*AV$8))</f>
        <v>40005.087271736505</v>
      </c>
      <c r="AW16" s="18">
        <f>IF(AW$1&lt;CapEx!$O$7,0,(VLOOKUP($B16,Inputs!$B$25:$D$44,3,0)*(VLOOKUP(Financials!$B16,Inputs!$B$3:$D$21,3,0)*(1+Inputs!$L$9)^Financials!AW$3)*AW$8))</f>
        <v>38779.124919860711</v>
      </c>
      <c r="AX16" s="18">
        <f>IF(AX$1&lt;CapEx!$O$7,0,(VLOOKUP($B16,Inputs!$B$25:$D$44,3,0)*(VLOOKUP(Financials!$B16,Inputs!$B$3:$D$21,3,0)*(1+Inputs!$L$9)^Financials!AX$3)*AX$8))</f>
        <v>40138.548687884722</v>
      </c>
      <c r="AY16" s="18">
        <f>IF(AY$1&lt;CapEx!$O$7,0,(VLOOKUP($B16,Inputs!$B$25:$D$44,3,0)*(VLOOKUP(Financials!$B16,Inputs!$B$3:$D$21,3,0)*(1+Inputs!$L$9)^Financials!AY$3)*AY$8))</f>
        <v>40205.446269031192</v>
      </c>
      <c r="AZ16" s="18">
        <f>IF(AZ$1&lt;CapEx!$O$7,0,(VLOOKUP($B16,Inputs!$B$25:$D$44,3,0)*(VLOOKUP(Financials!$B16,Inputs!$B$3:$D$21,3,0)*(1+Inputs!$L$9)^Financials!AZ$3)*AZ$8))</f>
        <v>37674.232420588422</v>
      </c>
      <c r="BA16" s="18">
        <f>IF(BA$1&lt;CapEx!$O$7,0,(VLOOKUP($B16,Inputs!$B$25:$D$44,3,0)*(VLOOKUP(Financials!$B16,Inputs!$B$3:$D$21,3,0)*(1+Inputs!$L$9)^Financials!BA$3)*BA$8))</f>
        <v>40339.576105056498</v>
      </c>
      <c r="BB16" s="18">
        <f>IF(BB$1&lt;CapEx!$O$7,0,(VLOOKUP($B16,Inputs!$B$25:$D$44,3,0)*(VLOOKUP(Financials!$B16,Inputs!$B$3:$D$21,3,0)*(1+Inputs!$L$9)^Financials!BB$3)*BB$8))</f>
        <v>39103.363288933797</v>
      </c>
      <c r="BC16" s="18">
        <f>IF(BC$1&lt;CapEx!$O$7,0,(VLOOKUP($B16,Inputs!$B$25:$D$44,3,0)*(VLOOKUP(Financials!$B16,Inputs!$B$3:$D$21,3,0)*(1+Inputs!$L$9)^Financials!BC$3)*BC$8))</f>
        <v>40474.153413118089</v>
      </c>
      <c r="BD16" s="18">
        <f>IF(BD$1&lt;CapEx!$O$7,0,(VLOOKUP($B16,Inputs!$B$25:$D$44,3,0)*(VLOOKUP(Financials!$B16,Inputs!$B$3:$D$21,3,0)*(1+Inputs!$L$9)^Financials!BD$3)*BD$8))</f>
        <v>39233.816453683823</v>
      </c>
      <c r="BE16" s="18">
        <f>IF(BE$1&lt;CapEx!$O$7,0,(VLOOKUP($B16,Inputs!$B$25:$D$44,3,0)*(VLOOKUP(Financials!$B16,Inputs!$B$3:$D$21,3,0)*(1+Inputs!$L$9)^Financials!BE$3)*BE$8))</f>
        <v>40609.179686032418</v>
      </c>
      <c r="BF16" s="18">
        <f>IF(BF$1&lt;CapEx!$O$7,0,(VLOOKUP($B16,Inputs!$B$25:$D$44,3,0)*(VLOOKUP(Financials!$B16,Inputs!$B$3:$D$21,3,0)*(1+Inputs!$L$9)^Financials!BF$3)*BF$8))</f>
        <v>40676.861652175816</v>
      </c>
      <c r="BG16" s="18">
        <f>IF(BG$1&lt;CapEx!$O$7,0,(VLOOKUP($B16,Inputs!$B$25:$D$44,3,0)*(VLOOKUP(Financials!$B16,Inputs!$B$3:$D$21,3,0)*(1+Inputs!$L$9)^Financials!BG$3)*BG$8))</f>
        <v>39430.312666060738</v>
      </c>
      <c r="BH16" s="18">
        <f>IF(BH$1&lt;CapEx!$O$7,0,(VLOOKUP($B16,Inputs!$B$25:$D$44,3,0)*(VLOOKUP(Financials!$B16,Inputs!$B$3:$D$21,3,0)*(1+Inputs!$L$9)^Financials!BH$3)*BH$8))</f>
        <v>40812.56418229876</v>
      </c>
      <c r="BI16" s="18">
        <f>IF(BI$1&lt;CapEx!$O$7,0,(VLOOKUP($B16,Inputs!$B$25:$D$44,3,0)*(VLOOKUP(Financials!$B16,Inputs!$B$3:$D$21,3,0)*(1+Inputs!$L$9)^Financials!BI$3)*BI$8))</f>
        <v>39561.856570260585</v>
      </c>
      <c r="BJ16" s="18">
        <f>IF(BJ$1&lt;CapEx!$O$7,0,(VLOOKUP($B16,Inputs!$B$25:$D$44,3,0)*(VLOOKUP(Financials!$B16,Inputs!$B$3:$D$21,3,0)*(1+Inputs!$L$9)^Financials!BJ$3)*BJ$8))</f>
        <v>40948.719431140264</v>
      </c>
      <c r="BK16" s="18">
        <f>IF(BK$1&lt;CapEx!$O$7,0,(VLOOKUP($B16,Inputs!$B$25:$D$44,3,0)*(VLOOKUP(Financials!$B16,Inputs!$B$3:$D$21,3,0)*(1+Inputs!$L$9)^Financials!BK$3)*BK$8))</f>
        <v>41016.967296858842</v>
      </c>
      <c r="BL16" s="18">
        <f>IF(BL$1&lt;CapEx!$O$7,0,(VLOOKUP($B16,Inputs!$B$25:$D$44,3,0)*(VLOOKUP(Financials!$B16,Inputs!$B$3:$D$21,3,0)*(1+Inputs!$L$9)^Financials!BL$3)*BL$8))</f>
        <v>37109.32933717961</v>
      </c>
      <c r="BM16" s="18">
        <f>IF(BM$1&lt;CapEx!$O$7,0,(VLOOKUP($B16,Inputs!$B$25:$D$44,3,0)*(VLOOKUP(Financials!$B16,Inputs!$B$3:$D$21,3,0)*(1+Inputs!$L$9)^Financials!BM$3)*BM$8))</f>
        <v>41153.804457201979</v>
      </c>
      <c r="BN16" s="18">
        <f>IF(BN$1&lt;CapEx!$O$7,0,(VLOOKUP($B16,Inputs!$B$25:$D$44,3,0)*(VLOOKUP(Financials!$B16,Inputs!$B$3:$D$21,3,0)*(1+Inputs!$L$9)^Financials!BN$3)*BN$8))</f>
        <v>39892.639481900638</v>
      </c>
      <c r="BO16" s="18">
        <f>IF(BO$1&lt;CapEx!$O$7,0,(VLOOKUP($B16,Inputs!$B$25:$D$44,3,0)*(VLOOKUP(Financials!$B16,Inputs!$B$3:$D$21,3,0)*(1+Inputs!$L$9)^Financials!BO$3)*BO$8))</f>
        <v>41291.098121516152</v>
      </c>
      <c r="BP16" s="18">
        <f>IF(BP$1&lt;CapEx!$O$7,0,(VLOOKUP($B16,Inputs!$B$25:$D$44,3,0)*(VLOOKUP(Financials!$B16,Inputs!$B$3:$D$21,3,0)*(1+Inputs!$L$9)^Financials!BP$3)*BP$8))</f>
        <v>40025.725759727749</v>
      </c>
      <c r="BQ16" s="18">
        <f>IF(BQ$1&lt;CapEx!$O$7,0,(VLOOKUP($B16,Inputs!$B$25:$D$44,3,0)*(VLOOKUP(Financials!$B16,Inputs!$B$3:$D$21,3,0)*(1+Inputs!$L$9)^Financials!BQ$3)*BQ$8))</f>
        <v>41428.849812749329</v>
      </c>
      <c r="BR16" s="18">
        <f>IF(BR$1&lt;CapEx!$O$7,0,(VLOOKUP($B16,Inputs!$B$25:$D$44,3,0)*(VLOOKUP(Financials!$B16,Inputs!$B$3:$D$21,3,0)*(1+Inputs!$L$9)^Financials!BR$3)*BR$8))</f>
        <v>41497.897895770577</v>
      </c>
      <c r="BS16" s="18">
        <f>IF(BS$1&lt;CapEx!$O$7,0,(VLOOKUP($B16,Inputs!$B$25:$D$44,3,0)*(VLOOKUP(Financials!$B16,Inputs!$B$3:$D$21,3,0)*(1+Inputs!$L$9)^Financials!BS$3)*BS$8))</f>
        <v>40226.188121545354</v>
      </c>
      <c r="BT16" s="18">
        <f>IF(BT$1&lt;CapEx!$O$7,0,(VLOOKUP($B16,Inputs!$B$25:$D$44,3,0)*(VLOOKUP(Financials!$B16,Inputs!$B$3:$D$21,3,0)*(1+Inputs!$L$9)^Financials!BT$3)*BT$8))</f>
        <v>41636.339494028412</v>
      </c>
      <c r="BU16" s="18">
        <f>IF(BU$1&lt;CapEx!$O$7,0,(VLOOKUP($B16,Inputs!$B$25:$D$44,3,0)*(VLOOKUP(Financials!$B16,Inputs!$B$3:$D$21,3,0)*(1+Inputs!$L$9)^Financials!BU$3)*BU$8))</f>
        <v>40360.387154695287</v>
      </c>
      <c r="BV16" s="18">
        <f>IF(BV$1&lt;CapEx!$O$7,0,(VLOOKUP($B16,Inputs!$B$25:$D$44,3,0)*(VLOOKUP(Financials!$B16,Inputs!$B$3:$D$21,3,0)*(1+Inputs!$L$9)^Financials!BV$3)*BV$8))</f>
        <v>41775.242948840452</v>
      </c>
      <c r="BW16" s="18">
        <f>IF(BW$1&lt;CapEx!$O$7,0,(VLOOKUP($B16,Inputs!$B$25:$D$44,3,0)*(VLOOKUP(Financials!$B16,Inputs!$B$3:$D$21,3,0)*(1+Inputs!$L$9)^Financials!BW$3)*BW$8))</f>
        <v>41844.868353755184</v>
      </c>
      <c r="BX16" s="18">
        <f>IF(BX$1&lt;CapEx!$O$7,0,(VLOOKUP($B16,Inputs!$B$25:$D$44,3,0)*(VLOOKUP(Financials!$B16,Inputs!$B$3:$D$21,3,0)*(1+Inputs!$L$9)^Financials!BX$3)*BX$8))</f>
        <v>37858.357239623241</v>
      </c>
      <c r="BY16" s="18">
        <f>IF(BY$1&lt;CapEx!$O$7,0,(VLOOKUP($B16,Inputs!$B$25:$D$44,3,0)*(VLOOKUP(Financials!$B16,Inputs!$B$3:$D$21,3,0)*(1+Inputs!$L$9)^Financials!BY$3)*BY$8))</f>
        <v>41984.467484013134</v>
      </c>
      <c r="BZ16" s="18">
        <f>IF(BZ$1&lt;CapEx!$O$7,0,(VLOOKUP($B16,Inputs!$B$25:$D$44,3,0)*(VLOOKUP(Financials!$B16,Inputs!$B$3:$D$21,3,0)*(1+Inputs!$L$9)^Financials!BZ$3)*BZ$8))</f>
        <v>40697.84670627724</v>
      </c>
      <c r="CA16" s="18">
        <f>IF(CA$1&lt;CapEx!$O$7,0,(VLOOKUP($B16,Inputs!$B$25:$D$44,3,0)*(VLOOKUP(Financials!$B16,Inputs!$B$3:$D$21,3,0)*(1+Inputs!$L$9)^Financials!CA$3)*CA$8))</f>
        <v>42124.532332480645</v>
      </c>
      <c r="CB16" s="18">
        <f>IF(CB$1&lt;CapEx!$O$7,0,(VLOOKUP($B16,Inputs!$B$25:$D$44,3,0)*(VLOOKUP(Financials!$B16,Inputs!$B$3:$D$21,3,0)*(1+Inputs!$L$9)^Financials!CB$3)*CB$8))</f>
        <v>40833.619244872367</v>
      </c>
      <c r="CC16" s="18">
        <f>IF(CC$1&lt;CapEx!$O$7,0,(VLOOKUP($B16,Inputs!$B$25:$D$44,3,0)*(VLOOKUP(Financials!$B16,Inputs!$B$3:$D$21,3,0)*(1+Inputs!$L$9)^Financials!CC$3)*CC$8))</f>
        <v>42265.0644528454</v>
      </c>
      <c r="CD16" s="18">
        <f>IF(CD$1&lt;CapEx!$O$7,0,(VLOOKUP($B16,Inputs!$B$25:$D$44,3,0)*(VLOOKUP(Financials!$B16,Inputs!$B$3:$D$21,3,0)*(1+Inputs!$L$9)^Financials!CD$3)*CD$8))</f>
        <v>42335.506226933481</v>
      </c>
      <c r="CE16" s="18">
        <f>IF(CE$1&lt;CapEx!$O$7,0,(VLOOKUP($B16,Inputs!$B$25:$D$44,3,0)*(VLOOKUP(Financials!$B16,Inputs!$B$3:$D$21,3,0)*(1+Inputs!$L$9)^Financials!CE$3)*CE$8))</f>
        <v>41038.127810301645</v>
      </c>
      <c r="CF16" s="18">
        <f>IF(CF$1&lt;CapEx!$O$7,0,(VLOOKUP($B16,Inputs!$B$25:$D$44,3,0)*(VLOOKUP(Financials!$B16,Inputs!$B$3:$D$21,3,0)*(1+Inputs!$L$9)^Financials!CF$3)*CF$8))</f>
        <v>42476.742179651665</v>
      </c>
      <c r="CG16" s="18">
        <f>IF(CG$1&lt;CapEx!$O$7,0,(VLOOKUP($B16,Inputs!$B$25:$D$44,3,0)*(VLOOKUP(Financials!$B16,Inputs!$B$3:$D$21,3,0)*(1+Inputs!$L$9)^Financials!CG$3)*CG$8))</f>
        <v>41175.035564468795</v>
      </c>
      <c r="CH16" s="18">
        <f>IF(CH$1&lt;CapEx!$O$7,0,(VLOOKUP($B16,Inputs!$B$25:$D$44,3,0)*(VLOOKUP(Financials!$B16,Inputs!$B$3:$D$21,3,0)*(1+Inputs!$L$9)^Financials!CH$3)*CH$8))</f>
        <v>42618.44931120101</v>
      </c>
      <c r="CI16" s="18">
        <f>IF(CI$1&lt;CapEx!$O$7,0,(VLOOKUP($B16,Inputs!$B$25:$D$44,3,0)*(VLOOKUP(Financials!$B16,Inputs!$B$3:$D$21,3,0)*(1+Inputs!$L$9)^Financials!CI$3)*CI$8))</f>
        <v>42689.480060053007</v>
      </c>
      <c r="CJ16" s="18">
        <f>IF(CJ$1&lt;CapEx!$O$7,0,(VLOOKUP($B16,Inputs!$B$25:$D$44,3,0)*(VLOOKUP(Financials!$B16,Inputs!$B$3:$D$21,3,0)*(1+Inputs!$L$9)^Financials!CJ$3)*CJ$8))</f>
        <v>38622.503787665162</v>
      </c>
      <c r="CK16" s="18">
        <f>IF(CK$1&lt;CapEx!$O$7,0,(VLOOKUP($B16,Inputs!$B$25:$D$44,3,0)*(VLOOKUP(Financials!$B16,Inputs!$B$3:$D$21,3,0)*(1+Inputs!$L$9)^Financials!CK$3)*CK$8))</f>
        <v>42831.896908808914</v>
      </c>
      <c r="CL16" s="18">
        <f>IF(CL$1&lt;CapEx!$O$7,0,(VLOOKUP($B16,Inputs!$B$25:$D$44,3,0)*(VLOOKUP(Financials!$B16,Inputs!$B$3:$D$21,3,0)*(1+Inputs!$L$9)^Financials!CL$3)*CL$8))</f>
        <v>41519.306519668004</v>
      </c>
      <c r="CM16" s="18">
        <f>IF(CM$1&lt;CapEx!$O$7,0,(VLOOKUP($B16,Inputs!$B$25:$D$44,3,0)*(VLOOKUP(Financials!$B16,Inputs!$B$3:$D$21,3,0)*(1+Inputs!$L$9)^Financials!CM$3)*CM$8))</f>
        <v>42974.788875996361</v>
      </c>
      <c r="CN16" s="18">
        <f>IF(CN$1&lt;CapEx!$O$7,0,(VLOOKUP($B16,Inputs!$B$25:$D$44,3,0)*(VLOOKUP(Financials!$B16,Inputs!$B$3:$D$21,3,0)*(1+Inputs!$L$9)^Financials!CN$3)*CN$8))</f>
        <v>41657.819539473894</v>
      </c>
      <c r="CO16" s="18">
        <f>IF(CO$1&lt;CapEx!$O$7,0,(VLOOKUP($B16,Inputs!$B$25:$D$44,3,0)*(VLOOKUP(Financials!$B16,Inputs!$B$3:$D$21,3,0)*(1+Inputs!$L$9)^Financials!CO$3)*CO$8))</f>
        <v>43118.157546663235</v>
      </c>
      <c r="CP16" s="18">
        <f>IF(CP$1&lt;CapEx!$O$7,0,(VLOOKUP($B16,Inputs!$B$25:$D$44,3,0)*(VLOOKUP(Financials!$B16,Inputs!$B$3:$D$21,3,0)*(1+Inputs!$L$9)^Financials!CP$3)*CP$8))</f>
        <v>43190.02114257434</v>
      </c>
      <c r="CQ16" s="18">
        <f>IF(CQ$1&lt;CapEx!$O$7,0,(VLOOKUP($B16,Inputs!$B$25:$D$44,3,0)*(VLOOKUP(Financials!$B16,Inputs!$B$3:$D$21,3,0)*(1+Inputs!$L$9)^Financials!CQ$3)*CQ$8))</f>
        <v>41866.455978527716</v>
      </c>
      <c r="CR16" s="18">
        <f>IF(CR$1&lt;CapEx!$O$7,0,(VLOOKUP($B16,Inputs!$B$25:$D$44,3,0)*(VLOOKUP(Financials!$B16,Inputs!$B$3:$D$21,3,0)*(1+Inputs!$L$9)^Financials!CR$3)*CR$8))</f>
        <v>43334.107851997214</v>
      </c>
      <c r="CS16" s="18">
        <f>IF(CS$1&lt;CapEx!$O$7,0,(VLOOKUP($B16,Inputs!$B$25:$D$44,3,0)*(VLOOKUP(Financials!$B16,Inputs!$B$3:$D$21,3,0)*(1+Inputs!$L$9)^Financials!CS$3)*CS$8))</f>
        <v>42006.127127500527</v>
      </c>
      <c r="CT16" s="18">
        <f>IF(CT$1&lt;CapEx!$O$7,0,(VLOOKUP($B16,Inputs!$B$25:$D$44,3,0)*(VLOOKUP(Financials!$B16,Inputs!$B$3:$D$21,3,0)*(1+Inputs!$L$9)^Financials!CT$3)*CT$8))</f>
        <v>43478.675250692359</v>
      </c>
      <c r="CU16" s="18">
        <f>IF(CU$1&lt;CapEx!$O$7,0,(VLOOKUP($B16,Inputs!$B$25:$D$44,3,0)*(VLOOKUP(Financials!$B16,Inputs!$B$3:$D$21,3,0)*(1+Inputs!$L$9)^Financials!CU$3)*CU$8))</f>
        <v>43551.139709443509</v>
      </c>
      <c r="CV16" s="18">
        <f>IF(CV$1&lt;CapEx!$O$7,0,(VLOOKUP($B16,Inputs!$B$25:$D$44,3,0)*(VLOOKUP(Financials!$B16,Inputs!$B$3:$D$21,3,0)*(1+Inputs!$L$9)^Financials!CV$3)*CV$8))</f>
        <v>39402.074141425561</v>
      </c>
      <c r="CW16" s="18">
        <f>IF(CW$1&lt;CapEx!$O$7,0,(VLOOKUP($B16,Inputs!$B$25:$D$44,3,0)*(VLOOKUP(Financials!$B16,Inputs!$B$3:$D$21,3,0)*(1+Inputs!$L$9)^Financials!CW$3)*CW$8))</f>
        <v>43696.431150529745</v>
      </c>
      <c r="CX16" s="18">
        <f>IF(CX$1&lt;CapEx!$O$7,0,(VLOOKUP($B16,Inputs!$B$25:$D$44,3,0)*(VLOOKUP(Financials!$B16,Inputs!$B$3:$D$21,3,0)*(1+Inputs!$L$9)^Financials!CX$3)*CX$8))</f>
        <v>42357.346970110295</v>
      </c>
      <c r="CY16" s="18">
        <f>IF(CY$1&lt;CapEx!$O$7,0,(VLOOKUP($B16,Inputs!$B$25:$D$44,3,0)*(VLOOKUP(Financials!$B16,Inputs!$B$3:$D$21,3,0)*(1+Inputs!$L$9)^Financials!CY$3)*CY$8))</f>
        <v>43842.20730000695</v>
      </c>
      <c r="CZ16" s="18">
        <f>IF(CZ$1&lt;CapEx!$O$7,0,(VLOOKUP($B16,Inputs!$B$25:$D$44,3,0)*(VLOOKUP(Financials!$B16,Inputs!$B$3:$D$21,3,0)*(1+Inputs!$L$9)^Financials!CZ$3)*CZ$8))</f>
        <v>42498.655785974457</v>
      </c>
      <c r="DA16" s="18">
        <f>IF(DA$1&lt;CapEx!$O$7,0,(VLOOKUP($B16,Inputs!$B$25:$D$44,3,0)*(VLOOKUP(Financials!$B16,Inputs!$B$3:$D$21,3,0)*(1+Inputs!$L$9)^Financials!DA$3)*DA$8))</f>
        <v>43988.469774916142</v>
      </c>
      <c r="DB16" s="18">
        <f>IF(DB$1&lt;CapEx!$O$7,0,(VLOOKUP($B16,Inputs!$B$25:$D$44,3,0)*(VLOOKUP(Financials!$B16,Inputs!$B$3:$D$21,3,0)*(1+Inputs!$L$9)^Financials!DB$3)*DB$8))</f>
        <v>44061.78389120767</v>
      </c>
      <c r="DC16" s="18">
        <f>IF(DC$1&lt;CapEx!$O$7,0,(VLOOKUP($B16,Inputs!$B$25:$D$44,3,0)*(VLOOKUP(Financials!$B16,Inputs!$B$3:$D$21,3,0)*(1+Inputs!$L$9)^Financials!DC$3)*DC$8))</f>
        <v>42711.503417122265</v>
      </c>
      <c r="DD16" s="18">
        <f>IF(DD$1&lt;CapEx!$O$7,0,(VLOOKUP($B16,Inputs!$B$25:$D$44,3,0)*(VLOOKUP(Financials!$B16,Inputs!$B$3:$D$21,3,0)*(1+Inputs!$L$9)^Financials!DD$3)*DD$8))</f>
        <v>44208.778898022501</v>
      </c>
      <c r="DE16" s="18">
        <f>IF(DE$1&lt;CapEx!$O$7,0,(VLOOKUP($B16,Inputs!$B$25:$D$44,3,0)*(VLOOKUP(Financials!$B16,Inputs!$B$3:$D$21,3,0)*(1+Inputs!$L$9)^Financials!DE$3)*DE$8))</f>
        <v>42853.993738244397</v>
      </c>
      <c r="DF16" s="18">
        <f>IF(DF$1&lt;CapEx!$O$7,0,(VLOOKUP($B16,Inputs!$B$25:$D$44,3,0)*(VLOOKUP(Financials!$B16,Inputs!$B$3:$D$21,3,0)*(1+Inputs!$L$9)^Financials!DF$3)*DF$8))</f>
        <v>44356.264296512862</v>
      </c>
      <c r="DG16" s="18">
        <f>IF(DG$1&lt;CapEx!$O$7,0,(VLOOKUP($B16,Inputs!$B$25:$D$44,3,0)*(VLOOKUP(Financials!$B16,Inputs!$B$3:$D$21,3,0)*(1+Inputs!$L$9)^Financials!DG$3)*DG$8))</f>
        <v>44430.191403673722</v>
      </c>
      <c r="DH16" s="18">
        <f>IF(DH$1&lt;CapEx!$O$7,0,(VLOOKUP($B16,Inputs!$B$25:$D$44,3,0)*(VLOOKUP(Financials!$B16,Inputs!$B$3:$D$21,3,0)*(1+Inputs!$L$9)^Financials!DH$3)*DH$8))</f>
        <v>40197.379620485015</v>
      </c>
      <c r="DI16" s="18">
        <f>IF(DI$1&lt;CapEx!$O$7,0,(VLOOKUP($B16,Inputs!$B$25:$D$44,3,0)*(VLOOKUP(Financials!$B16,Inputs!$B$3:$D$21,3,0)*(1+Inputs!$L$9)^Financials!DI$3)*DI$8))</f>
        <v>44578.415458884308</v>
      </c>
      <c r="DJ16" s="18">
        <f>IF(DJ$1&lt;CapEx!$O$7,0,(VLOOKUP($B16,Inputs!$B$25:$D$44,3,0)*(VLOOKUP(Financials!$B16,Inputs!$B$3:$D$21,3,0)*(1+Inputs!$L$9)^Financials!DJ$3)*DJ$8))</f>
        <v>43212.302727079797</v>
      </c>
      <c r="DK16" s="18">
        <f>IF(DK$1&lt;CapEx!$O$7,0,(VLOOKUP($B16,Inputs!$B$25:$D$44,3,0)*(VLOOKUP(Financials!$B16,Inputs!$B$3:$D$21,3,0)*(1+Inputs!$L$9)^Financials!DK$3)*DK$8))</f>
        <v>44727.134006012428</v>
      </c>
      <c r="DL16" s="18">
        <f>IF(DL$1&lt;CapEx!$O$7,0,(VLOOKUP($B16,Inputs!$B$25:$D$44,3,0)*(VLOOKUP(Financials!$B16,Inputs!$B$3:$D$21,3,0)*(1+Inputs!$L$9)^Financials!DL$3)*DL$8))</f>
        <v>43356.463770344308</v>
      </c>
      <c r="DM16" s="18">
        <f>IF(DM$1&lt;CapEx!$O$7,0,(VLOOKUP($B16,Inputs!$B$25:$D$44,3,0)*(VLOOKUP(Financials!$B16,Inputs!$B$3:$D$21,3,0)*(1+Inputs!$L$9)^Financials!DM$3)*DM$8))</f>
        <v>44876.348694738052</v>
      </c>
      <c r="DN16" s="18">
        <f>IF(DN$1&lt;CapEx!$O$7,0,(VLOOKUP($B16,Inputs!$B$25:$D$44,3,0)*(VLOOKUP(Financials!$B16,Inputs!$B$3:$D$21,3,0)*(1+Inputs!$L$9)^Financials!DN$3)*DN$8))</f>
        <v>44951.142609229282</v>
      </c>
      <c r="DO16" s="18">
        <f>IF(DO$1&lt;CapEx!$O$7,0,(VLOOKUP($B16,Inputs!$B$25:$D$44,3,0)*(VLOOKUP(Financials!$B16,Inputs!$B$3:$D$21,3,0)*(1+Inputs!$L$9)^Financials!DO$3)*DO$8))</f>
        <v>43573.607593785164</v>
      </c>
      <c r="DP16" s="18">
        <f>IF(DP$1&lt;CapEx!$O$7,0,(VLOOKUP($B16,Inputs!$B$25:$D$44,3,0)*(VLOOKUP(Financials!$B16,Inputs!$B$3:$D$21,3,0)*(1+Inputs!$L$9)^Financials!DP$3)*DP$8))</f>
        <v>45101.104615545068</v>
      </c>
      <c r="DQ16" s="18">
        <f>IF(DQ$1&lt;CapEx!$O$7,0,(VLOOKUP($B16,Inputs!$B$25:$D$44,3,0)*(VLOOKUP(Financials!$B16,Inputs!$B$3:$D$21,3,0)*(1+Inputs!$L$9)^Financials!DQ$3)*DQ$8))</f>
        <v>43718.973990229992</v>
      </c>
      <c r="DR16" s="18">
        <f>IF(DR$1&lt;CapEx!$O$7,0,(VLOOKUP($B16,Inputs!$B$25:$D$44,3,0)*(VLOOKUP(Financials!$B16,Inputs!$B$3:$D$21,3,0)*(1+Inputs!$L$9)^Financials!DR$3)*DR$8))</f>
        <v>45251.566911776397</v>
      </c>
      <c r="DS16" s="18">
        <f>IF(DS$1&lt;CapEx!$O$7,0,(VLOOKUP($B16,Inputs!$B$25:$D$44,3,0)*(VLOOKUP(Financials!$B16,Inputs!$B$3:$D$21,3,0)*(1+Inputs!$L$9)^Financials!DS$3)*DS$8))</f>
        <v>45326.986189962685</v>
      </c>
      <c r="DT16" s="18">
        <f>IF(DT$1&lt;CapEx!$O$7,0,(VLOOKUP($B16,Inputs!$B$25:$D$44,3,0)*(VLOOKUP(Financials!$B16,Inputs!$B$3:$D$21,3,0)*(1+Inputs!$L$9)^Financials!DT$3)*DT$8))</f>
        <v>41008.737828209247</v>
      </c>
      <c r="DU16" s="18">
        <f>IF(DU$1&lt;CapEx!$O$7,0,(VLOOKUP($B16,Inputs!$B$25:$D$44,3,0)*(VLOOKUP(Financials!$B16,Inputs!$B$3:$D$21,3,0)*(1+Inputs!$L$9)^Financials!DU$3)*DU$8))</f>
        <v>45478.202052224202</v>
      </c>
      <c r="DV16" s="18">
        <f>IF(DV$1&lt;CapEx!$O$7,0,(VLOOKUP($B16,Inputs!$B$25:$D$44,3,0)*(VLOOKUP(Financials!$B16,Inputs!$B$3:$D$21,3,0)*(1+Inputs!$L$9)^Financials!DV$3)*DV$8))</f>
        <v>44084.515215139909</v>
      </c>
      <c r="DW16" s="18">
        <f>IF(DW$1&lt;CapEx!$O$7,0,(VLOOKUP($B16,Inputs!$B$25:$D$44,3,0)*(VLOOKUP(Financials!$B16,Inputs!$B$3:$D$21,3,0)*(1+Inputs!$L$9)^Financials!DW$3)*DW$8))</f>
        <v>45629.922387403996</v>
      </c>
      <c r="DX16" s="18">
        <f>IF(DX$1&lt;CapEx!$O$7,0,(VLOOKUP($B16,Inputs!$B$25:$D$44,3,0)*(VLOOKUP(Financials!$B16,Inputs!$B$3:$D$21,3,0)*(1+Inputs!$L$9)^Financials!DX$3)*DX$8))</f>
        <v>44231.586056177104</v>
      </c>
      <c r="DY16" s="18">
        <f>IF(DY$1&lt;CapEx!$O$7,0,(VLOOKUP($B16,Inputs!$B$25:$D$44,3,0)*(VLOOKUP(Financials!$B16,Inputs!$B$3:$D$21,3,0)*(1+Inputs!$L$9)^Financials!DY$3)*DY$8))</f>
        <v>45782.148878479755</v>
      </c>
      <c r="DZ16" s="18">
        <f>IF(DZ$1&lt;CapEx!$O$7,0,(VLOOKUP($B16,Inputs!$B$25:$D$44,3,0)*(VLOOKUP(Financials!$B16,Inputs!$B$3:$D$21,3,0)*(1+Inputs!$L$9)^Financials!DZ$3)*DZ$8))</f>
        <v>45858.452459943896</v>
      </c>
      <c r="EA16" s="18">
        <f>IF(EA$1&lt;CapEx!$O$7,0,(VLOOKUP($B16,Inputs!$B$25:$D$44,3,0)*(VLOOKUP(Financials!$B16,Inputs!$B$3:$D$21,3,0)*(1+Inputs!$L$9)^Financials!EA$3)*EA$8))</f>
        <v>44453.112787784332</v>
      </c>
      <c r="EB16" s="18">
        <f>IF(EB$1&lt;CapEx!$O$7,0,(VLOOKUP($B16,Inputs!$B$25:$D$44,3,0)*(VLOOKUP(Financials!$B16,Inputs!$B$3:$D$21,3,0)*(1+Inputs!$L$9)^Financials!EB$3)*EB$8))</f>
        <v>46011.441352733869</v>
      </c>
      <c r="EC16" s="18">
        <f>IF(EC$1&lt;CapEx!$O$7,0,(VLOOKUP($B16,Inputs!$B$25:$D$44,3,0)*(VLOOKUP(Financials!$B16,Inputs!$B$3:$D$21,3,0)*(1+Inputs!$L$9)^Financials!EC$3)*EC$8))</f>
        <v>44601.413311279139</v>
      </c>
      <c r="ED16" s="18">
        <f>IF(ED$1&lt;CapEx!$O$7,0,(VLOOKUP($B16,Inputs!$B$25:$D$44,3,0)*(VLOOKUP(Financials!$B16,Inputs!$B$3:$D$21,3,0)*(1+Inputs!$L$9)^Financials!ED$3)*ED$8))</f>
        <v>46164.940633468977</v>
      </c>
      <c r="EE16" s="18">
        <f>IF(EE$1&lt;CapEx!$O$7,0,(VLOOKUP($B16,Inputs!$B$25:$D$44,3,0)*(VLOOKUP(Financials!$B16,Inputs!$B$3:$D$21,3,0)*(1+Inputs!$L$9)^Financials!EE$3)*EE$8))</f>
        <v>46241.882201191431</v>
      </c>
      <c r="EF16" s="18">
        <f>IF(EF$1&lt;CapEx!$O$7,0,(VLOOKUP($B16,Inputs!$B$25:$D$44,3,0)*(VLOOKUP(Financials!$B16,Inputs!$B$3:$D$21,3,0)*(1+Inputs!$L$9)^Financials!EF$3)*EF$8))</f>
        <v>41836.472778583295</v>
      </c>
      <c r="EG16" s="18">
        <f>IF(EG$1&lt;CapEx!$O$7,0,(VLOOKUP($B16,Inputs!$B$25:$D$44,3,0)*(VLOOKUP(Financials!$B16,Inputs!$B$3:$D$21,3,0)*(1+Inputs!$L$9)^Financials!EG$3)*EG$8))</f>
        <v>46396.150258201524</v>
      </c>
      <c r="EH16" s="18">
        <f>IF(EH$1&lt;CapEx!$O$7,0,(VLOOKUP($B16,Inputs!$B$25:$D$44,3,0)*(VLOOKUP(Financials!$B16,Inputs!$B$3:$D$21,3,0)*(1+Inputs!$L$9)^Financials!EH$3)*EH$8))</f>
        <v>44974.332750288901</v>
      </c>
      <c r="EI16" s="18">
        <f>IF(EI$1&lt;CapEx!$O$7,0,(VLOOKUP($B16,Inputs!$B$25:$D$44,3,0)*(VLOOKUP(Financials!$B16,Inputs!$B$3:$D$21,3,0)*(1+Inputs!$L$9)^Financials!EI$3)*EI$8))</f>
        <v>46550.932970590693</v>
      </c>
      <c r="EJ16" s="18">
        <f>IF(EJ$1&lt;CapEx!$O$7,0,(VLOOKUP($B16,Inputs!$B$25:$D$44,3,0)*(VLOOKUP(Financials!$B16,Inputs!$B$3:$D$21,3,0)*(1+Inputs!$L$9)^Financials!EJ$3)*EJ$8))</f>
        <v>45124.37212149195</v>
      </c>
      <c r="EK16" s="18">
        <f>IF(EK$1&lt;CapEx!$O$7,0,(VLOOKUP($B16,Inputs!$B$25:$D$44,3,0)*(VLOOKUP(Financials!$B16,Inputs!$B$3:$D$21,3,0)*(1+Inputs!$L$9)^Financials!EK$3)*EK$8))</f>
        <v>46706.232055306486</v>
      </c>
      <c r="EL16" s="18">
        <f>IF(EL$1&lt;CapEx!$O$7,0,(VLOOKUP($B16,Inputs!$B$25:$D$44,3,0)*(VLOOKUP(Financials!$B16,Inputs!$B$3:$D$21,3,0)*(1+Inputs!$L$9)^Financials!EL$3)*EL$8))</f>
        <v>46784.075775398647</v>
      </c>
      <c r="EM16" s="18">
        <f>IF(EM$1&lt;CapEx!$O$7,0,(VLOOKUP($B16,Inputs!$B$25:$D$44,3,0)*(VLOOKUP(Financials!$B16,Inputs!$B$3:$D$21,3,0)*(1+Inputs!$L$9)^Financials!EM$3)*EM$8))</f>
        <v>45350.370227442894</v>
      </c>
      <c r="EN16" s="18">
        <f>IF(EN$1&lt;CapEx!$O$7,0,(VLOOKUP($B16,Inputs!$B$25:$D$44,3,0)*(VLOOKUP(Financials!$B16,Inputs!$B$3:$D$21,3,0)*(1+Inputs!$L$9)^Financials!EN$3)*EN$8))</f>
        <v>46940.152650416036</v>
      </c>
      <c r="EO16" s="18">
        <f>IF(EO$1&lt;CapEx!$O$7,0,(VLOOKUP($B16,Inputs!$B$25:$D$44,3,0)*(VLOOKUP(Financials!$B16,Inputs!$B$3:$D$21,3,0)*(1+Inputs!$L$9)^Financials!EO$3)*EO$8))</f>
        <v>45501.664101451686</v>
      </c>
      <c r="EP16" s="18">
        <f>IF(EP$1&lt;CapEx!$O$7,0,(VLOOKUP($B16,Inputs!$B$25:$D$44,3,0)*(VLOOKUP(Financials!$B16,Inputs!$B$3:$D$21,3,0)*(1+Inputs!$L$9)^Financials!EP$3)*EP$8))</f>
        <v>47096.75021523035</v>
      </c>
      <c r="EQ16" s="18">
        <f>IF(EQ$1&lt;CapEx!$O$7,0,(VLOOKUP($B16,Inputs!$B$25:$D$44,3,0)*(VLOOKUP(Financials!$B16,Inputs!$B$3:$D$21,3,0)*(1+Inputs!$L$9)^Financials!EQ$3)*EQ$8))</f>
        <v>47175.244798922402</v>
      </c>
      <c r="ER16" s="18">
        <f>IF(ER$1&lt;CapEx!$O$7,0,(VLOOKUP($B16,Inputs!$B$25:$D$44,3,0)*(VLOOKUP(Financials!$B16,Inputs!$B$3:$D$21,3,0)*(1+Inputs!$L$9)^Financials!ER$3)*ER$8))</f>
        <v>42680.915025605711</v>
      </c>
      <c r="ES16" s="18">
        <f>IF(ES$1&lt;CapEx!$O$7,0,(VLOOKUP($B16,Inputs!$B$25:$D$44,3,0)*(VLOOKUP(Financials!$B16,Inputs!$B$3:$D$21,3,0)*(1+Inputs!$L$9)^Financials!ES$3)*ES$8))</f>
        <v>47332.626657265479</v>
      </c>
      <c r="ET16" s="18">
        <f>IF(ET$1&lt;CapEx!$O$7,0,(VLOOKUP($B16,Inputs!$B$25:$D$44,3,0)*(VLOOKUP(Financials!$B16,Inputs!$B$3:$D$21,3,0)*(1+Inputs!$L$9)^Financials!ET$3)*ET$8))</f>
        <v>45882.110679058969</v>
      </c>
      <c r="EU16" s="18">
        <f>IF(EU$1&lt;CapEx!$O$7,0,(VLOOKUP($B16,Inputs!$B$25:$D$44,3,0)*(VLOOKUP(Financials!$B16,Inputs!$B$3:$D$21,3,0)*(1+Inputs!$L$9)^Financials!EU$3)*EU$8))</f>
        <v>47490.533558974857</v>
      </c>
      <c r="EV16" s="18">
        <f>IF(EV$1&lt;CapEx!$O$7,0,(VLOOKUP($B16,Inputs!$B$25:$D$44,3,0)*(VLOOKUP(Financials!$B16,Inputs!$B$3:$D$21,3,0)*(1+Inputs!$L$9)^Financials!EV$3)*EV$8))</f>
        <v>46035.178498296606</v>
      </c>
      <c r="EW16" s="18">
        <f>IF(EW$1&lt;CapEx!$O$7,0,(VLOOKUP($B16,Inputs!$B$25:$D$44,3,0)*(VLOOKUP(Financials!$B16,Inputs!$B$3:$D$21,3,0)*(1+Inputs!$L$9)^Financials!EW$3)*EW$8))</f>
        <v>47648.967255653559</v>
      </c>
      <c r="EX16" s="18">
        <f>IF(EX$1&lt;CapEx!$O$7,0,(VLOOKUP($B16,Inputs!$B$25:$D$44,3,0)*(VLOOKUP(Financials!$B16,Inputs!$B$3:$D$21,3,0)*(1+Inputs!$L$9)^Financials!EX$3)*EX$8))</f>
        <v>47728.38220107965</v>
      </c>
      <c r="EY16" s="18">
        <f>IF(EY$1&lt;CapEx!$O$7,0,(VLOOKUP($B16,Inputs!$B$25:$D$44,3,0)*(VLOOKUP(Financials!$B16,Inputs!$B$3:$D$21,3,0)*(1+Inputs!$L$9)^Financials!EY$3)*EY$8))</f>
        <v>46265.738230401403</v>
      </c>
      <c r="EZ16" s="18">
        <f>IF(EZ$1&lt;CapEx!$O$7,0,(VLOOKUP($B16,Inputs!$B$25:$D$44,3,0)*(VLOOKUP(Financials!$B16,Inputs!$B$3:$D$21,3,0)*(1+Inputs!$L$9)^Financials!EZ$3)*EZ$8))</f>
        <v>47887.609387256038</v>
      </c>
      <c r="FA16" s="18">
        <f>IF(FA$1&lt;CapEx!$O$7,0,(VLOOKUP($B16,Inputs!$B$25:$D$44,3,0)*(VLOOKUP(Financials!$B16,Inputs!$B$3:$D$21,3,0)*(1+Inputs!$L$9)^Financials!FA$3)*FA$8))</f>
        <v>46420.085873775621</v>
      </c>
      <c r="FB16" s="18">
        <f>IF(FB$1&lt;CapEx!$O$7,0,(VLOOKUP($B16,Inputs!$B$25:$D$44,3,0)*(VLOOKUP(Financials!$B16,Inputs!$B$3:$D$21,3,0)*(1+Inputs!$L$9)^Financials!FB$3)*FB$8))</f>
        <v>48047.367773017417</v>
      </c>
      <c r="FC16" s="18">
        <f>IF(FC$1&lt;CapEx!$O$7,0,(VLOOKUP($B16,Inputs!$B$25:$D$44,3,0)*(VLOOKUP(Financials!$B16,Inputs!$B$3:$D$21,3,0)*(1+Inputs!$L$9)^Financials!FC$3)*FC$8))</f>
        <v>48127.446719305779</v>
      </c>
      <c r="FD16" s="18">
        <f>IF(FD$1&lt;CapEx!$O$7,0,(VLOOKUP($B16,Inputs!$B$25:$D$44,3,0)*(VLOOKUP(Financials!$B16,Inputs!$B$3:$D$21,3,0)*(1+Inputs!$L$9)^Financials!FD$3)*FD$8))</f>
        <v>43542.401795294514</v>
      </c>
      <c r="FE16" s="18">
        <f>IF(FE$1&lt;CapEx!$O$7,0,(VLOOKUP($B16,Inputs!$B$25:$D$44,3,0)*(VLOOKUP(Financials!$B16,Inputs!$B$3:$D$21,3,0)*(1+Inputs!$L$9)^Financials!FE$3)*FE$8))</f>
        <v>48288.005229055474</v>
      </c>
      <c r="FF16" s="18">
        <f>IF(FF$1&lt;CapEx!$O$7,0,(VLOOKUP($B16,Inputs!$B$25:$D$44,3,0)*(VLOOKUP(Financials!$B16,Inputs!$B$3:$D$21,3,0)*(1+Inputs!$L$9)^Financials!FF$3)*FF$8))</f>
        <v>46808.211520423138</v>
      </c>
      <c r="FG16" s="18">
        <f>IF(FG$1&lt;CapEx!$O$7,0,(VLOOKUP($B16,Inputs!$B$25:$D$44,3,0)*(VLOOKUP(Financials!$B16,Inputs!$B$3:$D$21,3,0)*(1+Inputs!$L$9)^Financials!FG$3)*FG$8))</f>
        <v>48449.099379833533</v>
      </c>
      <c r="FH16" s="18">
        <f>IF(FH$1&lt;CapEx!$O$7,0,(VLOOKUP($B16,Inputs!$B$25:$D$44,3,0)*(VLOOKUP(Financials!$B16,Inputs!$B$3:$D$21,3,0)*(1+Inputs!$L$9)^Financials!FH$3)*FH$8))</f>
        <v>46964.368914967665</v>
      </c>
      <c r="FI16" s="18">
        <f>IF(FI$1&lt;CapEx!$O$7,0,(VLOOKUP($B16,Inputs!$B$25:$D$44,3,0)*(VLOOKUP(Financials!$B16,Inputs!$B$3:$D$21,3,0)*(1+Inputs!$L$9)^Financials!FI$3)*FI$8))</f>
        <v>48610.730958597924</v>
      </c>
      <c r="FJ16" s="18">
        <f>IF(FJ$1&lt;CapEx!$O$7,0,(VLOOKUP($B16,Inputs!$B$25:$D$44,3,0)*(VLOOKUP(Financials!$B16,Inputs!$B$3:$D$21,3,0)*(1+Inputs!$L$9)^Financials!FJ$3)*FJ$8))</f>
        <v>48691.74884352892</v>
      </c>
      <c r="FK16" s="18">
        <f>IF(FK$1&lt;CapEx!$O$7,0,(VLOOKUP($B16,Inputs!$B$25:$D$44,3,0)*(VLOOKUP(Financials!$B16,Inputs!$B$3:$D$21,3,0)*(1+Inputs!$L$9)^Financials!FK$3)*FK$8))</f>
        <v>47199.582346711104</v>
      </c>
      <c r="FL16" s="18">
        <f>IF(FL$1&lt;CapEx!$O$7,0,(VLOOKUP($B16,Inputs!$B$25:$D$44,3,0)*(VLOOKUP(Financials!$B16,Inputs!$B$3:$D$21,3,0)*(1+Inputs!$L$9)^Financials!FL$3)*FL$8))</f>
        <v>48854.189927865249</v>
      </c>
      <c r="FM16" s="18">
        <f>IF(FM$1&lt;CapEx!$O$7,0,(VLOOKUP($B16,Inputs!$B$25:$D$44,3,0)*(VLOOKUP(Financials!$B16,Inputs!$B$3:$D$21,3,0)*(1+Inputs!$L$9)^Financials!FM$3)*FM$8))</f>
        <v>47357.045397817768</v>
      </c>
      <c r="FN16" s="18">
        <f>IF(FN$1&lt;CapEx!$O$7,0,(VLOOKUP($B16,Inputs!$B$25:$D$44,3,0)*(VLOOKUP(Financials!$B16,Inputs!$B$3:$D$21,3,0)*(1+Inputs!$L$9)^Financials!FN$3)*FN$8))</f>
        <v>49017.172933707952</v>
      </c>
      <c r="FO16" s="18">
        <f>IF(FO$1&lt;CapEx!$O$7,0,(VLOOKUP($B16,Inputs!$B$25:$D$44,3,0)*(VLOOKUP(Financials!$B16,Inputs!$B$3:$D$21,3,0)*(1+Inputs!$L$9)^Financials!FO$3)*FO$8))</f>
        <v>49098.868221930796</v>
      </c>
      <c r="FP16" s="18">
        <f>IF(FP$1&lt;CapEx!$O$7,0,(VLOOKUP($B16,Inputs!$B$25:$D$44,3,0)*(VLOOKUP(Financials!$B16,Inputs!$B$3:$D$21,3,0)*(1+Inputs!$L$9)^Financials!FP$3)*FP$8))</f>
        <v>44421.277120357605</v>
      </c>
      <c r="FQ16" s="18">
        <f>IF(FQ$1&lt;CapEx!$O$7,0,(VLOOKUP($B16,Inputs!$B$25:$D$44,3,0)*(VLOOKUP(Financials!$B16,Inputs!$B$3:$D$21,3,0)*(1+Inputs!$L$9)^Financials!FQ$3)*FQ$8))</f>
        <v>49262.667501748969</v>
      </c>
      <c r="FR16" s="18">
        <f>IF(FR$1&lt;CapEx!$O$7,0,(VLOOKUP($B16,Inputs!$B$25:$D$44,3,0)*(VLOOKUP(Financials!$B16,Inputs!$B$3:$D$21,3,0)*(1+Inputs!$L$9)^Financials!FR$3)*FR$8))</f>
        <v>47753.005110566344</v>
      </c>
      <c r="FS16" s="18">
        <f>IF(FS$1&lt;CapEx!$O$7,0,(VLOOKUP($B16,Inputs!$B$25:$D$44,3,0)*(VLOOKUP(Financials!$B16,Inputs!$B$3:$D$21,3,0)*(1+Inputs!$L$9)^Financials!FS$3)*FS$8))</f>
        <v>49427.013234164529</v>
      </c>
      <c r="FT16" s="18">
        <f>IF(FT$1&lt;CapEx!$O$7,0,(VLOOKUP($B16,Inputs!$B$25:$D$44,3,0)*(VLOOKUP(Financials!$B16,Inputs!$B$3:$D$21,3,0)*(1+Inputs!$L$9)^Financials!FT$3)*FT$8))</f>
        <v>47912.314441504648</v>
      </c>
      <c r="FU16" s="18">
        <f>IF(FU$1&lt;CapEx!$O$7,0,(VLOOKUP($B16,Inputs!$B$25:$D$44,3,0)*(VLOOKUP(Financials!$B16,Inputs!$B$3:$D$21,3,0)*(1+Inputs!$L$9)^Financials!FU$3)*FU$8))</f>
        <v>49591.90724220407</v>
      </c>
      <c r="FV16" s="18">
        <f>IF(FV$1&lt;CapEx!$O$7,0,(VLOOKUP($B16,Inputs!$B$25:$D$44,3,0)*(VLOOKUP(Financials!$B16,Inputs!$B$3:$D$21,3,0)*(1+Inputs!$L$9)^Financials!FV$3)*FV$8))</f>
        <v>49674.560420941081</v>
      </c>
      <c r="FW16" s="18">
        <f>IF(FW$1&lt;CapEx!$O$7,0,(VLOOKUP($B16,Inputs!$B$25:$D$44,3,0)*(VLOOKUP(Financials!$B16,Inputs!$B$3:$D$21,3,0)*(1+Inputs!$L$9)^Financials!FW$3)*FW$8))</f>
        <v>48152.275504815472</v>
      </c>
      <c r="FX16" s="18">
        <f>IF(FX$1&lt;CapEx!$O$7,0,(VLOOKUP($B16,Inputs!$B$25:$D$44,3,0)*(VLOOKUP(Financials!$B16,Inputs!$B$3:$D$21,3,0)*(1+Inputs!$L$9)^Financials!FX$3)*FX$8))</f>
        <v>49840.280273900949</v>
      </c>
      <c r="FY16" s="18">
        <f>IF(FY$1&lt;CapEx!$O$7,0,(VLOOKUP($B16,Inputs!$B$25:$D$44,3,0)*(VLOOKUP(Financials!$B16,Inputs!$B$3:$D$21,3,0)*(1+Inputs!$L$9)^Financials!FY$3)*FY$8))</f>
        <v>48312.91684615238</v>
      </c>
      <c r="FZ16" s="18">
        <f>IF(FZ$1&lt;CapEx!$O$7,0,(VLOOKUP($B16,Inputs!$B$25:$D$44,3,0)*(VLOOKUP(Financials!$B16,Inputs!$B$3:$D$21,3,0)*(1+Inputs!$L$9)^Financials!FZ$3)*FZ$8))</f>
        <v>50006.552986703617</v>
      </c>
      <c r="GA16" s="18">
        <f>IF(GA$1&lt;CapEx!$O$7,0,(VLOOKUP($B16,Inputs!$B$25:$D$44,3,0)*(VLOOKUP(Financials!$B16,Inputs!$B$3:$D$21,3,0)*(1+Inputs!$L$9)^Financials!GA$3)*GA$8))</f>
        <v>50089.897241681458</v>
      </c>
      <c r="GB16" s="18">
        <f>IF(GB$1&lt;CapEx!$O$7,0,(VLOOKUP($B16,Inputs!$B$25:$D$44,3,0)*(VLOOKUP(Financials!$B16,Inputs!$B$3:$D$21,3,0)*(1+Inputs!$L$9)^Financials!GB$3)*GB$8))</f>
        <v>45317.891977581479</v>
      </c>
      <c r="GC16" s="18">
        <f>IF(GC$1&lt;CapEx!$O$7,0,(VLOOKUP($B16,Inputs!$B$25:$D$44,3,0)*(VLOOKUP(Financials!$B16,Inputs!$B$3:$D$21,3,0)*(1+Inputs!$L$9)^Financials!GC$3)*GC$8))</f>
        <v>50257.002704423852</v>
      </c>
      <c r="GD16" s="18">
        <f>IF(GD$1&lt;CapEx!$O$7,0,(VLOOKUP($B16,Inputs!$B$25:$D$44,3,0)*(VLOOKUP(Financials!$B16,Inputs!$B$3:$D$21,3,0)*(1+Inputs!$L$9)^Financials!GD$3)*GD$8))</f>
        <v>48716.868750578622</v>
      </c>
      <c r="GE16" s="18">
        <f>IF(GE$1&lt;CapEx!$O$7,0,(VLOOKUP($B16,Inputs!$B$25:$D$44,3,0)*(VLOOKUP(Financials!$B16,Inputs!$B$3:$D$21,3,0)*(1+Inputs!$L$9)^Financials!GE$3)*GE$8))</f>
        <v>50424.665649557224</v>
      </c>
      <c r="GF16" s="18">
        <f>IF(GF$1&lt;CapEx!$O$7,0,(VLOOKUP($B16,Inputs!$B$25:$D$44,3,0)*(VLOOKUP(Financials!$B16,Inputs!$B$3:$D$21,3,0)*(1+Inputs!$L$9)^Financials!GF$3)*GF$8))</f>
        <v>48879.393637715963</v>
      </c>
      <c r="GG16" s="18">
        <f>IF(GG$1&lt;CapEx!$O$7,0,(VLOOKUP($B16,Inputs!$B$25:$D$44,3,0)*(VLOOKUP(Financials!$B16,Inputs!$B$3:$D$21,3,0)*(1+Inputs!$L$9)^Financials!GG$3)*GG$8))</f>
        <v>50592.887936904786</v>
      </c>
      <c r="GH16" s="18">
        <f>IF(GH$1&lt;CapEx!$O$7,0,(VLOOKUP($B16,Inputs!$B$25:$D$44,3,0)*(VLOOKUP(Financials!$B16,Inputs!$B$3:$D$21,3,0)*(1+Inputs!$L$9)^Financials!GH$3)*GH$8))</f>
        <v>50677.209416799626</v>
      </c>
      <c r="GI16" s="18">
        <f>IF(GI$1&lt;CapEx!$O$7,0,(VLOOKUP($B16,Inputs!$B$25:$D$44,3,0)*(VLOOKUP(Financials!$B16,Inputs!$B$3:$D$21,3,0)*(1+Inputs!$L$9)^Financials!GI$3)*GI$8))</f>
        <v>49124.198160478358</v>
      </c>
      <c r="GJ16" s="18">
        <f>IF(GJ$1&lt;CapEx!$O$7,0,(VLOOKUP($B16,Inputs!$B$25:$D$44,3,0)*(VLOOKUP(Financials!$B16,Inputs!$B$3:$D$21,3,0)*(1+Inputs!$L$9)^Financials!GJ$3)*GJ$8))</f>
        <v>50846.27421821512</v>
      </c>
      <c r="GK16" s="18">
        <f>IF(GK$1&lt;CapEx!$O$7,0,(VLOOKUP($B16,Inputs!$B$25:$D$44,3,0)*(VLOOKUP(Financials!$B16,Inputs!$B$3:$D$21,3,0)*(1+Inputs!$L$9)^Financials!GK$3)*GK$8))</f>
        <v>49288.081943785954</v>
      </c>
      <c r="GL16" s="18">
        <f>IF(GL$1&lt;CapEx!$O$7,0,(VLOOKUP($B16,Inputs!$B$25:$D$44,3,0)*(VLOOKUP(Financials!$B16,Inputs!$B$3:$D$21,3,0)*(1+Inputs!$L$9)^Financials!GL$3)*GL$8))</f>
        <v>51015.903038593126</v>
      </c>
      <c r="GM16" s="18">
        <f>IF(GM$1&lt;CapEx!$O$7,0,(VLOOKUP($B16,Inputs!$B$25:$D$44,3,0)*(VLOOKUP(Financials!$B16,Inputs!$B$3:$D$21,3,0)*(1+Inputs!$L$9)^Financials!GM$3)*GM$8))</f>
        <v>51100.929543657447</v>
      </c>
      <c r="GN16" s="18">
        <f>IF(GN$1&lt;CapEx!$O$7,0,(VLOOKUP($B16,Inputs!$B$25:$D$44,3,0)*(VLOOKUP(Financials!$B16,Inputs!$B$3:$D$21,3,0)*(1+Inputs!$L$9)^Financials!GN$3)*GN$8))</f>
        <v>46232.604427992876</v>
      </c>
      <c r="GO16" s="18">
        <f>IF(GO$1&lt;CapEx!$O$7,0,(VLOOKUP($B16,Inputs!$B$25:$D$44,3,0)*(VLOOKUP(Financials!$B16,Inputs!$B$3:$D$21,3,0)*(1+Inputs!$L$9)^Financials!GO$3)*GO$8))</f>
        <v>51271.407922496161</v>
      </c>
      <c r="GP16" s="18">
        <f>IF(GP$1&lt;CapEx!$O$7,0,(VLOOKUP($B16,Inputs!$B$25:$D$44,3,0)*(VLOOKUP(Financials!$B16,Inputs!$B$3:$D$21,3,0)*(1+Inputs!$L$9)^Financials!GP$3)*GP$8))</f>
        <v>49700.18735712934</v>
      </c>
      <c r="GQ16" s="18">
        <f>IF(GQ$1&lt;CapEx!$O$7,0,(VLOOKUP($B16,Inputs!$B$25:$D$44,3,0)*(VLOOKUP(Financials!$B16,Inputs!$B$3:$D$21,3,0)*(1+Inputs!$L$9)^Financials!GQ$3)*GQ$8))</f>
        <v>51442.455036148713</v>
      </c>
      <c r="GR16" s="18">
        <f>IF(GR$1&lt;CapEx!$O$7,0,(VLOOKUP($B16,Inputs!$B$25:$D$44,3,0)*(VLOOKUP(Financials!$B16,Inputs!$B$3:$D$21,3,0)*(1+Inputs!$L$9)^Financials!GR$3)*GR$8))</f>
        <v>49865.992704395772</v>
      </c>
      <c r="GS16" s="18">
        <f>IF(GS$1&lt;CapEx!$O$7,0,(VLOOKUP($B16,Inputs!$B$25:$D$44,3,0)*(VLOOKUP(Financials!$B16,Inputs!$B$3:$D$21,3,0)*(1+Inputs!$L$9)^Financials!GS$3)*GS$8))</f>
        <v>51614.072781977651</v>
      </c>
      <c r="GT16" s="18">
        <f>IF(GT$1&lt;CapEx!$O$7,0,(VLOOKUP($B16,Inputs!$B$25:$D$44,3,0)*(VLOOKUP(Financials!$B16,Inputs!$B$3:$D$21,3,0)*(1+Inputs!$L$9)^Financials!GT$3)*GT$8))</f>
        <v>51700.096236614292</v>
      </c>
      <c r="GU16" s="18">
        <f>IF(GU$1&lt;CapEx!$O$7,0,(VLOOKUP($B16,Inputs!$B$25:$D$44,3,0)*(VLOOKUP(Financials!$B16,Inputs!$B$3:$D$21,3,0)*(1+Inputs!$L$9)^Financials!GU$3)*GU$8))</f>
        <v>50115.738448718039</v>
      </c>
      <c r="GV16" s="18">
        <f>IF(GV$1&lt;CapEx!$O$7,0,(VLOOKUP($B16,Inputs!$B$25:$D$44,3,0)*(VLOOKUP(Financials!$B16,Inputs!$B$3:$D$21,3,0)*(1+Inputs!$L$9)^Financials!GV$3)*GV$8))</f>
        <v>51872.57350211477</v>
      </c>
      <c r="GW16" s="18">
        <f>IF(GW$1&lt;CapEx!$O$7,0,(VLOOKUP($B16,Inputs!$B$25:$D$44,3,0)*(VLOOKUP(Financials!$B16,Inputs!$B$3:$D$21,3,0)*(1+Inputs!$L$9)^Financials!GW$3)*GW$8))</f>
        <v>50282.930120598343</v>
      </c>
      <c r="GX16" s="18">
        <f>IF(GX$1&lt;CapEx!$O$7,0,(VLOOKUP($B16,Inputs!$B$25:$D$44,3,0)*(VLOOKUP(Financials!$B16,Inputs!$B$3:$D$21,3,0)*(1+Inputs!$L$9)^Financials!GX$3)*GX$8))</f>
        <v>52045.62617093711</v>
      </c>
      <c r="GY16" s="18">
        <f>IF(GY$1&lt;CapEx!$O$7,0,(VLOOKUP($B16,Inputs!$B$25:$D$44,3,0)*(VLOOKUP(Financials!$B16,Inputs!$B$3:$D$21,3,0)*(1+Inputs!$L$9)^Financials!GY$3)*GY$8))</f>
        <v>52132.368881222006</v>
      </c>
      <c r="GZ16" s="18">
        <f>IF(GZ$1&lt;CapEx!$O$7,0,(VLOOKUP($B16,Inputs!$B$25:$D$44,3,0)*(VLOOKUP(Financials!$B16,Inputs!$B$3:$D$21,3,0)*(1+Inputs!$L$9)^Financials!GZ$3)*GZ$8))</f>
        <v>47165.779759849676</v>
      </c>
      <c r="HA16" s="18">
        <f>IF(HA$1&lt;CapEx!$O$7,0,(VLOOKUP($B16,Inputs!$B$25:$D$44,3,0)*(VLOOKUP(Financials!$B16,Inputs!$B$3:$D$21,3,0)*(1+Inputs!$L$9)^Financials!HA$3)*HA$8))</f>
        <v>52306.288256295207</v>
      </c>
      <c r="HB16" s="18">
        <f>IF(HB$1&lt;CapEx!$O$7,0,(VLOOKUP($B16,Inputs!$B$25:$D$44,3,0)*(VLOOKUP(Financials!$B16,Inputs!$B$3:$D$21,3,0)*(1+Inputs!$L$9)^Financials!HB$3)*HB$8))</f>
        <v>50703.353616182947</v>
      </c>
      <c r="HC16" s="18">
        <f>IF(HC$1&lt;CapEx!$O$7,0,(VLOOKUP($B16,Inputs!$B$25:$D$44,3,0)*(VLOOKUP(Financials!$B16,Inputs!$B$3:$D$21,3,0)*(1+Inputs!$L$9)^Financials!HC$3)*HC$8))</f>
        <v>52480.787845728024</v>
      </c>
      <c r="HD16" s="18">
        <f>IF(HD$1&lt;CapEx!$O$7,0,(VLOOKUP($B16,Inputs!$B$25:$D$44,3,0)*(VLOOKUP(Financials!$B16,Inputs!$B$3:$D$21,3,0)*(1+Inputs!$L$9)^Financials!HD$3)*HD$8))</f>
        <v>50872.505637552487</v>
      </c>
      <c r="HE16" s="18">
        <f>IF(HE$1&lt;CapEx!$O$7,0,(VLOOKUP($B16,Inputs!$B$25:$D$44,3,0)*(VLOOKUP(Financials!$B16,Inputs!$B$3:$D$21,3,0)*(1+Inputs!$L$9)^Financials!HE$3)*HE$8))</f>
        <v>52655.869585180029</v>
      </c>
      <c r="HF16" s="18">
        <f>IF(HF$1&lt;CapEx!$O$7,0,(VLOOKUP($B16,Inputs!$B$25:$D$44,3,0)*(VLOOKUP(Financials!$B16,Inputs!$B$3:$D$21,3,0)*(1+Inputs!$L$9)^Financials!HF$3)*HF$8))</f>
        <v>52743.629367821995</v>
      </c>
      <c r="HG16" s="18">
        <f>IF(HG$1&lt;CapEx!$O$7,0,(VLOOKUP($B16,Inputs!$B$25:$D$44,3,0)*(VLOOKUP(Financials!$B16,Inputs!$B$3:$D$21,3,0)*(1+Inputs!$L$9)^Financials!HG$3)*HG$8))</f>
        <v>51127.292338808089</v>
      </c>
      <c r="HH16" s="18">
        <f>IF(HH$1&lt;CapEx!$O$7,0,(VLOOKUP($B16,Inputs!$B$25:$D$44,3,0)*(VLOOKUP(Financials!$B16,Inputs!$B$3:$D$21,3,0)*(1+Inputs!$L$9)^Financials!HH$3)*HH$8))</f>
        <v>52919.587975796312</v>
      </c>
      <c r="HI16" s="18">
        <f>IF(HI$1&lt;CapEx!$O$7,0,(VLOOKUP($B16,Inputs!$B$25:$D$44,3,0)*(VLOOKUP(Financials!$B16,Inputs!$B$3:$D$21,3,0)*(1+Inputs!$L$9)^Financials!HI$3)*HI$8))</f>
        <v>51297.858666860629</v>
      </c>
      <c r="HJ16" s="18">
        <f>IF(HJ$1&lt;CapEx!$O$7,0,(VLOOKUP($B16,Inputs!$B$25:$D$44,3,0)*(VLOOKUP(Financials!$B16,Inputs!$B$3:$D$21,3,0)*(1+Inputs!$L$9)^Financials!HJ$3)*HJ$8))</f>
        <v>53096.133601237809</v>
      </c>
      <c r="HK16" s="18">
        <f>IF(HK$1&lt;CapEx!$O$7,0,(VLOOKUP($B16,Inputs!$B$25:$D$44,3,0)*(VLOOKUP(Financials!$B16,Inputs!$B$3:$D$21,3,0)*(1+Inputs!$L$9)^Financials!HK$3)*HK$8))</f>
        <v>53184.627157239862</v>
      </c>
      <c r="HL16" s="18">
        <f>IF(HL$1&lt;CapEx!$O$7,0,(VLOOKUP($B16,Inputs!$B$25:$D$44,3,0)*(VLOOKUP(Financials!$B16,Inputs!$B$3:$D$21,3,0)*(1+Inputs!$L$9)^Financials!HL$3)*HL$8))</f>
        <v>48117.790634517878</v>
      </c>
      <c r="HM16" s="18">
        <f>IF(HM$1&lt;CapEx!$O$7,0,(VLOOKUP($B16,Inputs!$B$25:$D$44,3,0)*(VLOOKUP(Financials!$B16,Inputs!$B$3:$D$21,3,0)*(1+Inputs!$L$9)^Financials!HM$3)*HM$8))</f>
        <v>53362.056982839444</v>
      </c>
      <c r="HN16" s="18">
        <f>IF(HN$1&lt;CapEx!$O$7,0,(VLOOKUP($B16,Inputs!$B$25:$D$44,3,0)*(VLOOKUP(Financials!$B16,Inputs!$B$3:$D$21,3,0)*(1+Inputs!$L$9)^Financials!HN$3)*HN$8))</f>
        <v>51726.768139816944</v>
      </c>
      <c r="HO16" s="18">
        <f>IF(HO$1&lt;CapEx!$O$7,0,(VLOOKUP($B16,Inputs!$B$25:$D$44,3,0)*(VLOOKUP(Financials!$B16,Inputs!$B$3:$D$21,3,0)*(1+Inputs!$L$9)^Financials!HO$3)*HO$8))</f>
        <v>53540.078734051647</v>
      </c>
      <c r="HP16" s="18">
        <f>IF(HP$1&lt;CapEx!$O$7,0,(VLOOKUP($B16,Inputs!$B$25:$D$44,3,0)*(VLOOKUP(Financials!$B16,Inputs!$B$3:$D$21,3,0)*(1+Inputs!$L$9)^Financials!HP$3)*HP$8))</f>
        <v>51899.334385750066</v>
      </c>
      <c r="HQ16" s="18">
        <f>IF(HQ$1&lt;CapEx!$O$7,0,(VLOOKUP($B16,Inputs!$B$25:$D$44,3,0)*(VLOOKUP(Financials!$B16,Inputs!$B$3:$D$21,3,0)*(1+Inputs!$L$9)^Financials!HQ$3)*HQ$8))</f>
        <v>53718.694385606083</v>
      </c>
      <c r="HR16" s="18">
        <f>IF(HR$1&lt;CapEx!$O$7,0,(VLOOKUP($B16,Inputs!$B$25:$D$44,3,0)*(VLOOKUP(Financials!$B16,Inputs!$B$3:$D$21,3,0)*(1+Inputs!$L$9)^Financials!HR$3)*HR$8))</f>
        <v>53808.225542915439</v>
      </c>
      <c r="HS16" s="18">
        <f>IF(HS$1&lt;CapEx!$O$7,0,(VLOOKUP($B16,Inputs!$B$25:$D$44,3,0)*(VLOOKUP(Financials!$B16,Inputs!$B$3:$D$21,3,0)*(1+Inputs!$L$9)^Financials!HS$3)*HS$8))</f>
        <v>52159.263792406739</v>
      </c>
      <c r="HT16" s="18">
        <f>IF(HT$1&lt;CapEx!$O$7,0,(VLOOKUP($B16,Inputs!$B$25:$D$44,3,0)*(VLOOKUP(Financials!$B16,Inputs!$B$3:$D$21,3,0)*(1+Inputs!$L$9)^Financials!HT$3)*HT$8))</f>
        <v>53987.735762018332</v>
      </c>
      <c r="HU16" s="18">
        <f>IF(HU$1&lt;CapEx!$O$7,0,(VLOOKUP($B16,Inputs!$B$25:$D$44,3,0)*(VLOOKUP(Financials!$B16,Inputs!$B$3:$D$21,3,0)*(1+Inputs!$L$9)^Financials!HU$3)*HU$8))</f>
        <v>52333.272891891967</v>
      </c>
      <c r="HV16" s="18">
        <f>IF(HV$1&lt;CapEx!$O$7,0,(VLOOKUP($B16,Inputs!$B$25:$D$44,3,0)*(VLOOKUP(Financials!$B16,Inputs!$B$3:$D$21,3,0)*(1+Inputs!$L$9)^Financials!HV$3)*HV$8))</f>
        <v>54167.844847157743</v>
      </c>
      <c r="HW16" s="18">
        <f>IF(HW$1&lt;CapEx!$O$7,0,(VLOOKUP($B16,Inputs!$B$25:$D$44,3,0)*(VLOOKUP(Financials!$B16,Inputs!$B$3:$D$21,3,0)*(1+Inputs!$L$9)^Financials!HW$3)*HW$8))</f>
        <v>54258.124588569684</v>
      </c>
      <c r="HX16" s="18">
        <f>IF(HX$1&lt;CapEx!$O$7,0,(VLOOKUP($B16,Inputs!$B$25:$D$44,3,0)*(VLOOKUP(Financials!$B16,Inputs!$B$3:$D$21,3,0)*(1+Inputs!$L$9)^Financials!HX$3)*HX$8))</f>
        <v>49089.017235293039</v>
      </c>
      <c r="HY16" s="18">
        <f>IF(HY$1&lt;CapEx!$O$7,0,(VLOOKUP($B16,Inputs!$B$25:$D$44,3,0)*(VLOOKUP(Financials!$B16,Inputs!$B$3:$D$21,3,0)*(1+Inputs!$L$9)^Financials!HY$3)*HY$8))</f>
        <v>54439.135720877668</v>
      </c>
      <c r="HZ16" s="18">
        <f>IF(HZ$1&lt;CapEx!$O$7,0,(VLOOKUP($B16,Inputs!$B$25:$D$44,3,0)*(VLOOKUP(Financials!$B16,Inputs!$B$3:$D$21,3,0)*(1+Inputs!$L$9)^Financials!HZ$3)*HZ$8))</f>
        <v>52770.839626205619</v>
      </c>
      <c r="IA16" s="18">
        <f>IF(IA$1&lt;CapEx!$O$7,0,(VLOOKUP($B16,Inputs!$B$25:$D$44,3,0)*(VLOOKUP(Financials!$B16,Inputs!$B$3:$D$21,3,0)*(1+Inputs!$L$9)^Financials!IA$3)*IA$8))</f>
        <v>54620.750726435377</v>
      </c>
      <c r="IB16" s="18">
        <f>IF(IB$1&lt;CapEx!$O$7,0,(VLOOKUP($B16,Inputs!$B$25:$D$44,3,0)*(VLOOKUP(Financials!$B16,Inputs!$B$3:$D$21,3,0)*(1+Inputs!$L$9)^Financials!IB$3)*IB$8))</f>
        <v>52946.889010625258</v>
      </c>
      <c r="IC16" s="18">
        <f>IF(IC$1&lt;CapEx!$O$7,0,(VLOOKUP($B16,Inputs!$B$25:$D$44,3,0)*(VLOOKUP(Financials!$B16,Inputs!$B$3:$D$21,3,0)*(1+Inputs!$L$9)^Financials!IC$3)*IC$8))</f>
        <v>54802.971619831071</v>
      </c>
      <c r="ID16" s="18">
        <f>IF(ID$1&lt;CapEx!$O$7,0,(VLOOKUP($B16,Inputs!$B$25:$D$44,3,0)*(VLOOKUP(Financials!$B16,Inputs!$B$3:$D$21,3,0)*(1+Inputs!$L$9)^Financials!ID$3)*ID$8))</f>
        <v>54894.309905864138</v>
      </c>
      <c r="IE16" s="18">
        <f>IF(IE$1&lt;CapEx!$O$7,0,(VLOOKUP($B16,Inputs!$B$25:$D$44,3,0)*(VLOOKUP(Financials!$B16,Inputs!$B$3:$D$21,3,0)*(1+Inputs!$L$9)^Financials!IE$3)*IE$8))</f>
        <v>53212.064924877981</v>
      </c>
      <c r="IF16" s="18">
        <f>IF(IF$1&lt;CapEx!$O$7,0,(VLOOKUP($B16,Inputs!$B$25:$D$44,3,0)*(VLOOKUP(Financials!$B16,Inputs!$B$3:$D$21,3,0)*(1+Inputs!$L$9)^Financials!IF$3)*IF$8))</f>
        <v>55077.443423077864</v>
      </c>
      <c r="IG16" s="18">
        <f>IF(IG$1&lt;CapEx!$O$7,0,(VLOOKUP($B16,Inputs!$B$25:$D$44,3,0)*(VLOOKUP(Financials!$B16,Inputs!$B$3:$D$21,3,0)*(1+Inputs!$L$9)^Financials!IG$3)*IG$8))</f>
        <v>53389.586285919031</v>
      </c>
      <c r="IH16" s="18">
        <f>IF(IH$1&lt;CapEx!$O$7,0,(VLOOKUP($B16,Inputs!$B$25:$D$44,3,0)*(VLOOKUP(Financials!$B16,Inputs!$B$3:$D$21,3,0)*(1+Inputs!$L$9)^Financials!IH$3)*IH$8))</f>
        <v>55261.187894053211</v>
      </c>
      <c r="II16" s="18">
        <f>IF(II$1&lt;CapEx!$O$7,0,(VLOOKUP($B16,Inputs!$B$25:$D$44,3,0)*(VLOOKUP(Financials!$B16,Inputs!$B$3:$D$21,3,0)*(1+Inputs!$L$9)^Financials!II$3)*II$8))</f>
        <v>55353.289873876638</v>
      </c>
      <c r="IJ16" s="18">
        <f>IF(IJ$1&lt;CapEx!$O$7,0,(VLOOKUP($B16,Inputs!$B$25:$D$44,3,0)*(VLOOKUP(Financials!$B16,Inputs!$B$3:$D$21,3,0)*(1+Inputs!$L$9)^Financials!IJ$3)*IJ$8))</f>
        <v>50079.847419225589</v>
      </c>
      <c r="IK16" s="18">
        <f>IF(IK$1&lt;CapEx!$O$7,0,(VLOOKUP($B16,Inputs!$B$25:$D$44,3,0)*(VLOOKUP(Financials!$B16,Inputs!$B$3:$D$21,3,0)*(1+Inputs!$L$9)^Financials!IK$3)*IK$8))</f>
        <v>55537.954599261429</v>
      </c>
      <c r="IL16" s="18">
        <f>IF(IL$1&lt;CapEx!$O$7,0,(VLOOKUP($B16,Inputs!$B$25:$D$44,3,0)*(VLOOKUP(Financials!$B16,Inputs!$B$3:$D$21,3,0)*(1+Inputs!$L$9)^Financials!IL$3)*IL$8))</f>
        <v>53835.985022832458</v>
      </c>
      <c r="IM16" s="18">
        <f>IF(IM$1&lt;CapEx!$O$7,0,(VLOOKUP($B16,Inputs!$B$25:$D$44,3,0)*(VLOOKUP(Financials!$B16,Inputs!$B$3:$D$21,3,0)*(1+Inputs!$L$9)^Financials!IM$3)*IM$8))</f>
        <v>55723.23538668843</v>
      </c>
      <c r="IN16" s="18">
        <f>IF(IN$1&lt;CapEx!$O$7,0,(VLOOKUP($B16,Inputs!$B$25:$D$44,3,0)*(VLOOKUP(Financials!$B16,Inputs!$B$3:$D$21,3,0)*(1+Inputs!$L$9)^Financials!IN$3)*IN$8))</f>
        <v>54015.587850644733</v>
      </c>
      <c r="IO16" s="18">
        <f>IF(IO$1&lt;CapEx!$O$7,0,(VLOOKUP($B16,Inputs!$B$25:$D$44,3,0)*(VLOOKUP(Financials!$B16,Inputs!$B$3:$D$21,3,0)*(1+Inputs!$L$9)^Financials!IO$3)*IO$8))</f>
        <v>55909.134291409027</v>
      </c>
      <c r="IP16" s="18">
        <f>IF(IP$1&lt;CapEx!$O$7,0,(VLOOKUP($B16,Inputs!$B$25:$D$44,3,0)*(VLOOKUP(Financials!$B16,Inputs!$B$3:$D$21,3,0)*(1+Inputs!$L$9)^Financials!IP$3)*IP$8))</f>
        <v>56002.316181894705</v>
      </c>
      <c r="IQ16" s="18">
        <f>IF(IQ$1&lt;CapEx!$O$7,0,(VLOOKUP($B16,Inputs!$B$25:$D$44,3,0)*(VLOOKUP(Financials!$B16,Inputs!$B$3:$D$21,3,0)*(1+Inputs!$L$9)^Financials!IQ$3)*IQ$8))</f>
        <v>54286.116169868896</v>
      </c>
      <c r="IR16" s="18">
        <f>IF(IR$1&lt;CapEx!$O$7,0,(VLOOKUP($B16,Inputs!$B$25:$D$44,3,0)*(VLOOKUP(Financials!$B16,Inputs!$B$3:$D$21,3,0)*(1+Inputs!$L$9)^Financials!IR$3)*IR$8))</f>
        <v>56189.146131157067</v>
      </c>
      <c r="IS16" s="18">
        <f>IF(IS$1&lt;CapEx!$O$7,0,(VLOOKUP($B16,Inputs!$B$25:$D$44,3,0)*(VLOOKUP(Financials!$B16,Inputs!$B$3:$D$21,3,0)*(1+Inputs!$L$9)^Financials!IS$3)*IS$8))</f>
        <v>54467.220685202272</v>
      </c>
      <c r="IT16" s="18">
        <f>IF(IT$1&lt;CapEx!$O$7,0,(VLOOKUP($B16,Inputs!$B$25:$D$44,3,0)*(VLOOKUP(Financials!$B16,Inputs!$B$3:$D$21,3,0)*(1+Inputs!$L$9)^Financials!IT$3)*IT$8))</f>
        <v>56376.599365889087</v>
      </c>
      <c r="IU16" s="18">
        <f>IF(IU$1&lt;CapEx!$O$7,0,(VLOOKUP($B16,Inputs!$B$25:$D$44,3,0)*(VLOOKUP(Financials!$B16,Inputs!$B$3:$D$21,3,0)*(1+Inputs!$L$9)^Financials!IU$3)*IU$8))</f>
        <v>56470.56036483225</v>
      </c>
      <c r="IV16" s="18">
        <f>IF(IV$1&lt;CapEx!$O$7,0,(VLOOKUP($B16,Inputs!$B$25:$D$44,3,0)*(VLOOKUP(Financials!$B16,Inputs!$B$3:$D$21,3,0)*(1+Inputs!$L$9)^Financials!IV$3)*IV$8))</f>
        <v>51090.67687201059</v>
      </c>
      <c r="IW16" s="18">
        <f>IF(IW$1&lt;CapEx!$O$7,0,(VLOOKUP($B16,Inputs!$B$25:$D$44,3,0)*(VLOOKUP(Financials!$B16,Inputs!$B$3:$D$21,3,0)*(1+Inputs!$L$9)^Financials!IW$3)*IW$8))</f>
        <v>56658.952428716031</v>
      </c>
      <c r="IX16" s="18">
        <f>IF(IX$1&lt;CapEx!$O$7,0,(VLOOKUP($B16,Inputs!$B$25:$D$44,3,0)*(VLOOKUP(Financials!$B16,Inputs!$B$3:$D$21,3,0)*(1+Inputs!$L$9)^Financials!IX$3)*IX$8))</f>
        <v>54922.629692997325</v>
      </c>
      <c r="IY16" s="18">
        <f>IF(IY$1&lt;CapEx!$O$7,0,(VLOOKUP($B16,Inputs!$B$25:$D$44,3,0)*(VLOOKUP(Financials!$B16,Inputs!$B$3:$D$21,3,0)*(1+Inputs!$L$9)^Financials!IY$3)*IY$8))</f>
        <v>56847.972989457405</v>
      </c>
      <c r="IZ16" s="18">
        <f>IF(IZ$1&lt;CapEx!$O$7,0,(VLOOKUP($B16,Inputs!$B$25:$D$44,3,0)*(VLOOKUP(Financials!$B16,Inputs!$B$3:$D$21,3,0)*(1+Inputs!$L$9)^Financials!IZ$3)*IZ$8))</f>
        <v>55105.857688167584</v>
      </c>
      <c r="JA16" s="18">
        <f>IF(JA$1&lt;CapEx!$O$7,0,(VLOOKUP($B16,Inputs!$B$25:$D$44,3,0)*(VLOOKUP(Financials!$B16,Inputs!$B$3:$D$21,3,0)*(1+Inputs!$L$9)^Financials!JA$3)*JA$8))</f>
        <v>57037.624143791691</v>
      </c>
      <c r="JB16" s="18">
        <f>IF(JB$1&lt;CapEx!$O$7,0,(VLOOKUP($B16,Inputs!$B$25:$D$44,3,0)*(VLOOKUP(Financials!$B16,Inputs!$B$3:$D$21,3,0)*(1+Inputs!$L$9)^Financials!JB$3)*JB$8))</f>
        <v>57132.686850698003</v>
      </c>
      <c r="JC16" s="18">
        <f>IF(JC$1&lt;CapEx!$O$7,0,(VLOOKUP($B16,Inputs!$B$25:$D$44,3,0)*(VLOOKUP(Financials!$B16,Inputs!$B$3:$D$21,3,0)*(1+Inputs!$L$9)^Financials!JC$3)*JC$8))</f>
        <v>55381.846447208882</v>
      </c>
      <c r="JD16" s="18">
        <f>IF(JD$1&lt;CapEx!$O$7,0,(VLOOKUP($B16,Inputs!$B$25:$D$44,3,0)*(VLOOKUP(Financials!$B16,Inputs!$B$3:$D$21,3,0)*(1+Inputs!$L$9)^Financials!JD$3)*JD$8))</f>
        <v>57323.287842108264</v>
      </c>
      <c r="JE16" s="18">
        <f>IF(JE$1&lt;CapEx!$O$7,0,(VLOOKUP($B16,Inputs!$B$25:$D$44,3,0)*(VLOOKUP(Financials!$B16,Inputs!$B$3:$D$21,3,0)*(1+Inputs!$L$9)^Financials!JE$3)*JE$8))</f>
        <v>55566.606440495256</v>
      </c>
      <c r="JF16" s="18">
        <f>IF(JF$1&lt;CapEx!$O$7,0,(VLOOKUP($B16,Inputs!$B$25:$D$44,3,0)*(VLOOKUP(Financials!$B16,Inputs!$B$3:$D$21,3,0)*(1+Inputs!$L$9)^Financials!JF$3)*JF$8))</f>
        <v>57514.524699603746</v>
      </c>
      <c r="JG16" s="18">
        <f>IF(JG$1&lt;CapEx!$O$7,0,(VLOOKUP($B16,Inputs!$B$25:$D$44,3,0)*(VLOOKUP(Financials!$B16,Inputs!$B$3:$D$21,3,0)*(1+Inputs!$L$9)^Financials!JG$3)*JG$8))</f>
        <v>57610.382240769759</v>
      </c>
      <c r="JH16" s="18">
        <f>IF(JH$1&lt;CapEx!$O$7,0,(VLOOKUP($B16,Inputs!$B$25:$D$44,3,0)*(VLOOKUP(Financials!$B16,Inputs!$B$3:$D$21,3,0)*(1+Inputs!$L$9)^Financials!JH$3)*JH$8))</f>
        <v>52121.909266003953</v>
      </c>
      <c r="JI16" s="18">
        <f>IF(JI$1&lt;CapEx!$O$7,0,(VLOOKUP($B16,Inputs!$B$25:$D$44,3,0)*(VLOOKUP(Financials!$B16,Inputs!$B$3:$D$21,3,0)*(1+Inputs!$L$9)^Financials!JI$3)*JI$8))</f>
        <v>57802.576877078551</v>
      </c>
      <c r="JJ16" s="18">
        <f>IF(JJ$1&lt;CapEx!$O$7,0,(VLOOKUP($B16,Inputs!$B$25:$D$44,3,0)*(VLOOKUP(Financials!$B16,Inputs!$B$3:$D$21,3,0)*(1+Inputs!$L$9)^Financials!JJ$3)*JJ$8))</f>
        <v>56031.207585684206</v>
      </c>
      <c r="JK16" s="18">
        <f>IF(JK$1&lt;CapEx!$O$7,0,(VLOOKUP($B16,Inputs!$B$25:$D$44,3,0)*(VLOOKUP(Financials!$B16,Inputs!$B$3:$D$21,3,0)*(1+Inputs!$L$9)^Financials!JK$3)*JK$8))</f>
        <v>57995.412696049039</v>
      </c>
      <c r="JL16" s="18">
        <f>IF(JL$1&lt;CapEx!$O$7,0,(VLOOKUP($B16,Inputs!$B$25:$D$44,3,0)*(VLOOKUP(Financials!$B16,Inputs!$B$3:$D$21,3,0)*(1+Inputs!$L$9)^Financials!JL$3)*JL$8))</f>
        <v>56218.133919879794</v>
      </c>
      <c r="JM16" s="18">
        <f>IF(JM$1&lt;CapEx!$O$7,0,(VLOOKUP($B16,Inputs!$B$25:$D$44,3,0)*(VLOOKUP(Financials!$B16,Inputs!$B$3:$D$21,3,0)*(1+Inputs!$L$9)^Financials!JM$3)*JM$8))</f>
        <v>58188.891836737814</v>
      </c>
      <c r="JN16" s="18">
        <f>IF(JN$1&lt;CapEx!$O$7,0,(VLOOKUP($B16,Inputs!$B$25:$D$44,3,0)*(VLOOKUP(Financials!$B16,Inputs!$B$3:$D$21,3,0)*(1+Inputs!$L$9)^Financials!JN$3)*JN$8))</f>
        <v>58285.873323132393</v>
      </c>
      <c r="JO16" s="18">
        <f>IF(JO$1&lt;CapEx!$O$7,0,(VLOOKUP($B16,Inputs!$B$25:$D$44,3,0)*(VLOOKUP(Financials!$B16,Inputs!$B$3:$D$21,3,0)*(1+Inputs!$L$9)^Financials!JO$3)*JO$8))</f>
        <v>56499.693334197684</v>
      </c>
      <c r="JP16" s="18">
        <f>IF(JP$1&lt;CapEx!$O$7,0,(VLOOKUP($B16,Inputs!$B$25:$D$44,3,0)*(VLOOKUP(Financials!$B16,Inputs!$B$3:$D$21,3,0)*(1+Inputs!$L$9)^Financials!JP$3)*JP$8))</f>
        <v>58480.321472746509</v>
      </c>
      <c r="JQ16" s="18">
        <f>IF(JQ$1&lt;CapEx!$O$7,0,(VLOOKUP($B16,Inputs!$B$25:$D$44,3,0)*(VLOOKUP(Financials!$B16,Inputs!$B$3:$D$21,3,0)*(1+Inputs!$L$9)^Financials!JQ$3)*JQ$8))</f>
        <v>56688.182588904274</v>
      </c>
      <c r="JR16" s="18">
        <f>IF(JR$1&lt;CapEx!$O$7,0,(VLOOKUP($B16,Inputs!$B$25:$D$44,3,0)*(VLOOKUP(Financials!$B16,Inputs!$B$3:$D$21,3,0)*(1+Inputs!$L$9)^Financials!JR$3)*JR$8))</f>
        <v>58675.418322993093</v>
      </c>
    </row>
    <row r="17" spans="2:278" x14ac:dyDescent="0.2">
      <c r="B17" s="22" t="str">
        <f>Inputs!B6</f>
        <v>Non-Ferrous Metals</v>
      </c>
      <c r="C17" s="18">
        <f>IF(C$1&lt;CapEx!$O$7,0,(VLOOKUP($B17,Inputs!$B$25:$D$44,3,0)*(VLOOKUP(Financials!$B17,Inputs!$B$3:$D$21,3,0)*(1+Inputs!$L$9)^Financials!C$3)*C$8))</f>
        <v>0</v>
      </c>
      <c r="D17" s="18">
        <f>IF(D$1&lt;CapEx!$O$7,0,(VLOOKUP($B17,Inputs!$B$25:$D$44,3,0)*(VLOOKUP(Financials!$B17,Inputs!$B$3:$D$21,3,0)*(1+Inputs!$L$9)^Financials!D$3)*D$8))</f>
        <v>0</v>
      </c>
      <c r="E17" s="18">
        <f>IF(E$1&lt;CapEx!$O$7,0,(VLOOKUP($B17,Inputs!$B$25:$D$44,3,0)*(VLOOKUP(Financials!$B17,Inputs!$B$3:$D$21,3,0)*(1+Inputs!$L$9)^Financials!E$3)*E$8))</f>
        <v>0</v>
      </c>
      <c r="F17" s="18">
        <f>IF(F$1&lt;CapEx!$O$7,0,(VLOOKUP($B17,Inputs!$B$25:$D$44,3,0)*(VLOOKUP(Financials!$B17,Inputs!$B$3:$D$21,3,0)*(1+Inputs!$L$9)^Financials!F$3)*F$8))</f>
        <v>0</v>
      </c>
      <c r="G17" s="18">
        <f>IF(G$1&lt;CapEx!$O$7,0,(VLOOKUP($B17,Inputs!$B$25:$D$44,3,0)*(VLOOKUP(Financials!$B17,Inputs!$B$3:$D$21,3,0)*(1+Inputs!$L$9)^Financials!G$3)*G$8))</f>
        <v>0</v>
      </c>
      <c r="H17" s="18">
        <f>IF(H$1&lt;CapEx!$O$7,0,(VLOOKUP($B17,Inputs!$B$25:$D$44,3,0)*(VLOOKUP(Financials!$B17,Inputs!$B$3:$D$21,3,0)*(1+Inputs!$L$9)^Financials!H$3)*H$8))</f>
        <v>0</v>
      </c>
      <c r="I17" s="18">
        <f>IF(I$1&lt;CapEx!$O$7,0,(VLOOKUP($B17,Inputs!$B$25:$D$44,3,0)*(VLOOKUP(Financials!$B17,Inputs!$B$3:$D$21,3,0)*(1+Inputs!$L$9)^Financials!I$3)*I$8))</f>
        <v>0</v>
      </c>
      <c r="J17" s="18">
        <f>IF(J$1&lt;CapEx!$O$7,0,(VLOOKUP($B17,Inputs!$B$25:$D$44,3,0)*(VLOOKUP(Financials!$B17,Inputs!$B$3:$D$21,3,0)*(1+Inputs!$L$9)^Financials!J$3)*J$8))</f>
        <v>0</v>
      </c>
      <c r="K17" s="18">
        <f>IF(K$1&lt;CapEx!$O$7,0,(VLOOKUP($B17,Inputs!$B$25:$D$44,3,0)*(VLOOKUP(Financials!$B17,Inputs!$B$3:$D$21,3,0)*(1+Inputs!$L$9)^Financials!K$3)*K$8))</f>
        <v>0</v>
      </c>
      <c r="L17" s="18">
        <f>IF(L$1&lt;CapEx!$O$7,0,(VLOOKUP($B17,Inputs!$B$25:$D$44,3,0)*(VLOOKUP(Financials!$B17,Inputs!$B$3:$D$21,3,0)*(1+Inputs!$L$9)^Financials!L$3)*L$8))</f>
        <v>0</v>
      </c>
      <c r="M17" s="18">
        <f>IF(M$1&lt;CapEx!$O$7,0,(VLOOKUP($B17,Inputs!$B$25:$D$44,3,0)*(VLOOKUP(Financials!$B17,Inputs!$B$3:$D$21,3,0)*(1+Inputs!$L$9)^Financials!M$3)*M$8))</f>
        <v>0</v>
      </c>
      <c r="N17" s="18">
        <f>IF(N$1&lt;CapEx!$O$7,0,(VLOOKUP($B17,Inputs!$B$25:$D$44,3,0)*(VLOOKUP(Financials!$B17,Inputs!$B$3:$D$21,3,0)*(1+Inputs!$L$9)^Financials!N$3)*N$8))</f>
        <v>0</v>
      </c>
      <c r="O17" s="18">
        <f>IF(O$1&lt;CapEx!$O$7,0,(VLOOKUP($B17,Inputs!$B$25:$D$44,3,0)*(VLOOKUP(Financials!$B17,Inputs!$B$3:$D$21,3,0)*(1+Inputs!$L$9)^Financials!O$3)*O$8))</f>
        <v>0</v>
      </c>
      <c r="P17" s="18">
        <f>IF(P$1&lt;CapEx!$O$7,0,(VLOOKUP($B17,Inputs!$B$25:$D$44,3,0)*(VLOOKUP(Financials!$B17,Inputs!$B$3:$D$21,3,0)*(1+Inputs!$L$9)^Financials!P$3)*P$8))</f>
        <v>0</v>
      </c>
      <c r="Q17" s="18">
        <f>IF(Q$1&lt;CapEx!$O$7,0,(VLOOKUP($B17,Inputs!$B$25:$D$44,3,0)*(VLOOKUP(Financials!$B17,Inputs!$B$3:$D$21,3,0)*(1+Inputs!$L$9)^Financials!Q$3)*Q$8))</f>
        <v>0</v>
      </c>
      <c r="R17" s="18">
        <f>IF(R$1&lt;CapEx!$O$7,0,(VLOOKUP($B17,Inputs!$B$25:$D$44,3,0)*(VLOOKUP(Financials!$B17,Inputs!$B$3:$D$21,3,0)*(1+Inputs!$L$9)^Financials!R$3)*R$8))</f>
        <v>761805.00000000012</v>
      </c>
      <c r="S17" s="18">
        <f>IF(S$1&lt;CapEx!$O$7,0,(VLOOKUP($B17,Inputs!$B$25:$D$44,3,0)*(VLOOKUP(Financials!$B17,Inputs!$B$3:$D$21,3,0)*(1+Inputs!$L$9)^Financials!S$3)*S$8))</f>
        <v>788510.49750000017</v>
      </c>
      <c r="T17" s="18">
        <f>IF(T$1&lt;CapEx!$O$7,0,(VLOOKUP($B17,Inputs!$B$25:$D$44,3,0)*(VLOOKUP(Financials!$B17,Inputs!$B$3:$D$21,3,0)*(1+Inputs!$L$9)^Financials!T$3)*T$8))</f>
        <v>764346.46612500015</v>
      </c>
      <c r="U17" s="18">
        <f>IF(U$1&lt;CapEx!$O$7,0,(VLOOKUP($B17,Inputs!$B$25:$D$44,3,0)*(VLOOKUP(Financials!$B17,Inputs!$B$3:$D$21,3,0)*(1+Inputs!$L$9)^Financials!U$3)*U$8))</f>
        <v>791141.05613193754</v>
      </c>
      <c r="V17" s="18">
        <f>IF(V$1&lt;CapEx!$O$7,0,(VLOOKUP($B17,Inputs!$B$25:$D$44,3,0)*(VLOOKUP(Financials!$B17,Inputs!$B$3:$D$21,3,0)*(1+Inputs!$L$9)^Financials!V$3)*V$8))</f>
        <v>792459.62455882435</v>
      </c>
      <c r="W17" s="18">
        <f>IF(W$1&lt;CapEx!$O$7,0,(VLOOKUP($B17,Inputs!$B$25:$D$44,3,0)*(VLOOKUP(Financials!$B17,Inputs!$B$3:$D$21,3,0)*(1+Inputs!$L$9)^Financials!W$3)*W$8))</f>
        <v>768174.57154815074</v>
      </c>
      <c r="X17" s="18">
        <f>IF(X$1&lt;CapEx!$O$7,0,(VLOOKUP($B17,Inputs!$B$25:$D$44,3,0)*(VLOOKUP(Financials!$B17,Inputs!$B$3:$D$21,3,0)*(1+Inputs!$L$9)^Financials!X$3)*X$8))</f>
        <v>795103.35791742196</v>
      </c>
      <c r="Y17" s="18">
        <f>IF(Y$1&lt;CapEx!$O$7,0,(VLOOKUP($B17,Inputs!$B$25:$D$44,3,0)*(VLOOKUP(Financials!$B17,Inputs!$B$3:$D$21,3,0)*(1+Inputs!$L$9)^Financials!Y$3)*Y$8))</f>
        <v>770737.28727156552</v>
      </c>
      <c r="Z17" s="18">
        <f>IF(Z$1&lt;CapEx!$O$7,0,(VLOOKUP($B17,Inputs!$B$25:$D$44,3,0)*(VLOOKUP(Financials!$B17,Inputs!$B$3:$D$21,3,0)*(1+Inputs!$L$9)^Financials!Z$3)*Z$8))</f>
        <v>797755.91106425226</v>
      </c>
      <c r="AA17" s="18">
        <f>IF(AA$1&lt;CapEx!$O$7,0,(VLOOKUP($B17,Inputs!$B$25:$D$44,3,0)*(VLOOKUP(Financials!$B17,Inputs!$B$3:$D$21,3,0)*(1+Inputs!$L$9)^Financials!AA$3)*AA$8))</f>
        <v>799085.50424935936</v>
      </c>
      <c r="AB17" s="18">
        <f>IF(AB$1&lt;CapEx!$O$7,0,(VLOOKUP($B17,Inputs!$B$25:$D$44,3,0)*(VLOOKUP(Financials!$B17,Inputs!$B$3:$D$21,3,0)*(1+Inputs!$L$9)^Financials!AB$3)*AB$8))</f>
        <v>722957.57341442048</v>
      </c>
      <c r="AC17" s="18">
        <f>IF(AC$1&lt;CapEx!$O$7,0,(VLOOKUP($B17,Inputs!$B$25:$D$44,3,0)*(VLOOKUP(Financials!$B17,Inputs!$B$3:$D$21,3,0)*(1+Inputs!$L$9)^Financials!AC$3)*AC$8))</f>
        <v>801751.34227881359</v>
      </c>
      <c r="AD17" s="18">
        <f>IF(AD$1&lt;CapEx!$O$7,0,(VLOOKUP($B17,Inputs!$B$25:$D$44,3,0)*(VLOOKUP(Financials!$B17,Inputs!$B$3:$D$21,3,0)*(1+Inputs!$L$9)^Financials!AD$3)*AD$8))</f>
        <v>777181.54307994666</v>
      </c>
      <c r="AE17" s="18">
        <f>IF(AE$1&lt;CapEx!$O$7,0,(VLOOKUP($B17,Inputs!$B$25:$D$44,3,0)*(VLOOKUP(Financials!$B17,Inputs!$B$3:$D$21,3,0)*(1+Inputs!$L$9)^Financials!AE$3)*AE$8))</f>
        <v>804426.07384013815</v>
      </c>
      <c r="AF17" s="18">
        <f>IF(AF$1&lt;CapEx!$O$7,0,(VLOOKUP($B17,Inputs!$B$25:$D$44,3,0)*(VLOOKUP(Financials!$B17,Inputs!$B$3:$D$21,3,0)*(1+Inputs!$L$9)^Financials!AF$3)*AF$8))</f>
        <v>779774.30706116627</v>
      </c>
      <c r="AG17" s="18">
        <f>IF(AG$1&lt;CapEx!$O$7,0,(VLOOKUP($B17,Inputs!$B$25:$D$44,3,0)*(VLOOKUP(Financials!$B17,Inputs!$B$3:$D$21,3,0)*(1+Inputs!$L$9)^Financials!AG$3)*AG$8))</f>
        <v>807109.72860314383</v>
      </c>
      <c r="AH17" s="18">
        <f>IF(AH$1&lt;CapEx!$O$7,0,(VLOOKUP($B17,Inputs!$B$25:$D$44,3,0)*(VLOOKUP(Financials!$B17,Inputs!$B$3:$D$21,3,0)*(1+Inputs!$L$9)^Financials!AH$3)*AH$8))</f>
        <v>808454.91148414928</v>
      </c>
      <c r="AI17" s="18">
        <f>IF(AI$1&lt;CapEx!$O$7,0,(VLOOKUP($B17,Inputs!$B$25:$D$44,3,0)*(VLOOKUP(Financials!$B17,Inputs!$B$3:$D$21,3,0)*(1+Inputs!$L$9)^Financials!AI$3)*AI$8))</f>
        <v>783679.680325764</v>
      </c>
      <c r="AJ17" s="18">
        <f>IF(AJ$1&lt;CapEx!$O$7,0,(VLOOKUP($B17,Inputs!$B$25:$D$44,3,0)*(VLOOKUP(Financials!$B17,Inputs!$B$3:$D$21,3,0)*(1+Inputs!$L$9)^Financials!AJ$3)*AJ$8))</f>
        <v>811152.00689718395</v>
      </c>
      <c r="AK17" s="18">
        <f>IF(AK$1&lt;CapEx!$O$7,0,(VLOOKUP($B17,Inputs!$B$25:$D$44,3,0)*(VLOOKUP(Financials!$B17,Inputs!$B$3:$D$21,3,0)*(1+Inputs!$L$9)^Financials!AK$3)*AK$8))</f>
        <v>786294.122814851</v>
      </c>
      <c r="AL17" s="18">
        <f>IF(AL$1&lt;CapEx!$O$7,0,(VLOOKUP($B17,Inputs!$B$25:$D$44,3,0)*(VLOOKUP(Financials!$B17,Inputs!$B$3:$D$21,3,0)*(1+Inputs!$L$9)^Financials!AL$3)*AL$8))</f>
        <v>813858.10012019391</v>
      </c>
      <c r="AM17" s="18">
        <f>IF(AM$1&lt;CapEx!$O$7,0,(VLOOKUP($B17,Inputs!$B$25:$D$44,3,0)*(VLOOKUP(Financials!$B17,Inputs!$B$3:$D$21,3,0)*(1+Inputs!$L$9)^Financials!AM$3)*AM$8))</f>
        <v>815214.53028706089</v>
      </c>
      <c r="AN17" s="18">
        <f>IF(AN$1&lt;CapEx!$O$7,0,(VLOOKUP($B17,Inputs!$B$25:$D$44,3,0)*(VLOOKUP(Financials!$B17,Inputs!$B$3:$D$21,3,0)*(1+Inputs!$L$9)^Financials!AN$3)*AN$8))</f>
        <v>737550.00621885282</v>
      </c>
      <c r="AO17" s="18">
        <f>IF(AO$1&lt;CapEx!$O$7,0,(VLOOKUP($B17,Inputs!$B$25:$D$44,3,0)*(VLOOKUP(Financials!$B17,Inputs!$B$3:$D$21,3,0)*(1+Inputs!$L$9)^Financials!AO$3)*AO$8))</f>
        <v>817934.17653949093</v>
      </c>
      <c r="AP17" s="18">
        <f>IF(AP$1&lt;CapEx!$O$7,0,(VLOOKUP($B17,Inputs!$B$25:$D$44,3,0)*(VLOOKUP(Financials!$B17,Inputs!$B$3:$D$21,3,0)*(1+Inputs!$L$9)^Financials!AP$3)*AP$8))</f>
        <v>792868.45177457109</v>
      </c>
      <c r="AQ17" s="18">
        <f>IF(AQ$1&lt;CapEx!$O$7,0,(VLOOKUP($B17,Inputs!$B$25:$D$44,3,0)*(VLOOKUP(Financials!$B17,Inputs!$B$3:$D$21,3,0)*(1+Inputs!$L$9)^Financials!AQ$3)*AQ$8))</f>
        <v>820662.89583400183</v>
      </c>
      <c r="AR17" s="18">
        <f>IF(AR$1&lt;CapEx!$O$7,0,(VLOOKUP($B17,Inputs!$B$25:$D$44,3,0)*(VLOOKUP(Financials!$B17,Inputs!$B$3:$D$21,3,0)*(1+Inputs!$L$9)^Financials!AR$3)*AR$8))</f>
        <v>795513.54902618576</v>
      </c>
      <c r="AS17" s="18">
        <f>IF(AS$1&lt;CapEx!$O$7,0,(VLOOKUP($B17,Inputs!$B$25:$D$44,3,0)*(VLOOKUP(Financials!$B17,Inputs!$B$3:$D$21,3,0)*(1+Inputs!$L$9)^Financials!AS$3)*AS$8))</f>
        <v>823400.71843927039</v>
      </c>
      <c r="AT17" s="18">
        <f>IF(AT$1&lt;CapEx!$O$7,0,(VLOOKUP($B17,Inputs!$B$25:$D$44,3,0)*(VLOOKUP(Financials!$B17,Inputs!$B$3:$D$21,3,0)*(1+Inputs!$L$9)^Financials!AT$3)*AT$8))</f>
        <v>824773.05297000264</v>
      </c>
      <c r="AU17" s="18">
        <f>IF(AU$1&lt;CapEx!$O$7,0,(VLOOKUP($B17,Inputs!$B$25:$D$44,3,0)*(VLOOKUP(Financials!$B17,Inputs!$B$3:$D$21,3,0)*(1+Inputs!$L$9)^Financials!AU$3)*AU$8))</f>
        <v>799497.74973382521</v>
      </c>
      <c r="AV17" s="18">
        <f>IF(AV$1&lt;CapEx!$O$7,0,(VLOOKUP($B17,Inputs!$B$25:$D$44,3,0)*(VLOOKUP(Financials!$B17,Inputs!$B$3:$D$21,3,0)*(1+Inputs!$L$9)^Financials!AV$3)*AV$8))</f>
        <v>827524.58751616091</v>
      </c>
      <c r="AW17" s="18">
        <f>IF(AW$1&lt;CapEx!$O$7,0,(VLOOKUP($B17,Inputs!$B$25:$D$44,3,0)*(VLOOKUP(Financials!$B17,Inputs!$B$3:$D$21,3,0)*(1+Inputs!$L$9)^Financials!AW$3)*AW$8))</f>
        <v>802164.96306002059</v>
      </c>
      <c r="AX17" s="18">
        <f>IF(AX$1&lt;CapEx!$O$7,0,(VLOOKUP($B17,Inputs!$B$25:$D$44,3,0)*(VLOOKUP(Financials!$B17,Inputs!$B$3:$D$21,3,0)*(1+Inputs!$L$9)^Financials!AX$3)*AX$8))</f>
        <v>830285.30148729146</v>
      </c>
      <c r="AY17" s="18">
        <f>IF(AY$1&lt;CapEx!$O$7,0,(VLOOKUP($B17,Inputs!$B$25:$D$44,3,0)*(VLOOKUP(Financials!$B17,Inputs!$B$3:$D$21,3,0)*(1+Inputs!$L$9)^Financials!AY$3)*AY$8))</f>
        <v>831669.11032310373</v>
      </c>
      <c r="AZ17" s="18">
        <f>IF(AZ$1&lt;CapEx!$O$7,0,(VLOOKUP($B17,Inputs!$B$25:$D$44,3,0)*(VLOOKUP(Financials!$B17,Inputs!$B$3:$D$21,3,0)*(1+Inputs!$L$9)^Financials!AZ$3)*AZ$8))</f>
        <v>779309.7270871707</v>
      </c>
      <c r="BA17" s="18">
        <f>IF(BA$1&lt;CapEx!$O$7,0,(VLOOKUP($B17,Inputs!$B$25:$D$44,3,0)*(VLOOKUP(Financials!$B17,Inputs!$B$3:$D$21,3,0)*(1+Inputs!$L$9)^Financials!BA$3)*BA$8))</f>
        <v>834443.6508828206</v>
      </c>
      <c r="BB17" s="18">
        <f>IF(BB$1&lt;CapEx!$O$7,0,(VLOOKUP($B17,Inputs!$B$25:$D$44,3,0)*(VLOOKUP(Financials!$B17,Inputs!$B$3:$D$21,3,0)*(1+Inputs!$L$9)^Financials!BB$3)*BB$8))</f>
        <v>808871.99061383097</v>
      </c>
      <c r="BC17" s="18">
        <f>IF(BC$1&lt;CapEx!$O$7,0,(VLOOKUP($B17,Inputs!$B$25:$D$44,3,0)*(VLOOKUP(Financials!$B17,Inputs!$B$3:$D$21,3,0)*(1+Inputs!$L$9)^Financials!BC$3)*BC$8))</f>
        <v>837227.44761812699</v>
      </c>
      <c r="BD17" s="18">
        <f>IF(BD$1&lt;CapEx!$O$7,0,(VLOOKUP($B17,Inputs!$B$25:$D$44,3,0)*(VLOOKUP(Financials!$B17,Inputs!$B$3:$D$21,3,0)*(1+Inputs!$L$9)^Financials!BD$3)*BD$8))</f>
        <v>811570.4774491844</v>
      </c>
      <c r="BE17" s="18">
        <f>IF(BE$1&lt;CapEx!$O$7,0,(VLOOKUP($B17,Inputs!$B$25:$D$44,3,0)*(VLOOKUP(Financials!$B17,Inputs!$B$3:$D$21,3,0)*(1+Inputs!$L$9)^Financials!BE$3)*BE$8))</f>
        <v>840020.53140865313</v>
      </c>
      <c r="BF17" s="18">
        <f>IF(BF$1&lt;CapEx!$O$7,0,(VLOOKUP($B17,Inputs!$B$25:$D$44,3,0)*(VLOOKUP(Financials!$B17,Inputs!$B$3:$D$21,3,0)*(1+Inputs!$L$9)^Financials!BF$3)*BF$8))</f>
        <v>841420.5656276677</v>
      </c>
      <c r="BG17" s="18">
        <f>IF(BG$1&lt;CapEx!$O$7,0,(VLOOKUP($B17,Inputs!$B$25:$D$44,3,0)*(VLOOKUP(Financials!$B17,Inputs!$B$3:$D$21,3,0)*(1+Inputs!$L$9)^Financials!BG$3)*BG$8))</f>
        <v>815635.09668101324</v>
      </c>
      <c r="BH17" s="18">
        <f>IF(BH$1&lt;CapEx!$O$7,0,(VLOOKUP($B17,Inputs!$B$25:$D$44,3,0)*(VLOOKUP(Financials!$B17,Inputs!$B$3:$D$21,3,0)*(1+Inputs!$L$9)^Financials!BH$3)*BH$8))</f>
        <v>844227.6381257755</v>
      </c>
      <c r="BI17" s="18">
        <f>IF(BI$1&lt;CapEx!$O$7,0,(VLOOKUP($B17,Inputs!$B$25:$D$44,3,0)*(VLOOKUP(Financials!$B17,Inputs!$B$3:$D$21,3,0)*(1+Inputs!$L$9)^Financials!BI$3)*BI$8))</f>
        <v>818356.1459896632</v>
      </c>
      <c r="BJ17" s="18">
        <f>IF(BJ$1&lt;CapEx!$O$7,0,(VLOOKUP($B17,Inputs!$B$25:$D$44,3,0)*(VLOOKUP(Financials!$B17,Inputs!$B$3:$D$21,3,0)*(1+Inputs!$L$9)^Financials!BJ$3)*BJ$8))</f>
        <v>847044.07532963401</v>
      </c>
      <c r="BK17" s="18">
        <f>IF(BK$1&lt;CapEx!$O$7,0,(VLOOKUP($B17,Inputs!$B$25:$D$44,3,0)*(VLOOKUP(Financials!$B17,Inputs!$B$3:$D$21,3,0)*(1+Inputs!$L$9)^Financials!BK$3)*BK$8))</f>
        <v>848455.81545518374</v>
      </c>
      <c r="BL17" s="18">
        <f>IF(BL$1&lt;CapEx!$O$7,0,(VLOOKUP($B17,Inputs!$B$25:$D$44,3,0)*(VLOOKUP(Financials!$B17,Inputs!$B$3:$D$21,3,0)*(1+Inputs!$L$9)^Financials!BL$3)*BL$8))</f>
        <v>767624.43346665753</v>
      </c>
      <c r="BM17" s="18">
        <f>IF(BM$1&lt;CapEx!$O$7,0,(VLOOKUP($B17,Inputs!$B$25:$D$44,3,0)*(VLOOKUP(Financials!$B17,Inputs!$B$3:$D$21,3,0)*(1+Inputs!$L$9)^Financials!BM$3)*BM$8))</f>
        <v>851286.35832841077</v>
      </c>
      <c r="BN17" s="18">
        <f>IF(BN$1&lt;CapEx!$O$7,0,(VLOOKUP($B17,Inputs!$B$25:$D$44,3,0)*(VLOOKUP(Financials!$B17,Inputs!$B$3:$D$21,3,0)*(1+Inputs!$L$9)^Financials!BN$3)*BN$8))</f>
        <v>825198.55057318532</v>
      </c>
      <c r="BO17" s="18">
        <f>IF(BO$1&lt;CapEx!$O$7,0,(VLOOKUP($B17,Inputs!$B$25:$D$44,3,0)*(VLOOKUP(Financials!$B17,Inputs!$B$3:$D$21,3,0)*(1+Inputs!$L$9)^Financials!BO$3)*BO$8))</f>
        <v>854126.34420716739</v>
      </c>
      <c r="BP17" s="18">
        <f>IF(BP$1&lt;CapEx!$O$7,0,(VLOOKUP($B17,Inputs!$B$25:$D$44,3,0)*(VLOOKUP(Financials!$B17,Inputs!$B$3:$D$21,3,0)*(1+Inputs!$L$9)^Financials!BP$3)*BP$8))</f>
        <v>827951.50462662533</v>
      </c>
      <c r="BQ17" s="18">
        <f>IF(BQ$1&lt;CapEx!$O$7,0,(VLOOKUP($B17,Inputs!$B$25:$D$44,3,0)*(VLOOKUP(Financials!$B17,Inputs!$B$3:$D$21,3,0)*(1+Inputs!$L$9)^Financials!BQ$3)*BQ$8))</f>
        <v>856975.80459436984</v>
      </c>
      <c r="BR17" s="18">
        <f>IF(BR$1&lt;CapEx!$O$7,0,(VLOOKUP($B17,Inputs!$B$25:$D$44,3,0)*(VLOOKUP(Financials!$B17,Inputs!$B$3:$D$21,3,0)*(1+Inputs!$L$9)^Financials!BR$3)*BR$8))</f>
        <v>858404.097602027</v>
      </c>
      <c r="BS17" s="18">
        <f>IF(BS$1&lt;CapEx!$O$7,0,(VLOOKUP($B17,Inputs!$B$25:$D$44,3,0)*(VLOOKUP(Financials!$B17,Inputs!$B$3:$D$21,3,0)*(1+Inputs!$L$9)^Financials!BS$3)*BS$8))</f>
        <v>832098.16557873937</v>
      </c>
      <c r="BT17" s="18">
        <f>IF(BT$1&lt;CapEx!$O$7,0,(VLOOKUP($B17,Inputs!$B$25:$D$44,3,0)*(VLOOKUP(Financials!$B17,Inputs!$B$3:$D$21,3,0)*(1+Inputs!$L$9)^Financials!BT$3)*BT$8))</f>
        <v>861267.82904986071</v>
      </c>
      <c r="BU17" s="18">
        <f>IF(BU$1&lt;CapEx!$O$7,0,(VLOOKUP($B17,Inputs!$B$25:$D$44,3,0)*(VLOOKUP(Financials!$B17,Inputs!$B$3:$D$21,3,0)*(1+Inputs!$L$9)^Financials!BU$3)*BU$8))</f>
        <v>834874.13751446188</v>
      </c>
      <c r="BV17" s="18">
        <f>IF(BV$1&lt;CapEx!$O$7,0,(VLOOKUP($B17,Inputs!$B$25:$D$44,3,0)*(VLOOKUP(Financials!$B17,Inputs!$B$3:$D$21,3,0)*(1+Inputs!$L$9)^Financials!BV$3)*BV$8))</f>
        <v>864141.11422399664</v>
      </c>
      <c r="BW17" s="18">
        <f>IF(BW$1&lt;CapEx!$O$7,0,(VLOOKUP($B17,Inputs!$B$25:$D$44,3,0)*(VLOOKUP(Financials!$B17,Inputs!$B$3:$D$21,3,0)*(1+Inputs!$L$9)^Financials!BW$3)*BW$8))</f>
        <v>865581.34941437014</v>
      </c>
      <c r="BX17" s="18">
        <f>IF(BX$1&lt;CapEx!$O$7,0,(VLOOKUP($B17,Inputs!$B$25:$D$44,3,0)*(VLOOKUP(Financials!$B17,Inputs!$B$3:$D$21,3,0)*(1+Inputs!$L$9)^Financials!BX$3)*BX$8))</f>
        <v>783118.43806156015</v>
      </c>
      <c r="BY17" s="18">
        <f>IF(BY$1&lt;CapEx!$O$7,0,(VLOOKUP($B17,Inputs!$B$25:$D$44,3,0)*(VLOOKUP(Financials!$B17,Inputs!$B$3:$D$21,3,0)*(1+Inputs!$L$9)^Financials!BY$3)*BY$8))</f>
        <v>868469.02497172181</v>
      </c>
      <c r="BZ17" s="18">
        <f>IF(BZ$1&lt;CapEx!$O$7,0,(VLOOKUP($B17,Inputs!$B$25:$D$44,3,0)*(VLOOKUP(Financials!$B17,Inputs!$B$3:$D$21,3,0)*(1+Inputs!$L$9)^Financials!BZ$3)*BZ$8))</f>
        <v>841854.65162581427</v>
      </c>
      <c r="CA17" s="18">
        <f>IF(CA$1&lt;CapEx!$O$7,0,(VLOOKUP($B17,Inputs!$B$25:$D$44,3,0)*(VLOOKUP(Financials!$B17,Inputs!$B$3:$D$21,3,0)*(1+Inputs!$L$9)^Financials!CA$3)*CA$8))</f>
        <v>871366.33413558605</v>
      </c>
      <c r="CB17" s="18">
        <f>IF(CB$1&lt;CapEx!$O$7,0,(VLOOKUP($B17,Inputs!$B$25:$D$44,3,0)*(VLOOKUP(Financials!$B17,Inputs!$B$3:$D$21,3,0)*(1+Inputs!$L$9)^Financials!CB$3)*CB$8))</f>
        <v>844663.17228304397</v>
      </c>
      <c r="CC17" s="18">
        <f>IF(CC$1&lt;CapEx!$O$7,0,(VLOOKUP($B17,Inputs!$B$25:$D$44,3,0)*(VLOOKUP(Financials!$B17,Inputs!$B$3:$D$21,3,0)*(1+Inputs!$L$9)^Financials!CC$3)*CC$8))</f>
        <v>874273.30904474435</v>
      </c>
      <c r="CD17" s="18">
        <f>IF(CD$1&lt;CapEx!$O$7,0,(VLOOKUP($B17,Inputs!$B$25:$D$44,3,0)*(VLOOKUP(Financials!$B17,Inputs!$B$3:$D$21,3,0)*(1+Inputs!$L$9)^Financials!CD$3)*CD$8))</f>
        <v>875730.43122648553</v>
      </c>
      <c r="CE17" s="18">
        <f>IF(CE$1&lt;CapEx!$O$7,0,(VLOOKUP($B17,Inputs!$B$25:$D$44,3,0)*(VLOOKUP(Financials!$B17,Inputs!$B$3:$D$21,3,0)*(1+Inputs!$L$9)^Financials!CE$3)*CE$8))</f>
        <v>848893.53091470606</v>
      </c>
      <c r="CF17" s="18">
        <f>IF(CF$1&lt;CapEx!$O$7,0,(VLOOKUP($B17,Inputs!$B$25:$D$44,3,0)*(VLOOKUP(Financials!$B17,Inputs!$B$3:$D$21,3,0)*(1+Inputs!$L$9)^Financials!CF$3)*CF$8))</f>
        <v>878651.96524843818</v>
      </c>
      <c r="CG17" s="18">
        <f>IF(CG$1&lt;CapEx!$O$7,0,(VLOOKUP($B17,Inputs!$B$25:$D$44,3,0)*(VLOOKUP(Financials!$B17,Inputs!$B$3:$D$21,3,0)*(1+Inputs!$L$9)^Financials!CG$3)*CG$8))</f>
        <v>851725.53405534104</v>
      </c>
      <c r="CH17" s="18">
        <f>IF(CH$1&lt;CapEx!$O$7,0,(VLOOKUP($B17,Inputs!$B$25:$D$44,3,0)*(VLOOKUP(Financials!$B17,Inputs!$B$3:$D$21,3,0)*(1+Inputs!$L$9)^Financials!CH$3)*CH$8))</f>
        <v>881583.24583250331</v>
      </c>
      <c r="CI17" s="18">
        <f>IF(CI$1&lt;CapEx!$O$7,0,(VLOOKUP($B17,Inputs!$B$25:$D$44,3,0)*(VLOOKUP(Financials!$B17,Inputs!$B$3:$D$21,3,0)*(1+Inputs!$L$9)^Financials!CI$3)*CI$8))</f>
        <v>883052.55124222429</v>
      </c>
      <c r="CJ17" s="18">
        <f>IF(CJ$1&lt;CapEx!$O$7,0,(VLOOKUP($B17,Inputs!$B$25:$D$44,3,0)*(VLOOKUP(Financials!$B17,Inputs!$B$3:$D$21,3,0)*(1+Inputs!$L$9)^Financials!CJ$3)*CJ$8))</f>
        <v>798925.17915613705</v>
      </c>
      <c r="CK17" s="18">
        <f>IF(CK$1&lt;CapEx!$O$7,0,(VLOOKUP($B17,Inputs!$B$25:$D$44,3,0)*(VLOOKUP(Financials!$B17,Inputs!$B$3:$D$21,3,0)*(1+Inputs!$L$9)^Financials!CK$3)*CK$8))</f>
        <v>885998.51267011848</v>
      </c>
      <c r="CL17" s="18">
        <f>IF(CL$1&lt;CapEx!$O$7,0,(VLOOKUP($B17,Inputs!$B$25:$D$44,3,0)*(VLOOKUP(Financials!$B17,Inputs!$B$3:$D$21,3,0)*(1+Inputs!$L$9)^Financials!CL$3)*CL$8))</f>
        <v>858846.94534635695</v>
      </c>
      <c r="CM17" s="18">
        <f>IF(CM$1&lt;CapEx!$O$7,0,(VLOOKUP($B17,Inputs!$B$25:$D$44,3,0)*(VLOOKUP(Financials!$B17,Inputs!$B$3:$D$21,3,0)*(1+Inputs!$L$9)^Financials!CM$3)*CM$8))</f>
        <v>888954.30215266533</v>
      </c>
      <c r="CN17" s="18">
        <f>IF(CN$1&lt;CapEx!$O$7,0,(VLOOKUP($B17,Inputs!$B$25:$D$44,3,0)*(VLOOKUP(Financials!$B17,Inputs!$B$3:$D$21,3,0)*(1+Inputs!$L$9)^Financials!CN$3)*CN$8))</f>
        <v>861712.15418347088</v>
      </c>
      <c r="CO17" s="18">
        <f>IF(CO$1&lt;CapEx!$O$7,0,(VLOOKUP($B17,Inputs!$B$25:$D$44,3,0)*(VLOOKUP(Financials!$B17,Inputs!$B$3:$D$21,3,0)*(1+Inputs!$L$9)^Financials!CO$3)*CO$8))</f>
        <v>891919.95247734699</v>
      </c>
      <c r="CP17" s="18">
        <f>IF(CP$1&lt;CapEx!$O$7,0,(VLOOKUP($B17,Inputs!$B$25:$D$44,3,0)*(VLOOKUP(Financials!$B17,Inputs!$B$3:$D$21,3,0)*(1+Inputs!$L$9)^Financials!CP$3)*CP$8))</f>
        <v>893406.48573147587</v>
      </c>
      <c r="CQ17" s="18">
        <f>IF(CQ$1&lt;CapEx!$O$7,0,(VLOOKUP($B17,Inputs!$B$25:$D$44,3,0)*(VLOOKUP(Financials!$B17,Inputs!$B$3:$D$21,3,0)*(1+Inputs!$L$9)^Financials!CQ$3)*CQ$8))</f>
        <v>866027.89987841481</v>
      </c>
      <c r="CR17" s="18">
        <f>IF(CR$1&lt;CapEx!$O$7,0,(VLOOKUP($B17,Inputs!$B$25:$D$44,3,0)*(VLOOKUP(Financials!$B17,Inputs!$B$3:$D$21,3,0)*(1+Inputs!$L$9)^Financials!CR$3)*CR$8))</f>
        <v>896386.98903526366</v>
      </c>
      <c r="CS17" s="18">
        <f>IF(CS$1&lt;CapEx!$O$7,0,(VLOOKUP($B17,Inputs!$B$25:$D$44,3,0)*(VLOOKUP(Financials!$B17,Inputs!$B$3:$D$21,3,0)*(1+Inputs!$L$9)^Financials!CS$3)*CS$8))</f>
        <v>868917.06517773122</v>
      </c>
      <c r="CT17" s="18">
        <f>IF(CT$1&lt;CapEx!$O$7,0,(VLOOKUP($B17,Inputs!$B$25:$D$44,3,0)*(VLOOKUP(Financials!$B17,Inputs!$B$3:$D$21,3,0)*(1+Inputs!$L$9)^Financials!CT$3)*CT$8))</f>
        <v>899377.43562923977</v>
      </c>
      <c r="CU17" s="18">
        <f>IF(CU$1&lt;CapEx!$O$7,0,(VLOOKUP($B17,Inputs!$B$25:$D$44,3,0)*(VLOOKUP(Financials!$B17,Inputs!$B$3:$D$21,3,0)*(1+Inputs!$L$9)^Financials!CU$3)*CU$8))</f>
        <v>900876.39802195504</v>
      </c>
      <c r="CV17" s="18">
        <f>IF(CV$1&lt;CapEx!$O$7,0,(VLOOKUP($B17,Inputs!$B$25:$D$44,3,0)*(VLOOKUP(Financials!$B17,Inputs!$B$3:$D$21,3,0)*(1+Inputs!$L$9)^Financials!CV$3)*CV$8))</f>
        <v>815050.96913513239</v>
      </c>
      <c r="CW17" s="18">
        <f>IF(CW$1&lt;CapEx!$O$7,0,(VLOOKUP($B17,Inputs!$B$25:$D$44,3,0)*(VLOOKUP(Financials!$B17,Inputs!$B$3:$D$21,3,0)*(1+Inputs!$L$9)^Financials!CW$3)*CW$8))</f>
        <v>903881.82178313413</v>
      </c>
      <c r="CX17" s="18">
        <f>IF(CX$1&lt;CapEx!$O$7,0,(VLOOKUP($B17,Inputs!$B$25:$D$44,3,0)*(VLOOKUP(Financials!$B17,Inputs!$B$3:$D$21,3,0)*(1+Inputs!$L$9)^Financials!CX$3)*CX$8))</f>
        <v>876182.21756719938</v>
      </c>
      <c r="CY17" s="18">
        <f>IF(CY$1&lt;CapEx!$O$7,0,(VLOOKUP($B17,Inputs!$B$25:$D$44,3,0)*(VLOOKUP(Financials!$B17,Inputs!$B$3:$D$21,3,0)*(1+Inputs!$L$9)^Financials!CY$3)*CY$8))</f>
        <v>906897.27197191631</v>
      </c>
      <c r="CZ17" s="18">
        <f>IF(CZ$1&lt;CapEx!$O$7,0,(VLOOKUP($B17,Inputs!$B$25:$D$44,3,0)*(VLOOKUP(Financials!$B17,Inputs!$B$3:$D$21,3,0)*(1+Inputs!$L$9)^Financials!CZ$3)*CZ$8))</f>
        <v>879105.25879858329</v>
      </c>
      <c r="DA17" s="18">
        <f>IF(DA$1&lt;CapEx!$O$7,0,(VLOOKUP($B17,Inputs!$B$25:$D$44,3,0)*(VLOOKUP(Financials!$B17,Inputs!$B$3:$D$21,3,0)*(1+Inputs!$L$9)^Financials!DA$3)*DA$8))</f>
        <v>909922.78203757829</v>
      </c>
      <c r="DB17" s="18">
        <f>IF(DB$1&lt;CapEx!$O$7,0,(VLOOKUP($B17,Inputs!$B$25:$D$44,3,0)*(VLOOKUP(Financials!$B17,Inputs!$B$3:$D$21,3,0)*(1+Inputs!$L$9)^Financials!DB$3)*DB$8))</f>
        <v>911439.32000764122</v>
      </c>
      <c r="DC17" s="18">
        <f>IF(DC$1&lt;CapEx!$O$7,0,(VLOOKUP($B17,Inputs!$B$25:$D$44,3,0)*(VLOOKUP(Financials!$B17,Inputs!$B$3:$D$21,3,0)*(1+Inputs!$L$9)^Financials!DC$3)*DC$8))</f>
        <v>883508.1150396649</v>
      </c>
      <c r="DD17" s="18">
        <f>IF(DD$1&lt;CapEx!$O$7,0,(VLOOKUP($B17,Inputs!$B$25:$D$44,3,0)*(VLOOKUP(Financials!$B17,Inputs!$B$3:$D$21,3,0)*(1+Inputs!$L$9)^Financials!DD$3)*DD$8))</f>
        <v>914479.98285022203</v>
      </c>
      <c r="DE17" s="18">
        <f>IF(DE$1&lt;CapEx!$O$7,0,(VLOOKUP($B17,Inputs!$B$25:$D$44,3,0)*(VLOOKUP(Financials!$B17,Inputs!$B$3:$D$21,3,0)*(1+Inputs!$L$9)^Financials!DE$3)*DE$8))</f>
        <v>886455.59627900575</v>
      </c>
      <c r="DF17" s="18">
        <f>IF(DF$1&lt;CapEx!$O$7,0,(VLOOKUP($B17,Inputs!$B$25:$D$44,3,0)*(VLOOKUP(Financials!$B17,Inputs!$B$3:$D$21,3,0)*(1+Inputs!$L$9)^Financials!DF$3)*DF$8))</f>
        <v>917530.78968189762</v>
      </c>
      <c r="DG17" s="18">
        <f>IF(DG$1&lt;CapEx!$O$7,0,(VLOOKUP($B17,Inputs!$B$25:$D$44,3,0)*(VLOOKUP(Financials!$B17,Inputs!$B$3:$D$21,3,0)*(1+Inputs!$L$9)^Financials!DG$3)*DG$8))</f>
        <v>919060.00766470097</v>
      </c>
      <c r="DH17" s="18">
        <f>IF(DH$1&lt;CapEx!$O$7,0,(VLOOKUP($B17,Inputs!$B$25:$D$44,3,0)*(VLOOKUP(Financials!$B17,Inputs!$B$3:$D$21,3,0)*(1+Inputs!$L$9)^Financials!DH$3)*DH$8))</f>
        <v>831502.24779470882</v>
      </c>
      <c r="DI17" s="18">
        <f>IF(DI$1&lt;CapEx!$O$7,0,(VLOOKUP($B17,Inputs!$B$25:$D$44,3,0)*(VLOOKUP(Financials!$B17,Inputs!$B$3:$D$21,3,0)*(1+Inputs!$L$9)^Financials!DI$3)*DI$8))</f>
        <v>922126.09396804904</v>
      </c>
      <c r="DJ17" s="18">
        <f>IF(DJ$1&lt;CapEx!$O$7,0,(VLOOKUP($B17,Inputs!$B$25:$D$44,3,0)*(VLOOKUP(Financials!$B17,Inputs!$B$3:$D$21,3,0)*(1+Inputs!$L$9)^Financials!DJ$3)*DJ$8))</f>
        <v>893867.39108838316</v>
      </c>
      <c r="DK17" s="18">
        <f>IF(DK$1&lt;CapEx!$O$7,0,(VLOOKUP($B17,Inputs!$B$25:$D$44,3,0)*(VLOOKUP(Financials!$B17,Inputs!$B$3:$D$21,3,0)*(1+Inputs!$L$9)^Financials!DK$3)*DK$8))</f>
        <v>925202.40907598159</v>
      </c>
      <c r="DL17" s="18">
        <f>IF(DL$1&lt;CapEx!$O$7,0,(VLOOKUP($B17,Inputs!$B$25:$D$44,3,0)*(VLOOKUP(Financials!$B17,Inputs!$B$3:$D$21,3,0)*(1+Inputs!$L$9)^Financials!DL$3)*DL$8))</f>
        <v>896849.43202365306</v>
      </c>
      <c r="DM17" s="18">
        <f>IF(DM$1&lt;CapEx!$O$7,0,(VLOOKUP($B17,Inputs!$B$25:$D$44,3,0)*(VLOOKUP(Financials!$B17,Inputs!$B$3:$D$21,3,0)*(1+Inputs!$L$9)^Financials!DM$3)*DM$8))</f>
        <v>928288.9871129269</v>
      </c>
      <c r="DN17" s="18">
        <f>IF(DN$1&lt;CapEx!$O$7,0,(VLOOKUP($B17,Inputs!$B$25:$D$44,3,0)*(VLOOKUP(Financials!$B17,Inputs!$B$3:$D$21,3,0)*(1+Inputs!$L$9)^Financials!DN$3)*DN$8))</f>
        <v>929836.13542478171</v>
      </c>
      <c r="DO17" s="18">
        <f>IF(DO$1&lt;CapEx!$O$7,0,(VLOOKUP($B17,Inputs!$B$25:$D$44,3,0)*(VLOOKUP(Financials!$B17,Inputs!$B$3:$D$21,3,0)*(1+Inputs!$L$9)^Financials!DO$3)*DO$8))</f>
        <v>901341.15708111913</v>
      </c>
      <c r="DP17" s="18">
        <f>IF(DP$1&lt;CapEx!$O$7,0,(VLOOKUP($B17,Inputs!$B$25:$D$44,3,0)*(VLOOKUP(Financials!$B17,Inputs!$B$3:$D$21,3,0)*(1+Inputs!$L$9)^Financials!DP$3)*DP$8))</f>
        <v>932938.17208768497</v>
      </c>
      <c r="DQ17" s="18">
        <f>IF(DQ$1&lt;CapEx!$O$7,0,(VLOOKUP($B17,Inputs!$B$25:$D$44,3,0)*(VLOOKUP(Financials!$B17,Inputs!$B$3:$D$21,3,0)*(1+Inputs!$L$9)^Financials!DQ$3)*DQ$8))</f>
        <v>904348.13133015938</v>
      </c>
      <c r="DR17" s="18">
        <f>IF(DR$1&lt;CapEx!$O$7,0,(VLOOKUP($B17,Inputs!$B$25:$D$44,3,0)*(VLOOKUP(Financials!$B17,Inputs!$B$3:$D$21,3,0)*(1+Inputs!$L$9)^Financials!DR$3)*DR$8))</f>
        <v>936050.55748956674</v>
      </c>
      <c r="DS17" s="18">
        <f>IF(DS$1&lt;CapEx!$O$7,0,(VLOOKUP($B17,Inputs!$B$25:$D$44,3,0)*(VLOOKUP(Financials!$B17,Inputs!$B$3:$D$21,3,0)*(1+Inputs!$L$9)^Financials!DS$3)*DS$8))</f>
        <v>937610.64175204933</v>
      </c>
      <c r="DT17" s="18">
        <f>IF(DT$1&lt;CapEx!$O$7,0,(VLOOKUP($B17,Inputs!$B$25:$D$44,3,0)*(VLOOKUP(Financials!$B17,Inputs!$B$3:$D$21,3,0)*(1+Inputs!$L$9)^Financials!DT$3)*DT$8))</f>
        <v>848285.58491416578</v>
      </c>
      <c r="DU17" s="18">
        <f>IF(DU$1&lt;CapEx!$O$7,0,(VLOOKUP($B17,Inputs!$B$25:$D$44,3,0)*(VLOOKUP(Financials!$B17,Inputs!$B$3:$D$21,3,0)*(1+Inputs!$L$9)^Financials!DU$3)*DU$8))</f>
        <v>940738.61503189453</v>
      </c>
      <c r="DV17" s="18">
        <f>IF(DV$1&lt;CapEx!$O$7,0,(VLOOKUP($B17,Inputs!$B$25:$D$44,3,0)*(VLOOKUP(Financials!$B17,Inputs!$B$3:$D$21,3,0)*(1+Inputs!$L$9)^Financials!DV$3)*DV$8))</f>
        <v>911909.52844220726</v>
      </c>
      <c r="DW17" s="18">
        <f>IF(DW$1&lt;CapEx!$O$7,0,(VLOOKUP($B17,Inputs!$B$25:$D$44,3,0)*(VLOOKUP(Financials!$B17,Inputs!$B$3:$D$21,3,0)*(1+Inputs!$L$9)^Financials!DW$3)*DW$8))</f>
        <v>943877.02357815369</v>
      </c>
      <c r="DX17" s="18">
        <f>IF(DX$1&lt;CapEx!$O$7,0,(VLOOKUP($B17,Inputs!$B$25:$D$44,3,0)*(VLOOKUP(Financials!$B17,Inputs!$B$3:$D$21,3,0)*(1+Inputs!$L$9)^Financials!DX$3)*DX$8))</f>
        <v>914951.75995237182</v>
      </c>
      <c r="DY17" s="18">
        <f>IF(DY$1&lt;CapEx!$O$7,0,(VLOOKUP($B17,Inputs!$B$25:$D$44,3,0)*(VLOOKUP(Financials!$B17,Inputs!$B$3:$D$21,3,0)*(1+Inputs!$L$9)^Financials!DY$3)*DY$8))</f>
        <v>947025.90220403543</v>
      </c>
      <c r="DZ17" s="18">
        <f>IF(DZ$1&lt;CapEx!$O$7,0,(VLOOKUP($B17,Inputs!$B$25:$D$44,3,0)*(VLOOKUP(Financials!$B17,Inputs!$B$3:$D$21,3,0)*(1+Inputs!$L$9)^Financials!DZ$3)*DZ$8))</f>
        <v>948604.27870770893</v>
      </c>
      <c r="EA17" s="18">
        <f>IF(EA$1&lt;CapEx!$O$7,0,(VLOOKUP($B17,Inputs!$B$25:$D$44,3,0)*(VLOOKUP(Financials!$B17,Inputs!$B$3:$D$21,3,0)*(1+Inputs!$L$9)^Financials!EA$3)*EA$8))</f>
        <v>919534.14758602111</v>
      </c>
      <c r="EB17" s="18">
        <f>IF(EB$1&lt;CapEx!$O$7,0,(VLOOKUP($B17,Inputs!$B$25:$D$44,3,0)*(VLOOKUP(Financials!$B17,Inputs!$B$3:$D$21,3,0)*(1+Inputs!$L$9)^Financials!EB$3)*EB$8))</f>
        <v>951768.92798195325</v>
      </c>
      <c r="EC17" s="18">
        <f>IF(EC$1&lt;CapEx!$O$7,0,(VLOOKUP($B17,Inputs!$B$25:$D$44,3,0)*(VLOOKUP(Financials!$B17,Inputs!$B$3:$D$21,3,0)*(1+Inputs!$L$9)^Financials!EC$3)*EC$8))</f>
        <v>922601.81567282917</v>
      </c>
      <c r="ED17" s="18">
        <f>IF(ED$1&lt;CapEx!$O$7,0,(VLOOKUP($B17,Inputs!$B$25:$D$44,3,0)*(VLOOKUP(Financials!$B17,Inputs!$B$3:$D$21,3,0)*(1+Inputs!$L$9)^Financials!ED$3)*ED$8))</f>
        <v>954944.13487780443</v>
      </c>
      <c r="EE17" s="18">
        <f>IF(EE$1&lt;CapEx!$O$7,0,(VLOOKUP($B17,Inputs!$B$25:$D$44,3,0)*(VLOOKUP(Financials!$B17,Inputs!$B$3:$D$21,3,0)*(1+Inputs!$L$9)^Financials!EE$3)*EE$8))</f>
        <v>956535.70843593427</v>
      </c>
      <c r="EF17" s="18">
        <f>IF(EF$1&lt;CapEx!$O$7,0,(VLOOKUP($B17,Inputs!$B$25:$D$44,3,0)*(VLOOKUP(Financials!$B17,Inputs!$B$3:$D$21,3,0)*(1+Inputs!$L$9)^Financials!EF$3)*EF$8))</f>
        <v>865407.68287956459</v>
      </c>
      <c r="EG17" s="18">
        <f>IF(EG$1&lt;CapEx!$O$7,0,(VLOOKUP($B17,Inputs!$B$25:$D$44,3,0)*(VLOOKUP(Financials!$B17,Inputs!$B$3:$D$21,3,0)*(1+Inputs!$L$9)^Financials!EG$3)*EG$8))</f>
        <v>959726.81784102181</v>
      </c>
      <c r="EH17" s="18">
        <f>IF(EH$1&lt;CapEx!$O$7,0,(VLOOKUP($B17,Inputs!$B$25:$D$44,3,0)*(VLOOKUP(Financials!$B17,Inputs!$B$3:$D$21,3,0)*(1+Inputs!$L$9)^Financials!EH$3)*EH$8))</f>
        <v>930315.83471363597</v>
      </c>
      <c r="EI17" s="18">
        <f>IF(EI$1&lt;CapEx!$O$7,0,(VLOOKUP($B17,Inputs!$B$25:$D$44,3,0)*(VLOOKUP(Financials!$B17,Inputs!$B$3:$D$21,3,0)*(1+Inputs!$L$9)^Financials!EI$3)*EI$8))</f>
        <v>962928.57314165286</v>
      </c>
      <c r="EJ17" s="18">
        <f>IF(EJ$1&lt;CapEx!$O$7,0,(VLOOKUP($B17,Inputs!$B$25:$D$44,3,0)*(VLOOKUP(Financials!$B17,Inputs!$B$3:$D$21,3,0)*(1+Inputs!$L$9)^Financials!EJ$3)*EJ$8))</f>
        <v>933419.47170666675</v>
      </c>
      <c r="EK17" s="18">
        <f>IF(EK$1&lt;CapEx!$O$7,0,(VLOOKUP($B17,Inputs!$B$25:$D$44,3,0)*(VLOOKUP(Financials!$B17,Inputs!$B$3:$D$21,3,0)*(1+Inputs!$L$9)^Financials!EK$3)*EK$8))</f>
        <v>966141.00985371729</v>
      </c>
      <c r="EL17" s="18">
        <f>IF(EL$1&lt;CapEx!$O$7,0,(VLOOKUP($B17,Inputs!$B$25:$D$44,3,0)*(VLOOKUP(Financials!$B17,Inputs!$B$3:$D$21,3,0)*(1+Inputs!$L$9)^Financials!EL$3)*EL$8))</f>
        <v>967751.24487013998</v>
      </c>
      <c r="EM17" s="18">
        <f>IF(EM$1&lt;CapEx!$O$7,0,(VLOOKUP($B17,Inputs!$B$25:$D$44,3,0)*(VLOOKUP(Financials!$B17,Inputs!$B$3:$D$21,3,0)*(1+Inputs!$L$9)^Financials!EM$3)*EM$8))</f>
        <v>938094.35188218439</v>
      </c>
      <c r="EN17" s="18">
        <f>IF(EN$1&lt;CapEx!$O$7,0,(VLOOKUP($B17,Inputs!$B$25:$D$44,3,0)*(VLOOKUP(Financials!$B17,Inputs!$B$3:$D$21,3,0)*(1+Inputs!$L$9)^Financials!EN$3)*EN$8))</f>
        <v>970979.7705509431</v>
      </c>
      <c r="EO17" s="18">
        <f>IF(EO$1&lt;CapEx!$O$7,0,(VLOOKUP($B17,Inputs!$B$25:$D$44,3,0)*(VLOOKUP(Financials!$B17,Inputs!$B$3:$D$21,3,0)*(1+Inputs!$L$9)^Financials!EO$3)*EO$8))</f>
        <v>941223.93887276936</v>
      </c>
      <c r="EP17" s="18">
        <f>IF(EP$1&lt;CapEx!$O$7,0,(VLOOKUP($B17,Inputs!$B$25:$D$44,3,0)*(VLOOKUP(Financials!$B17,Inputs!$B$3:$D$21,3,0)*(1+Inputs!$L$9)^Financials!EP$3)*EP$8))</f>
        <v>974219.0669521424</v>
      </c>
      <c r="EQ17" s="18">
        <f>IF(EQ$1&lt;CapEx!$O$7,0,(VLOOKUP($B17,Inputs!$B$25:$D$44,3,0)*(VLOOKUP(Financials!$B17,Inputs!$B$3:$D$21,3,0)*(1+Inputs!$L$9)^Financials!EQ$3)*EQ$8))</f>
        <v>975842.76539706276</v>
      </c>
      <c r="ER17" s="18">
        <f>IF(ER$1&lt;CapEx!$O$7,0,(VLOOKUP($B17,Inputs!$B$25:$D$44,3,0)*(VLOOKUP(Financials!$B17,Inputs!$B$3:$D$21,3,0)*(1+Inputs!$L$9)^Financials!ER$3)*ER$8))</f>
        <v>882875.37936031038</v>
      </c>
      <c r="ES17" s="18">
        <f>IF(ES$1&lt;CapEx!$O$7,0,(VLOOKUP($B17,Inputs!$B$25:$D$44,3,0)*(VLOOKUP(Financials!$B17,Inputs!$B$3:$D$21,3,0)*(1+Inputs!$L$9)^Financials!ES$3)*ES$8))</f>
        <v>979098.28528940142</v>
      </c>
      <c r="ET17" s="18">
        <f>IF(ET$1&lt;CapEx!$O$7,0,(VLOOKUP($B17,Inputs!$B$25:$D$44,3,0)*(VLOOKUP(Financials!$B17,Inputs!$B$3:$D$21,3,0)*(1+Inputs!$L$9)^Financials!ET$3)*ET$8))</f>
        <v>949093.66041762964</v>
      </c>
      <c r="EU17" s="18">
        <f>IF(EU$1&lt;CapEx!$O$7,0,(VLOOKUP($B17,Inputs!$B$25:$D$44,3,0)*(VLOOKUP(Financials!$B17,Inputs!$B$3:$D$21,3,0)*(1+Inputs!$L$9)^Financials!EU$3)*EU$8))</f>
        <v>982364.66595782526</v>
      </c>
      <c r="EV17" s="18">
        <f>IF(EV$1&lt;CapEx!$O$7,0,(VLOOKUP($B17,Inputs!$B$25:$D$44,3,0)*(VLOOKUP(Financials!$B17,Inputs!$B$3:$D$21,3,0)*(1+Inputs!$L$9)^Financials!EV$3)*EV$8))</f>
        <v>952259.94232363394</v>
      </c>
      <c r="EW17" s="18">
        <f>IF(EW$1&lt;CapEx!$O$7,0,(VLOOKUP($B17,Inputs!$B$25:$D$44,3,0)*(VLOOKUP(Financials!$B17,Inputs!$B$3:$D$21,3,0)*(1+Inputs!$L$9)^Financials!EW$3)*EW$8))</f>
        <v>985641.94363509014</v>
      </c>
      <c r="EX17" s="18">
        <f>IF(EX$1&lt;CapEx!$O$7,0,(VLOOKUP($B17,Inputs!$B$25:$D$44,3,0)*(VLOOKUP(Financials!$B17,Inputs!$B$3:$D$21,3,0)*(1+Inputs!$L$9)^Financials!EX$3)*EX$8))</f>
        <v>987284.6802078156</v>
      </c>
      <c r="EY17" s="18">
        <f>IF(EY$1&lt;CapEx!$O$7,0,(VLOOKUP($B17,Inputs!$B$25:$D$44,3,0)*(VLOOKUP(Financials!$B17,Inputs!$B$3:$D$21,3,0)*(1+Inputs!$L$9)^Financials!EY$3)*EY$8))</f>
        <v>957029.18194338249</v>
      </c>
      <c r="EZ17" s="18">
        <f>IF(EZ$1&lt;CapEx!$O$7,0,(VLOOKUP($B17,Inputs!$B$25:$D$44,3,0)*(VLOOKUP(Financials!$B17,Inputs!$B$3:$D$21,3,0)*(1+Inputs!$L$9)^Financials!EZ$3)*EZ$8))</f>
        <v>990578.37159928679</v>
      </c>
      <c r="FA17" s="18">
        <f>IF(FA$1&lt;CapEx!$O$7,0,(VLOOKUP($B17,Inputs!$B$25:$D$44,3,0)*(VLOOKUP(Financials!$B17,Inputs!$B$3:$D$21,3,0)*(1+Inputs!$L$9)^Financials!FA$3)*FA$8))</f>
        <v>960221.9376309216</v>
      </c>
      <c r="FB17" s="18">
        <f>IF(FB$1&lt;CapEx!$O$7,0,(VLOOKUP($B17,Inputs!$B$25:$D$44,3,0)*(VLOOKUP(Financials!$B17,Inputs!$B$3:$D$21,3,0)*(1+Inputs!$L$9)^Financials!FB$3)*FB$8))</f>
        <v>993883.05111120548</v>
      </c>
      <c r="FC17" s="18">
        <f>IF(FC$1&lt;CapEx!$O$7,0,(VLOOKUP($B17,Inputs!$B$25:$D$44,3,0)*(VLOOKUP(Financials!$B17,Inputs!$B$3:$D$21,3,0)*(1+Inputs!$L$9)^Financials!FC$3)*FC$8))</f>
        <v>995539.52286305756</v>
      </c>
      <c r="FD17" s="18">
        <f>IF(FD$1&lt;CapEx!$O$7,0,(VLOOKUP($B17,Inputs!$B$25:$D$44,3,0)*(VLOOKUP(Financials!$B17,Inputs!$B$3:$D$21,3,0)*(1+Inputs!$L$9)^Financials!FD$3)*FD$8))</f>
        <v>900695.65003976005</v>
      </c>
      <c r="FE17" s="18">
        <f>IF(FE$1&lt;CapEx!$O$7,0,(VLOOKUP($B17,Inputs!$B$25:$D$44,3,0)*(VLOOKUP(Financials!$B17,Inputs!$B$3:$D$21,3,0)*(1+Inputs!$L$9)^Financials!FE$3)*FE$8))</f>
        <v>998860.75332683139</v>
      </c>
      <c r="FF17" s="18">
        <f>IF(FF$1&lt;CapEx!$O$7,0,(VLOOKUP($B17,Inputs!$B$25:$D$44,3,0)*(VLOOKUP(Financials!$B17,Inputs!$B$3:$D$21,3,0)*(1+Inputs!$L$9)^Financials!FF$3)*FF$8))</f>
        <v>968250.50443455786</v>
      </c>
      <c r="FG17" s="18">
        <f>IF(FG$1&lt;CapEx!$O$7,0,(VLOOKUP($B17,Inputs!$B$25:$D$44,3,0)*(VLOOKUP(Financials!$B17,Inputs!$B$3:$D$21,3,0)*(1+Inputs!$L$9)^Financials!FG$3)*FG$8))</f>
        <v>1002193.0637844582</v>
      </c>
      <c r="FH17" s="18">
        <f>IF(FH$1&lt;CapEx!$O$7,0,(VLOOKUP($B17,Inputs!$B$25:$D$44,3,0)*(VLOOKUP(Financials!$B17,Inputs!$B$3:$D$21,3,0)*(1+Inputs!$L$9)^Financials!FH$3)*FH$8))</f>
        <v>971480.69570074091</v>
      </c>
      <c r="FI17" s="18">
        <f>IF(FI$1&lt;CapEx!$O$7,0,(VLOOKUP($B17,Inputs!$B$25:$D$44,3,0)*(VLOOKUP(Financials!$B17,Inputs!$B$3:$D$21,3,0)*(1+Inputs!$L$9)^Financials!FI$3)*FI$8))</f>
        <v>1005536.4912000281</v>
      </c>
      <c r="FJ17" s="18">
        <f>IF(FJ$1&lt;CapEx!$O$7,0,(VLOOKUP($B17,Inputs!$B$25:$D$44,3,0)*(VLOOKUP(Financials!$B17,Inputs!$B$3:$D$21,3,0)*(1+Inputs!$L$9)^Financials!FJ$3)*FJ$8))</f>
        <v>1007212.3853520282</v>
      </c>
      <c r="FK17" s="18">
        <f>IF(FK$1&lt;CapEx!$O$7,0,(VLOOKUP($B17,Inputs!$B$25:$D$44,3,0)*(VLOOKUP(Financials!$B17,Inputs!$B$3:$D$21,3,0)*(1+Inputs!$L$9)^Financials!FK$3)*FK$8))</f>
        <v>976346.19934930489</v>
      </c>
      <c r="FL17" s="18">
        <f>IF(FL$1&lt;CapEx!$O$7,0,(VLOOKUP($B17,Inputs!$B$25:$D$44,3,0)*(VLOOKUP(Financials!$B17,Inputs!$B$3:$D$21,3,0)*(1+Inputs!$L$9)^Financials!FL$3)*FL$8))</f>
        <v>1010572.5577820499</v>
      </c>
      <c r="FM17" s="18">
        <f>IF(FM$1&lt;CapEx!$O$7,0,(VLOOKUP($B17,Inputs!$B$25:$D$44,3,0)*(VLOOKUP(Financials!$B17,Inputs!$B$3:$D$21,3,0)*(1+Inputs!$L$9)^Financials!FM$3)*FM$8))</f>
        <v>979603.39875324524</v>
      </c>
      <c r="FN17" s="18">
        <f>IF(FN$1&lt;CapEx!$O$7,0,(VLOOKUP($B17,Inputs!$B$25:$D$44,3,0)*(VLOOKUP(Financials!$B17,Inputs!$B$3:$D$21,3,0)*(1+Inputs!$L$9)^Financials!FN$3)*FN$8))</f>
        <v>1013943.9401206509</v>
      </c>
      <c r="FO17" s="18">
        <f>IF(FO$1&lt;CapEx!$O$7,0,(VLOOKUP($B17,Inputs!$B$25:$D$44,3,0)*(VLOOKUP(Financials!$B17,Inputs!$B$3:$D$21,3,0)*(1+Inputs!$L$9)^Financials!FO$3)*FO$8))</f>
        <v>1015633.8466875185</v>
      </c>
      <c r="FP17" s="18">
        <f>IF(FP$1&lt;CapEx!$O$7,0,(VLOOKUP($B17,Inputs!$B$25:$D$44,3,0)*(VLOOKUP(Financials!$B17,Inputs!$B$3:$D$21,3,0)*(1+Inputs!$L$9)^Financials!FP$3)*FP$8))</f>
        <v>918875.61140094418</v>
      </c>
      <c r="FQ17" s="18">
        <f>IF(FQ$1&lt;CapEx!$O$7,0,(VLOOKUP($B17,Inputs!$B$25:$D$44,3,0)*(VLOOKUP(Financials!$B17,Inputs!$B$3:$D$21,3,0)*(1+Inputs!$L$9)^Financials!FQ$3)*FQ$8))</f>
        <v>1019022.1140482735</v>
      </c>
      <c r="FR17" s="18">
        <f>IF(FR$1&lt;CapEx!$O$7,0,(VLOOKUP($B17,Inputs!$B$25:$D$44,3,0)*(VLOOKUP(Financials!$B17,Inputs!$B$3:$D$21,3,0)*(1+Inputs!$L$9)^Financials!FR$3)*FR$8))</f>
        <v>987794.0170048587</v>
      </c>
      <c r="FS17" s="18">
        <f>IF(FS$1&lt;CapEx!$O$7,0,(VLOOKUP($B17,Inputs!$B$25:$D$44,3,0)*(VLOOKUP(Financials!$B17,Inputs!$B$3:$D$21,3,0)*(1+Inputs!$L$9)^Financials!FS$3)*FS$8))</f>
        <v>1022421.685045418</v>
      </c>
      <c r="FT17" s="18">
        <f>IF(FT$1&lt;CapEx!$O$7,0,(VLOOKUP($B17,Inputs!$B$25:$D$44,3,0)*(VLOOKUP(Financials!$B17,Inputs!$B$3:$D$21,3,0)*(1+Inputs!$L$9)^Financials!FT$3)*FT$8))</f>
        <v>991089.40760047769</v>
      </c>
      <c r="FU17" s="18">
        <f>IF(FU$1&lt;CapEx!$O$7,0,(VLOOKUP($B17,Inputs!$B$25:$D$44,3,0)*(VLOOKUP(Financials!$B17,Inputs!$B$3:$D$21,3,0)*(1+Inputs!$L$9)^Financials!FU$3)*FU$8))</f>
        <v>1025832.597389139</v>
      </c>
      <c r="FV17" s="18">
        <f>IF(FV$1&lt;CapEx!$O$7,0,(VLOOKUP($B17,Inputs!$B$25:$D$44,3,0)*(VLOOKUP(Financials!$B17,Inputs!$B$3:$D$21,3,0)*(1+Inputs!$L$9)^Financials!FV$3)*FV$8))</f>
        <v>1027542.3183847878</v>
      </c>
      <c r="FW17" s="18">
        <f>IF(FW$1&lt;CapEx!$O$7,0,(VLOOKUP($B17,Inputs!$B$25:$D$44,3,0)*(VLOOKUP(Financials!$B17,Inputs!$B$3:$D$21,3,0)*(1+Inputs!$L$9)^Financials!FW$3)*FW$8))</f>
        <v>996053.11830525415</v>
      </c>
      <c r="FX17" s="18">
        <f>IF(FX$1&lt;CapEx!$O$7,0,(VLOOKUP($B17,Inputs!$B$25:$D$44,3,0)*(VLOOKUP(Financials!$B17,Inputs!$B$3:$D$21,3,0)*(1+Inputs!$L$9)^Financials!FX$3)*FX$8))</f>
        <v>1030970.3137302881</v>
      </c>
      <c r="FY17" s="18">
        <f>IF(FY$1&lt;CapEx!$O$7,0,(VLOOKUP($B17,Inputs!$B$25:$D$44,3,0)*(VLOOKUP(Financials!$B17,Inputs!$B$3:$D$21,3,0)*(1+Inputs!$L$9)^Financials!FY$3)*FY$8))</f>
        <v>999376.0621804893</v>
      </c>
      <c r="FZ17" s="18">
        <f>IF(FZ$1&lt;CapEx!$O$7,0,(VLOOKUP($B17,Inputs!$B$25:$D$44,3,0)*(VLOOKUP(Financials!$B17,Inputs!$B$3:$D$21,3,0)*(1+Inputs!$L$9)^Financials!FZ$3)*FZ$8))</f>
        <v>1034409.74524915</v>
      </c>
      <c r="GA17" s="18">
        <f>IF(GA$1&lt;CapEx!$O$7,0,(VLOOKUP($B17,Inputs!$B$25:$D$44,3,0)*(VLOOKUP(Financials!$B17,Inputs!$B$3:$D$21,3,0)*(1+Inputs!$L$9)^Financials!GA$3)*GA$8))</f>
        <v>1036133.7614912319</v>
      </c>
      <c r="GB17" s="18">
        <f>IF(GB$1&lt;CapEx!$O$7,0,(VLOOKUP($B17,Inputs!$B$25:$D$44,3,0)*(VLOOKUP(Financials!$B17,Inputs!$B$3:$D$21,3,0)*(1+Inputs!$L$9)^Financials!GB$3)*GB$8))</f>
        <v>937422.52356851881</v>
      </c>
      <c r="GC17" s="18">
        <f>IF(GC$1&lt;CapEx!$O$7,0,(VLOOKUP($B17,Inputs!$B$25:$D$44,3,0)*(VLOOKUP(Financials!$B17,Inputs!$B$3:$D$21,3,0)*(1+Inputs!$L$9)^Financials!GC$3)*GC$8))</f>
        <v>1039590.4188455399</v>
      </c>
      <c r="GD17" s="18">
        <f>IF(GD$1&lt;CapEx!$O$7,0,(VLOOKUP($B17,Inputs!$B$25:$D$44,3,0)*(VLOOKUP(Financials!$B17,Inputs!$B$3:$D$21,3,0)*(1+Inputs!$L$9)^Financials!GD$3)*GD$8))</f>
        <v>1007732.0027841449</v>
      </c>
      <c r="GE17" s="18">
        <f>IF(GE$1&lt;CapEx!$O$7,0,(VLOOKUP($B17,Inputs!$B$25:$D$44,3,0)*(VLOOKUP(Financials!$B17,Inputs!$B$3:$D$21,3,0)*(1+Inputs!$L$9)^Financials!GE$3)*GE$8))</f>
        <v>1043058.6079928554</v>
      </c>
      <c r="GF17" s="18">
        <f>IF(GF$1&lt;CapEx!$O$7,0,(VLOOKUP($B17,Inputs!$B$25:$D$44,3,0)*(VLOOKUP(Financials!$B17,Inputs!$B$3:$D$21,3,0)*(1+Inputs!$L$9)^Financials!GF$3)*GF$8))</f>
        <v>1011093.9087156552</v>
      </c>
      <c r="GG17" s="18">
        <f>IF(GG$1&lt;CapEx!$O$7,0,(VLOOKUP($B17,Inputs!$B$25:$D$44,3,0)*(VLOOKUP(Financials!$B17,Inputs!$B$3:$D$21,3,0)*(1+Inputs!$L$9)^Financials!GG$3)*GG$8))</f>
        <v>1046538.3674045209</v>
      </c>
      <c r="GH17" s="18">
        <f>IF(GH$1&lt;CapEx!$O$7,0,(VLOOKUP($B17,Inputs!$B$25:$D$44,3,0)*(VLOOKUP(Financials!$B17,Inputs!$B$3:$D$21,3,0)*(1+Inputs!$L$9)^Financials!GH$3)*GH$8))</f>
        <v>1048282.5980168616</v>
      </c>
      <c r="GI17" s="18">
        <f>IF(GI$1&lt;CapEx!$O$7,0,(VLOOKUP($B17,Inputs!$B$25:$D$44,3,0)*(VLOOKUP(Financials!$B17,Inputs!$B$3:$D$21,3,0)*(1+Inputs!$L$9)^Financials!GI$3)*GI$8))</f>
        <v>1016157.8087227967</v>
      </c>
      <c r="GJ17" s="18">
        <f>IF(GJ$1&lt;CapEx!$O$7,0,(VLOOKUP($B17,Inputs!$B$25:$D$44,3,0)*(VLOOKUP(Financials!$B17,Inputs!$B$3:$D$21,3,0)*(1+Inputs!$L$9)^Financials!GJ$3)*GJ$8))</f>
        <v>1051779.78523969</v>
      </c>
      <c r="GK17" s="18">
        <f>IF(GK$1&lt;CapEx!$O$7,0,(VLOOKUP($B17,Inputs!$B$25:$D$44,3,0)*(VLOOKUP(Financials!$B17,Inputs!$B$3:$D$21,3,0)*(1+Inputs!$L$9)^Financials!GK$3)*GK$8))</f>
        <v>1019547.8240791191</v>
      </c>
      <c r="GL17" s="18">
        <f>IF(GL$1&lt;CapEx!$O$7,0,(VLOOKUP($B17,Inputs!$B$25:$D$44,3,0)*(VLOOKUP(Financials!$B17,Inputs!$B$3:$D$21,3,0)*(1+Inputs!$L$9)^Financials!GL$3)*GL$8))</f>
        <v>1055288.6394676708</v>
      </c>
      <c r="GM17" s="18">
        <f>IF(GM$1&lt;CapEx!$O$7,0,(VLOOKUP($B17,Inputs!$B$25:$D$44,3,0)*(VLOOKUP(Financials!$B17,Inputs!$B$3:$D$21,3,0)*(1+Inputs!$L$9)^Financials!GM$3)*GM$8))</f>
        <v>1057047.4538667835</v>
      </c>
      <c r="GN17" s="18">
        <f>IF(GN$1&lt;CapEx!$O$7,0,(VLOOKUP($B17,Inputs!$B$25:$D$44,3,0)*(VLOOKUP(Financials!$B17,Inputs!$B$3:$D$21,3,0)*(1+Inputs!$L$9)^Financials!GN$3)*GN$8))</f>
        <v>956343.79320807708</v>
      </c>
      <c r="GO17" s="18">
        <f>IF(GO$1&lt;CapEx!$O$7,0,(VLOOKUP($B17,Inputs!$B$25:$D$44,3,0)*(VLOOKUP(Financials!$B17,Inputs!$B$3:$D$21,3,0)*(1+Inputs!$L$9)^Financials!GO$3)*GO$8))</f>
        <v>1060573.8816226004</v>
      </c>
      <c r="GP17" s="18">
        <f>IF(GP$1&lt;CapEx!$O$7,0,(VLOOKUP($B17,Inputs!$B$25:$D$44,3,0)*(VLOOKUP(Financials!$B17,Inputs!$B$3:$D$21,3,0)*(1+Inputs!$L$9)^Financials!GP$3)*GP$8))</f>
        <v>1028072.4239599723</v>
      </c>
      <c r="GQ17" s="18">
        <f>IF(GQ$1&lt;CapEx!$O$7,0,(VLOOKUP($B17,Inputs!$B$25:$D$44,3,0)*(VLOOKUP(Financials!$B17,Inputs!$B$3:$D$21,3,0)*(1+Inputs!$L$9)^Financials!GQ$3)*GQ$8))</f>
        <v>1064112.0739332358</v>
      </c>
      <c r="GR17" s="18">
        <f>IF(GR$1&lt;CapEx!$O$7,0,(VLOOKUP($B17,Inputs!$B$25:$D$44,3,0)*(VLOOKUP(Financials!$B17,Inputs!$B$3:$D$21,3,0)*(1+Inputs!$L$9)^Financials!GR$3)*GR$8))</f>
        <v>1031502.1877965722</v>
      </c>
      <c r="GS17" s="18">
        <f>IF(GS$1&lt;CapEx!$O$7,0,(VLOOKUP($B17,Inputs!$B$25:$D$44,3,0)*(VLOOKUP(Financials!$B17,Inputs!$B$3:$D$21,3,0)*(1+Inputs!$L$9)^Financials!GS$3)*GS$8))</f>
        <v>1067662.0700465522</v>
      </c>
      <c r="GT17" s="18">
        <f>IF(GT$1&lt;CapEx!$O$7,0,(VLOOKUP($B17,Inputs!$B$25:$D$44,3,0)*(VLOOKUP(Financials!$B17,Inputs!$B$3:$D$21,3,0)*(1+Inputs!$L$9)^Financials!GT$3)*GT$8))</f>
        <v>1069441.5068299633</v>
      </c>
      <c r="GU17" s="18">
        <f>IF(GU$1&lt;CapEx!$O$7,0,(VLOOKUP($B17,Inputs!$B$25:$D$44,3,0)*(VLOOKUP(Financials!$B17,Inputs!$B$3:$D$21,3,0)*(1+Inputs!$L$9)^Financials!GU$3)*GU$8))</f>
        <v>1036668.2993625933</v>
      </c>
      <c r="GV17" s="18">
        <f>IF(GV$1&lt;CapEx!$O$7,0,(VLOOKUP($B17,Inputs!$B$25:$D$44,3,0)*(VLOOKUP(Financials!$B17,Inputs!$B$3:$D$21,3,0)*(1+Inputs!$L$9)^Financials!GV$3)*GV$8))</f>
        <v>1073009.2825235822</v>
      </c>
      <c r="GW17" s="18">
        <f>IF(GW$1&lt;CapEx!$O$7,0,(VLOOKUP($B17,Inputs!$B$25:$D$44,3,0)*(VLOOKUP(Financials!$B17,Inputs!$B$3:$D$21,3,0)*(1+Inputs!$L$9)^Financials!GW$3)*GW$8))</f>
        <v>1040126.7399946336</v>
      </c>
      <c r="GX17" s="18">
        <f>IF(GX$1&lt;CapEx!$O$7,0,(VLOOKUP($B17,Inputs!$B$25:$D$44,3,0)*(VLOOKUP(Financials!$B17,Inputs!$B$3:$D$21,3,0)*(1+Inputs!$L$9)^Financials!GX$3)*GX$8))</f>
        <v>1076588.9607133344</v>
      </c>
      <c r="GY17" s="18">
        <f>IF(GY$1&lt;CapEx!$O$7,0,(VLOOKUP($B17,Inputs!$B$25:$D$44,3,0)*(VLOOKUP(Financials!$B17,Inputs!$B$3:$D$21,3,0)*(1+Inputs!$L$9)^Financials!GY$3)*GY$8))</f>
        <v>1078383.2756478568</v>
      </c>
      <c r="GZ17" s="18">
        <f>IF(GZ$1&lt;CapEx!$O$7,0,(VLOOKUP($B17,Inputs!$B$25:$D$44,3,0)*(VLOOKUP(Financials!$B17,Inputs!$B$3:$D$21,3,0)*(1+Inputs!$L$9)^Financials!GZ$3)*GZ$8))</f>
        <v>975646.97648398578</v>
      </c>
      <c r="HA17" s="18">
        <f>IF(HA$1&lt;CapEx!$O$7,0,(VLOOKUP($B17,Inputs!$B$25:$D$44,3,0)*(VLOOKUP(Financials!$B17,Inputs!$B$3:$D$21,3,0)*(1+Inputs!$L$9)^Financials!HA$3)*HA$8))</f>
        <v>1081980.8820757822</v>
      </c>
      <c r="HB17" s="18">
        <f>IF(HB$1&lt;CapEx!$O$7,0,(VLOOKUP($B17,Inputs!$B$25:$D$44,3,0)*(VLOOKUP(Financials!$B17,Inputs!$B$3:$D$21,3,0)*(1+Inputs!$L$9)^Financials!HB$3)*HB$8))</f>
        <v>1048823.4034315248</v>
      </c>
      <c r="HC17" s="18">
        <f>IF(HC$1&lt;CapEx!$O$7,0,(VLOOKUP($B17,Inputs!$B$25:$D$44,3,0)*(VLOOKUP(Financials!$B17,Inputs!$B$3:$D$21,3,0)*(1+Inputs!$L$9)^Financials!HC$3)*HC$8))</f>
        <v>1085590.4905184854</v>
      </c>
      <c r="HD17" s="18">
        <f>IF(HD$1&lt;CapEx!$O$7,0,(VLOOKUP($B17,Inputs!$B$25:$D$44,3,0)*(VLOOKUP(Financials!$B17,Inputs!$B$3:$D$21,3,0)*(1+Inputs!$L$9)^Financials!HD$3)*HD$8))</f>
        <v>1052322.3948413059</v>
      </c>
      <c r="HE17" s="18">
        <f>IF(HE$1&lt;CapEx!$O$7,0,(VLOOKUP($B17,Inputs!$B$25:$D$44,3,0)*(VLOOKUP(Financials!$B17,Inputs!$B$3:$D$21,3,0)*(1+Inputs!$L$9)^Financials!HE$3)*HE$8))</f>
        <v>1089212.1410160207</v>
      </c>
      <c r="HF17" s="18">
        <f>IF(HF$1&lt;CapEx!$O$7,0,(VLOOKUP($B17,Inputs!$B$25:$D$44,3,0)*(VLOOKUP(Financials!$B17,Inputs!$B$3:$D$21,3,0)*(1+Inputs!$L$9)^Financials!HF$3)*HF$8))</f>
        <v>1091027.4945843809</v>
      </c>
      <c r="HG17" s="18">
        <f>IF(HG$1&lt;CapEx!$O$7,0,(VLOOKUP($B17,Inputs!$B$25:$D$44,3,0)*(VLOOKUP(Financials!$B17,Inputs!$B$3:$D$21,3,0)*(1+Inputs!$L$9)^Financials!HG$3)*HG$8))</f>
        <v>1057592.7810406657</v>
      </c>
      <c r="HH17" s="18">
        <f>IF(HH$1&lt;CapEx!$O$7,0,(VLOOKUP($B17,Inputs!$B$25:$D$44,3,0)*(VLOOKUP(Financials!$B17,Inputs!$B$3:$D$21,3,0)*(1+Inputs!$L$9)^Financials!HH$3)*HH$8))</f>
        <v>1094667.2835315913</v>
      </c>
      <c r="HI17" s="18">
        <f>IF(HI$1&lt;CapEx!$O$7,0,(VLOOKUP($B17,Inputs!$B$25:$D$44,3,0)*(VLOOKUP(Financials!$B17,Inputs!$B$3:$D$21,3,0)*(1+Inputs!$L$9)^Financials!HI$3)*HI$8))</f>
        <v>1061121.0280685264</v>
      </c>
      <c r="HJ17" s="18">
        <f>IF(HJ$1&lt;CapEx!$O$7,0,(VLOOKUP($B17,Inputs!$B$25:$D$44,3,0)*(VLOOKUP(Financials!$B17,Inputs!$B$3:$D$21,3,0)*(1+Inputs!$L$9)^Financials!HJ$3)*HJ$8))</f>
        <v>1098319.2152191512</v>
      </c>
      <c r="HK17" s="18">
        <f>IF(HK$1&lt;CapEx!$O$7,0,(VLOOKUP($B17,Inputs!$B$25:$D$44,3,0)*(VLOOKUP(Financials!$B17,Inputs!$B$3:$D$21,3,0)*(1+Inputs!$L$9)^Financials!HK$3)*HK$8))</f>
        <v>1100149.7472445164</v>
      </c>
      <c r="HL17" s="18">
        <f>IF(HL$1&lt;CapEx!$O$7,0,(VLOOKUP($B17,Inputs!$B$25:$D$44,3,0)*(VLOOKUP(Financials!$B17,Inputs!$B$3:$D$21,3,0)*(1+Inputs!$L$9)^Financials!HL$3)*HL$8))</f>
        <v>995339.78207692062</v>
      </c>
      <c r="HM17" s="18">
        <f>IF(HM$1&lt;CapEx!$O$7,0,(VLOOKUP($B17,Inputs!$B$25:$D$44,3,0)*(VLOOKUP(Financials!$B17,Inputs!$B$3:$D$21,3,0)*(1+Inputs!$L$9)^Financials!HM$3)*HM$8))</f>
        <v>1103819.9690401852</v>
      </c>
      <c r="HN17" s="18">
        <f>IF(HN$1&lt;CapEx!$O$7,0,(VLOOKUP($B17,Inputs!$B$25:$D$44,3,0)*(VLOOKUP(Financials!$B17,Inputs!$B$3:$D$21,3,0)*(1+Inputs!$L$9)^Financials!HN$3)*HN$8))</f>
        <v>1069993.2280534697</v>
      </c>
      <c r="HO17" s="18">
        <f>IF(HO$1&lt;CapEx!$O$7,0,(VLOOKUP($B17,Inputs!$B$25:$D$44,3,0)*(VLOOKUP(Financials!$B17,Inputs!$B$3:$D$21,3,0)*(1+Inputs!$L$9)^Financials!HO$3)*HO$8))</f>
        <v>1107502.4351035666</v>
      </c>
      <c r="HP17" s="18">
        <f>IF(HP$1&lt;CapEx!$O$7,0,(VLOOKUP($B17,Inputs!$B$25:$D$44,3,0)*(VLOOKUP(Financials!$B17,Inputs!$B$3:$D$21,3,0)*(1+Inputs!$L$9)^Financials!HP$3)*HP$8))</f>
        <v>1073562.8443503929</v>
      </c>
      <c r="HQ17" s="18">
        <f>IF(HQ$1&lt;CapEx!$O$7,0,(VLOOKUP($B17,Inputs!$B$25:$D$44,3,0)*(VLOOKUP(Financials!$B17,Inputs!$B$3:$D$21,3,0)*(1+Inputs!$L$9)^Financials!HQ$3)*HQ$8))</f>
        <v>1111197.1862828983</v>
      </c>
      <c r="HR17" s="18">
        <f>IF(HR$1&lt;CapEx!$O$7,0,(VLOOKUP($B17,Inputs!$B$25:$D$44,3,0)*(VLOOKUP(Financials!$B17,Inputs!$B$3:$D$21,3,0)*(1+Inputs!$L$9)^Financials!HR$3)*HR$8))</f>
        <v>1113049.1815933699</v>
      </c>
      <c r="HS17" s="18">
        <f>IF(HS$1&lt;CapEx!$O$7,0,(VLOOKUP($B17,Inputs!$B$25:$D$44,3,0)*(VLOOKUP(Financials!$B17,Inputs!$B$3:$D$21,3,0)*(1+Inputs!$L$9)^Financials!HS$3)*HS$8))</f>
        <v>1078939.6098993795</v>
      </c>
      <c r="HT17" s="18">
        <f>IF(HT$1&lt;CapEx!$O$7,0,(VLOOKUP($B17,Inputs!$B$25:$D$44,3,0)*(VLOOKUP(Financials!$B17,Inputs!$B$3:$D$21,3,0)*(1+Inputs!$L$9)^Financials!HT$3)*HT$8))</f>
        <v>1116762.4373352968</v>
      </c>
      <c r="HU17" s="18">
        <f>IF(HU$1&lt;CapEx!$O$7,0,(VLOOKUP($B17,Inputs!$B$25:$D$44,3,0)*(VLOOKUP(Financials!$B17,Inputs!$B$3:$D$21,3,0)*(1+Inputs!$L$9)^Financials!HU$3)*HU$8))</f>
        <v>1082539.072320183</v>
      </c>
      <c r="HV17" s="18">
        <f>IF(HV$1&lt;CapEx!$O$7,0,(VLOOKUP($B17,Inputs!$B$25:$D$44,3,0)*(VLOOKUP(Financials!$B17,Inputs!$B$3:$D$21,3,0)*(1+Inputs!$L$9)^Financials!HV$3)*HV$8))</f>
        <v>1120488.080910963</v>
      </c>
      <c r="HW17" s="18">
        <f>IF(HW$1&lt;CapEx!$O$7,0,(VLOOKUP($B17,Inputs!$B$25:$D$44,3,0)*(VLOOKUP(Financials!$B17,Inputs!$B$3:$D$21,3,0)*(1+Inputs!$L$9)^Financials!HW$3)*HW$8))</f>
        <v>1122355.5610458148</v>
      </c>
      <c r="HX17" s="18">
        <f>IF(HX$1&lt;CapEx!$O$7,0,(VLOOKUP($B17,Inputs!$B$25:$D$44,3,0)*(VLOOKUP(Financials!$B17,Inputs!$B$3:$D$21,3,0)*(1+Inputs!$L$9)^Financials!HX$3)*HX$8))</f>
        <v>1015430.0742623099</v>
      </c>
      <c r="HY17" s="18">
        <f>IF(HY$1&lt;CapEx!$O$7,0,(VLOOKUP($B17,Inputs!$B$25:$D$44,3,0)*(VLOOKUP(Financials!$B17,Inputs!$B$3:$D$21,3,0)*(1+Inputs!$L$9)^Financials!HY$3)*HY$8))</f>
        <v>1126099.8639036373</v>
      </c>
      <c r="HZ17" s="18">
        <f>IF(HZ$1&lt;CapEx!$O$7,0,(VLOOKUP($B17,Inputs!$B$25:$D$44,3,0)*(VLOOKUP(Financials!$B17,Inputs!$B$3:$D$21,3,0)*(1+Inputs!$L$9)^Financials!HZ$3)*HZ$8))</f>
        <v>1091590.3519453001</v>
      </c>
      <c r="IA17" s="18">
        <f>IF(IA$1&lt;CapEx!$O$7,0,(VLOOKUP($B17,Inputs!$B$25:$D$44,3,0)*(VLOOKUP(Financials!$B17,Inputs!$B$3:$D$21,3,0)*(1+Inputs!$L$9)^Financials!IA$3)*IA$8))</f>
        <v>1129856.6581718267</v>
      </c>
      <c r="IB17" s="18">
        <f>IF(IB$1&lt;CapEx!$O$7,0,(VLOOKUP($B17,Inputs!$B$25:$D$44,3,0)*(VLOOKUP(Financials!$B17,Inputs!$B$3:$D$21,3,0)*(1+Inputs!$L$9)^Financials!IB$3)*IB$8))</f>
        <v>1095232.018647206</v>
      </c>
      <c r="IC17" s="18">
        <f>IF(IC$1&lt;CapEx!$O$7,0,(VLOOKUP($B17,Inputs!$B$25:$D$44,3,0)*(VLOOKUP(Financials!$B17,Inputs!$B$3:$D$21,3,0)*(1+Inputs!$L$9)^Financials!IC$3)*IC$8))</f>
        <v>1133625.9855231168</v>
      </c>
      <c r="ID17" s="18">
        <f>IF(ID$1&lt;CapEx!$O$7,0,(VLOOKUP($B17,Inputs!$B$25:$D$44,3,0)*(VLOOKUP(Financials!$B17,Inputs!$B$3:$D$21,3,0)*(1+Inputs!$L$9)^Financials!ID$3)*ID$8))</f>
        <v>1135515.3621656555</v>
      </c>
      <c r="IE17" s="18">
        <f>IF(IE$1&lt;CapEx!$O$7,0,(VLOOKUP($B17,Inputs!$B$25:$D$44,3,0)*(VLOOKUP(Financials!$B17,Inputs!$B$3:$D$21,3,0)*(1+Inputs!$L$9)^Financials!IE$3)*IE$8))</f>
        <v>1100717.3107444502</v>
      </c>
      <c r="IF17" s="18">
        <f>IF(IF$1&lt;CapEx!$O$7,0,(VLOOKUP($B17,Inputs!$B$25:$D$44,3,0)*(VLOOKUP(Financials!$B17,Inputs!$B$3:$D$21,3,0)*(1+Inputs!$L$9)^Financials!IF$3)*IF$8))</f>
        <v>1139303.5675822138</v>
      </c>
      <c r="IG17" s="18">
        <f>IF(IG$1&lt;CapEx!$O$7,0,(VLOOKUP($B17,Inputs!$B$25:$D$44,3,0)*(VLOOKUP(Financials!$B17,Inputs!$B$3:$D$21,3,0)*(1+Inputs!$L$9)^Financials!IG$3)*IG$8))</f>
        <v>1104389.4259950172</v>
      </c>
      <c r="IH17" s="18">
        <f>IF(IH$1&lt;CapEx!$O$7,0,(VLOOKUP($B17,Inputs!$B$25:$D$44,3,0)*(VLOOKUP(Financials!$B17,Inputs!$B$3:$D$21,3,0)*(1+Inputs!$L$9)^Financials!IH$3)*IH$8))</f>
        <v>1143104.4108729537</v>
      </c>
      <c r="II17" s="18">
        <f>IF(II$1&lt;CapEx!$O$7,0,(VLOOKUP($B17,Inputs!$B$25:$D$44,3,0)*(VLOOKUP(Financials!$B17,Inputs!$B$3:$D$21,3,0)*(1+Inputs!$L$9)^Financials!II$3)*II$8))</f>
        <v>1145009.5848910755</v>
      </c>
      <c r="IJ17" s="18">
        <f>IF(IJ$1&lt;CapEx!$O$7,0,(VLOOKUP($B17,Inputs!$B$25:$D$44,3,0)*(VLOOKUP(Financials!$B17,Inputs!$B$3:$D$21,3,0)*(1+Inputs!$L$9)^Financials!IJ$3)*IJ$8))</f>
        <v>1035925.8760509148</v>
      </c>
      <c r="IK17" s="18">
        <f>IF(IK$1&lt;CapEx!$O$7,0,(VLOOKUP($B17,Inputs!$B$25:$D$44,3,0)*(VLOOKUP(Financials!$B17,Inputs!$B$3:$D$21,3,0)*(1+Inputs!$L$9)^Financials!IK$3)*IK$8))</f>
        <v>1148829.4640895594</v>
      </c>
      <c r="IL17" s="18">
        <f>IF(IL$1&lt;CapEx!$O$7,0,(VLOOKUP($B17,Inputs!$B$25:$D$44,3,0)*(VLOOKUP(Financials!$B17,Inputs!$B$3:$D$21,3,0)*(1+Inputs!$L$9)^Financials!IL$3)*IL$8))</f>
        <v>1113623.3998674601</v>
      </c>
      <c r="IM17" s="18">
        <f>IF(IM$1&lt;CapEx!$O$7,0,(VLOOKUP($B17,Inputs!$B$25:$D$44,3,0)*(VLOOKUP(Financials!$B17,Inputs!$B$3:$D$21,3,0)*(1+Inputs!$L$9)^Financials!IM$3)*IM$8))</f>
        <v>1152662.0868294805</v>
      </c>
      <c r="IN17" s="18">
        <f>IF(IN$1&lt;CapEx!$O$7,0,(VLOOKUP($B17,Inputs!$B$25:$D$44,3,0)*(VLOOKUP(Financials!$B17,Inputs!$B$3:$D$21,3,0)*(1+Inputs!$L$9)^Financials!IN$3)*IN$8))</f>
        <v>1117338.571265351</v>
      </c>
      <c r="IO17" s="18">
        <f>IF(IO$1&lt;CapEx!$O$7,0,(VLOOKUP($B17,Inputs!$B$25:$D$44,3,0)*(VLOOKUP(Financials!$B17,Inputs!$B$3:$D$21,3,0)*(1+Inputs!$L$9)^Financials!IO$3)*IO$8))</f>
        <v>1156507.4956247089</v>
      </c>
      <c r="IP17" s="18">
        <f>IF(IP$1&lt;CapEx!$O$7,0,(VLOOKUP($B17,Inputs!$B$25:$D$44,3,0)*(VLOOKUP(Financials!$B17,Inputs!$B$3:$D$21,3,0)*(1+Inputs!$L$9)^Financials!IP$3)*IP$8))</f>
        <v>1158435.0081174169</v>
      </c>
      <c r="IQ17" s="18">
        <f>IF(IQ$1&lt;CapEx!$O$7,0,(VLOOKUP($B17,Inputs!$B$25:$D$44,3,0)*(VLOOKUP(Financials!$B17,Inputs!$B$3:$D$21,3,0)*(1+Inputs!$L$9)^Financials!IQ$3)*IQ$8))</f>
        <v>1122934.5804493024</v>
      </c>
      <c r="IR17" s="18">
        <f>IF(IR$1&lt;CapEx!$O$7,0,(VLOOKUP($B17,Inputs!$B$25:$D$44,3,0)*(VLOOKUP(Financials!$B17,Inputs!$B$3:$D$21,3,0)*(1+Inputs!$L$9)^Financials!IR$3)*IR$8))</f>
        <v>1162299.6760194974</v>
      </c>
      <c r="IS17" s="18">
        <f>IF(IS$1&lt;CapEx!$O$7,0,(VLOOKUP($B17,Inputs!$B$25:$D$44,3,0)*(VLOOKUP(Financials!$B17,Inputs!$B$3:$D$21,3,0)*(1+Inputs!$L$9)^Financials!IS$3)*IS$8))</f>
        <v>1126680.8149801902</v>
      </c>
      <c r="IT17" s="18">
        <f>IF(IT$1&lt;CapEx!$O$7,0,(VLOOKUP($B17,Inputs!$B$25:$D$44,3,0)*(VLOOKUP(Financials!$B17,Inputs!$B$3:$D$21,3,0)*(1+Inputs!$L$9)^Financials!IT$3)*IT$8))</f>
        <v>1166177.2368831071</v>
      </c>
      <c r="IU17" s="18">
        <f>IF(IU$1&lt;CapEx!$O$7,0,(VLOOKUP($B17,Inputs!$B$25:$D$44,3,0)*(VLOOKUP(Financials!$B17,Inputs!$B$3:$D$21,3,0)*(1+Inputs!$L$9)^Financials!IU$3)*IU$8))</f>
        <v>1168120.8656112459</v>
      </c>
      <c r="IV17" s="18">
        <f>IF(IV$1&lt;CapEx!$O$7,0,(VLOOKUP($B17,Inputs!$B$25:$D$44,3,0)*(VLOOKUP(Financials!$B17,Inputs!$B$3:$D$21,3,0)*(1+Inputs!$L$9)^Financials!IV$3)*IV$8))</f>
        <v>1056835.3723927983</v>
      </c>
      <c r="IW17" s="18">
        <f>IF(IW$1&lt;CapEx!$O$7,0,(VLOOKUP($B17,Inputs!$B$25:$D$44,3,0)*(VLOOKUP(Financials!$B17,Inputs!$B$3:$D$21,3,0)*(1+Inputs!$L$9)^Financials!IW$3)*IW$8))</f>
        <v>1172017.8466101324</v>
      </c>
      <c r="IX17" s="18">
        <f>IF(IX$1&lt;CapEx!$O$7,0,(VLOOKUP($B17,Inputs!$B$25:$D$44,3,0)*(VLOOKUP(Financials!$B17,Inputs!$B$3:$D$21,3,0)*(1+Inputs!$L$9)^Financials!IX$3)*IX$8))</f>
        <v>1136101.1706656285</v>
      </c>
      <c r="IY17" s="18">
        <f>IF(IY$1&lt;CapEx!$O$7,0,(VLOOKUP($B17,Inputs!$B$25:$D$44,3,0)*(VLOOKUP(Financials!$B17,Inputs!$B$3:$D$21,3,0)*(1+Inputs!$L$9)^Financials!IY$3)*IY$8))</f>
        <v>1175927.8283706293</v>
      </c>
      <c r="IZ17" s="18">
        <f>IF(IZ$1&lt;CapEx!$O$7,0,(VLOOKUP($B17,Inputs!$B$25:$D$44,3,0)*(VLOOKUP(Financials!$B17,Inputs!$B$3:$D$21,3,0)*(1+Inputs!$L$9)^Financials!IZ$3)*IZ$8))</f>
        <v>1139891.3304044325</v>
      </c>
      <c r="JA17" s="18">
        <f>IF(JA$1&lt;CapEx!$O$7,0,(VLOOKUP($B17,Inputs!$B$25:$D$44,3,0)*(VLOOKUP(Financials!$B17,Inputs!$B$3:$D$21,3,0)*(1+Inputs!$L$9)^Financials!JA$3)*JA$8))</f>
        <v>1179850.8542647215</v>
      </c>
      <c r="JB17" s="18">
        <f>IF(JB$1&lt;CapEx!$O$7,0,(VLOOKUP($B17,Inputs!$B$25:$D$44,3,0)*(VLOOKUP(Financials!$B17,Inputs!$B$3:$D$21,3,0)*(1+Inputs!$L$9)^Financials!JB$3)*JB$8))</f>
        <v>1181817.2723551628</v>
      </c>
      <c r="JC17" s="18">
        <f>IF(JC$1&lt;CapEx!$O$7,0,(VLOOKUP($B17,Inputs!$B$25:$D$44,3,0)*(VLOOKUP(Financials!$B17,Inputs!$B$3:$D$21,3,0)*(1+Inputs!$L$9)^Financials!JC$3)*JC$8))</f>
        <v>1145600.2914281497</v>
      </c>
      <c r="JD17" s="18">
        <f>IF(JD$1&lt;CapEx!$O$7,0,(VLOOKUP($B17,Inputs!$B$25:$D$44,3,0)*(VLOOKUP(Financials!$B17,Inputs!$B$3:$D$21,3,0)*(1+Inputs!$L$9)^Financials!JD$3)*JD$8))</f>
        <v>1185759.9460887697</v>
      </c>
      <c r="JE17" s="18">
        <f>IF(JE$1&lt;CapEx!$O$7,0,(VLOOKUP($B17,Inputs!$B$25:$D$44,3,0)*(VLOOKUP(Financials!$B17,Inputs!$B$3:$D$21,3,0)*(1+Inputs!$L$9)^Financials!JE$3)*JE$8))</f>
        <v>1149422.1412892751</v>
      </c>
      <c r="JF17" s="18">
        <f>IF(JF$1&lt;CapEx!$O$7,0,(VLOOKUP($B17,Inputs!$B$25:$D$44,3,0)*(VLOOKUP(Financials!$B17,Inputs!$B$3:$D$21,3,0)*(1+Inputs!$L$9)^Financials!JF$3)*JF$8))</f>
        <v>1189715.7730200274</v>
      </c>
      <c r="JG17" s="18">
        <f>IF(JG$1&lt;CapEx!$O$7,0,(VLOOKUP($B17,Inputs!$B$25:$D$44,3,0)*(VLOOKUP(Financials!$B17,Inputs!$B$3:$D$21,3,0)*(1+Inputs!$L$9)^Financials!JG$3)*JG$8))</f>
        <v>1191698.6326417276</v>
      </c>
      <c r="JH17" s="18">
        <f>IF(JH$1&lt;CapEx!$O$7,0,(VLOOKUP($B17,Inputs!$B$25:$D$44,3,0)*(VLOOKUP(Financials!$B17,Inputs!$B$3:$D$21,3,0)*(1+Inputs!$L$9)^Financials!JH$3)*JH$8))</f>
        <v>1078166.9134459672</v>
      </c>
      <c r="JI17" s="18">
        <f>IF(JI$1&lt;CapEx!$O$7,0,(VLOOKUP($B17,Inputs!$B$25:$D$44,3,0)*(VLOOKUP(Financials!$B17,Inputs!$B$3:$D$21,3,0)*(1+Inputs!$L$9)^Financials!JI$3)*JI$8))</f>
        <v>1195674.2716911796</v>
      </c>
      <c r="JJ17" s="18">
        <f>IF(JJ$1&lt;CapEx!$O$7,0,(VLOOKUP($B17,Inputs!$B$25:$D$44,3,0)*(VLOOKUP(Financials!$B17,Inputs!$B$3:$D$21,3,0)*(1+Inputs!$L$9)^Financials!JJ$3)*JJ$8))</f>
        <v>1159032.6407845141</v>
      </c>
      <c r="JK17" s="18">
        <f>IF(JK$1&lt;CapEx!$O$7,0,(VLOOKUP($B17,Inputs!$B$25:$D$44,3,0)*(VLOOKUP(Financials!$B17,Inputs!$B$3:$D$21,3,0)*(1+Inputs!$L$9)^Financials!JK$3)*JK$8))</f>
        <v>1199663.1739142383</v>
      </c>
      <c r="JL17" s="18">
        <f>IF(JL$1&lt;CapEx!$O$7,0,(VLOOKUP($B17,Inputs!$B$25:$D$44,3,0)*(VLOOKUP(Financials!$B17,Inputs!$B$3:$D$21,3,0)*(1+Inputs!$L$9)^Financials!JL$3)*JL$8))</f>
        <v>1162899.3024555761</v>
      </c>
      <c r="JM17" s="18">
        <f>IF(JM$1&lt;CapEx!$O$7,0,(VLOOKUP($B17,Inputs!$B$25:$D$44,3,0)*(VLOOKUP(Financials!$B17,Inputs!$B$3:$D$21,3,0)*(1+Inputs!$L$9)^Financials!JM$3)*JM$8))</f>
        <v>1203665.3835583248</v>
      </c>
      <c r="JN17" s="18">
        <f>IF(JN$1&lt;CapEx!$O$7,0,(VLOOKUP($B17,Inputs!$B$25:$D$44,3,0)*(VLOOKUP(Financials!$B17,Inputs!$B$3:$D$21,3,0)*(1+Inputs!$L$9)^Financials!JN$3)*JN$8))</f>
        <v>1205671.4925309219</v>
      </c>
      <c r="JO17" s="18">
        <f>IF(JO$1&lt;CapEx!$O$7,0,(VLOOKUP($B17,Inputs!$B$25:$D$44,3,0)*(VLOOKUP(Financials!$B17,Inputs!$B$3:$D$21,3,0)*(1+Inputs!$L$9)^Financials!JO$3)*JO$8))</f>
        <v>1168723.4951791682</v>
      </c>
      <c r="JP17" s="18">
        <f>IF(JP$1&lt;CapEx!$O$7,0,(VLOOKUP($B17,Inputs!$B$25:$D$44,3,0)*(VLOOKUP(Financials!$B17,Inputs!$B$3:$D$21,3,0)*(1+Inputs!$L$9)^Financials!JP$3)*JP$8))</f>
        <v>1209693.7465935044</v>
      </c>
      <c r="JQ17" s="18">
        <f>IF(JQ$1&lt;CapEx!$O$7,0,(VLOOKUP($B17,Inputs!$B$25:$D$44,3,0)*(VLOOKUP(Financials!$B17,Inputs!$B$3:$D$21,3,0)*(1+Inputs!$L$9)^Financials!JQ$3)*JQ$8))</f>
        <v>1172622.4866172518</v>
      </c>
      <c r="JR17" s="18">
        <f>IF(JR$1&lt;CapEx!$O$7,0,(VLOOKUP($B17,Inputs!$B$25:$D$44,3,0)*(VLOOKUP(Financials!$B17,Inputs!$B$3:$D$21,3,0)*(1+Inputs!$L$9)^Financials!JR$3)*JR$8))</f>
        <v>1213729.4193425567</v>
      </c>
    </row>
    <row r="18" spans="2:278" x14ac:dyDescent="0.2">
      <c r="B18" s="22" t="str">
        <f>Inputs!B7</f>
        <v>Steel from Tires</v>
      </c>
      <c r="C18" s="18">
        <f>IF(C$1&lt;CapEx!$O$7,0,(VLOOKUP($B18,Inputs!$B$25:$D$44,3,0)*(VLOOKUP(Financials!$B18,Inputs!$B$3:$D$21,3,0)*(1+Inputs!$L$9)^Financials!C$3)*C$8))</f>
        <v>0</v>
      </c>
      <c r="D18" s="18">
        <f>IF(D$1&lt;CapEx!$O$7,0,(VLOOKUP($B18,Inputs!$B$25:$D$44,3,0)*(VLOOKUP(Financials!$B18,Inputs!$B$3:$D$21,3,0)*(1+Inputs!$L$9)^Financials!D$3)*D$8))</f>
        <v>0</v>
      </c>
      <c r="E18" s="18">
        <f>IF(E$1&lt;CapEx!$O$7,0,(VLOOKUP($B18,Inputs!$B$25:$D$44,3,0)*(VLOOKUP(Financials!$B18,Inputs!$B$3:$D$21,3,0)*(1+Inputs!$L$9)^Financials!E$3)*E$8))</f>
        <v>0</v>
      </c>
      <c r="F18" s="18">
        <f>IF(F$1&lt;CapEx!$O$7,0,(VLOOKUP($B18,Inputs!$B$25:$D$44,3,0)*(VLOOKUP(Financials!$B18,Inputs!$B$3:$D$21,3,0)*(1+Inputs!$L$9)^Financials!F$3)*F$8))</f>
        <v>0</v>
      </c>
      <c r="G18" s="18">
        <f>IF(G$1&lt;CapEx!$O$7,0,(VLOOKUP($B18,Inputs!$B$25:$D$44,3,0)*(VLOOKUP(Financials!$B18,Inputs!$B$3:$D$21,3,0)*(1+Inputs!$L$9)^Financials!G$3)*G$8))</f>
        <v>0</v>
      </c>
      <c r="H18" s="18">
        <f>IF(H$1&lt;CapEx!$O$7,0,(VLOOKUP($B18,Inputs!$B$25:$D$44,3,0)*(VLOOKUP(Financials!$B18,Inputs!$B$3:$D$21,3,0)*(1+Inputs!$L$9)^Financials!H$3)*H$8))</f>
        <v>0</v>
      </c>
      <c r="I18" s="18">
        <f>IF(I$1&lt;CapEx!$O$7,0,(VLOOKUP($B18,Inputs!$B$25:$D$44,3,0)*(VLOOKUP(Financials!$B18,Inputs!$B$3:$D$21,3,0)*(1+Inputs!$L$9)^Financials!I$3)*I$8))</f>
        <v>0</v>
      </c>
      <c r="J18" s="18">
        <f>IF(J$1&lt;CapEx!$O$7,0,(VLOOKUP($B18,Inputs!$B$25:$D$44,3,0)*(VLOOKUP(Financials!$B18,Inputs!$B$3:$D$21,3,0)*(1+Inputs!$L$9)^Financials!J$3)*J$8))</f>
        <v>0</v>
      </c>
      <c r="K18" s="18">
        <f>IF(K$1&lt;CapEx!$O$7,0,(VLOOKUP($B18,Inputs!$B$25:$D$44,3,0)*(VLOOKUP(Financials!$B18,Inputs!$B$3:$D$21,3,0)*(1+Inputs!$L$9)^Financials!K$3)*K$8))</f>
        <v>0</v>
      </c>
      <c r="L18" s="18">
        <f>IF(L$1&lt;CapEx!$O$7,0,(VLOOKUP($B18,Inputs!$B$25:$D$44,3,0)*(VLOOKUP(Financials!$B18,Inputs!$B$3:$D$21,3,0)*(1+Inputs!$L$9)^Financials!L$3)*L$8))</f>
        <v>0</v>
      </c>
      <c r="M18" s="18">
        <f>IF(M$1&lt;CapEx!$O$7,0,(VLOOKUP($B18,Inputs!$B$25:$D$44,3,0)*(VLOOKUP(Financials!$B18,Inputs!$B$3:$D$21,3,0)*(1+Inputs!$L$9)^Financials!M$3)*M$8))</f>
        <v>0</v>
      </c>
      <c r="N18" s="18">
        <f>IF(N$1&lt;CapEx!$O$7,0,(VLOOKUP($B18,Inputs!$B$25:$D$44,3,0)*(VLOOKUP(Financials!$B18,Inputs!$B$3:$D$21,3,0)*(1+Inputs!$L$9)^Financials!N$3)*N$8))</f>
        <v>0</v>
      </c>
      <c r="O18" s="18">
        <f>IF(O$1&lt;CapEx!$O$7,0,(VLOOKUP($B18,Inputs!$B$25:$D$44,3,0)*(VLOOKUP(Financials!$B18,Inputs!$B$3:$D$21,3,0)*(1+Inputs!$L$9)^Financials!O$3)*O$8))</f>
        <v>0</v>
      </c>
      <c r="P18" s="18">
        <f>IF(P$1&lt;CapEx!$O$7,0,(VLOOKUP($B18,Inputs!$B$25:$D$44,3,0)*(VLOOKUP(Financials!$B18,Inputs!$B$3:$D$21,3,0)*(1+Inputs!$L$9)^Financials!P$3)*P$8))</f>
        <v>0</v>
      </c>
      <c r="Q18" s="18">
        <f>IF(Q$1&lt;CapEx!$O$7,0,(VLOOKUP($B18,Inputs!$B$25:$D$44,3,0)*(VLOOKUP(Financials!$B18,Inputs!$B$3:$D$21,3,0)*(1+Inputs!$L$9)^Financials!Q$3)*Q$8))</f>
        <v>0</v>
      </c>
      <c r="R18" s="18">
        <f>IF(R$1&lt;CapEx!$O$7,0,(VLOOKUP($B18,Inputs!$B$25:$D$44,3,0)*(VLOOKUP(Financials!$B18,Inputs!$B$3:$D$21,3,0)*(1+Inputs!$L$9)^Financials!R$3)*R$8))</f>
        <v>106920</v>
      </c>
      <c r="S18" s="18">
        <f>IF(S$1&lt;CapEx!$O$7,0,(VLOOKUP($B18,Inputs!$B$25:$D$44,3,0)*(VLOOKUP(Financials!$B18,Inputs!$B$3:$D$21,3,0)*(1+Inputs!$L$9)^Financials!S$3)*S$8))</f>
        <v>110668.14</v>
      </c>
      <c r="T18" s="18">
        <f>IF(T$1&lt;CapEx!$O$7,0,(VLOOKUP($B18,Inputs!$B$25:$D$44,3,0)*(VLOOKUP(Financials!$B18,Inputs!$B$3:$D$21,3,0)*(1+Inputs!$L$9)^Financials!T$3)*T$8))</f>
        <v>107276.697</v>
      </c>
      <c r="U18" s="18">
        <f>IF(U$1&lt;CapEx!$O$7,0,(VLOOKUP($B18,Inputs!$B$25:$D$44,3,0)*(VLOOKUP(Financials!$B18,Inputs!$B$3:$D$21,3,0)*(1+Inputs!$L$9)^Financials!U$3)*U$8))</f>
        <v>111037.34121150001</v>
      </c>
      <c r="V18" s="18">
        <f>IF(V$1&lt;CapEx!$O$7,0,(VLOOKUP($B18,Inputs!$B$25:$D$44,3,0)*(VLOOKUP(Financials!$B18,Inputs!$B$3:$D$21,3,0)*(1+Inputs!$L$9)^Financials!V$3)*V$8))</f>
        <v>111222.40344685252</v>
      </c>
      <c r="W18" s="18">
        <f>IF(W$1&lt;CapEx!$O$7,0,(VLOOKUP($B18,Inputs!$B$25:$D$44,3,0)*(VLOOKUP(Financials!$B18,Inputs!$B$3:$D$21,3,0)*(1+Inputs!$L$9)^Financials!W$3)*W$8))</f>
        <v>107813.97495412639</v>
      </c>
      <c r="X18" s="18">
        <f>IF(X$1&lt;CapEx!$O$7,0,(VLOOKUP($B18,Inputs!$B$25:$D$44,3,0)*(VLOOKUP(Financials!$B18,Inputs!$B$3:$D$21,3,0)*(1+Inputs!$L$9)^Financials!X$3)*X$8))</f>
        <v>111593.45374279606</v>
      </c>
      <c r="Y18" s="18">
        <f>IF(Y$1&lt;CapEx!$O$7,0,(VLOOKUP($B18,Inputs!$B$25:$D$44,3,0)*(VLOOKUP(Financials!$B18,Inputs!$B$3:$D$21,3,0)*(1+Inputs!$L$9)^Financials!Y$3)*Y$8))</f>
        <v>108173.65435390391</v>
      </c>
      <c r="Z18" s="18">
        <f>IF(Z$1&lt;CapEx!$O$7,0,(VLOOKUP($B18,Inputs!$B$25:$D$44,3,0)*(VLOOKUP(Financials!$B18,Inputs!$B$3:$D$21,3,0)*(1+Inputs!$L$9)^Financials!Z$3)*Z$8))</f>
        <v>111965.74190375469</v>
      </c>
      <c r="AA18" s="18">
        <f>IF(AA$1&lt;CapEx!$O$7,0,(VLOOKUP($B18,Inputs!$B$25:$D$44,3,0)*(VLOOKUP(Financials!$B18,Inputs!$B$3:$D$21,3,0)*(1+Inputs!$L$9)^Financials!AA$3)*AA$8))</f>
        <v>112152.35147359429</v>
      </c>
      <c r="AB18" s="18">
        <f>IF(AB$1&lt;CapEx!$O$7,0,(VLOOKUP($B18,Inputs!$B$25:$D$44,3,0)*(VLOOKUP(Financials!$B18,Inputs!$B$3:$D$21,3,0)*(1+Inputs!$L$9)^Financials!AB$3)*AB$8))</f>
        <v>101467.7296020239</v>
      </c>
      <c r="AC18" s="18">
        <f>IF(AC$1&lt;CapEx!$O$7,0,(VLOOKUP($B18,Inputs!$B$25:$D$44,3,0)*(VLOOKUP(Financials!$B18,Inputs!$B$3:$D$21,3,0)*(1+Inputs!$L$9)^Financials!AC$3)*AC$8))</f>
        <v>112526.5041794826</v>
      </c>
      <c r="AD18" s="18">
        <f>IF(AD$1&lt;CapEx!$O$7,0,(VLOOKUP($B18,Inputs!$B$25:$D$44,3,0)*(VLOOKUP(Financials!$B18,Inputs!$B$3:$D$21,3,0)*(1+Inputs!$L$9)^Financials!AD$3)*AD$8))</f>
        <v>109078.11130946619</v>
      </c>
      <c r="AE18" s="18">
        <f>IF(AE$1&lt;CapEx!$O$7,0,(VLOOKUP($B18,Inputs!$B$25:$D$44,3,0)*(VLOOKUP(Financials!$B18,Inputs!$B$3:$D$21,3,0)*(1+Inputs!$L$9)^Financials!AE$3)*AE$8))</f>
        <v>112901.90510037026</v>
      </c>
      <c r="AF18" s="18">
        <f>IF(AF$1&lt;CapEx!$O$7,0,(VLOOKUP($B18,Inputs!$B$25:$D$44,3,0)*(VLOOKUP(Financials!$B18,Inputs!$B$3:$D$21,3,0)*(1+Inputs!$L$9)^Financials!AF$3)*AF$8))</f>
        <v>109442.00800858473</v>
      </c>
      <c r="AG18" s="18">
        <f>IF(AG$1&lt;CapEx!$O$7,0,(VLOOKUP($B18,Inputs!$B$25:$D$44,3,0)*(VLOOKUP(Financials!$B18,Inputs!$B$3:$D$21,3,0)*(1+Inputs!$L$9)^Financials!AG$3)*AG$8))</f>
        <v>113278.55840044124</v>
      </c>
      <c r="AH18" s="18">
        <f>IF(AH$1&lt;CapEx!$O$7,0,(VLOOKUP($B18,Inputs!$B$25:$D$44,3,0)*(VLOOKUP(Financials!$B18,Inputs!$B$3:$D$21,3,0)*(1+Inputs!$L$9)^Financials!AH$3)*AH$8))</f>
        <v>113467.35599777532</v>
      </c>
      <c r="AI18" s="18">
        <f>IF(AI$1&lt;CapEx!$O$7,0,(VLOOKUP($B18,Inputs!$B$25:$D$44,3,0)*(VLOOKUP(Financials!$B18,Inputs!$B$3:$D$21,3,0)*(1+Inputs!$L$9)^Financials!AI$3)*AI$8))</f>
        <v>109990.13057203704</v>
      </c>
      <c r="AJ18" s="18">
        <f>IF(AJ$1&lt;CapEx!$O$7,0,(VLOOKUP($B18,Inputs!$B$25:$D$44,3,0)*(VLOOKUP(Financials!$B18,Inputs!$B$3:$D$21,3,0)*(1+Inputs!$L$9)^Financials!AJ$3)*AJ$8))</f>
        <v>113845.8957048679</v>
      </c>
      <c r="AK18" s="18">
        <f>IF(AK$1&lt;CapEx!$O$7,0,(VLOOKUP($B18,Inputs!$B$25:$D$44,3,0)*(VLOOKUP(Financials!$B18,Inputs!$B$3:$D$21,3,0)*(1+Inputs!$L$9)^Financials!AK$3)*AK$8))</f>
        <v>110357.06986875102</v>
      </c>
      <c r="AL18" s="18">
        <f>IF(AL$1&lt;CapEx!$O$7,0,(VLOOKUP($B18,Inputs!$B$25:$D$44,3,0)*(VLOOKUP(Financials!$B18,Inputs!$B$3:$D$21,3,0)*(1+Inputs!$L$9)^Financials!AL$3)*AL$8))</f>
        <v>114225.69826248333</v>
      </c>
      <c r="AM18" s="18">
        <f>IF(AM$1&lt;CapEx!$O$7,0,(VLOOKUP($B18,Inputs!$B$25:$D$44,3,0)*(VLOOKUP(Financials!$B18,Inputs!$B$3:$D$21,3,0)*(1+Inputs!$L$9)^Financials!AM$3)*AM$8))</f>
        <v>114416.07442625416</v>
      </c>
      <c r="AN18" s="18">
        <f>IF(AN$1&lt;CapEx!$O$7,0,(VLOOKUP($B18,Inputs!$B$25:$D$44,3,0)*(VLOOKUP(Financials!$B18,Inputs!$B$3:$D$21,3,0)*(1+Inputs!$L$9)^Financials!AN$3)*AN$8))</f>
        <v>103515.79034650564</v>
      </c>
      <c r="AO18" s="18">
        <f>IF(AO$1&lt;CapEx!$O$7,0,(VLOOKUP($B18,Inputs!$B$25:$D$44,3,0)*(VLOOKUP(Financials!$B18,Inputs!$B$3:$D$21,3,0)*(1+Inputs!$L$9)^Financials!AO$3)*AO$8))</f>
        <v>114797.7791634373</v>
      </c>
      <c r="AP18" s="18">
        <f>IF(AP$1&lt;CapEx!$O$7,0,(VLOOKUP($B18,Inputs!$B$25:$D$44,3,0)*(VLOOKUP(Financials!$B18,Inputs!$B$3:$D$21,3,0)*(1+Inputs!$L$9)^Financials!AP$3)*AP$8))</f>
        <v>111279.78270520296</v>
      </c>
      <c r="AQ18" s="18">
        <f>IF(AQ$1&lt;CapEx!$O$7,0,(VLOOKUP($B18,Inputs!$B$25:$D$44,3,0)*(VLOOKUP(Financials!$B18,Inputs!$B$3:$D$21,3,0)*(1+Inputs!$L$9)^Financials!AQ$3)*AQ$8))</f>
        <v>115180.75731003533</v>
      </c>
      <c r="AR18" s="18">
        <f>IF(AR$1&lt;CapEx!$O$7,0,(VLOOKUP($B18,Inputs!$B$25:$D$44,3,0)*(VLOOKUP(Financials!$B18,Inputs!$B$3:$D$21,3,0)*(1+Inputs!$L$9)^Financials!AR$3)*AR$8))</f>
        <v>111651.0244247278</v>
      </c>
      <c r="AS18" s="18">
        <f>IF(AS$1&lt;CapEx!$O$7,0,(VLOOKUP($B18,Inputs!$B$25:$D$44,3,0)*(VLOOKUP(Financials!$B18,Inputs!$B$3:$D$21,3,0)*(1+Inputs!$L$9)^Financials!AS$3)*AS$8))</f>
        <v>115565.01311428356</v>
      </c>
      <c r="AT18" s="18">
        <f>IF(AT$1&lt;CapEx!$O$7,0,(VLOOKUP($B18,Inputs!$B$25:$D$44,3,0)*(VLOOKUP(Financials!$B18,Inputs!$B$3:$D$21,3,0)*(1+Inputs!$L$9)^Financials!AT$3)*AT$8))</f>
        <v>115757.62146947405</v>
      </c>
      <c r="AU18" s="18">
        <f>IF(AU$1&lt;CapEx!$O$7,0,(VLOOKUP($B18,Inputs!$B$25:$D$44,3,0)*(VLOOKUP(Financials!$B18,Inputs!$B$3:$D$21,3,0)*(1+Inputs!$L$9)^Financials!AU$3)*AU$8))</f>
        <v>112210.21048895791</v>
      </c>
      <c r="AV18" s="18">
        <f>IF(AV$1&lt;CapEx!$O$7,0,(VLOOKUP($B18,Inputs!$B$25:$D$44,3,0)*(VLOOKUP(Financials!$B18,Inputs!$B$3:$D$21,3,0)*(1+Inputs!$L$9)^Financials!AV$3)*AV$8))</f>
        <v>116143.80175665415</v>
      </c>
      <c r="AW18" s="18">
        <f>IF(AW$1&lt;CapEx!$O$7,0,(VLOOKUP($B18,Inputs!$B$25:$D$44,3,0)*(VLOOKUP(Financials!$B18,Inputs!$B$3:$D$21,3,0)*(1+Inputs!$L$9)^Financials!AW$3)*AW$8))</f>
        <v>112584.55621895025</v>
      </c>
      <c r="AX18" s="18">
        <f>IF(AX$1&lt;CapEx!$O$7,0,(VLOOKUP($B18,Inputs!$B$25:$D$44,3,0)*(VLOOKUP(Financials!$B18,Inputs!$B$3:$D$21,3,0)*(1+Inputs!$L$9)^Financials!AX$3)*AX$8))</f>
        <v>116531.27038418125</v>
      </c>
      <c r="AY18" s="18">
        <f>IF(AY$1&lt;CapEx!$O$7,0,(VLOOKUP($B18,Inputs!$B$25:$D$44,3,0)*(VLOOKUP(Financials!$B18,Inputs!$B$3:$D$21,3,0)*(1+Inputs!$L$9)^Financials!AY$3)*AY$8))</f>
        <v>116725.48916815491</v>
      </c>
      <c r="AZ18" s="18">
        <f>IF(AZ$1&lt;CapEx!$O$7,0,(VLOOKUP($B18,Inputs!$B$25:$D$44,3,0)*(VLOOKUP(Financials!$B18,Inputs!$B$3:$D$21,3,0)*(1+Inputs!$L$9)^Financials!AZ$3)*AZ$8))</f>
        <v>109376.80380170816</v>
      </c>
      <c r="BA18" s="18">
        <f>IF(BA$1&lt;CapEx!$O$7,0,(VLOOKUP($B18,Inputs!$B$25:$D$44,3,0)*(VLOOKUP(Financials!$B18,Inputs!$B$3:$D$21,3,0)*(1+Inputs!$L$9)^Financials!BA$3)*BA$8))</f>
        <v>117114.89836951868</v>
      </c>
      <c r="BB18" s="18">
        <f>IF(BB$1&lt;CapEx!$O$7,0,(VLOOKUP($B18,Inputs!$B$25:$D$44,3,0)*(VLOOKUP(Financials!$B18,Inputs!$B$3:$D$21,3,0)*(1+Inputs!$L$9)^Financials!BB$3)*BB$8))</f>
        <v>113525.89341948504</v>
      </c>
      <c r="BC18" s="18">
        <f>IF(BC$1&lt;CapEx!$O$7,0,(VLOOKUP($B18,Inputs!$B$25:$D$44,3,0)*(VLOOKUP(Financials!$B18,Inputs!$B$3:$D$21,3,0)*(1+Inputs!$L$9)^Financials!BC$3)*BC$8))</f>
        <v>117505.60668324589</v>
      </c>
      <c r="BD18" s="18">
        <f>IF(BD$1&lt;CapEx!$O$7,0,(VLOOKUP($B18,Inputs!$B$25:$D$44,3,0)*(VLOOKUP(Financials!$B18,Inputs!$B$3:$D$21,3,0)*(1+Inputs!$L$9)^Financials!BD$3)*BD$8))</f>
        <v>113904.6284139206</v>
      </c>
      <c r="BE18" s="18">
        <f>IF(BE$1&lt;CapEx!$O$7,0,(VLOOKUP($B18,Inputs!$B$25:$D$44,3,0)*(VLOOKUP(Financials!$B18,Inputs!$B$3:$D$21,3,0)*(1+Inputs!$L$9)^Financials!BE$3)*BE$8))</f>
        <v>117897.61844331973</v>
      </c>
      <c r="BF18" s="18">
        <f>IF(BF$1&lt;CapEx!$O$7,0,(VLOOKUP($B18,Inputs!$B$25:$D$44,3,0)*(VLOOKUP(Financials!$B18,Inputs!$B$3:$D$21,3,0)*(1+Inputs!$L$9)^Financials!BF$3)*BF$8))</f>
        <v>118094.11447405862</v>
      </c>
      <c r="BG18" s="18">
        <f>IF(BG$1&lt;CapEx!$O$7,0,(VLOOKUP($B18,Inputs!$B$25:$D$44,3,0)*(VLOOKUP(Financials!$B18,Inputs!$B$3:$D$21,3,0)*(1+Inputs!$L$9)^Financials!BG$3)*BG$8))</f>
        <v>114475.10128856325</v>
      </c>
      <c r="BH18" s="18">
        <f>IF(BH$1&lt;CapEx!$O$7,0,(VLOOKUP($B18,Inputs!$B$25:$D$44,3,0)*(VLOOKUP(Financials!$B18,Inputs!$B$3:$D$21,3,0)*(1+Inputs!$L$9)^Financials!BH$3)*BH$8))</f>
        <v>118488.08956151233</v>
      </c>
      <c r="BI18" s="18">
        <f>IF(BI$1&lt;CapEx!$O$7,0,(VLOOKUP($B18,Inputs!$B$25:$D$44,3,0)*(VLOOKUP(Financials!$B18,Inputs!$B$3:$D$21,3,0)*(1+Inputs!$L$9)^Financials!BI$3)*BI$8))</f>
        <v>114857.00294591763</v>
      </c>
      <c r="BJ18" s="18">
        <f>IF(BJ$1&lt;CapEx!$O$7,0,(VLOOKUP($B18,Inputs!$B$25:$D$44,3,0)*(VLOOKUP(Financials!$B18,Inputs!$B$3:$D$21,3,0)*(1+Inputs!$L$9)^Financials!BJ$3)*BJ$8))</f>
        <v>118883.37899363284</v>
      </c>
      <c r="BK18" s="18">
        <f>IF(BK$1&lt;CapEx!$O$7,0,(VLOOKUP($B18,Inputs!$B$25:$D$44,3,0)*(VLOOKUP(Financials!$B18,Inputs!$B$3:$D$21,3,0)*(1+Inputs!$L$9)^Financials!BK$3)*BK$8))</f>
        <v>119081.51795862225</v>
      </c>
      <c r="BL18" s="18">
        <f>IF(BL$1&lt;CapEx!$O$7,0,(VLOOKUP($B18,Inputs!$B$25:$D$44,3,0)*(VLOOKUP(Financials!$B18,Inputs!$B$3:$D$21,3,0)*(1+Inputs!$L$9)^Financials!BL$3)*BL$8))</f>
        <v>107736.76259181157</v>
      </c>
      <c r="BM18" s="18">
        <f>IF(BM$1&lt;CapEx!$O$7,0,(VLOOKUP($B18,Inputs!$B$25:$D$44,3,0)*(VLOOKUP(Financials!$B18,Inputs!$B$3:$D$21,3,0)*(1+Inputs!$L$9)^Financials!BM$3)*BM$8))</f>
        <v>119478.78713381202</v>
      </c>
      <c r="BN18" s="18">
        <f>IF(BN$1&lt;CapEx!$O$7,0,(VLOOKUP($B18,Inputs!$B$25:$D$44,3,0)*(VLOOKUP(Financials!$B18,Inputs!$B$3:$D$21,3,0)*(1+Inputs!$L$9)^Financials!BN$3)*BN$8))</f>
        <v>115817.34043132425</v>
      </c>
      <c r="BO18" s="18">
        <f>IF(BO$1&lt;CapEx!$O$7,0,(VLOOKUP($B18,Inputs!$B$25:$D$44,3,0)*(VLOOKUP(Financials!$B18,Inputs!$B$3:$D$21,3,0)*(1+Inputs!$L$9)^Financials!BO$3)*BO$8))</f>
        <v>119877.38164311121</v>
      </c>
      <c r="BP18" s="18">
        <f>IF(BP$1&lt;CapEx!$O$7,0,(VLOOKUP($B18,Inputs!$B$25:$D$44,3,0)*(VLOOKUP(Financials!$B18,Inputs!$B$3:$D$21,3,0)*(1+Inputs!$L$9)^Financials!BP$3)*BP$8))</f>
        <v>116203.7199475965</v>
      </c>
      <c r="BQ18" s="18">
        <f>IF(BQ$1&lt;CapEx!$O$7,0,(VLOOKUP($B18,Inputs!$B$25:$D$44,3,0)*(VLOOKUP(Financials!$B18,Inputs!$B$3:$D$21,3,0)*(1+Inputs!$L$9)^Financials!BQ$3)*BQ$8))</f>
        <v>120277.30590798173</v>
      </c>
      <c r="BR18" s="18">
        <f>IF(BR$1&lt;CapEx!$O$7,0,(VLOOKUP($B18,Inputs!$B$25:$D$44,3,0)*(VLOOKUP(Financials!$B18,Inputs!$B$3:$D$21,3,0)*(1+Inputs!$L$9)^Financials!BR$3)*BR$8))</f>
        <v>120477.76808449502</v>
      </c>
      <c r="BS18" s="18">
        <f>IF(BS$1&lt;CapEx!$O$7,0,(VLOOKUP($B18,Inputs!$B$25:$D$44,3,0)*(VLOOKUP(Financials!$B18,Inputs!$B$3:$D$21,3,0)*(1+Inputs!$L$9)^Financials!BS$3)*BS$8))</f>
        <v>116785.70744964763</v>
      </c>
      <c r="BT18" s="18">
        <f>IF(BT$1&lt;CapEx!$O$7,0,(VLOOKUP($B18,Inputs!$B$25:$D$44,3,0)*(VLOOKUP(Financials!$B18,Inputs!$B$3:$D$21,3,0)*(1+Inputs!$L$9)^Financials!BT$3)*BT$8))</f>
        <v>120879.69530524359</v>
      </c>
      <c r="BU18" s="18">
        <f>IF(BU$1&lt;CapEx!$O$7,0,(VLOOKUP($B18,Inputs!$B$25:$D$44,3,0)*(VLOOKUP(Financials!$B18,Inputs!$B$3:$D$21,3,0)*(1+Inputs!$L$9)^Financials!BU$3)*BU$8))</f>
        <v>117175.31754588937</v>
      </c>
      <c r="BV18" s="18">
        <f>IF(BV$1&lt;CapEx!$O$7,0,(VLOOKUP($B18,Inputs!$B$25:$D$44,3,0)*(VLOOKUP(Financials!$B18,Inputs!$B$3:$D$21,3,0)*(1+Inputs!$L$9)^Financials!BV$3)*BV$8))</f>
        <v>121282.96339985917</v>
      </c>
      <c r="BW18" s="18">
        <f>IF(BW$1&lt;CapEx!$O$7,0,(VLOOKUP($B18,Inputs!$B$25:$D$44,3,0)*(VLOOKUP(Financials!$B18,Inputs!$B$3:$D$21,3,0)*(1+Inputs!$L$9)^Financials!BW$3)*BW$8))</f>
        <v>121485.10167219228</v>
      </c>
      <c r="BX18" s="18">
        <f>IF(BX$1&lt;CapEx!$O$7,0,(VLOOKUP($B18,Inputs!$B$25:$D$44,3,0)*(VLOOKUP(Financials!$B18,Inputs!$B$3:$D$21,3,0)*(1+Inputs!$L$9)^Financials!BX$3)*BX$8))</f>
        <v>109911.35972793825</v>
      </c>
      <c r="BY18" s="18">
        <f>IF(BY$1&lt;CapEx!$O$7,0,(VLOOKUP($B18,Inputs!$B$25:$D$44,3,0)*(VLOOKUP(Financials!$B18,Inputs!$B$3:$D$21,3,0)*(1+Inputs!$L$9)^Financials!BY$3)*BY$8))</f>
        <v>121890.38946971536</v>
      </c>
      <c r="BZ18" s="18">
        <f>IF(BZ$1&lt;CapEx!$O$7,0,(VLOOKUP($B18,Inputs!$B$25:$D$44,3,0)*(VLOOKUP(Financials!$B18,Inputs!$B$3:$D$21,3,0)*(1+Inputs!$L$9)^Financials!BZ$3)*BZ$8))</f>
        <v>118155.03882467568</v>
      </c>
      <c r="CA18" s="18">
        <f>IF(CA$1&lt;CapEx!$O$7,0,(VLOOKUP($B18,Inputs!$B$25:$D$44,3,0)*(VLOOKUP(Financials!$B18,Inputs!$B$3:$D$21,3,0)*(1+Inputs!$L$9)^Financials!CA$3)*CA$8))</f>
        <v>122297.02935236297</v>
      </c>
      <c r="CB18" s="18">
        <f>IF(CB$1&lt;CapEx!$O$7,0,(VLOOKUP($B18,Inputs!$B$25:$D$44,3,0)*(VLOOKUP(Financials!$B18,Inputs!$B$3:$D$21,3,0)*(1+Inputs!$L$9)^Financials!CB$3)*CB$8))</f>
        <v>118549.21716253247</v>
      </c>
      <c r="CC18" s="18">
        <f>IF(CC$1&lt;CapEx!$O$7,0,(VLOOKUP($B18,Inputs!$B$25:$D$44,3,0)*(VLOOKUP(Financials!$B18,Inputs!$B$3:$D$21,3,0)*(1+Inputs!$L$9)^Financials!CC$3)*CC$8))</f>
        <v>122705.02583084127</v>
      </c>
      <c r="CD18" s="18">
        <f>IF(CD$1&lt;CapEx!$O$7,0,(VLOOKUP($B18,Inputs!$B$25:$D$44,3,0)*(VLOOKUP(Financials!$B18,Inputs!$B$3:$D$21,3,0)*(1+Inputs!$L$9)^Financials!CD$3)*CD$8))</f>
        <v>122909.53420722602</v>
      </c>
      <c r="CE18" s="18">
        <f>IF(CE$1&lt;CapEx!$O$7,0,(VLOOKUP($B18,Inputs!$B$25:$D$44,3,0)*(VLOOKUP(Financials!$B18,Inputs!$B$3:$D$21,3,0)*(1+Inputs!$L$9)^Financials!CE$3)*CE$8))</f>
        <v>119142.95170732716</v>
      </c>
      <c r="CF18" s="18">
        <f>IF(CF$1&lt;CapEx!$O$7,0,(VLOOKUP($B18,Inputs!$B$25:$D$44,3,0)*(VLOOKUP(Financials!$B18,Inputs!$B$3:$D$21,3,0)*(1+Inputs!$L$9)^Financials!CF$3)*CF$8))</f>
        <v>123319.57406995626</v>
      </c>
      <c r="CG18" s="18">
        <f>IF(CG$1&lt;CapEx!$O$7,0,(VLOOKUP($B18,Inputs!$B$25:$D$44,3,0)*(VLOOKUP(Financials!$B18,Inputs!$B$3:$D$21,3,0)*(1+Inputs!$L$9)^Financials!CG$3)*CG$8))</f>
        <v>119540.42583232855</v>
      </c>
      <c r="CH18" s="18">
        <f>IF(CH$1&lt;CapEx!$O$7,0,(VLOOKUP($B18,Inputs!$B$25:$D$44,3,0)*(VLOOKUP(Financials!$B18,Inputs!$B$3:$D$21,3,0)*(1+Inputs!$L$9)^Financials!CH$3)*CH$8))</f>
        <v>123730.98187122852</v>
      </c>
      <c r="CI18" s="18">
        <f>IF(CI$1&lt;CapEx!$O$7,0,(VLOOKUP($B18,Inputs!$B$25:$D$44,3,0)*(VLOOKUP(Financials!$B18,Inputs!$B$3:$D$21,3,0)*(1+Inputs!$L$9)^Financials!CI$3)*CI$8))</f>
        <v>123937.20017434724</v>
      </c>
      <c r="CJ18" s="18">
        <f>IF(CJ$1&lt;CapEx!$O$7,0,(VLOOKUP($B18,Inputs!$B$25:$D$44,3,0)*(VLOOKUP(Financials!$B18,Inputs!$B$3:$D$21,3,0)*(1+Inputs!$L$9)^Financials!CJ$3)*CJ$8))</f>
        <v>112129.84970612447</v>
      </c>
      <c r="CK18" s="18">
        <f>IF(CK$1&lt;CapEx!$O$7,0,(VLOOKUP($B18,Inputs!$B$25:$D$44,3,0)*(VLOOKUP(Financials!$B18,Inputs!$B$3:$D$21,3,0)*(1+Inputs!$L$9)^Financials!CK$3)*CK$8))</f>
        <v>124350.66844492889</v>
      </c>
      <c r="CL18" s="18">
        <f>IF(CL$1&lt;CapEx!$O$7,0,(VLOOKUP($B18,Inputs!$B$25:$D$44,3,0)*(VLOOKUP(Financials!$B18,Inputs!$B$3:$D$21,3,0)*(1+Inputs!$L$9)^Financials!CL$3)*CL$8))</f>
        <v>120539.92215387465</v>
      </c>
      <c r="CM18" s="18">
        <f>IF(CM$1&lt;CapEx!$O$7,0,(VLOOKUP($B18,Inputs!$B$25:$D$44,3,0)*(VLOOKUP(Financials!$B18,Inputs!$B$3:$D$21,3,0)*(1+Inputs!$L$9)^Financials!CM$3)*CM$8))</f>
        <v>124765.51609160214</v>
      </c>
      <c r="CN18" s="18">
        <f>IF(CN$1&lt;CapEx!$O$7,0,(VLOOKUP($B18,Inputs!$B$25:$D$44,3,0)*(VLOOKUP(Financials!$B18,Inputs!$B$3:$D$21,3,0)*(1+Inputs!$L$9)^Financials!CN$3)*CN$8))</f>
        <v>120942.05672750466</v>
      </c>
      <c r="CO18" s="18">
        <f>IF(CO$1&lt;CapEx!$O$7,0,(VLOOKUP($B18,Inputs!$B$25:$D$44,3,0)*(VLOOKUP(Financials!$B18,Inputs!$B$3:$D$21,3,0)*(1+Inputs!$L$9)^Financials!CO$3)*CO$8))</f>
        <v>125181.74771611886</v>
      </c>
      <c r="CP18" s="18">
        <f>IF(CP$1&lt;CapEx!$O$7,0,(VLOOKUP($B18,Inputs!$B$25:$D$44,3,0)*(VLOOKUP(Financials!$B18,Inputs!$B$3:$D$21,3,0)*(1+Inputs!$L$9)^Financials!CP$3)*CP$8))</f>
        <v>125390.38396231241</v>
      </c>
      <c r="CQ18" s="18">
        <f>IF(CQ$1&lt;CapEx!$O$7,0,(VLOOKUP($B18,Inputs!$B$25:$D$44,3,0)*(VLOOKUP(Financials!$B18,Inputs!$B$3:$D$21,3,0)*(1+Inputs!$L$9)^Financials!CQ$3)*CQ$8))</f>
        <v>121547.77542153187</v>
      </c>
      <c r="CR18" s="18">
        <f>IF(CR$1&lt;CapEx!$O$7,0,(VLOOKUP($B18,Inputs!$B$25:$D$44,3,0)*(VLOOKUP(Financials!$B18,Inputs!$B$3:$D$21,3,0)*(1+Inputs!$L$9)^Financials!CR$3)*CR$8))</f>
        <v>125808.70021547558</v>
      </c>
      <c r="CS18" s="18">
        <f>IF(CS$1&lt;CapEx!$O$7,0,(VLOOKUP($B18,Inputs!$B$25:$D$44,3,0)*(VLOOKUP(Financials!$B18,Inputs!$B$3:$D$21,3,0)*(1+Inputs!$L$9)^Financials!CS$3)*CS$8))</f>
        <v>121953.2723056465</v>
      </c>
      <c r="CT18" s="18">
        <f>IF(CT$1&lt;CapEx!$O$7,0,(VLOOKUP($B18,Inputs!$B$25:$D$44,3,0)*(VLOOKUP(Financials!$B18,Inputs!$B$3:$D$21,3,0)*(1+Inputs!$L$9)^Financials!CT$3)*CT$8))</f>
        <v>126228.4120181389</v>
      </c>
      <c r="CU18" s="18">
        <f>IF(CU$1&lt;CapEx!$O$7,0,(VLOOKUP($B18,Inputs!$B$25:$D$44,3,0)*(VLOOKUP(Financials!$B18,Inputs!$B$3:$D$21,3,0)*(1+Inputs!$L$9)^Financials!CU$3)*CU$8))</f>
        <v>126438.7927048358</v>
      </c>
      <c r="CV18" s="18">
        <f>IF(CV$1&lt;CapEx!$O$7,0,(VLOOKUP($B18,Inputs!$B$25:$D$44,3,0)*(VLOOKUP(Financials!$B18,Inputs!$B$3:$D$21,3,0)*(1+Inputs!$L$9)^Financials!CV$3)*CV$8))</f>
        <v>114393.11847510628</v>
      </c>
      <c r="CW18" s="18">
        <f>IF(CW$1&lt;CapEx!$O$7,0,(VLOOKUP($B18,Inputs!$B$25:$D$44,3,0)*(VLOOKUP(Financials!$B18,Inputs!$B$3:$D$21,3,0)*(1+Inputs!$L$9)^Financials!CW$3)*CW$8))</f>
        <v>126860.6065660539</v>
      </c>
      <c r="CX18" s="18">
        <f>IF(CX$1&lt;CapEx!$O$7,0,(VLOOKUP($B18,Inputs!$B$25:$D$44,3,0)*(VLOOKUP(Financials!$B18,Inputs!$B$3:$D$21,3,0)*(1+Inputs!$L$9)^Financials!CX$3)*CX$8))</f>
        <v>122972.94281644904</v>
      </c>
      <c r="CY18" s="18">
        <f>IF(CY$1&lt;CapEx!$O$7,0,(VLOOKUP($B18,Inputs!$B$25:$D$44,3,0)*(VLOOKUP(Financials!$B18,Inputs!$B$3:$D$21,3,0)*(1+Inputs!$L$9)^Financials!CY$3)*CY$8))</f>
        <v>127283.82764518126</v>
      </c>
      <c r="CZ18" s="18">
        <f>IF(CZ$1&lt;CapEx!$O$7,0,(VLOOKUP($B18,Inputs!$B$25:$D$44,3,0)*(VLOOKUP(Financials!$B18,Inputs!$B$3:$D$21,3,0)*(1+Inputs!$L$9)^Financials!CZ$3)*CZ$8))</f>
        <v>123383.19421734501</v>
      </c>
      <c r="DA18" s="18">
        <f>IF(DA$1&lt;CapEx!$O$7,0,(VLOOKUP($B18,Inputs!$B$25:$D$44,3,0)*(VLOOKUP(Financials!$B18,Inputs!$B$3:$D$21,3,0)*(1+Inputs!$L$9)^Financials!DA$3)*DA$8))</f>
        <v>127708.46063685309</v>
      </c>
      <c r="DB18" s="18">
        <f>IF(DB$1&lt;CapEx!$O$7,0,(VLOOKUP($B18,Inputs!$B$25:$D$44,3,0)*(VLOOKUP(Financials!$B18,Inputs!$B$3:$D$21,3,0)*(1+Inputs!$L$9)^Financials!DB$3)*DB$8))</f>
        <v>127921.30807124787</v>
      </c>
      <c r="DC18" s="18">
        <f>IF(DC$1&lt;CapEx!$O$7,0,(VLOOKUP($B18,Inputs!$B$25:$D$44,3,0)*(VLOOKUP(Financials!$B18,Inputs!$B$3:$D$21,3,0)*(1+Inputs!$L$9)^Financials!DC$3)*DC$8))</f>
        <v>124001.13895293542</v>
      </c>
      <c r="DD18" s="18">
        <f>IF(DD$1&lt;CapEx!$O$7,0,(VLOOKUP($B18,Inputs!$B$25:$D$44,3,0)*(VLOOKUP(Financials!$B18,Inputs!$B$3:$D$21,3,0)*(1+Inputs!$L$9)^Financials!DD$3)*DD$8))</f>
        <v>128348.06776845221</v>
      </c>
      <c r="DE18" s="18">
        <f>IF(DE$1&lt;CapEx!$O$7,0,(VLOOKUP($B18,Inputs!$B$25:$D$44,3,0)*(VLOOKUP(Financials!$B18,Inputs!$B$3:$D$21,3,0)*(1+Inputs!$L$9)^Financials!DE$3)*DE$8))</f>
        <v>124414.82053038676</v>
      </c>
      <c r="DF18" s="18">
        <f>IF(DF$1&lt;CapEx!$O$7,0,(VLOOKUP($B18,Inputs!$B$25:$D$44,3,0)*(VLOOKUP(Financials!$B18,Inputs!$B$3:$D$21,3,0)*(1+Inputs!$L$9)^Financials!DF$3)*DF$8))</f>
        <v>128776.25118342422</v>
      </c>
      <c r="DG18" s="18">
        <f>IF(DG$1&lt;CapEx!$O$7,0,(VLOOKUP($B18,Inputs!$B$25:$D$44,3,0)*(VLOOKUP(Financials!$B18,Inputs!$B$3:$D$21,3,0)*(1+Inputs!$L$9)^Financials!DG$3)*DG$8))</f>
        <v>128990.87826872994</v>
      </c>
      <c r="DH18" s="18">
        <f>IF(DH$1&lt;CapEx!$O$7,0,(VLOOKUP($B18,Inputs!$B$25:$D$44,3,0)*(VLOOKUP(Financials!$B18,Inputs!$B$3:$D$21,3,0)*(1+Inputs!$L$9)^Financials!DH$3)*DH$8))</f>
        <v>116702.06986592404</v>
      </c>
      <c r="DI18" s="18">
        <f>IF(DI$1&lt;CapEx!$O$7,0,(VLOOKUP($B18,Inputs!$B$25:$D$44,3,0)*(VLOOKUP(Financials!$B18,Inputs!$B$3:$D$21,3,0)*(1+Inputs!$L$9)^Financials!DI$3)*DI$8))</f>
        <v>129421.20617095425</v>
      </c>
      <c r="DJ18" s="18">
        <f>IF(DJ$1&lt;CapEx!$O$7,0,(VLOOKUP($B18,Inputs!$B$25:$D$44,3,0)*(VLOOKUP(Financials!$B18,Inputs!$B$3:$D$21,3,0)*(1+Inputs!$L$9)^Financials!DJ$3)*DJ$8))</f>
        <v>125455.07243345727</v>
      </c>
      <c r="DK18" s="18">
        <f>IF(DK$1&lt;CapEx!$O$7,0,(VLOOKUP($B18,Inputs!$B$25:$D$44,3,0)*(VLOOKUP(Financials!$B18,Inputs!$B$3:$D$21,3,0)*(1+Inputs!$L$9)^Financials!DK$3)*DK$8))</f>
        <v>129852.96969487458</v>
      </c>
      <c r="DL18" s="18">
        <f>IF(DL$1&lt;CapEx!$O$7,0,(VLOOKUP($B18,Inputs!$B$25:$D$44,3,0)*(VLOOKUP(Financials!$B18,Inputs!$B$3:$D$21,3,0)*(1+Inputs!$L$9)^Financials!DL$3)*DL$8))</f>
        <v>125873.60449454781</v>
      </c>
      <c r="DM18" s="18">
        <f>IF(DM$1&lt;CapEx!$O$7,0,(VLOOKUP($B18,Inputs!$B$25:$D$44,3,0)*(VLOOKUP(Financials!$B18,Inputs!$B$3:$D$21,3,0)*(1+Inputs!$L$9)^Financials!DM$3)*DM$8))</f>
        <v>130286.17362988446</v>
      </c>
      <c r="DN18" s="18">
        <f>IF(DN$1&lt;CapEx!$O$7,0,(VLOOKUP($B18,Inputs!$B$25:$D$44,3,0)*(VLOOKUP(Financials!$B18,Inputs!$B$3:$D$21,3,0)*(1+Inputs!$L$9)^Financials!DN$3)*DN$8))</f>
        <v>130503.31725260093</v>
      </c>
      <c r="DO18" s="18">
        <f>IF(DO$1&lt;CapEx!$O$7,0,(VLOOKUP($B18,Inputs!$B$25:$D$44,3,0)*(VLOOKUP(Financials!$B18,Inputs!$B$3:$D$21,3,0)*(1+Inputs!$L$9)^Financials!DO$3)*DO$8))</f>
        <v>126504.02204647285</v>
      </c>
      <c r="DP18" s="18">
        <f>IF(DP$1&lt;CapEx!$O$7,0,(VLOOKUP($B18,Inputs!$B$25:$D$44,3,0)*(VLOOKUP(Financials!$B18,Inputs!$B$3:$D$21,3,0)*(1+Inputs!$L$9)^Financials!DP$3)*DP$8))</f>
        <v>130938.69081932421</v>
      </c>
      <c r="DQ18" s="18">
        <f>IF(DQ$1&lt;CapEx!$O$7,0,(VLOOKUP($B18,Inputs!$B$25:$D$44,3,0)*(VLOOKUP(Financials!$B18,Inputs!$B$3:$D$21,3,0)*(1+Inputs!$L$9)^Financials!DQ$3)*DQ$8))</f>
        <v>126926.05352002235</v>
      </c>
      <c r="DR18" s="18">
        <f>IF(DR$1&lt;CapEx!$O$7,0,(VLOOKUP($B18,Inputs!$B$25:$D$44,3,0)*(VLOOKUP(Financials!$B18,Inputs!$B$3:$D$21,3,0)*(1+Inputs!$L$9)^Financials!DR$3)*DR$8))</f>
        <v>131375.51684064095</v>
      </c>
      <c r="DS18" s="18">
        <f>IF(DS$1&lt;CapEx!$O$7,0,(VLOOKUP($B18,Inputs!$B$25:$D$44,3,0)*(VLOOKUP(Financials!$B18,Inputs!$B$3:$D$21,3,0)*(1+Inputs!$L$9)^Financials!DS$3)*DS$8))</f>
        <v>131594.47603537529</v>
      </c>
      <c r="DT18" s="18">
        <f>IF(DT$1&lt;CapEx!$O$7,0,(VLOOKUP($B18,Inputs!$B$25:$D$44,3,0)*(VLOOKUP(Financials!$B18,Inputs!$B$3:$D$21,3,0)*(1+Inputs!$L$9)^Financials!DT$3)*DT$8))</f>
        <v>119057.62595286536</v>
      </c>
      <c r="DU18" s="18">
        <f>IF(DU$1&lt;CapEx!$O$7,0,(VLOOKUP($B18,Inputs!$B$25:$D$44,3,0)*(VLOOKUP(Financials!$B18,Inputs!$B$3:$D$21,3,0)*(1+Inputs!$L$9)^Financials!DU$3)*DU$8))</f>
        <v>132033.4898290378</v>
      </c>
      <c r="DV18" s="18">
        <f>IF(DV$1&lt;CapEx!$O$7,0,(VLOOKUP($B18,Inputs!$B$25:$D$44,3,0)*(VLOOKUP(Financials!$B18,Inputs!$B$3:$D$21,3,0)*(1+Inputs!$L$9)^Financials!DV$3)*DV$8))</f>
        <v>127987.30223750276</v>
      </c>
      <c r="DW18" s="18">
        <f>IF(DW$1&lt;CapEx!$O$7,0,(VLOOKUP($B18,Inputs!$B$25:$D$44,3,0)*(VLOOKUP(Financials!$B18,Inputs!$B$3:$D$21,3,0)*(1+Inputs!$L$9)^Financials!DW$3)*DW$8))</f>
        <v>132473.96822149525</v>
      </c>
      <c r="DX18" s="18">
        <f>IF(DX$1&lt;CapEx!$O$7,0,(VLOOKUP($B18,Inputs!$B$25:$D$44,3,0)*(VLOOKUP(Financials!$B18,Inputs!$B$3:$D$21,3,0)*(1+Inputs!$L$9)^Financials!DX$3)*DX$8))</f>
        <v>128414.28209857848</v>
      </c>
      <c r="DY18" s="18">
        <f>IF(DY$1&lt;CapEx!$O$7,0,(VLOOKUP($B18,Inputs!$B$25:$D$44,3,0)*(VLOOKUP(Financials!$B18,Inputs!$B$3:$D$21,3,0)*(1+Inputs!$L$9)^Financials!DY$3)*DY$8))</f>
        <v>132915.91609881195</v>
      </c>
      <c r="DZ18" s="18">
        <f>IF(DZ$1&lt;CapEx!$O$7,0,(VLOOKUP($B18,Inputs!$B$25:$D$44,3,0)*(VLOOKUP(Financials!$B18,Inputs!$B$3:$D$21,3,0)*(1+Inputs!$L$9)^Financials!DZ$3)*DZ$8))</f>
        <v>133137.44262564337</v>
      </c>
      <c r="EA18" s="18">
        <f>IF(EA$1&lt;CapEx!$O$7,0,(VLOOKUP($B18,Inputs!$B$25:$D$44,3,0)*(VLOOKUP(Financials!$B18,Inputs!$B$3:$D$21,3,0)*(1+Inputs!$L$9)^Financials!EA$3)*EA$8))</f>
        <v>129057.42422259945</v>
      </c>
      <c r="EB18" s="18">
        <f>IF(EB$1&lt;CapEx!$O$7,0,(VLOOKUP($B18,Inputs!$B$25:$D$44,3,0)*(VLOOKUP(Financials!$B18,Inputs!$B$3:$D$21,3,0)*(1+Inputs!$L$9)^Financials!EB$3)*EB$8))</f>
        <v>133581.60392729167</v>
      </c>
      <c r="EC18" s="18">
        <f>IF(EC$1&lt;CapEx!$O$7,0,(VLOOKUP($B18,Inputs!$B$25:$D$44,3,0)*(VLOOKUP(Financials!$B18,Inputs!$B$3:$D$21,3,0)*(1+Inputs!$L$9)^Financials!EC$3)*EC$8))</f>
        <v>129487.97412951986</v>
      </c>
      <c r="ED18" s="18">
        <f>IF(ED$1&lt;CapEx!$O$7,0,(VLOOKUP($B18,Inputs!$B$25:$D$44,3,0)*(VLOOKUP(Financials!$B18,Inputs!$B$3:$D$21,3,0)*(1+Inputs!$L$9)^Financials!ED$3)*ED$8))</f>
        <v>134027.2470003936</v>
      </c>
      <c r="EE18" s="18">
        <f>IF(EE$1&lt;CapEx!$O$7,0,(VLOOKUP($B18,Inputs!$B$25:$D$44,3,0)*(VLOOKUP(Financials!$B18,Inputs!$B$3:$D$21,3,0)*(1+Inputs!$L$9)^Financials!EE$3)*EE$8))</f>
        <v>134250.62574539427</v>
      </c>
      <c r="EF18" s="18">
        <f>IF(EF$1&lt;CapEx!$O$7,0,(VLOOKUP($B18,Inputs!$B$25:$D$44,3,0)*(VLOOKUP(Financials!$B18,Inputs!$B$3:$D$21,3,0)*(1+Inputs!$L$9)^Financials!EF$3)*EF$8))</f>
        <v>121460.72742169326</v>
      </c>
      <c r="EG18" s="18">
        <f>IF(EG$1&lt;CapEx!$O$7,0,(VLOOKUP($B18,Inputs!$B$25:$D$44,3,0)*(VLOOKUP(Financials!$B18,Inputs!$B$3:$D$21,3,0)*(1+Inputs!$L$9)^Financials!EG$3)*EG$8))</f>
        <v>134698.50074961709</v>
      </c>
      <c r="EH18" s="18">
        <f>IF(EH$1&lt;CapEx!$O$7,0,(VLOOKUP($B18,Inputs!$B$25:$D$44,3,0)*(VLOOKUP(Financials!$B18,Inputs!$B$3:$D$21,3,0)*(1+Inputs!$L$9)^Financials!EH$3)*EH$8))</f>
        <v>130570.64346858047</v>
      </c>
      <c r="EI18" s="18">
        <f>IF(EI$1&lt;CapEx!$O$7,0,(VLOOKUP($B18,Inputs!$B$25:$D$44,3,0)*(VLOOKUP(Financials!$B18,Inputs!$B$3:$D$21,3,0)*(1+Inputs!$L$9)^Financials!EI$3)*EI$8))</f>
        <v>135147.86991461791</v>
      </c>
      <c r="EJ18" s="18">
        <f>IF(EJ$1&lt;CapEx!$O$7,0,(VLOOKUP($B18,Inputs!$B$25:$D$44,3,0)*(VLOOKUP(Financials!$B18,Inputs!$B$3:$D$21,3,0)*(1+Inputs!$L$9)^Financials!EJ$3)*EJ$8))</f>
        <v>131006.24164304096</v>
      </c>
      <c r="EK18" s="18">
        <f>IF(EK$1&lt;CapEx!$O$7,0,(VLOOKUP($B18,Inputs!$B$25:$D$44,3,0)*(VLOOKUP(Financials!$B18,Inputs!$B$3:$D$21,3,0)*(1+Inputs!$L$9)^Financials!EK$3)*EK$8))</f>
        <v>135598.7382250831</v>
      </c>
      <c r="EL18" s="18">
        <f>IF(EL$1&lt;CapEx!$O$7,0,(VLOOKUP($B18,Inputs!$B$25:$D$44,3,0)*(VLOOKUP(Financials!$B18,Inputs!$B$3:$D$21,3,0)*(1+Inputs!$L$9)^Financials!EL$3)*EL$8))</f>
        <v>135824.73612212489</v>
      </c>
      <c r="EM18" s="18">
        <f>IF(EM$1&lt;CapEx!$O$7,0,(VLOOKUP($B18,Inputs!$B$25:$D$44,3,0)*(VLOOKUP(Financials!$B18,Inputs!$B$3:$D$21,3,0)*(1+Inputs!$L$9)^Financials!EM$3)*EM$8))</f>
        <v>131662.36517644691</v>
      </c>
      <c r="EN18" s="18">
        <f>IF(EN$1&lt;CapEx!$O$7,0,(VLOOKUP($B18,Inputs!$B$25:$D$44,3,0)*(VLOOKUP(Financials!$B18,Inputs!$B$3:$D$21,3,0)*(1+Inputs!$L$9)^Financials!EN$3)*EN$8))</f>
        <v>136277.8625334657</v>
      </c>
      <c r="EO18" s="18">
        <f>IF(EO$1&lt;CapEx!$O$7,0,(VLOOKUP($B18,Inputs!$B$25:$D$44,3,0)*(VLOOKUP(Financials!$B18,Inputs!$B$3:$D$21,3,0)*(1+Inputs!$L$9)^Financials!EO$3)*EO$8))</f>
        <v>132101.60545582726</v>
      </c>
      <c r="EP18" s="18">
        <f>IF(EP$1&lt;CapEx!$O$7,0,(VLOOKUP($B18,Inputs!$B$25:$D$44,3,0)*(VLOOKUP(Financials!$B18,Inputs!$B$3:$D$21,3,0)*(1+Inputs!$L$9)^Financials!EP$3)*EP$8))</f>
        <v>136732.50062486209</v>
      </c>
      <c r="EQ18" s="18">
        <f>IF(EQ$1&lt;CapEx!$O$7,0,(VLOOKUP($B18,Inputs!$B$25:$D$44,3,0)*(VLOOKUP(Financials!$B18,Inputs!$B$3:$D$21,3,0)*(1+Inputs!$L$9)^Financials!EQ$3)*EQ$8))</f>
        <v>136960.38812590353</v>
      </c>
      <c r="ER18" s="18">
        <f>IF(ER$1&lt;CapEx!$O$7,0,(VLOOKUP($B18,Inputs!$B$25:$D$44,3,0)*(VLOOKUP(Financials!$B18,Inputs!$B$3:$D$21,3,0)*(1+Inputs!$L$9)^Financials!ER$3)*ER$8))</f>
        <v>123912.3339453067</v>
      </c>
      <c r="ES18" s="18">
        <f>IF(ES$1&lt;CapEx!$O$7,0,(VLOOKUP($B18,Inputs!$B$25:$D$44,3,0)*(VLOOKUP(Financials!$B18,Inputs!$B$3:$D$21,3,0)*(1+Inputs!$L$9)^Financials!ES$3)*ES$8))</f>
        <v>137417.30319851247</v>
      </c>
      <c r="ET18" s="18">
        <f>IF(ET$1&lt;CapEx!$O$7,0,(VLOOKUP($B18,Inputs!$B$25:$D$44,3,0)*(VLOOKUP(Financials!$B18,Inputs!$B$3:$D$21,3,0)*(1+Inputs!$L$9)^Financials!ET$3)*ET$8))</f>
        <v>133206.12777791292</v>
      </c>
      <c r="EU18" s="18">
        <f>IF(EU$1&lt;CapEx!$O$7,0,(VLOOKUP($B18,Inputs!$B$25:$D$44,3,0)*(VLOOKUP(Financials!$B18,Inputs!$B$3:$D$21,3,0)*(1+Inputs!$L$9)^Financials!EU$3)*EU$8))</f>
        <v>137875.74259057199</v>
      </c>
      <c r="EV18" s="18">
        <f>IF(EV$1&lt;CapEx!$O$7,0,(VLOOKUP($B18,Inputs!$B$25:$D$44,3,0)*(VLOOKUP(Financials!$B18,Inputs!$B$3:$D$21,3,0)*(1+Inputs!$L$9)^Financials!EV$3)*EV$8))</f>
        <v>133650.51822086089</v>
      </c>
      <c r="EW18" s="18">
        <f>IF(EW$1&lt;CapEx!$O$7,0,(VLOOKUP($B18,Inputs!$B$25:$D$44,3,0)*(VLOOKUP(Financials!$B18,Inputs!$B$3:$D$21,3,0)*(1+Inputs!$L$9)^Financials!EW$3)*EW$8))</f>
        <v>138335.71138738107</v>
      </c>
      <c r="EX18" s="18">
        <f>IF(EX$1&lt;CapEx!$O$7,0,(VLOOKUP($B18,Inputs!$B$25:$D$44,3,0)*(VLOOKUP(Financials!$B18,Inputs!$B$3:$D$21,3,0)*(1+Inputs!$L$9)^Financials!EX$3)*EX$8))</f>
        <v>138566.27090636009</v>
      </c>
      <c r="EY18" s="18">
        <f>IF(EY$1&lt;CapEx!$O$7,0,(VLOOKUP($B18,Inputs!$B$25:$D$44,3,0)*(VLOOKUP(Financials!$B18,Inputs!$B$3:$D$21,3,0)*(1+Inputs!$L$9)^Financials!EY$3)*EY$8))</f>
        <v>134319.88518503614</v>
      </c>
      <c r="EZ18" s="18">
        <f>IF(EZ$1&lt;CapEx!$O$7,0,(VLOOKUP($B18,Inputs!$B$25:$D$44,3,0)*(VLOOKUP(Financials!$B18,Inputs!$B$3:$D$21,3,0)*(1+Inputs!$L$9)^Financials!EZ$3)*EZ$8))</f>
        <v>139028.543382356</v>
      </c>
      <c r="FA18" s="18">
        <f>IF(FA$1&lt;CapEx!$O$7,0,(VLOOKUP($B18,Inputs!$B$25:$D$44,3,0)*(VLOOKUP(Financials!$B18,Inputs!$B$3:$D$21,3,0)*(1+Inputs!$L$9)^Financials!FA$3)*FA$8))</f>
        <v>134767.9912464451</v>
      </c>
      <c r="FB18" s="18">
        <f>IF(FB$1&lt;CapEx!$O$7,0,(VLOOKUP($B18,Inputs!$B$25:$D$44,3,0)*(VLOOKUP(Financials!$B18,Inputs!$B$3:$D$21,3,0)*(1+Inputs!$L$9)^Financials!FB$3)*FB$8))</f>
        <v>139492.3580506955</v>
      </c>
      <c r="FC18" s="18">
        <f>IF(FC$1&lt;CapEx!$O$7,0,(VLOOKUP($B18,Inputs!$B$25:$D$44,3,0)*(VLOOKUP(Financials!$B18,Inputs!$B$3:$D$21,3,0)*(1+Inputs!$L$9)^Financials!FC$3)*FC$8))</f>
        <v>139724.84531411334</v>
      </c>
      <c r="FD18" s="18">
        <f>IF(FD$1&lt;CapEx!$O$7,0,(VLOOKUP($B18,Inputs!$B$25:$D$44,3,0)*(VLOOKUP(Financials!$B18,Inputs!$B$3:$D$21,3,0)*(1+Inputs!$L$9)^Financials!FD$3)*FD$8))</f>
        <v>126413.42456698386</v>
      </c>
      <c r="FE18" s="18">
        <f>IF(FE$1&lt;CapEx!$O$7,0,(VLOOKUP($B18,Inputs!$B$25:$D$44,3,0)*(VLOOKUP(Financials!$B18,Inputs!$B$3:$D$21,3,0)*(1+Inputs!$L$9)^Financials!FE$3)*FE$8))</f>
        <v>140190.98292306406</v>
      </c>
      <c r="FF18" s="18">
        <f>IF(FF$1&lt;CapEx!$O$7,0,(VLOOKUP($B18,Inputs!$B$25:$D$44,3,0)*(VLOOKUP(Financials!$B18,Inputs!$B$3:$D$21,3,0)*(1+Inputs!$L$9)^Financials!FF$3)*FF$8))</f>
        <v>135894.80763993794</v>
      </c>
      <c r="FG18" s="18">
        <f>IF(FG$1&lt;CapEx!$O$7,0,(VLOOKUP($B18,Inputs!$B$25:$D$44,3,0)*(VLOOKUP(Financials!$B18,Inputs!$B$3:$D$21,3,0)*(1+Inputs!$L$9)^Financials!FG$3)*FG$8))</f>
        <v>140658.67561887129</v>
      </c>
      <c r="FH18" s="18">
        <f>IF(FH$1&lt;CapEx!$O$7,0,(VLOOKUP($B18,Inputs!$B$25:$D$44,3,0)*(VLOOKUP(Financials!$B18,Inputs!$B$3:$D$21,3,0)*(1+Inputs!$L$9)^Financials!FH$3)*FH$8))</f>
        <v>136348.1678176478</v>
      </c>
      <c r="FI18" s="18">
        <f>IF(FI$1&lt;CapEx!$O$7,0,(VLOOKUP($B18,Inputs!$B$25:$D$44,3,0)*(VLOOKUP(Financials!$B18,Inputs!$B$3:$D$21,3,0)*(1+Inputs!$L$9)^Financials!FI$3)*FI$8))</f>
        <v>141127.92858947761</v>
      </c>
      <c r="FJ18" s="18">
        <f>IF(FJ$1&lt;CapEx!$O$7,0,(VLOOKUP($B18,Inputs!$B$25:$D$44,3,0)*(VLOOKUP(Financials!$B18,Inputs!$B$3:$D$21,3,0)*(1+Inputs!$L$9)^Financials!FJ$3)*FJ$8))</f>
        <v>141363.14180379341</v>
      </c>
      <c r="FK18" s="18">
        <f>IF(FK$1&lt;CapEx!$O$7,0,(VLOOKUP($B18,Inputs!$B$25:$D$44,3,0)*(VLOOKUP(Financials!$B18,Inputs!$B$3:$D$21,3,0)*(1+Inputs!$L$9)^Financials!FK$3)*FK$8))</f>
        <v>137031.04552270944</v>
      </c>
      <c r="FL18" s="18">
        <f>IF(FL$1&lt;CapEx!$O$7,0,(VLOOKUP($B18,Inputs!$B$25:$D$44,3,0)*(VLOOKUP(Financials!$B18,Inputs!$B$3:$D$21,3,0)*(1+Inputs!$L$9)^Financials!FL$3)*FL$8))</f>
        <v>141834.74495186663</v>
      </c>
      <c r="FM18" s="18">
        <f>IF(FM$1&lt;CapEx!$O$7,0,(VLOOKUP($B18,Inputs!$B$25:$D$44,3,0)*(VLOOKUP(Financials!$B18,Inputs!$B$3:$D$21,3,0)*(1+Inputs!$L$9)^Financials!FM$3)*FM$8))</f>
        <v>137488.19631624492</v>
      </c>
      <c r="FN18" s="18">
        <f>IF(FN$1&lt;CapEx!$O$7,0,(VLOOKUP($B18,Inputs!$B$25:$D$44,3,0)*(VLOOKUP(Financials!$B18,Inputs!$B$3:$D$21,3,0)*(1+Inputs!$L$9)^Financials!FN$3)*FN$8))</f>
        <v>142307.92142044223</v>
      </c>
      <c r="FO18" s="18">
        <f>IF(FO$1&lt;CapEx!$O$7,0,(VLOOKUP($B18,Inputs!$B$25:$D$44,3,0)*(VLOOKUP(Financials!$B18,Inputs!$B$3:$D$21,3,0)*(1+Inputs!$L$9)^Financials!FO$3)*FO$8))</f>
        <v>142545.10128947627</v>
      </c>
      <c r="FP18" s="18">
        <f>IF(FP$1&lt;CapEx!$O$7,0,(VLOOKUP($B18,Inputs!$B$25:$D$44,3,0)*(VLOOKUP(Financials!$B18,Inputs!$B$3:$D$21,3,0)*(1+Inputs!$L$9)^Financials!FP$3)*FP$8))</f>
        <v>128964.99809136057</v>
      </c>
      <c r="FQ18" s="18">
        <f>IF(FQ$1&lt;CapEx!$O$7,0,(VLOOKUP($B18,Inputs!$B$25:$D$44,3,0)*(VLOOKUP(Financials!$B18,Inputs!$B$3:$D$21,3,0)*(1+Inputs!$L$9)^Financials!FQ$3)*FQ$8))</f>
        <v>143020.64758572259</v>
      </c>
      <c r="FR18" s="18">
        <f>IF(FR$1&lt;CapEx!$O$7,0,(VLOOKUP($B18,Inputs!$B$25:$D$44,3,0)*(VLOOKUP(Financials!$B18,Inputs!$B$3:$D$21,3,0)*(1+Inputs!$L$9)^Financials!FR$3)*FR$8))</f>
        <v>138637.7567726117</v>
      </c>
      <c r="FS18" s="18">
        <f>IF(FS$1&lt;CapEx!$O$7,0,(VLOOKUP($B18,Inputs!$B$25:$D$44,3,0)*(VLOOKUP(Financials!$B18,Inputs!$B$3:$D$21,3,0)*(1+Inputs!$L$9)^Financials!FS$3)*FS$8))</f>
        <v>143497.78035725164</v>
      </c>
      <c r="FT18" s="18">
        <f>IF(FT$1&lt;CapEx!$O$7,0,(VLOOKUP($B18,Inputs!$B$25:$D$44,3,0)*(VLOOKUP(Financials!$B18,Inputs!$B$3:$D$21,3,0)*(1+Inputs!$L$9)^Financials!FT$3)*FT$8))</f>
        <v>139100.26773340037</v>
      </c>
      <c r="FU18" s="18">
        <f>IF(FU$1&lt;CapEx!$O$7,0,(VLOOKUP($B18,Inputs!$B$25:$D$44,3,0)*(VLOOKUP(Financials!$B18,Inputs!$B$3:$D$21,3,0)*(1+Inputs!$L$9)^Financials!FU$3)*FU$8))</f>
        <v>143976.50489672128</v>
      </c>
      <c r="FV18" s="18">
        <f>IF(FV$1&lt;CapEx!$O$7,0,(VLOOKUP($B18,Inputs!$B$25:$D$44,3,0)*(VLOOKUP(Financials!$B18,Inputs!$B$3:$D$21,3,0)*(1+Inputs!$L$9)^Financials!FV$3)*FV$8))</f>
        <v>144216.4657382158</v>
      </c>
      <c r="FW18" s="18">
        <f>IF(FW$1&lt;CapEx!$O$7,0,(VLOOKUP($B18,Inputs!$B$25:$D$44,3,0)*(VLOOKUP(Financials!$B18,Inputs!$B$3:$D$21,3,0)*(1+Inputs!$L$9)^Financials!FW$3)*FW$8))</f>
        <v>139796.92888494793</v>
      </c>
      <c r="FX18" s="18">
        <f>IF(FX$1&lt;CapEx!$O$7,0,(VLOOKUP($B18,Inputs!$B$25:$D$44,3,0)*(VLOOKUP(Financials!$B18,Inputs!$B$3:$D$21,3,0)*(1+Inputs!$L$9)^Financials!FX$3)*FX$8))</f>
        <v>144697.58789197027</v>
      </c>
      <c r="FY18" s="18">
        <f>IF(FY$1&lt;CapEx!$O$7,0,(VLOOKUP($B18,Inputs!$B$25:$D$44,3,0)*(VLOOKUP(Financials!$B18,Inputs!$B$3:$D$21,3,0)*(1+Inputs!$L$9)^Financials!FY$3)*FY$8))</f>
        <v>140263.30697270023</v>
      </c>
      <c r="FZ18" s="18">
        <f>IF(FZ$1&lt;CapEx!$O$7,0,(VLOOKUP($B18,Inputs!$B$25:$D$44,3,0)*(VLOOKUP(Financials!$B18,Inputs!$B$3:$D$21,3,0)*(1+Inputs!$L$9)^Financials!FZ$3)*FZ$8))</f>
        <v>145180.31512268767</v>
      </c>
      <c r="GA18" s="18">
        <f>IF(GA$1&lt;CapEx!$O$7,0,(VLOOKUP($B18,Inputs!$B$25:$D$44,3,0)*(VLOOKUP(Financials!$B18,Inputs!$B$3:$D$21,3,0)*(1+Inputs!$L$9)^Financials!GA$3)*GA$8))</f>
        <v>145422.28231455883</v>
      </c>
      <c r="GB18" s="18">
        <f>IF(GB$1&lt;CapEx!$O$7,0,(VLOOKUP($B18,Inputs!$B$25:$D$44,3,0)*(VLOOKUP(Financials!$B18,Inputs!$B$3:$D$21,3,0)*(1+Inputs!$L$9)^Financials!GB$3)*GB$8))</f>
        <v>131568.07348330086</v>
      </c>
      <c r="GC18" s="18">
        <f>IF(GC$1&lt;CapEx!$O$7,0,(VLOOKUP($B18,Inputs!$B$25:$D$44,3,0)*(VLOOKUP(Financials!$B18,Inputs!$B$3:$D$21,3,0)*(1+Inputs!$L$9)^Financials!GC$3)*GC$8))</f>
        <v>145907.42720639159</v>
      </c>
      <c r="GD18" s="18">
        <f>IF(GD$1&lt;CapEx!$O$7,0,(VLOOKUP($B18,Inputs!$B$25:$D$44,3,0)*(VLOOKUP(Financials!$B18,Inputs!$B$3:$D$21,3,0)*(1+Inputs!$L$9)^Financials!GD$3)*GD$8))</f>
        <v>141436.07056619576</v>
      </c>
      <c r="GE18" s="18">
        <f>IF(GE$1&lt;CapEx!$O$7,0,(VLOOKUP($B18,Inputs!$B$25:$D$44,3,0)*(VLOOKUP(Financials!$B18,Inputs!$B$3:$D$21,3,0)*(1+Inputs!$L$9)^Financials!GE$3)*GE$8))</f>
        <v>146394.19059548847</v>
      </c>
      <c r="GF18" s="18">
        <f>IF(GF$1&lt;CapEx!$O$7,0,(VLOOKUP($B18,Inputs!$B$25:$D$44,3,0)*(VLOOKUP(Financials!$B18,Inputs!$B$3:$D$21,3,0)*(1+Inputs!$L$9)^Financials!GF$3)*GF$8))</f>
        <v>141907.91701272348</v>
      </c>
      <c r="GG18" s="18">
        <f>IF(GG$1&lt;CapEx!$O$7,0,(VLOOKUP($B18,Inputs!$B$25:$D$44,3,0)*(VLOOKUP(Financials!$B18,Inputs!$B$3:$D$21,3,0)*(1+Inputs!$L$9)^Financials!GG$3)*GG$8))</f>
        <v>146882.57788133621</v>
      </c>
      <c r="GH18" s="18">
        <f>IF(GH$1&lt;CapEx!$O$7,0,(VLOOKUP($B18,Inputs!$B$25:$D$44,3,0)*(VLOOKUP(Financials!$B18,Inputs!$B$3:$D$21,3,0)*(1+Inputs!$L$9)^Financials!GH$3)*GH$8))</f>
        <v>147127.38217780515</v>
      </c>
      <c r="GI18" s="18">
        <f>IF(GI$1&lt;CapEx!$O$7,0,(VLOOKUP($B18,Inputs!$B$25:$D$44,3,0)*(VLOOKUP(Financials!$B18,Inputs!$B$3:$D$21,3,0)*(1+Inputs!$L$9)^Financials!GI$3)*GI$8))</f>
        <v>142618.63982074335</v>
      </c>
      <c r="GJ18" s="18">
        <f>IF(GJ$1&lt;CapEx!$O$7,0,(VLOOKUP($B18,Inputs!$B$25:$D$44,3,0)*(VLOOKUP(Financials!$B18,Inputs!$B$3:$D$21,3,0)*(1+Inputs!$L$9)^Financials!GJ$3)*GJ$8))</f>
        <v>147618.21547223721</v>
      </c>
      <c r="GK18" s="18">
        <f>IF(GK$1&lt;CapEx!$O$7,0,(VLOOKUP($B18,Inputs!$B$25:$D$44,3,0)*(VLOOKUP(Financials!$B18,Inputs!$B$3:$D$21,3,0)*(1+Inputs!$L$9)^Financials!GK$3)*GK$8))</f>
        <v>143094.43144970093</v>
      </c>
      <c r="GL18" s="18">
        <f>IF(GL$1&lt;CapEx!$O$7,0,(VLOOKUP($B18,Inputs!$B$25:$D$44,3,0)*(VLOOKUP(Financials!$B18,Inputs!$B$3:$D$21,3,0)*(1+Inputs!$L$9)^Financials!GL$3)*GL$8))</f>
        <v>148110.68624107656</v>
      </c>
      <c r="GM18" s="18">
        <f>IF(GM$1&lt;CapEx!$O$7,0,(VLOOKUP($B18,Inputs!$B$25:$D$44,3,0)*(VLOOKUP(Financials!$B18,Inputs!$B$3:$D$21,3,0)*(1+Inputs!$L$9)^Financials!GM$3)*GM$8))</f>
        <v>148357.53738481167</v>
      </c>
      <c r="GN18" s="18">
        <f>IF(GN$1&lt;CapEx!$O$7,0,(VLOOKUP($B18,Inputs!$B$25:$D$44,3,0)*(VLOOKUP(Financials!$B18,Inputs!$B$3:$D$21,3,0)*(1+Inputs!$L$9)^Financials!GN$3)*GN$8))</f>
        <v>134223.69027481781</v>
      </c>
      <c r="GO18" s="18">
        <f>IF(GO$1&lt;CapEx!$O$7,0,(VLOOKUP($B18,Inputs!$B$25:$D$44,3,0)*(VLOOKUP(Financials!$B18,Inputs!$B$3:$D$21,3,0)*(1+Inputs!$L$9)^Financials!GO$3)*GO$8))</f>
        <v>148852.47461369829</v>
      </c>
      <c r="GP18" s="18">
        <f>IF(GP$1&lt;CapEx!$O$7,0,(VLOOKUP($B18,Inputs!$B$25:$D$44,3,0)*(VLOOKUP(Financials!$B18,Inputs!$B$3:$D$21,3,0)*(1+Inputs!$L$9)^Financials!GP$3)*GP$8))</f>
        <v>144290.86652069786</v>
      </c>
      <c r="GQ18" s="18">
        <f>IF(GQ$1&lt;CapEx!$O$7,0,(VLOOKUP($B18,Inputs!$B$25:$D$44,3,0)*(VLOOKUP(Financials!$B18,Inputs!$B$3:$D$21,3,0)*(1+Inputs!$L$9)^Financials!GQ$3)*GQ$8))</f>
        <v>149349.06300817346</v>
      </c>
      <c r="GR18" s="18">
        <f>IF(GR$1&lt;CapEx!$O$7,0,(VLOOKUP($B18,Inputs!$B$25:$D$44,3,0)*(VLOOKUP(Financials!$B18,Inputs!$B$3:$D$21,3,0)*(1+Inputs!$L$9)^Financials!GR$3)*GR$8))</f>
        <v>144772.23688372943</v>
      </c>
      <c r="GS18" s="18">
        <f>IF(GS$1&lt;CapEx!$O$7,0,(VLOOKUP($B18,Inputs!$B$25:$D$44,3,0)*(VLOOKUP(Financials!$B18,Inputs!$B$3:$D$21,3,0)*(1+Inputs!$L$9)^Financials!GS$3)*GS$8))</f>
        <v>149847.30807670904</v>
      </c>
      <c r="GT18" s="18">
        <f>IF(GT$1&lt;CapEx!$O$7,0,(VLOOKUP($B18,Inputs!$B$25:$D$44,3,0)*(VLOOKUP(Financials!$B18,Inputs!$B$3:$D$21,3,0)*(1+Inputs!$L$9)^Financials!GT$3)*GT$8))</f>
        <v>150097.05359017028</v>
      </c>
      <c r="GU18" s="18">
        <f>IF(GU$1&lt;CapEx!$O$7,0,(VLOOKUP($B18,Inputs!$B$25:$D$44,3,0)*(VLOOKUP(Financials!$B18,Inputs!$B$3:$D$21,3,0)*(1+Inputs!$L$9)^Financials!GU$3)*GU$8))</f>
        <v>145497.3051736973</v>
      </c>
      <c r="GV18" s="18">
        <f>IF(GV$1&lt;CapEx!$O$7,0,(VLOOKUP($B18,Inputs!$B$25:$D$44,3,0)*(VLOOKUP(Financials!$B18,Inputs!$B$3:$D$21,3,0)*(1+Inputs!$L$9)^Financials!GV$3)*GV$8))</f>
        <v>150597.79403839746</v>
      </c>
      <c r="GW18" s="18">
        <f>IF(GW$1&lt;CapEx!$O$7,0,(VLOOKUP($B18,Inputs!$B$25:$D$44,3,0)*(VLOOKUP(Financials!$B18,Inputs!$B$3:$D$21,3,0)*(1+Inputs!$L$9)^Financials!GW$3)*GW$8))</f>
        <v>145982.70035012398</v>
      </c>
      <c r="GX18" s="18">
        <f>IF(GX$1&lt;CapEx!$O$7,0,(VLOOKUP($B18,Inputs!$B$25:$D$44,3,0)*(VLOOKUP(Financials!$B18,Inputs!$B$3:$D$21,3,0)*(1+Inputs!$L$9)^Financials!GX$3)*GX$8))</f>
        <v>151100.20501239781</v>
      </c>
      <c r="GY18" s="18">
        <f>IF(GY$1&lt;CapEx!$O$7,0,(VLOOKUP($B18,Inputs!$B$25:$D$44,3,0)*(VLOOKUP(Financials!$B18,Inputs!$B$3:$D$21,3,0)*(1+Inputs!$L$9)^Financials!GY$3)*GY$8))</f>
        <v>151352.03868741851</v>
      </c>
      <c r="GZ18" s="18">
        <f>IF(GZ$1&lt;CapEx!$O$7,0,(VLOOKUP($B18,Inputs!$B$25:$D$44,3,0)*(VLOOKUP(Financials!$B18,Inputs!$B$3:$D$21,3,0)*(1+Inputs!$L$9)^Financials!GZ$3)*GZ$8))</f>
        <v>136932.90898020851</v>
      </c>
      <c r="HA18" s="18">
        <f>IF(HA$1&lt;CapEx!$O$7,0,(VLOOKUP($B18,Inputs!$B$25:$D$44,3,0)*(VLOOKUP(Financials!$B18,Inputs!$B$3:$D$21,3,0)*(1+Inputs!$L$9)^Financials!HA$3)*HA$8))</f>
        <v>151856.96590537296</v>
      </c>
      <c r="HB18" s="18">
        <f>IF(HB$1&lt;CapEx!$O$7,0,(VLOOKUP($B18,Inputs!$B$25:$D$44,3,0)*(VLOOKUP(Financials!$B18,Inputs!$B$3:$D$21,3,0)*(1+Inputs!$L$9)^Financials!HB$3)*HB$8))</f>
        <v>147203.28469214379</v>
      </c>
      <c r="HC18" s="18">
        <f>IF(HC$1&lt;CapEx!$O$7,0,(VLOOKUP($B18,Inputs!$B$25:$D$44,3,0)*(VLOOKUP(Financials!$B18,Inputs!$B$3:$D$21,3,0)*(1+Inputs!$L$9)^Financials!HC$3)*HC$8))</f>
        <v>152363.57761662951</v>
      </c>
      <c r="HD18" s="18">
        <f>IF(HD$1&lt;CapEx!$O$7,0,(VLOOKUP($B18,Inputs!$B$25:$D$44,3,0)*(VLOOKUP(Financials!$B18,Inputs!$B$3:$D$21,3,0)*(1+Inputs!$L$9)^Financials!HD$3)*HD$8))</f>
        <v>147694.3712057973</v>
      </c>
      <c r="HE18" s="18">
        <f>IF(HE$1&lt;CapEx!$O$7,0,(VLOOKUP($B18,Inputs!$B$25:$D$44,3,0)*(VLOOKUP(Financials!$B18,Inputs!$B$3:$D$21,3,0)*(1+Inputs!$L$9)^Financials!HE$3)*HE$8))</f>
        <v>152871.87944084499</v>
      </c>
      <c r="HF18" s="18">
        <f>IF(HF$1&lt;CapEx!$O$7,0,(VLOOKUP($B18,Inputs!$B$25:$D$44,3,0)*(VLOOKUP(Financials!$B18,Inputs!$B$3:$D$21,3,0)*(1+Inputs!$L$9)^Financials!HF$3)*HF$8))</f>
        <v>153126.66590657976</v>
      </c>
      <c r="HG18" s="18">
        <f>IF(HG$1&lt;CapEx!$O$7,0,(VLOOKUP($B18,Inputs!$B$25:$D$44,3,0)*(VLOOKUP(Financials!$B18,Inputs!$B$3:$D$21,3,0)*(1+Inputs!$L$9)^Financials!HG$3)*HG$8))</f>
        <v>148434.07453202325</v>
      </c>
      <c r="HH18" s="18">
        <f>IF(HH$1&lt;CapEx!$O$7,0,(VLOOKUP($B18,Inputs!$B$25:$D$44,3,0)*(VLOOKUP(Financials!$B18,Inputs!$B$3:$D$21,3,0)*(1+Inputs!$L$9)^Financials!HH$3)*HH$8))</f>
        <v>153637.51347811805</v>
      </c>
      <c r="HI18" s="18">
        <f>IF(HI$1&lt;CapEx!$O$7,0,(VLOOKUP($B18,Inputs!$B$25:$D$44,3,0)*(VLOOKUP(Financials!$B18,Inputs!$B$3:$D$21,3,0)*(1+Inputs!$L$9)^Financials!HI$3)*HI$8))</f>
        <v>148929.26709733706</v>
      </c>
      <c r="HJ18" s="18">
        <f>IF(HJ$1&lt;CapEx!$O$7,0,(VLOOKUP($B18,Inputs!$B$25:$D$44,3,0)*(VLOOKUP(Financials!$B18,Inputs!$B$3:$D$21,3,0)*(1+Inputs!$L$9)^Financials!HJ$3)*HJ$8))</f>
        <v>154150.06529391595</v>
      </c>
      <c r="HK18" s="18">
        <f>IF(HK$1&lt;CapEx!$O$7,0,(VLOOKUP($B18,Inputs!$B$25:$D$44,3,0)*(VLOOKUP(Financials!$B18,Inputs!$B$3:$D$21,3,0)*(1+Inputs!$L$9)^Financials!HK$3)*HK$8))</f>
        <v>154406.98206940579</v>
      </c>
      <c r="HL18" s="18">
        <f>IF(HL$1&lt;CapEx!$O$7,0,(VLOOKUP($B18,Inputs!$B$25:$D$44,3,0)*(VLOOKUP(Financials!$B18,Inputs!$B$3:$D$21,3,0)*(1+Inputs!$L$9)^Financials!HL$3)*HL$8))</f>
        <v>139696.81151956783</v>
      </c>
      <c r="HM18" s="18">
        <f>IF(HM$1&lt;CapEx!$O$7,0,(VLOOKUP($B18,Inputs!$B$25:$D$44,3,0)*(VLOOKUP(Financials!$B18,Inputs!$B$3:$D$21,3,0)*(1+Inputs!$L$9)^Financials!HM$3)*HM$8))</f>
        <v>154922.10091792073</v>
      </c>
      <c r="HN18" s="18">
        <f>IF(HN$1&lt;CapEx!$O$7,0,(VLOOKUP($B18,Inputs!$B$25:$D$44,3,0)*(VLOOKUP(Financials!$B18,Inputs!$B$3:$D$21,3,0)*(1+Inputs!$L$9)^Financials!HN$3)*HN$8))</f>
        <v>150174.48814785542</v>
      </c>
      <c r="HO18" s="18">
        <f>IF(HO$1&lt;CapEx!$O$7,0,(VLOOKUP($B18,Inputs!$B$25:$D$44,3,0)*(VLOOKUP(Financials!$B18,Inputs!$B$3:$D$21,3,0)*(1+Inputs!$L$9)^Financials!HO$3)*HO$8))</f>
        <v>155438.93826014968</v>
      </c>
      <c r="HP18" s="18">
        <f>IF(HP$1&lt;CapEx!$O$7,0,(VLOOKUP($B18,Inputs!$B$25:$D$44,3,0)*(VLOOKUP(Financials!$B18,Inputs!$B$3:$D$21,3,0)*(1+Inputs!$L$9)^Financials!HP$3)*HP$8))</f>
        <v>150675.48692637091</v>
      </c>
      <c r="HQ18" s="18">
        <f>IF(HQ$1&lt;CapEx!$O$7,0,(VLOOKUP($B18,Inputs!$B$25:$D$44,3,0)*(VLOOKUP(Financials!$B18,Inputs!$B$3:$D$21,3,0)*(1+Inputs!$L$9)^Financials!HQ$3)*HQ$8))</f>
        <v>155957.49982917868</v>
      </c>
      <c r="HR18" s="18">
        <f>IF(HR$1&lt;CapEx!$O$7,0,(VLOOKUP($B18,Inputs!$B$25:$D$44,3,0)*(VLOOKUP(Financials!$B18,Inputs!$B$3:$D$21,3,0)*(1+Inputs!$L$9)^Financials!HR$3)*HR$8))</f>
        <v>156217.42899556068</v>
      </c>
      <c r="HS18" s="18">
        <f>IF(HS$1&lt;CapEx!$O$7,0,(VLOOKUP($B18,Inputs!$B$25:$D$44,3,0)*(VLOOKUP(Financials!$B18,Inputs!$B$3:$D$21,3,0)*(1+Inputs!$L$9)^Financials!HS$3)*HS$8))</f>
        <v>151430.12068763224</v>
      </c>
      <c r="HT18" s="18">
        <f>IF(HT$1&lt;CapEx!$O$7,0,(VLOOKUP($B18,Inputs!$B$25:$D$44,3,0)*(VLOOKUP(Financials!$B18,Inputs!$B$3:$D$21,3,0)*(1+Inputs!$L$9)^Financials!HT$3)*HT$8))</f>
        <v>156738.58769618199</v>
      </c>
      <c r="HU18" s="18">
        <f>IF(HU$1&lt;CapEx!$O$7,0,(VLOOKUP($B18,Inputs!$B$25:$D$44,3,0)*(VLOOKUP(Financials!$B18,Inputs!$B$3:$D$21,3,0)*(1+Inputs!$L$9)^Financials!HU$3)*HU$8))</f>
        <v>151935.30839581514</v>
      </c>
      <c r="HV18" s="18">
        <f>IF(HV$1&lt;CapEx!$O$7,0,(VLOOKUP($B18,Inputs!$B$25:$D$44,3,0)*(VLOOKUP(Financials!$B18,Inputs!$B$3:$D$21,3,0)*(1+Inputs!$L$9)^Financials!HV$3)*HV$8))</f>
        <v>157261.48504013513</v>
      </c>
      <c r="HW18" s="18">
        <f>IF(HW$1&lt;CapEx!$O$7,0,(VLOOKUP($B18,Inputs!$B$25:$D$44,3,0)*(VLOOKUP(Financials!$B18,Inputs!$B$3:$D$21,3,0)*(1+Inputs!$L$9)^Financials!HW$3)*HW$8))</f>
        <v>157523.58751520209</v>
      </c>
      <c r="HX18" s="18">
        <f>IF(HX$1&lt;CapEx!$O$7,0,(VLOOKUP($B18,Inputs!$B$25:$D$44,3,0)*(VLOOKUP(Financials!$B18,Inputs!$B$3:$D$21,3,0)*(1+Inputs!$L$9)^Financials!HX$3)*HX$8))</f>
        <v>142516.50165085052</v>
      </c>
      <c r="HY18" s="18">
        <f>IF(HY$1&lt;CapEx!$O$7,0,(VLOOKUP($B18,Inputs!$B$25:$D$44,3,0)*(VLOOKUP(Financials!$B18,Inputs!$B$3:$D$21,3,0)*(1+Inputs!$L$9)^Financials!HY$3)*HY$8))</f>
        <v>158049.10370577362</v>
      </c>
      <c r="HZ18" s="18">
        <f>IF(HZ$1&lt;CapEx!$O$7,0,(VLOOKUP($B18,Inputs!$B$25:$D$44,3,0)*(VLOOKUP(Financials!$B18,Inputs!$B$3:$D$21,3,0)*(1+Inputs!$L$9)^Financials!HZ$3)*HZ$8))</f>
        <v>153205.66343091929</v>
      </c>
      <c r="IA18" s="18">
        <f>IF(IA$1&lt;CapEx!$O$7,0,(VLOOKUP($B18,Inputs!$B$25:$D$44,3,0)*(VLOOKUP(Financials!$B18,Inputs!$B$3:$D$21,3,0)*(1+Inputs!$L$9)^Financials!IA$3)*IA$8))</f>
        <v>158576.37307674761</v>
      </c>
      <c r="IB18" s="18">
        <f>IF(IB$1&lt;CapEx!$O$7,0,(VLOOKUP($B18,Inputs!$B$25:$D$44,3,0)*(VLOOKUP(Financials!$B18,Inputs!$B$3:$D$21,3,0)*(1+Inputs!$L$9)^Financials!IB$3)*IB$8))</f>
        <v>153716.77454697632</v>
      </c>
      <c r="IC18" s="18">
        <f>IF(IC$1&lt;CapEx!$O$7,0,(VLOOKUP($B18,Inputs!$B$25:$D$44,3,0)*(VLOOKUP(Financials!$B18,Inputs!$B$3:$D$21,3,0)*(1+Inputs!$L$9)^Financials!IC$3)*IC$8))</f>
        <v>159105.40147692867</v>
      </c>
      <c r="ID18" s="18">
        <f>IF(ID$1&lt;CapEx!$O$7,0,(VLOOKUP($B18,Inputs!$B$25:$D$44,3,0)*(VLOOKUP(Financials!$B18,Inputs!$B$3:$D$21,3,0)*(1+Inputs!$L$9)^Financials!ID$3)*ID$8))</f>
        <v>159370.57714605692</v>
      </c>
      <c r="IE18" s="18">
        <f>IF(IE$1&lt;CapEx!$O$7,0,(VLOOKUP($B18,Inputs!$B$25:$D$44,3,0)*(VLOOKUP(Financials!$B18,Inputs!$B$3:$D$21,3,0)*(1+Inputs!$L$9)^Financials!IE$3)*IE$8))</f>
        <v>154486.64010448422</v>
      </c>
      <c r="IF18" s="18">
        <f>IF(IF$1&lt;CapEx!$O$7,0,(VLOOKUP($B18,Inputs!$B$25:$D$44,3,0)*(VLOOKUP(Financials!$B18,Inputs!$B$3:$D$21,3,0)*(1+Inputs!$L$9)^Financials!IF$3)*IF$8))</f>
        <v>159902.25509925807</v>
      </c>
      <c r="IG18" s="18">
        <f>IF(IG$1&lt;CapEx!$O$7,0,(VLOOKUP($B18,Inputs!$B$25:$D$44,3,0)*(VLOOKUP(Financials!$B18,Inputs!$B$3:$D$21,3,0)*(1+Inputs!$L$9)^Financials!IG$3)*IG$8))</f>
        <v>155002.02470105502</v>
      </c>
      <c r="IH18" s="18">
        <f>IF(IH$1&lt;CapEx!$O$7,0,(VLOOKUP($B18,Inputs!$B$25:$D$44,3,0)*(VLOOKUP(Financials!$B18,Inputs!$B$3:$D$21,3,0)*(1+Inputs!$L$9)^Financials!IH$3)*IH$8))</f>
        <v>160435.70678918649</v>
      </c>
      <c r="II18" s="18">
        <f>IF(II$1&lt;CapEx!$O$7,0,(VLOOKUP($B18,Inputs!$B$25:$D$44,3,0)*(VLOOKUP(Financials!$B18,Inputs!$B$3:$D$21,3,0)*(1+Inputs!$L$9)^Financials!II$3)*II$8))</f>
        <v>160703.09963383514</v>
      </c>
      <c r="IJ18" s="18">
        <f>IF(IJ$1&lt;CapEx!$O$7,0,(VLOOKUP($B18,Inputs!$B$25:$D$44,3,0)*(VLOOKUP(Financials!$B18,Inputs!$B$3:$D$21,3,0)*(1+Inputs!$L$9)^Financials!IJ$3)*IJ$8))</f>
        <v>145393.10541065471</v>
      </c>
      <c r="IK18" s="18">
        <f>IF(IK$1&lt;CapEx!$O$7,0,(VLOOKUP($B18,Inputs!$B$25:$D$44,3,0)*(VLOOKUP(Financials!$B18,Inputs!$B$3:$D$21,3,0)*(1+Inputs!$L$9)^Financials!IK$3)*IK$8))</f>
        <v>161239.22303011359</v>
      </c>
      <c r="IL18" s="18">
        <f>IF(IL$1&lt;CapEx!$O$7,0,(VLOOKUP($B18,Inputs!$B$25:$D$44,3,0)*(VLOOKUP(Financials!$B18,Inputs!$B$3:$D$21,3,0)*(1+Inputs!$L$9)^Financials!IL$3)*IL$8))</f>
        <v>156298.02103402946</v>
      </c>
      <c r="IM18" s="18">
        <f>IF(IM$1&lt;CapEx!$O$7,0,(VLOOKUP($B18,Inputs!$B$25:$D$44,3,0)*(VLOOKUP(Financials!$B18,Inputs!$B$3:$D$21,3,0)*(1+Inputs!$L$9)^Financials!IM$3)*IM$8))</f>
        <v>161777.13499361128</v>
      </c>
      <c r="IN18" s="18">
        <f>IF(IN$1&lt;CapEx!$O$7,0,(VLOOKUP($B18,Inputs!$B$25:$D$44,3,0)*(VLOOKUP(Financials!$B18,Inputs!$B$3:$D$21,3,0)*(1+Inputs!$L$9)^Financials!IN$3)*IN$8))</f>
        <v>156819.44859864574</v>
      </c>
      <c r="IO18" s="18">
        <f>IF(IO$1&lt;CapEx!$O$7,0,(VLOOKUP($B18,Inputs!$B$25:$D$44,3,0)*(VLOOKUP(Financials!$B18,Inputs!$B$3:$D$21,3,0)*(1+Inputs!$L$9)^Financials!IO$3)*IO$8))</f>
        <v>162316.84149118722</v>
      </c>
      <c r="IP18" s="18">
        <f>IF(IP$1&lt;CapEx!$O$7,0,(VLOOKUP($B18,Inputs!$B$25:$D$44,3,0)*(VLOOKUP(Financials!$B18,Inputs!$B$3:$D$21,3,0)*(1+Inputs!$L$9)^Financials!IP$3)*IP$8))</f>
        <v>162587.3695603392</v>
      </c>
      <c r="IQ18" s="18">
        <f>IF(IQ$1&lt;CapEx!$O$7,0,(VLOOKUP($B18,Inputs!$B$25:$D$44,3,0)*(VLOOKUP(Financials!$B18,Inputs!$B$3:$D$21,3,0)*(1+Inputs!$L$9)^Financials!IQ$3)*IQ$8))</f>
        <v>157604.8533963933</v>
      </c>
      <c r="IR18" s="18">
        <f>IF(IR$1&lt;CapEx!$O$7,0,(VLOOKUP($B18,Inputs!$B$25:$D$44,3,0)*(VLOOKUP(Financials!$B18,Inputs!$B$3:$D$21,3,0)*(1+Inputs!$L$9)^Financials!IR$3)*IR$8))</f>
        <v>163129.77909045576</v>
      </c>
      <c r="IS18" s="18">
        <f>IF(IS$1&lt;CapEx!$O$7,0,(VLOOKUP($B18,Inputs!$B$25:$D$44,3,0)*(VLOOKUP(Financials!$B18,Inputs!$B$3:$D$21,3,0)*(1+Inputs!$L$9)^Financials!IS$3)*IS$8))</f>
        <v>158130.64069897408</v>
      </c>
      <c r="IT18" s="18">
        <f>IF(IT$1&lt;CapEx!$O$7,0,(VLOOKUP($B18,Inputs!$B$25:$D$44,3,0)*(VLOOKUP(Financials!$B18,Inputs!$B$3:$D$21,3,0)*(1+Inputs!$L$9)^Financials!IT$3)*IT$8))</f>
        <v>163673.99815903252</v>
      </c>
      <c r="IU18" s="18">
        <f>IF(IU$1&lt;CapEx!$O$7,0,(VLOOKUP($B18,Inputs!$B$25:$D$44,3,0)*(VLOOKUP(Financials!$B18,Inputs!$B$3:$D$21,3,0)*(1+Inputs!$L$9)^Financials!IU$3)*IU$8))</f>
        <v>163946.78815596431</v>
      </c>
      <c r="IV18" s="18">
        <f>IF(IV$1&lt;CapEx!$O$7,0,(VLOOKUP($B18,Inputs!$B$25:$D$44,3,0)*(VLOOKUP(Financials!$B18,Inputs!$B$3:$D$21,3,0)*(1+Inputs!$L$9)^Financials!IV$3)*IV$8))</f>
        <v>148327.77156390151</v>
      </c>
      <c r="IW18" s="18">
        <f>IF(IW$1&lt;CapEx!$O$7,0,(VLOOKUP($B18,Inputs!$B$25:$D$44,3,0)*(VLOOKUP(Financials!$B18,Inputs!$B$3:$D$21,3,0)*(1+Inputs!$L$9)^Financials!IW$3)*IW$8))</f>
        <v>164493.73285756243</v>
      </c>
      <c r="IX18" s="18">
        <f>IF(IX$1&lt;CapEx!$O$7,0,(VLOOKUP($B18,Inputs!$B$25:$D$44,3,0)*(VLOOKUP(Financials!$B18,Inputs!$B$3:$D$21,3,0)*(1+Inputs!$L$9)^Financials!IX$3)*IX$8))</f>
        <v>159452.79588289518</v>
      </c>
      <c r="IY18" s="18">
        <f>IF(IY$1&lt;CapEx!$O$7,0,(VLOOKUP($B18,Inputs!$B$25:$D$44,3,0)*(VLOOKUP(Financials!$B18,Inputs!$B$3:$D$21,3,0)*(1+Inputs!$L$9)^Financials!IY$3)*IY$8))</f>
        <v>165042.50222745672</v>
      </c>
      <c r="IZ18" s="18">
        <f>IF(IZ$1&lt;CapEx!$O$7,0,(VLOOKUP($B18,Inputs!$B$25:$D$44,3,0)*(VLOOKUP(Financials!$B18,Inputs!$B$3:$D$21,3,0)*(1+Inputs!$L$9)^Financials!IZ$3)*IZ$8))</f>
        <v>159984.74812693786</v>
      </c>
      <c r="JA18" s="18">
        <f>IF(JA$1&lt;CapEx!$O$7,0,(VLOOKUP($B18,Inputs!$B$25:$D$44,3,0)*(VLOOKUP(Financials!$B18,Inputs!$B$3:$D$21,3,0)*(1+Inputs!$L$9)^Financials!JA$3)*JA$8))</f>
        <v>165593.10235294333</v>
      </c>
      <c r="JB18" s="18">
        <f>IF(JB$1&lt;CapEx!$O$7,0,(VLOOKUP($B18,Inputs!$B$25:$D$44,3,0)*(VLOOKUP(Financials!$B18,Inputs!$B$3:$D$21,3,0)*(1+Inputs!$L$9)^Financials!JB$3)*JB$8))</f>
        <v>165869.09085686493</v>
      </c>
      <c r="JC18" s="18">
        <f>IF(JC$1&lt;CapEx!$O$7,0,(VLOOKUP($B18,Inputs!$B$25:$D$44,3,0)*(VLOOKUP(Financials!$B18,Inputs!$B$3:$D$21,3,0)*(1+Inputs!$L$9)^Financials!JC$3)*JC$8))</f>
        <v>160786.00581447716</v>
      </c>
      <c r="JD18" s="18">
        <f>IF(JD$1&lt;CapEx!$O$7,0,(VLOOKUP($B18,Inputs!$B$25:$D$44,3,0)*(VLOOKUP(Financials!$B18,Inputs!$B$3:$D$21,3,0)*(1+Inputs!$L$9)^Financials!JD$3)*JD$8))</f>
        <v>166422.44857386238</v>
      </c>
      <c r="JE18" s="18">
        <f>IF(JE$1&lt;CapEx!$O$7,0,(VLOOKUP($B18,Inputs!$B$25:$D$44,3,0)*(VLOOKUP(Financials!$B18,Inputs!$B$3:$D$21,3,0)*(1+Inputs!$L$9)^Financials!JE$3)*JE$8))</f>
        <v>161322.405794986</v>
      </c>
      <c r="JF18" s="18">
        <f>IF(JF$1&lt;CapEx!$O$7,0,(VLOOKUP($B18,Inputs!$B$25:$D$44,3,0)*(VLOOKUP(Financials!$B18,Inputs!$B$3:$D$21,3,0)*(1+Inputs!$L$9)^Financials!JF$3)*JF$8))</f>
        <v>166977.65235368803</v>
      </c>
      <c r="JG18" s="18">
        <f>IF(JG$1&lt;CapEx!$O$7,0,(VLOOKUP($B18,Inputs!$B$25:$D$44,3,0)*(VLOOKUP(Financials!$B18,Inputs!$B$3:$D$21,3,0)*(1+Inputs!$L$9)^Financials!JG$3)*JG$8))</f>
        <v>167255.94844094422</v>
      </c>
      <c r="JH18" s="18">
        <f>IF(JH$1&lt;CapEx!$O$7,0,(VLOOKUP($B18,Inputs!$B$25:$D$44,3,0)*(VLOOKUP(Financials!$B18,Inputs!$B$3:$D$21,3,0)*(1+Inputs!$L$9)^Financials!JH$3)*JH$8))</f>
        <v>151321.67206259188</v>
      </c>
      <c r="JI18" s="18">
        <f>IF(JI$1&lt;CapEx!$O$7,0,(VLOOKUP($B18,Inputs!$B$25:$D$44,3,0)*(VLOOKUP(Financials!$B18,Inputs!$B$3:$D$21,3,0)*(1+Inputs!$L$9)^Financials!JI$3)*JI$8))</f>
        <v>167813.9328689375</v>
      </c>
      <c r="JJ18" s="18">
        <f>IF(JJ$1&lt;CapEx!$O$7,0,(VLOOKUP($B18,Inputs!$B$25:$D$44,3,0)*(VLOOKUP(Financials!$B18,Inputs!$B$3:$D$21,3,0)*(1+Inputs!$L$9)^Financials!JJ$3)*JJ$8))</f>
        <v>162671.2478294055</v>
      </c>
      <c r="JK18" s="18">
        <f>IF(JK$1&lt;CapEx!$O$7,0,(VLOOKUP($B18,Inputs!$B$25:$D$44,3,0)*(VLOOKUP(Financials!$B18,Inputs!$B$3:$D$21,3,0)*(1+Inputs!$L$9)^Financials!JK$3)*JK$8))</f>
        <v>168373.77879498081</v>
      </c>
      <c r="JL18" s="18">
        <f>IF(JL$1&lt;CapEx!$O$7,0,(VLOOKUP($B18,Inputs!$B$25:$D$44,3,0)*(VLOOKUP(Financials!$B18,Inputs!$B$3:$D$21,3,0)*(1+Inputs!$L$9)^Financials!JL$3)*JL$8))</f>
        <v>163213.93718674753</v>
      </c>
      <c r="JM18" s="18">
        <f>IF(JM$1&lt;CapEx!$O$7,0,(VLOOKUP($B18,Inputs!$B$25:$D$44,3,0)*(VLOOKUP(Financials!$B18,Inputs!$B$3:$D$21,3,0)*(1+Inputs!$L$9)^Financials!JM$3)*JM$8))</f>
        <v>168935.49242923854</v>
      </c>
      <c r="JN18" s="18">
        <f>IF(JN$1&lt;CapEx!$O$7,0,(VLOOKUP($B18,Inputs!$B$25:$D$44,3,0)*(VLOOKUP(Financials!$B18,Inputs!$B$3:$D$21,3,0)*(1+Inputs!$L$9)^Financials!JN$3)*JN$8))</f>
        <v>169217.05158328728</v>
      </c>
      <c r="JO18" s="18">
        <f>IF(JO$1&lt;CapEx!$O$7,0,(VLOOKUP($B18,Inputs!$B$25:$D$44,3,0)*(VLOOKUP(Financials!$B18,Inputs!$B$3:$D$21,3,0)*(1+Inputs!$L$9)^Financials!JO$3)*JO$8))</f>
        <v>164031.36774444464</v>
      </c>
      <c r="JP18" s="18">
        <f>IF(JP$1&lt;CapEx!$O$7,0,(VLOOKUP($B18,Inputs!$B$25:$D$44,3,0)*(VLOOKUP(Financials!$B18,Inputs!$B$3:$D$21,3,0)*(1+Inputs!$L$9)^Financials!JP$3)*JP$8))</f>
        <v>169781.57846926374</v>
      </c>
      <c r="JQ18" s="18">
        <f>IF(JQ$1&lt;CapEx!$O$7,0,(VLOOKUP($B18,Inputs!$B$25:$D$44,3,0)*(VLOOKUP(Financials!$B18,Inputs!$B$3:$D$21,3,0)*(1+Inputs!$L$9)^Financials!JQ$3)*JQ$8))</f>
        <v>164578.59461294764</v>
      </c>
      <c r="JR18" s="18">
        <f>IF(JR$1&lt;CapEx!$O$7,0,(VLOOKUP($B18,Inputs!$B$25:$D$44,3,0)*(VLOOKUP(Financials!$B18,Inputs!$B$3:$D$21,3,0)*(1+Inputs!$L$9)^Financials!JR$3)*JR$8))</f>
        <v>170347.98867965708</v>
      </c>
    </row>
    <row r="19" spans="2:278" x14ac:dyDescent="0.2">
      <c r="B19" s="22" t="str">
        <f>Inputs!B8</f>
        <v>Steel, OTR Tires</v>
      </c>
      <c r="C19" s="18">
        <f>IF(C$1&lt;CapEx!$O$7,0,(VLOOKUP($B19,Inputs!$B$25:$D$44,3,0)*(VLOOKUP(Financials!$B19,Inputs!$B$3:$D$21,3,0)*(1+Inputs!$L$9)^Financials!C$3)*C$8))</f>
        <v>0</v>
      </c>
      <c r="D19" s="18">
        <f>IF(D$1&lt;CapEx!$O$7,0,(VLOOKUP($B19,Inputs!$B$25:$D$44,3,0)*(VLOOKUP(Financials!$B19,Inputs!$B$3:$D$21,3,0)*(1+Inputs!$L$9)^Financials!D$3)*D$8))</f>
        <v>0</v>
      </c>
      <c r="E19" s="18">
        <f>IF(E$1&lt;CapEx!$O$7,0,(VLOOKUP($B19,Inputs!$B$25:$D$44,3,0)*(VLOOKUP(Financials!$B19,Inputs!$B$3:$D$21,3,0)*(1+Inputs!$L$9)^Financials!E$3)*E$8))</f>
        <v>0</v>
      </c>
      <c r="F19" s="18">
        <f>IF(F$1&lt;CapEx!$O$7,0,(VLOOKUP($B19,Inputs!$B$25:$D$44,3,0)*(VLOOKUP(Financials!$B19,Inputs!$B$3:$D$21,3,0)*(1+Inputs!$L$9)^Financials!F$3)*F$8))</f>
        <v>0</v>
      </c>
      <c r="G19" s="18">
        <f>IF(G$1&lt;CapEx!$O$7,0,(VLOOKUP($B19,Inputs!$B$25:$D$44,3,0)*(VLOOKUP(Financials!$B19,Inputs!$B$3:$D$21,3,0)*(1+Inputs!$L$9)^Financials!G$3)*G$8))</f>
        <v>0</v>
      </c>
      <c r="H19" s="18">
        <f>IF(H$1&lt;CapEx!$O$7,0,(VLOOKUP($B19,Inputs!$B$25:$D$44,3,0)*(VLOOKUP(Financials!$B19,Inputs!$B$3:$D$21,3,0)*(1+Inputs!$L$9)^Financials!H$3)*H$8))</f>
        <v>0</v>
      </c>
      <c r="I19" s="18">
        <f>IF(I$1&lt;CapEx!$O$7,0,(VLOOKUP($B19,Inputs!$B$25:$D$44,3,0)*(VLOOKUP(Financials!$B19,Inputs!$B$3:$D$21,3,0)*(1+Inputs!$L$9)^Financials!I$3)*I$8))</f>
        <v>0</v>
      </c>
      <c r="J19" s="18">
        <f>IF(J$1&lt;CapEx!$O$7,0,(VLOOKUP($B19,Inputs!$B$25:$D$44,3,0)*(VLOOKUP(Financials!$B19,Inputs!$B$3:$D$21,3,0)*(1+Inputs!$L$9)^Financials!J$3)*J$8))</f>
        <v>0</v>
      </c>
      <c r="K19" s="18">
        <f>IF(K$1&lt;CapEx!$O$7,0,(VLOOKUP($B19,Inputs!$B$25:$D$44,3,0)*(VLOOKUP(Financials!$B19,Inputs!$B$3:$D$21,3,0)*(1+Inputs!$L$9)^Financials!K$3)*K$8))</f>
        <v>0</v>
      </c>
      <c r="L19" s="18">
        <f>IF(L$1&lt;CapEx!$O$7,0,(VLOOKUP($B19,Inputs!$B$25:$D$44,3,0)*(VLOOKUP(Financials!$B19,Inputs!$B$3:$D$21,3,0)*(1+Inputs!$L$9)^Financials!L$3)*L$8))</f>
        <v>0</v>
      </c>
      <c r="M19" s="18">
        <f>IF(M$1&lt;CapEx!$O$7,0,(VLOOKUP($B19,Inputs!$B$25:$D$44,3,0)*(VLOOKUP(Financials!$B19,Inputs!$B$3:$D$21,3,0)*(1+Inputs!$L$9)^Financials!M$3)*M$8))</f>
        <v>0</v>
      </c>
      <c r="N19" s="18">
        <f>IF(N$1&lt;CapEx!$O$7,0,(VLOOKUP($B19,Inputs!$B$25:$D$44,3,0)*(VLOOKUP(Financials!$B19,Inputs!$B$3:$D$21,3,0)*(1+Inputs!$L$9)^Financials!N$3)*N$8))</f>
        <v>0</v>
      </c>
      <c r="O19" s="18">
        <f>IF(O$1&lt;CapEx!$O$7,0,(VLOOKUP($B19,Inputs!$B$25:$D$44,3,0)*(VLOOKUP(Financials!$B19,Inputs!$B$3:$D$21,3,0)*(1+Inputs!$L$9)^Financials!O$3)*O$8))</f>
        <v>0</v>
      </c>
      <c r="P19" s="18">
        <f>IF(P$1&lt;CapEx!$O$7,0,(VLOOKUP($B19,Inputs!$B$25:$D$44,3,0)*(VLOOKUP(Financials!$B19,Inputs!$B$3:$D$21,3,0)*(1+Inputs!$L$9)^Financials!P$3)*P$8))</f>
        <v>0</v>
      </c>
      <c r="Q19" s="18">
        <f>IF(Q$1&lt;CapEx!$O$7,0,(VLOOKUP($B19,Inputs!$B$25:$D$44,3,0)*(VLOOKUP(Financials!$B19,Inputs!$B$3:$D$21,3,0)*(1+Inputs!$L$9)^Financials!Q$3)*Q$8))</f>
        <v>0</v>
      </c>
      <c r="R19" s="18">
        <f>IF(R$1&lt;CapEx!$O$7,0,(VLOOKUP($B19,Inputs!$B$25:$D$44,3,0)*(VLOOKUP(Financials!$B19,Inputs!$B$3:$D$21,3,0)*(1+Inputs!$L$9)^Financials!R$3)*R$8))</f>
        <v>0</v>
      </c>
      <c r="S19" s="18">
        <f>IF(S$1&lt;CapEx!$O$7,0,(VLOOKUP($B19,Inputs!$B$25:$D$44,3,0)*(VLOOKUP(Financials!$B19,Inputs!$B$3:$D$21,3,0)*(1+Inputs!$L$9)^Financials!S$3)*S$8))</f>
        <v>0</v>
      </c>
      <c r="T19" s="18">
        <f>IF(T$1&lt;CapEx!$O$7,0,(VLOOKUP($B19,Inputs!$B$25:$D$44,3,0)*(VLOOKUP(Financials!$B19,Inputs!$B$3:$D$21,3,0)*(1+Inputs!$L$9)^Financials!T$3)*T$8))</f>
        <v>0</v>
      </c>
      <c r="U19" s="18">
        <f>IF(U$1&lt;CapEx!$O$7,0,(VLOOKUP($B19,Inputs!$B$25:$D$44,3,0)*(VLOOKUP(Financials!$B19,Inputs!$B$3:$D$21,3,0)*(1+Inputs!$L$9)^Financials!U$3)*U$8))</f>
        <v>0</v>
      </c>
      <c r="V19" s="18">
        <f>IF(V$1&lt;CapEx!$O$7,0,(VLOOKUP($B19,Inputs!$B$25:$D$44,3,0)*(VLOOKUP(Financials!$B19,Inputs!$B$3:$D$21,3,0)*(1+Inputs!$L$9)^Financials!V$3)*V$8))</f>
        <v>0</v>
      </c>
      <c r="W19" s="18">
        <f>IF(W$1&lt;CapEx!$O$7,0,(VLOOKUP($B19,Inputs!$B$25:$D$44,3,0)*(VLOOKUP(Financials!$B19,Inputs!$B$3:$D$21,3,0)*(1+Inputs!$L$9)^Financials!W$3)*W$8))</f>
        <v>0</v>
      </c>
      <c r="X19" s="18">
        <f>IF(X$1&lt;CapEx!$O$7,0,(VLOOKUP($B19,Inputs!$B$25:$D$44,3,0)*(VLOOKUP(Financials!$B19,Inputs!$B$3:$D$21,3,0)*(1+Inputs!$L$9)^Financials!X$3)*X$8))</f>
        <v>0</v>
      </c>
      <c r="Y19" s="18">
        <f>IF(Y$1&lt;CapEx!$O$7,0,(VLOOKUP($B19,Inputs!$B$25:$D$44,3,0)*(VLOOKUP(Financials!$B19,Inputs!$B$3:$D$21,3,0)*(1+Inputs!$L$9)^Financials!Y$3)*Y$8))</f>
        <v>0</v>
      </c>
      <c r="Z19" s="18">
        <f>IF(Z$1&lt;CapEx!$O$7,0,(VLOOKUP($B19,Inputs!$B$25:$D$44,3,0)*(VLOOKUP(Financials!$B19,Inputs!$B$3:$D$21,3,0)*(1+Inputs!$L$9)^Financials!Z$3)*Z$8))</f>
        <v>0</v>
      </c>
      <c r="AA19" s="18">
        <f>IF(AA$1&lt;CapEx!$O$7,0,(VLOOKUP($B19,Inputs!$B$25:$D$44,3,0)*(VLOOKUP(Financials!$B19,Inputs!$B$3:$D$21,3,0)*(1+Inputs!$L$9)^Financials!AA$3)*AA$8))</f>
        <v>0</v>
      </c>
      <c r="AB19" s="18">
        <f>IF(AB$1&lt;CapEx!$O$7,0,(VLOOKUP($B19,Inputs!$B$25:$D$44,3,0)*(VLOOKUP(Financials!$B19,Inputs!$B$3:$D$21,3,0)*(1+Inputs!$L$9)^Financials!AB$3)*AB$8))</f>
        <v>0</v>
      </c>
      <c r="AC19" s="18">
        <f>IF(AC$1&lt;CapEx!$O$7,0,(VLOOKUP($B19,Inputs!$B$25:$D$44,3,0)*(VLOOKUP(Financials!$B19,Inputs!$B$3:$D$21,3,0)*(1+Inputs!$L$9)^Financials!AC$3)*AC$8))</f>
        <v>0</v>
      </c>
      <c r="AD19" s="18">
        <f>IF(AD$1&lt;CapEx!$O$7,0,(VLOOKUP($B19,Inputs!$B$25:$D$44,3,0)*(VLOOKUP(Financials!$B19,Inputs!$B$3:$D$21,3,0)*(1+Inputs!$L$9)^Financials!AD$3)*AD$8))</f>
        <v>0</v>
      </c>
      <c r="AE19" s="18">
        <f>IF(AE$1&lt;CapEx!$O$7,0,(VLOOKUP($B19,Inputs!$B$25:$D$44,3,0)*(VLOOKUP(Financials!$B19,Inputs!$B$3:$D$21,3,0)*(1+Inputs!$L$9)^Financials!AE$3)*AE$8))</f>
        <v>0</v>
      </c>
      <c r="AF19" s="18">
        <f>IF(AF$1&lt;CapEx!$O$7,0,(VLOOKUP($B19,Inputs!$B$25:$D$44,3,0)*(VLOOKUP(Financials!$B19,Inputs!$B$3:$D$21,3,0)*(1+Inputs!$L$9)^Financials!AF$3)*AF$8))</f>
        <v>0</v>
      </c>
      <c r="AG19" s="18">
        <f>IF(AG$1&lt;CapEx!$O$7,0,(VLOOKUP($B19,Inputs!$B$25:$D$44,3,0)*(VLOOKUP(Financials!$B19,Inputs!$B$3:$D$21,3,0)*(1+Inputs!$L$9)^Financials!AG$3)*AG$8))</f>
        <v>0</v>
      </c>
      <c r="AH19" s="18">
        <f>IF(AH$1&lt;CapEx!$O$7,0,(VLOOKUP($B19,Inputs!$B$25:$D$44,3,0)*(VLOOKUP(Financials!$B19,Inputs!$B$3:$D$21,3,0)*(1+Inputs!$L$9)^Financials!AH$3)*AH$8))</f>
        <v>0</v>
      </c>
      <c r="AI19" s="18">
        <f>IF(AI$1&lt;CapEx!$O$7,0,(VLOOKUP($B19,Inputs!$B$25:$D$44,3,0)*(VLOOKUP(Financials!$B19,Inputs!$B$3:$D$21,3,0)*(1+Inputs!$L$9)^Financials!AI$3)*AI$8))</f>
        <v>0</v>
      </c>
      <c r="AJ19" s="18">
        <f>IF(AJ$1&lt;CapEx!$O$7,0,(VLOOKUP($B19,Inputs!$B$25:$D$44,3,0)*(VLOOKUP(Financials!$B19,Inputs!$B$3:$D$21,3,0)*(1+Inputs!$L$9)^Financials!AJ$3)*AJ$8))</f>
        <v>0</v>
      </c>
      <c r="AK19" s="18">
        <f>IF(AK$1&lt;CapEx!$O$7,0,(VLOOKUP($B19,Inputs!$B$25:$D$44,3,0)*(VLOOKUP(Financials!$B19,Inputs!$B$3:$D$21,3,0)*(1+Inputs!$L$9)^Financials!AK$3)*AK$8))</f>
        <v>0</v>
      </c>
      <c r="AL19" s="18">
        <f>IF(AL$1&lt;CapEx!$O$7,0,(VLOOKUP($B19,Inputs!$B$25:$D$44,3,0)*(VLOOKUP(Financials!$B19,Inputs!$B$3:$D$21,3,0)*(1+Inputs!$L$9)^Financials!AL$3)*AL$8))</f>
        <v>0</v>
      </c>
      <c r="AM19" s="18">
        <f>IF(AM$1&lt;CapEx!$O$7,0,(VLOOKUP($B19,Inputs!$B$25:$D$44,3,0)*(VLOOKUP(Financials!$B19,Inputs!$B$3:$D$21,3,0)*(1+Inputs!$L$9)^Financials!AM$3)*AM$8))</f>
        <v>0</v>
      </c>
      <c r="AN19" s="18">
        <f>IF(AN$1&lt;CapEx!$O$7,0,(VLOOKUP($B19,Inputs!$B$25:$D$44,3,0)*(VLOOKUP(Financials!$B19,Inputs!$B$3:$D$21,3,0)*(1+Inputs!$L$9)^Financials!AN$3)*AN$8))</f>
        <v>0</v>
      </c>
      <c r="AO19" s="18">
        <f>IF(AO$1&lt;CapEx!$O$7,0,(VLOOKUP($B19,Inputs!$B$25:$D$44,3,0)*(VLOOKUP(Financials!$B19,Inputs!$B$3:$D$21,3,0)*(1+Inputs!$L$9)^Financials!AO$3)*AO$8))</f>
        <v>0</v>
      </c>
      <c r="AP19" s="18">
        <f>IF(AP$1&lt;CapEx!$O$7,0,(VLOOKUP($B19,Inputs!$B$25:$D$44,3,0)*(VLOOKUP(Financials!$B19,Inputs!$B$3:$D$21,3,0)*(1+Inputs!$L$9)^Financials!AP$3)*AP$8))</f>
        <v>0</v>
      </c>
      <c r="AQ19" s="18">
        <f>IF(AQ$1&lt;CapEx!$O$7,0,(VLOOKUP($B19,Inputs!$B$25:$D$44,3,0)*(VLOOKUP(Financials!$B19,Inputs!$B$3:$D$21,3,0)*(1+Inputs!$L$9)^Financials!AQ$3)*AQ$8))</f>
        <v>0</v>
      </c>
      <c r="AR19" s="18">
        <f>IF(AR$1&lt;CapEx!$O$7,0,(VLOOKUP($B19,Inputs!$B$25:$D$44,3,0)*(VLOOKUP(Financials!$B19,Inputs!$B$3:$D$21,3,0)*(1+Inputs!$L$9)^Financials!AR$3)*AR$8))</f>
        <v>0</v>
      </c>
      <c r="AS19" s="18">
        <f>IF(AS$1&lt;CapEx!$O$7,0,(VLOOKUP($B19,Inputs!$B$25:$D$44,3,0)*(VLOOKUP(Financials!$B19,Inputs!$B$3:$D$21,3,0)*(1+Inputs!$L$9)^Financials!AS$3)*AS$8))</f>
        <v>0</v>
      </c>
      <c r="AT19" s="18">
        <f>IF(AT$1&lt;CapEx!$O$7,0,(VLOOKUP($B19,Inputs!$B$25:$D$44,3,0)*(VLOOKUP(Financials!$B19,Inputs!$B$3:$D$21,3,0)*(1+Inputs!$L$9)^Financials!AT$3)*AT$8))</f>
        <v>0</v>
      </c>
      <c r="AU19" s="18">
        <f>IF(AU$1&lt;CapEx!$O$7,0,(VLOOKUP($B19,Inputs!$B$25:$D$44,3,0)*(VLOOKUP(Financials!$B19,Inputs!$B$3:$D$21,3,0)*(1+Inputs!$L$9)^Financials!AU$3)*AU$8))</f>
        <v>0</v>
      </c>
      <c r="AV19" s="18">
        <f>IF(AV$1&lt;CapEx!$O$7,0,(VLOOKUP($B19,Inputs!$B$25:$D$44,3,0)*(VLOOKUP(Financials!$B19,Inputs!$B$3:$D$21,3,0)*(1+Inputs!$L$9)^Financials!AV$3)*AV$8))</f>
        <v>0</v>
      </c>
      <c r="AW19" s="18">
        <f>IF(AW$1&lt;CapEx!$O$7,0,(VLOOKUP($B19,Inputs!$B$25:$D$44,3,0)*(VLOOKUP(Financials!$B19,Inputs!$B$3:$D$21,3,0)*(1+Inputs!$L$9)^Financials!AW$3)*AW$8))</f>
        <v>0</v>
      </c>
      <c r="AX19" s="18">
        <f>IF(AX$1&lt;CapEx!$O$7,0,(VLOOKUP($B19,Inputs!$B$25:$D$44,3,0)*(VLOOKUP(Financials!$B19,Inputs!$B$3:$D$21,3,0)*(1+Inputs!$L$9)^Financials!AX$3)*AX$8))</f>
        <v>0</v>
      </c>
      <c r="AY19" s="18">
        <f>IF(AY$1&lt;CapEx!$O$7,0,(VLOOKUP($B19,Inputs!$B$25:$D$44,3,0)*(VLOOKUP(Financials!$B19,Inputs!$B$3:$D$21,3,0)*(1+Inputs!$L$9)^Financials!AY$3)*AY$8))</f>
        <v>0</v>
      </c>
      <c r="AZ19" s="18">
        <f>IF(AZ$1&lt;CapEx!$O$7,0,(VLOOKUP($B19,Inputs!$B$25:$D$44,3,0)*(VLOOKUP(Financials!$B19,Inputs!$B$3:$D$21,3,0)*(1+Inputs!$L$9)^Financials!AZ$3)*AZ$8))</f>
        <v>0</v>
      </c>
      <c r="BA19" s="18">
        <f>IF(BA$1&lt;CapEx!$O$7,0,(VLOOKUP($B19,Inputs!$B$25:$D$44,3,0)*(VLOOKUP(Financials!$B19,Inputs!$B$3:$D$21,3,0)*(1+Inputs!$L$9)^Financials!BA$3)*BA$8))</f>
        <v>0</v>
      </c>
      <c r="BB19" s="18">
        <f>IF(BB$1&lt;CapEx!$O$7,0,(VLOOKUP($B19,Inputs!$B$25:$D$44,3,0)*(VLOOKUP(Financials!$B19,Inputs!$B$3:$D$21,3,0)*(1+Inputs!$L$9)^Financials!BB$3)*BB$8))</f>
        <v>0</v>
      </c>
      <c r="BC19" s="18">
        <f>IF(BC$1&lt;CapEx!$O$7,0,(VLOOKUP($B19,Inputs!$B$25:$D$44,3,0)*(VLOOKUP(Financials!$B19,Inputs!$B$3:$D$21,3,0)*(1+Inputs!$L$9)^Financials!BC$3)*BC$8))</f>
        <v>0</v>
      </c>
      <c r="BD19" s="18">
        <f>IF(BD$1&lt;CapEx!$O$7,0,(VLOOKUP($B19,Inputs!$B$25:$D$44,3,0)*(VLOOKUP(Financials!$B19,Inputs!$B$3:$D$21,3,0)*(1+Inputs!$L$9)^Financials!BD$3)*BD$8))</f>
        <v>0</v>
      </c>
      <c r="BE19" s="18">
        <f>IF(BE$1&lt;CapEx!$O$7,0,(VLOOKUP($B19,Inputs!$B$25:$D$44,3,0)*(VLOOKUP(Financials!$B19,Inputs!$B$3:$D$21,3,0)*(1+Inputs!$L$9)^Financials!BE$3)*BE$8))</f>
        <v>0</v>
      </c>
      <c r="BF19" s="18">
        <f>IF(BF$1&lt;CapEx!$O$7,0,(VLOOKUP($B19,Inputs!$B$25:$D$44,3,0)*(VLOOKUP(Financials!$B19,Inputs!$B$3:$D$21,3,0)*(1+Inputs!$L$9)^Financials!BF$3)*BF$8))</f>
        <v>0</v>
      </c>
      <c r="BG19" s="18">
        <f>IF(BG$1&lt;CapEx!$O$7,0,(VLOOKUP($B19,Inputs!$B$25:$D$44,3,0)*(VLOOKUP(Financials!$B19,Inputs!$B$3:$D$21,3,0)*(1+Inputs!$L$9)^Financials!BG$3)*BG$8))</f>
        <v>0</v>
      </c>
      <c r="BH19" s="18">
        <f>IF(BH$1&lt;CapEx!$O$7,0,(VLOOKUP($B19,Inputs!$B$25:$D$44,3,0)*(VLOOKUP(Financials!$B19,Inputs!$B$3:$D$21,3,0)*(1+Inputs!$L$9)^Financials!BH$3)*BH$8))</f>
        <v>0</v>
      </c>
      <c r="BI19" s="18">
        <f>IF(BI$1&lt;CapEx!$O$7,0,(VLOOKUP($B19,Inputs!$B$25:$D$44,3,0)*(VLOOKUP(Financials!$B19,Inputs!$B$3:$D$21,3,0)*(1+Inputs!$L$9)^Financials!BI$3)*BI$8))</f>
        <v>0</v>
      </c>
      <c r="BJ19" s="18">
        <f>IF(BJ$1&lt;CapEx!$O$7,0,(VLOOKUP($B19,Inputs!$B$25:$D$44,3,0)*(VLOOKUP(Financials!$B19,Inputs!$B$3:$D$21,3,0)*(1+Inputs!$L$9)^Financials!BJ$3)*BJ$8))</f>
        <v>0</v>
      </c>
      <c r="BK19" s="18">
        <f>IF(BK$1&lt;CapEx!$O$7,0,(VLOOKUP($B19,Inputs!$B$25:$D$44,3,0)*(VLOOKUP(Financials!$B19,Inputs!$B$3:$D$21,3,0)*(1+Inputs!$L$9)^Financials!BK$3)*BK$8))</f>
        <v>0</v>
      </c>
      <c r="BL19" s="18">
        <f>IF(BL$1&lt;CapEx!$O$7,0,(VLOOKUP($B19,Inputs!$B$25:$D$44,3,0)*(VLOOKUP(Financials!$B19,Inputs!$B$3:$D$21,3,0)*(1+Inputs!$L$9)^Financials!BL$3)*BL$8))</f>
        <v>0</v>
      </c>
      <c r="BM19" s="18">
        <f>IF(BM$1&lt;CapEx!$O$7,0,(VLOOKUP($B19,Inputs!$B$25:$D$44,3,0)*(VLOOKUP(Financials!$B19,Inputs!$B$3:$D$21,3,0)*(1+Inputs!$L$9)^Financials!BM$3)*BM$8))</f>
        <v>0</v>
      </c>
      <c r="BN19" s="18">
        <f>IF(BN$1&lt;CapEx!$O$7,0,(VLOOKUP($B19,Inputs!$B$25:$D$44,3,0)*(VLOOKUP(Financials!$B19,Inputs!$B$3:$D$21,3,0)*(1+Inputs!$L$9)^Financials!BN$3)*BN$8))</f>
        <v>0</v>
      </c>
      <c r="BO19" s="18">
        <f>IF(BO$1&lt;CapEx!$O$7,0,(VLOOKUP($B19,Inputs!$B$25:$D$44,3,0)*(VLOOKUP(Financials!$B19,Inputs!$B$3:$D$21,3,0)*(1+Inputs!$L$9)^Financials!BO$3)*BO$8))</f>
        <v>0</v>
      </c>
      <c r="BP19" s="18">
        <f>IF(BP$1&lt;CapEx!$O$7,0,(VLOOKUP($B19,Inputs!$B$25:$D$44,3,0)*(VLOOKUP(Financials!$B19,Inputs!$B$3:$D$21,3,0)*(1+Inputs!$L$9)^Financials!BP$3)*BP$8))</f>
        <v>0</v>
      </c>
      <c r="BQ19" s="18">
        <f>IF(BQ$1&lt;CapEx!$O$7,0,(VLOOKUP($B19,Inputs!$B$25:$D$44,3,0)*(VLOOKUP(Financials!$B19,Inputs!$B$3:$D$21,3,0)*(1+Inputs!$L$9)^Financials!BQ$3)*BQ$8))</f>
        <v>0</v>
      </c>
      <c r="BR19" s="18">
        <f>IF(BR$1&lt;CapEx!$O$7,0,(VLOOKUP($B19,Inputs!$B$25:$D$44,3,0)*(VLOOKUP(Financials!$B19,Inputs!$B$3:$D$21,3,0)*(1+Inputs!$L$9)^Financials!BR$3)*BR$8))</f>
        <v>0</v>
      </c>
      <c r="BS19" s="18">
        <f>IF(BS$1&lt;CapEx!$O$7,0,(VLOOKUP($B19,Inputs!$B$25:$D$44,3,0)*(VLOOKUP(Financials!$B19,Inputs!$B$3:$D$21,3,0)*(1+Inputs!$L$9)^Financials!BS$3)*BS$8))</f>
        <v>0</v>
      </c>
      <c r="BT19" s="18">
        <f>IF(BT$1&lt;CapEx!$O$7,0,(VLOOKUP($B19,Inputs!$B$25:$D$44,3,0)*(VLOOKUP(Financials!$B19,Inputs!$B$3:$D$21,3,0)*(1+Inputs!$L$9)^Financials!BT$3)*BT$8))</f>
        <v>0</v>
      </c>
      <c r="BU19" s="18">
        <f>IF(BU$1&lt;CapEx!$O$7,0,(VLOOKUP($B19,Inputs!$B$25:$D$44,3,0)*(VLOOKUP(Financials!$B19,Inputs!$B$3:$D$21,3,0)*(1+Inputs!$L$9)^Financials!BU$3)*BU$8))</f>
        <v>0</v>
      </c>
      <c r="BV19" s="18">
        <f>IF(BV$1&lt;CapEx!$O$7,0,(VLOOKUP($B19,Inputs!$B$25:$D$44,3,0)*(VLOOKUP(Financials!$B19,Inputs!$B$3:$D$21,3,0)*(1+Inputs!$L$9)^Financials!BV$3)*BV$8))</f>
        <v>0</v>
      </c>
      <c r="BW19" s="18">
        <f>IF(BW$1&lt;CapEx!$O$7,0,(VLOOKUP($B19,Inputs!$B$25:$D$44,3,0)*(VLOOKUP(Financials!$B19,Inputs!$B$3:$D$21,3,0)*(1+Inputs!$L$9)^Financials!BW$3)*BW$8))</f>
        <v>0</v>
      </c>
      <c r="BX19" s="18">
        <f>IF(BX$1&lt;CapEx!$O$7,0,(VLOOKUP($B19,Inputs!$B$25:$D$44,3,0)*(VLOOKUP(Financials!$B19,Inputs!$B$3:$D$21,3,0)*(1+Inputs!$L$9)^Financials!BX$3)*BX$8))</f>
        <v>0</v>
      </c>
      <c r="BY19" s="18">
        <f>IF(BY$1&lt;CapEx!$O$7,0,(VLOOKUP($B19,Inputs!$B$25:$D$44,3,0)*(VLOOKUP(Financials!$B19,Inputs!$B$3:$D$21,3,0)*(1+Inputs!$L$9)^Financials!BY$3)*BY$8))</f>
        <v>0</v>
      </c>
      <c r="BZ19" s="18">
        <f>IF(BZ$1&lt;CapEx!$O$7,0,(VLOOKUP($B19,Inputs!$B$25:$D$44,3,0)*(VLOOKUP(Financials!$B19,Inputs!$B$3:$D$21,3,0)*(1+Inputs!$L$9)^Financials!BZ$3)*BZ$8))</f>
        <v>0</v>
      </c>
      <c r="CA19" s="18">
        <f>IF(CA$1&lt;CapEx!$O$7,0,(VLOOKUP($B19,Inputs!$B$25:$D$44,3,0)*(VLOOKUP(Financials!$B19,Inputs!$B$3:$D$21,3,0)*(1+Inputs!$L$9)^Financials!CA$3)*CA$8))</f>
        <v>0</v>
      </c>
      <c r="CB19" s="18">
        <f>IF(CB$1&lt;CapEx!$O$7,0,(VLOOKUP($B19,Inputs!$B$25:$D$44,3,0)*(VLOOKUP(Financials!$B19,Inputs!$B$3:$D$21,3,0)*(1+Inputs!$L$9)^Financials!CB$3)*CB$8))</f>
        <v>0</v>
      </c>
      <c r="CC19" s="18">
        <f>IF(CC$1&lt;CapEx!$O$7,0,(VLOOKUP($B19,Inputs!$B$25:$D$44,3,0)*(VLOOKUP(Financials!$B19,Inputs!$B$3:$D$21,3,0)*(1+Inputs!$L$9)^Financials!CC$3)*CC$8))</f>
        <v>0</v>
      </c>
      <c r="CD19" s="18">
        <f>IF(CD$1&lt;CapEx!$O$7,0,(VLOOKUP($B19,Inputs!$B$25:$D$44,3,0)*(VLOOKUP(Financials!$B19,Inputs!$B$3:$D$21,3,0)*(1+Inputs!$L$9)^Financials!CD$3)*CD$8))</f>
        <v>0</v>
      </c>
      <c r="CE19" s="18">
        <f>IF(CE$1&lt;CapEx!$O$7,0,(VLOOKUP($B19,Inputs!$B$25:$D$44,3,0)*(VLOOKUP(Financials!$B19,Inputs!$B$3:$D$21,3,0)*(1+Inputs!$L$9)^Financials!CE$3)*CE$8))</f>
        <v>0</v>
      </c>
      <c r="CF19" s="18">
        <f>IF(CF$1&lt;CapEx!$O$7,0,(VLOOKUP($B19,Inputs!$B$25:$D$44,3,0)*(VLOOKUP(Financials!$B19,Inputs!$B$3:$D$21,3,0)*(1+Inputs!$L$9)^Financials!CF$3)*CF$8))</f>
        <v>0</v>
      </c>
      <c r="CG19" s="18">
        <f>IF(CG$1&lt;CapEx!$O$7,0,(VLOOKUP($B19,Inputs!$B$25:$D$44,3,0)*(VLOOKUP(Financials!$B19,Inputs!$B$3:$D$21,3,0)*(1+Inputs!$L$9)^Financials!CG$3)*CG$8))</f>
        <v>0</v>
      </c>
      <c r="CH19" s="18">
        <f>IF(CH$1&lt;CapEx!$O$7,0,(VLOOKUP($B19,Inputs!$B$25:$D$44,3,0)*(VLOOKUP(Financials!$B19,Inputs!$B$3:$D$21,3,0)*(1+Inputs!$L$9)^Financials!CH$3)*CH$8))</f>
        <v>0</v>
      </c>
      <c r="CI19" s="18">
        <f>IF(CI$1&lt;CapEx!$O$7,0,(VLOOKUP($B19,Inputs!$B$25:$D$44,3,0)*(VLOOKUP(Financials!$B19,Inputs!$B$3:$D$21,3,0)*(1+Inputs!$L$9)^Financials!CI$3)*CI$8))</f>
        <v>0</v>
      </c>
      <c r="CJ19" s="18">
        <f>IF(CJ$1&lt;CapEx!$O$7,0,(VLOOKUP($B19,Inputs!$B$25:$D$44,3,0)*(VLOOKUP(Financials!$B19,Inputs!$B$3:$D$21,3,0)*(1+Inputs!$L$9)^Financials!CJ$3)*CJ$8))</f>
        <v>0</v>
      </c>
      <c r="CK19" s="18">
        <f>IF(CK$1&lt;CapEx!$O$7,0,(VLOOKUP($B19,Inputs!$B$25:$D$44,3,0)*(VLOOKUP(Financials!$B19,Inputs!$B$3:$D$21,3,0)*(1+Inputs!$L$9)^Financials!CK$3)*CK$8))</f>
        <v>0</v>
      </c>
      <c r="CL19" s="18">
        <f>IF(CL$1&lt;CapEx!$O$7,0,(VLOOKUP($B19,Inputs!$B$25:$D$44,3,0)*(VLOOKUP(Financials!$B19,Inputs!$B$3:$D$21,3,0)*(1+Inputs!$L$9)^Financials!CL$3)*CL$8))</f>
        <v>0</v>
      </c>
      <c r="CM19" s="18">
        <f>IF(CM$1&lt;CapEx!$O$7,0,(VLOOKUP($B19,Inputs!$B$25:$D$44,3,0)*(VLOOKUP(Financials!$B19,Inputs!$B$3:$D$21,3,0)*(1+Inputs!$L$9)^Financials!CM$3)*CM$8))</f>
        <v>0</v>
      </c>
      <c r="CN19" s="18">
        <f>IF(CN$1&lt;CapEx!$O$7,0,(VLOOKUP($B19,Inputs!$B$25:$D$44,3,0)*(VLOOKUP(Financials!$B19,Inputs!$B$3:$D$21,3,0)*(1+Inputs!$L$9)^Financials!CN$3)*CN$8))</f>
        <v>0</v>
      </c>
      <c r="CO19" s="18">
        <f>IF(CO$1&lt;CapEx!$O$7,0,(VLOOKUP($B19,Inputs!$B$25:$D$44,3,0)*(VLOOKUP(Financials!$B19,Inputs!$B$3:$D$21,3,0)*(1+Inputs!$L$9)^Financials!CO$3)*CO$8))</f>
        <v>0</v>
      </c>
      <c r="CP19" s="18">
        <f>IF(CP$1&lt;CapEx!$O$7,0,(VLOOKUP($B19,Inputs!$B$25:$D$44,3,0)*(VLOOKUP(Financials!$B19,Inputs!$B$3:$D$21,3,0)*(1+Inputs!$L$9)^Financials!CP$3)*CP$8))</f>
        <v>0</v>
      </c>
      <c r="CQ19" s="18">
        <f>IF(CQ$1&lt;CapEx!$O$7,0,(VLOOKUP($B19,Inputs!$B$25:$D$44,3,0)*(VLOOKUP(Financials!$B19,Inputs!$B$3:$D$21,3,0)*(1+Inputs!$L$9)^Financials!CQ$3)*CQ$8))</f>
        <v>0</v>
      </c>
      <c r="CR19" s="18">
        <f>IF(CR$1&lt;CapEx!$O$7,0,(VLOOKUP($B19,Inputs!$B$25:$D$44,3,0)*(VLOOKUP(Financials!$B19,Inputs!$B$3:$D$21,3,0)*(1+Inputs!$L$9)^Financials!CR$3)*CR$8))</f>
        <v>0</v>
      </c>
      <c r="CS19" s="18">
        <f>IF(CS$1&lt;CapEx!$O$7,0,(VLOOKUP($B19,Inputs!$B$25:$D$44,3,0)*(VLOOKUP(Financials!$B19,Inputs!$B$3:$D$21,3,0)*(1+Inputs!$L$9)^Financials!CS$3)*CS$8))</f>
        <v>0</v>
      </c>
      <c r="CT19" s="18">
        <f>IF(CT$1&lt;CapEx!$O$7,0,(VLOOKUP($B19,Inputs!$B$25:$D$44,3,0)*(VLOOKUP(Financials!$B19,Inputs!$B$3:$D$21,3,0)*(1+Inputs!$L$9)^Financials!CT$3)*CT$8))</f>
        <v>0</v>
      </c>
      <c r="CU19" s="18">
        <f>IF(CU$1&lt;CapEx!$O$7,0,(VLOOKUP($B19,Inputs!$B$25:$D$44,3,0)*(VLOOKUP(Financials!$B19,Inputs!$B$3:$D$21,3,0)*(1+Inputs!$L$9)^Financials!CU$3)*CU$8))</f>
        <v>0</v>
      </c>
      <c r="CV19" s="18">
        <f>IF(CV$1&lt;CapEx!$O$7,0,(VLOOKUP($B19,Inputs!$B$25:$D$44,3,0)*(VLOOKUP(Financials!$B19,Inputs!$B$3:$D$21,3,0)*(1+Inputs!$L$9)^Financials!CV$3)*CV$8))</f>
        <v>0</v>
      </c>
      <c r="CW19" s="18">
        <f>IF(CW$1&lt;CapEx!$O$7,0,(VLOOKUP($B19,Inputs!$B$25:$D$44,3,0)*(VLOOKUP(Financials!$B19,Inputs!$B$3:$D$21,3,0)*(1+Inputs!$L$9)^Financials!CW$3)*CW$8))</f>
        <v>0</v>
      </c>
      <c r="CX19" s="18">
        <f>IF(CX$1&lt;CapEx!$O$7,0,(VLOOKUP($B19,Inputs!$B$25:$D$44,3,0)*(VLOOKUP(Financials!$B19,Inputs!$B$3:$D$21,3,0)*(1+Inputs!$L$9)^Financials!CX$3)*CX$8))</f>
        <v>0</v>
      </c>
      <c r="CY19" s="18">
        <f>IF(CY$1&lt;CapEx!$O$7,0,(VLOOKUP($B19,Inputs!$B$25:$D$44,3,0)*(VLOOKUP(Financials!$B19,Inputs!$B$3:$D$21,3,0)*(1+Inputs!$L$9)^Financials!CY$3)*CY$8))</f>
        <v>0</v>
      </c>
      <c r="CZ19" s="18">
        <f>IF(CZ$1&lt;CapEx!$O$7,0,(VLOOKUP($B19,Inputs!$B$25:$D$44,3,0)*(VLOOKUP(Financials!$B19,Inputs!$B$3:$D$21,3,0)*(1+Inputs!$L$9)^Financials!CZ$3)*CZ$8))</f>
        <v>0</v>
      </c>
      <c r="DA19" s="18">
        <f>IF(DA$1&lt;CapEx!$O$7,0,(VLOOKUP($B19,Inputs!$B$25:$D$44,3,0)*(VLOOKUP(Financials!$B19,Inputs!$B$3:$D$21,3,0)*(1+Inputs!$L$9)^Financials!DA$3)*DA$8))</f>
        <v>0</v>
      </c>
      <c r="DB19" s="18">
        <f>IF(DB$1&lt;CapEx!$O$7,0,(VLOOKUP($B19,Inputs!$B$25:$D$44,3,0)*(VLOOKUP(Financials!$B19,Inputs!$B$3:$D$21,3,0)*(1+Inputs!$L$9)^Financials!DB$3)*DB$8))</f>
        <v>0</v>
      </c>
      <c r="DC19" s="18">
        <f>IF(DC$1&lt;CapEx!$O$7,0,(VLOOKUP($B19,Inputs!$B$25:$D$44,3,0)*(VLOOKUP(Financials!$B19,Inputs!$B$3:$D$21,3,0)*(1+Inputs!$L$9)^Financials!DC$3)*DC$8))</f>
        <v>0</v>
      </c>
      <c r="DD19" s="18">
        <f>IF(DD$1&lt;CapEx!$O$7,0,(VLOOKUP($B19,Inputs!$B$25:$D$44,3,0)*(VLOOKUP(Financials!$B19,Inputs!$B$3:$D$21,3,0)*(1+Inputs!$L$9)^Financials!DD$3)*DD$8))</f>
        <v>0</v>
      </c>
      <c r="DE19" s="18">
        <f>IF(DE$1&lt;CapEx!$O$7,0,(VLOOKUP($B19,Inputs!$B$25:$D$44,3,0)*(VLOOKUP(Financials!$B19,Inputs!$B$3:$D$21,3,0)*(1+Inputs!$L$9)^Financials!DE$3)*DE$8))</f>
        <v>0</v>
      </c>
      <c r="DF19" s="18">
        <f>IF(DF$1&lt;CapEx!$O$7,0,(VLOOKUP($B19,Inputs!$B$25:$D$44,3,0)*(VLOOKUP(Financials!$B19,Inputs!$B$3:$D$21,3,0)*(1+Inputs!$L$9)^Financials!DF$3)*DF$8))</f>
        <v>0</v>
      </c>
      <c r="DG19" s="18">
        <f>IF(DG$1&lt;CapEx!$O$7,0,(VLOOKUP($B19,Inputs!$B$25:$D$44,3,0)*(VLOOKUP(Financials!$B19,Inputs!$B$3:$D$21,3,0)*(1+Inputs!$L$9)^Financials!DG$3)*DG$8))</f>
        <v>0</v>
      </c>
      <c r="DH19" s="18">
        <f>IF(DH$1&lt;CapEx!$O$7,0,(VLOOKUP($B19,Inputs!$B$25:$D$44,3,0)*(VLOOKUP(Financials!$B19,Inputs!$B$3:$D$21,3,0)*(1+Inputs!$L$9)^Financials!DH$3)*DH$8))</f>
        <v>0</v>
      </c>
      <c r="DI19" s="18">
        <f>IF(DI$1&lt;CapEx!$O$7,0,(VLOOKUP($B19,Inputs!$B$25:$D$44,3,0)*(VLOOKUP(Financials!$B19,Inputs!$B$3:$D$21,3,0)*(1+Inputs!$L$9)^Financials!DI$3)*DI$8))</f>
        <v>0</v>
      </c>
      <c r="DJ19" s="18">
        <f>IF(DJ$1&lt;CapEx!$O$7,0,(VLOOKUP($B19,Inputs!$B$25:$D$44,3,0)*(VLOOKUP(Financials!$B19,Inputs!$B$3:$D$21,3,0)*(1+Inputs!$L$9)^Financials!DJ$3)*DJ$8))</f>
        <v>0</v>
      </c>
      <c r="DK19" s="18">
        <f>IF(DK$1&lt;CapEx!$O$7,0,(VLOOKUP($B19,Inputs!$B$25:$D$44,3,0)*(VLOOKUP(Financials!$B19,Inputs!$B$3:$D$21,3,0)*(1+Inputs!$L$9)^Financials!DK$3)*DK$8))</f>
        <v>0</v>
      </c>
      <c r="DL19" s="18">
        <f>IF(DL$1&lt;CapEx!$O$7,0,(VLOOKUP($B19,Inputs!$B$25:$D$44,3,0)*(VLOOKUP(Financials!$B19,Inputs!$B$3:$D$21,3,0)*(1+Inputs!$L$9)^Financials!DL$3)*DL$8))</f>
        <v>0</v>
      </c>
      <c r="DM19" s="18">
        <f>IF(DM$1&lt;CapEx!$O$7,0,(VLOOKUP($B19,Inputs!$B$25:$D$44,3,0)*(VLOOKUP(Financials!$B19,Inputs!$B$3:$D$21,3,0)*(1+Inputs!$L$9)^Financials!DM$3)*DM$8))</f>
        <v>0</v>
      </c>
      <c r="DN19" s="18">
        <f>IF(DN$1&lt;CapEx!$O$7,0,(VLOOKUP($B19,Inputs!$B$25:$D$44,3,0)*(VLOOKUP(Financials!$B19,Inputs!$B$3:$D$21,3,0)*(1+Inputs!$L$9)^Financials!DN$3)*DN$8))</f>
        <v>0</v>
      </c>
      <c r="DO19" s="18">
        <f>IF(DO$1&lt;CapEx!$O$7,0,(VLOOKUP($B19,Inputs!$B$25:$D$44,3,0)*(VLOOKUP(Financials!$B19,Inputs!$B$3:$D$21,3,0)*(1+Inputs!$L$9)^Financials!DO$3)*DO$8))</f>
        <v>0</v>
      </c>
      <c r="DP19" s="18">
        <f>IF(DP$1&lt;CapEx!$O$7,0,(VLOOKUP($B19,Inputs!$B$25:$D$44,3,0)*(VLOOKUP(Financials!$B19,Inputs!$B$3:$D$21,3,0)*(1+Inputs!$L$9)^Financials!DP$3)*DP$8))</f>
        <v>0</v>
      </c>
      <c r="DQ19" s="18">
        <f>IF(DQ$1&lt;CapEx!$O$7,0,(VLOOKUP($B19,Inputs!$B$25:$D$44,3,0)*(VLOOKUP(Financials!$B19,Inputs!$B$3:$D$21,3,0)*(1+Inputs!$L$9)^Financials!DQ$3)*DQ$8))</f>
        <v>0</v>
      </c>
      <c r="DR19" s="18">
        <f>IF(DR$1&lt;CapEx!$O$7,0,(VLOOKUP($B19,Inputs!$B$25:$D$44,3,0)*(VLOOKUP(Financials!$B19,Inputs!$B$3:$D$21,3,0)*(1+Inputs!$L$9)^Financials!DR$3)*DR$8))</f>
        <v>0</v>
      </c>
      <c r="DS19" s="18">
        <f>IF(DS$1&lt;CapEx!$O$7,0,(VLOOKUP($B19,Inputs!$B$25:$D$44,3,0)*(VLOOKUP(Financials!$B19,Inputs!$B$3:$D$21,3,0)*(1+Inputs!$L$9)^Financials!DS$3)*DS$8))</f>
        <v>0</v>
      </c>
      <c r="DT19" s="18">
        <f>IF(DT$1&lt;CapEx!$O$7,0,(VLOOKUP($B19,Inputs!$B$25:$D$44,3,0)*(VLOOKUP(Financials!$B19,Inputs!$B$3:$D$21,3,0)*(1+Inputs!$L$9)^Financials!DT$3)*DT$8))</f>
        <v>0</v>
      </c>
      <c r="DU19" s="18">
        <f>IF(DU$1&lt;CapEx!$O$7,0,(VLOOKUP($B19,Inputs!$B$25:$D$44,3,0)*(VLOOKUP(Financials!$B19,Inputs!$B$3:$D$21,3,0)*(1+Inputs!$L$9)^Financials!DU$3)*DU$8))</f>
        <v>0</v>
      </c>
      <c r="DV19" s="18">
        <f>IF(DV$1&lt;CapEx!$O$7,0,(VLOOKUP($B19,Inputs!$B$25:$D$44,3,0)*(VLOOKUP(Financials!$B19,Inputs!$B$3:$D$21,3,0)*(1+Inputs!$L$9)^Financials!DV$3)*DV$8))</f>
        <v>0</v>
      </c>
      <c r="DW19" s="18">
        <f>IF(DW$1&lt;CapEx!$O$7,0,(VLOOKUP($B19,Inputs!$B$25:$D$44,3,0)*(VLOOKUP(Financials!$B19,Inputs!$B$3:$D$21,3,0)*(1+Inputs!$L$9)^Financials!DW$3)*DW$8))</f>
        <v>0</v>
      </c>
      <c r="DX19" s="18">
        <f>IF(DX$1&lt;CapEx!$O$7,0,(VLOOKUP($B19,Inputs!$B$25:$D$44,3,0)*(VLOOKUP(Financials!$B19,Inputs!$B$3:$D$21,3,0)*(1+Inputs!$L$9)^Financials!DX$3)*DX$8))</f>
        <v>0</v>
      </c>
      <c r="DY19" s="18">
        <f>IF(DY$1&lt;CapEx!$O$7,0,(VLOOKUP($B19,Inputs!$B$25:$D$44,3,0)*(VLOOKUP(Financials!$B19,Inputs!$B$3:$D$21,3,0)*(1+Inputs!$L$9)^Financials!DY$3)*DY$8))</f>
        <v>0</v>
      </c>
      <c r="DZ19" s="18">
        <f>IF(DZ$1&lt;CapEx!$O$7,0,(VLOOKUP($B19,Inputs!$B$25:$D$44,3,0)*(VLOOKUP(Financials!$B19,Inputs!$B$3:$D$21,3,0)*(1+Inputs!$L$9)^Financials!DZ$3)*DZ$8))</f>
        <v>0</v>
      </c>
      <c r="EA19" s="18">
        <f>IF(EA$1&lt;CapEx!$O$7,0,(VLOOKUP($B19,Inputs!$B$25:$D$44,3,0)*(VLOOKUP(Financials!$B19,Inputs!$B$3:$D$21,3,0)*(1+Inputs!$L$9)^Financials!EA$3)*EA$8))</f>
        <v>0</v>
      </c>
      <c r="EB19" s="18">
        <f>IF(EB$1&lt;CapEx!$O$7,0,(VLOOKUP($B19,Inputs!$B$25:$D$44,3,0)*(VLOOKUP(Financials!$B19,Inputs!$B$3:$D$21,3,0)*(1+Inputs!$L$9)^Financials!EB$3)*EB$8))</f>
        <v>0</v>
      </c>
      <c r="EC19" s="18">
        <f>IF(EC$1&lt;CapEx!$O$7,0,(VLOOKUP($B19,Inputs!$B$25:$D$44,3,0)*(VLOOKUP(Financials!$B19,Inputs!$B$3:$D$21,3,0)*(1+Inputs!$L$9)^Financials!EC$3)*EC$8))</f>
        <v>0</v>
      </c>
      <c r="ED19" s="18">
        <f>IF(ED$1&lt;CapEx!$O$7,0,(VLOOKUP($B19,Inputs!$B$25:$D$44,3,0)*(VLOOKUP(Financials!$B19,Inputs!$B$3:$D$21,3,0)*(1+Inputs!$L$9)^Financials!ED$3)*ED$8))</f>
        <v>0</v>
      </c>
      <c r="EE19" s="18">
        <f>IF(EE$1&lt;CapEx!$O$7,0,(VLOOKUP($B19,Inputs!$B$25:$D$44,3,0)*(VLOOKUP(Financials!$B19,Inputs!$B$3:$D$21,3,0)*(1+Inputs!$L$9)^Financials!EE$3)*EE$8))</f>
        <v>0</v>
      </c>
      <c r="EF19" s="18">
        <f>IF(EF$1&lt;CapEx!$O$7,0,(VLOOKUP($B19,Inputs!$B$25:$D$44,3,0)*(VLOOKUP(Financials!$B19,Inputs!$B$3:$D$21,3,0)*(1+Inputs!$L$9)^Financials!EF$3)*EF$8))</f>
        <v>0</v>
      </c>
      <c r="EG19" s="18">
        <f>IF(EG$1&lt;CapEx!$O$7,0,(VLOOKUP($B19,Inputs!$B$25:$D$44,3,0)*(VLOOKUP(Financials!$B19,Inputs!$B$3:$D$21,3,0)*(1+Inputs!$L$9)^Financials!EG$3)*EG$8))</f>
        <v>0</v>
      </c>
      <c r="EH19" s="18">
        <f>IF(EH$1&lt;CapEx!$O$7,0,(VLOOKUP($B19,Inputs!$B$25:$D$44,3,0)*(VLOOKUP(Financials!$B19,Inputs!$B$3:$D$21,3,0)*(1+Inputs!$L$9)^Financials!EH$3)*EH$8))</f>
        <v>0</v>
      </c>
      <c r="EI19" s="18">
        <f>IF(EI$1&lt;CapEx!$O$7,0,(VLOOKUP($B19,Inputs!$B$25:$D$44,3,0)*(VLOOKUP(Financials!$B19,Inputs!$B$3:$D$21,3,0)*(1+Inputs!$L$9)^Financials!EI$3)*EI$8))</f>
        <v>0</v>
      </c>
      <c r="EJ19" s="18">
        <f>IF(EJ$1&lt;CapEx!$O$7,0,(VLOOKUP($B19,Inputs!$B$25:$D$44,3,0)*(VLOOKUP(Financials!$B19,Inputs!$B$3:$D$21,3,0)*(1+Inputs!$L$9)^Financials!EJ$3)*EJ$8))</f>
        <v>0</v>
      </c>
      <c r="EK19" s="18">
        <f>IF(EK$1&lt;CapEx!$O$7,0,(VLOOKUP($B19,Inputs!$B$25:$D$44,3,0)*(VLOOKUP(Financials!$B19,Inputs!$B$3:$D$21,3,0)*(1+Inputs!$L$9)^Financials!EK$3)*EK$8))</f>
        <v>0</v>
      </c>
      <c r="EL19" s="18">
        <f>IF(EL$1&lt;CapEx!$O$7,0,(VLOOKUP($B19,Inputs!$B$25:$D$44,3,0)*(VLOOKUP(Financials!$B19,Inputs!$B$3:$D$21,3,0)*(1+Inputs!$L$9)^Financials!EL$3)*EL$8))</f>
        <v>0</v>
      </c>
      <c r="EM19" s="18">
        <f>IF(EM$1&lt;CapEx!$O$7,0,(VLOOKUP($B19,Inputs!$B$25:$D$44,3,0)*(VLOOKUP(Financials!$B19,Inputs!$B$3:$D$21,3,0)*(1+Inputs!$L$9)^Financials!EM$3)*EM$8))</f>
        <v>0</v>
      </c>
      <c r="EN19" s="18">
        <f>IF(EN$1&lt;CapEx!$O$7,0,(VLOOKUP($B19,Inputs!$B$25:$D$44,3,0)*(VLOOKUP(Financials!$B19,Inputs!$B$3:$D$21,3,0)*(1+Inputs!$L$9)^Financials!EN$3)*EN$8))</f>
        <v>0</v>
      </c>
      <c r="EO19" s="18">
        <f>IF(EO$1&lt;CapEx!$O$7,0,(VLOOKUP($B19,Inputs!$B$25:$D$44,3,0)*(VLOOKUP(Financials!$B19,Inputs!$B$3:$D$21,3,0)*(1+Inputs!$L$9)^Financials!EO$3)*EO$8))</f>
        <v>0</v>
      </c>
      <c r="EP19" s="18">
        <f>IF(EP$1&lt;CapEx!$O$7,0,(VLOOKUP($B19,Inputs!$B$25:$D$44,3,0)*(VLOOKUP(Financials!$B19,Inputs!$B$3:$D$21,3,0)*(1+Inputs!$L$9)^Financials!EP$3)*EP$8))</f>
        <v>0</v>
      </c>
      <c r="EQ19" s="18">
        <f>IF(EQ$1&lt;CapEx!$O$7,0,(VLOOKUP($B19,Inputs!$B$25:$D$44,3,0)*(VLOOKUP(Financials!$B19,Inputs!$B$3:$D$21,3,0)*(1+Inputs!$L$9)^Financials!EQ$3)*EQ$8))</f>
        <v>0</v>
      </c>
      <c r="ER19" s="18">
        <f>IF(ER$1&lt;CapEx!$O$7,0,(VLOOKUP($B19,Inputs!$B$25:$D$44,3,0)*(VLOOKUP(Financials!$B19,Inputs!$B$3:$D$21,3,0)*(1+Inputs!$L$9)^Financials!ER$3)*ER$8))</f>
        <v>0</v>
      </c>
      <c r="ES19" s="18">
        <f>IF(ES$1&lt;CapEx!$O$7,0,(VLOOKUP($B19,Inputs!$B$25:$D$44,3,0)*(VLOOKUP(Financials!$B19,Inputs!$B$3:$D$21,3,0)*(1+Inputs!$L$9)^Financials!ES$3)*ES$8))</f>
        <v>0</v>
      </c>
      <c r="ET19" s="18">
        <f>IF(ET$1&lt;CapEx!$O$7,0,(VLOOKUP($B19,Inputs!$B$25:$D$44,3,0)*(VLOOKUP(Financials!$B19,Inputs!$B$3:$D$21,3,0)*(1+Inputs!$L$9)^Financials!ET$3)*ET$8))</f>
        <v>0</v>
      </c>
      <c r="EU19" s="18">
        <f>IF(EU$1&lt;CapEx!$O$7,0,(VLOOKUP($B19,Inputs!$B$25:$D$44,3,0)*(VLOOKUP(Financials!$B19,Inputs!$B$3:$D$21,3,0)*(1+Inputs!$L$9)^Financials!EU$3)*EU$8))</f>
        <v>0</v>
      </c>
      <c r="EV19" s="18">
        <f>IF(EV$1&lt;CapEx!$O$7,0,(VLOOKUP($B19,Inputs!$B$25:$D$44,3,0)*(VLOOKUP(Financials!$B19,Inputs!$B$3:$D$21,3,0)*(1+Inputs!$L$9)^Financials!EV$3)*EV$8))</f>
        <v>0</v>
      </c>
      <c r="EW19" s="18">
        <f>IF(EW$1&lt;CapEx!$O$7,0,(VLOOKUP($B19,Inputs!$B$25:$D$44,3,0)*(VLOOKUP(Financials!$B19,Inputs!$B$3:$D$21,3,0)*(1+Inputs!$L$9)^Financials!EW$3)*EW$8))</f>
        <v>0</v>
      </c>
      <c r="EX19" s="18">
        <f>IF(EX$1&lt;CapEx!$O$7,0,(VLOOKUP($B19,Inputs!$B$25:$D$44,3,0)*(VLOOKUP(Financials!$B19,Inputs!$B$3:$D$21,3,0)*(1+Inputs!$L$9)^Financials!EX$3)*EX$8))</f>
        <v>0</v>
      </c>
      <c r="EY19" s="18">
        <f>IF(EY$1&lt;CapEx!$O$7,0,(VLOOKUP($B19,Inputs!$B$25:$D$44,3,0)*(VLOOKUP(Financials!$B19,Inputs!$B$3:$D$21,3,0)*(1+Inputs!$L$9)^Financials!EY$3)*EY$8))</f>
        <v>0</v>
      </c>
      <c r="EZ19" s="18">
        <f>IF(EZ$1&lt;CapEx!$O$7,0,(VLOOKUP($B19,Inputs!$B$25:$D$44,3,0)*(VLOOKUP(Financials!$B19,Inputs!$B$3:$D$21,3,0)*(1+Inputs!$L$9)^Financials!EZ$3)*EZ$8))</f>
        <v>0</v>
      </c>
      <c r="FA19" s="18">
        <f>IF(FA$1&lt;CapEx!$O$7,0,(VLOOKUP($B19,Inputs!$B$25:$D$44,3,0)*(VLOOKUP(Financials!$B19,Inputs!$B$3:$D$21,3,0)*(1+Inputs!$L$9)^Financials!FA$3)*FA$8))</f>
        <v>0</v>
      </c>
      <c r="FB19" s="18">
        <f>IF(FB$1&lt;CapEx!$O$7,0,(VLOOKUP($B19,Inputs!$B$25:$D$44,3,0)*(VLOOKUP(Financials!$B19,Inputs!$B$3:$D$21,3,0)*(1+Inputs!$L$9)^Financials!FB$3)*FB$8))</f>
        <v>0</v>
      </c>
      <c r="FC19" s="18">
        <f>IF(FC$1&lt;CapEx!$O$7,0,(VLOOKUP($B19,Inputs!$B$25:$D$44,3,0)*(VLOOKUP(Financials!$B19,Inputs!$B$3:$D$21,3,0)*(1+Inputs!$L$9)^Financials!FC$3)*FC$8))</f>
        <v>0</v>
      </c>
      <c r="FD19" s="18">
        <f>IF(FD$1&lt;CapEx!$O$7,0,(VLOOKUP($B19,Inputs!$B$25:$D$44,3,0)*(VLOOKUP(Financials!$B19,Inputs!$B$3:$D$21,3,0)*(1+Inputs!$L$9)^Financials!FD$3)*FD$8))</f>
        <v>0</v>
      </c>
      <c r="FE19" s="18">
        <f>IF(FE$1&lt;CapEx!$O$7,0,(VLOOKUP($B19,Inputs!$B$25:$D$44,3,0)*(VLOOKUP(Financials!$B19,Inputs!$B$3:$D$21,3,0)*(1+Inputs!$L$9)^Financials!FE$3)*FE$8))</f>
        <v>0</v>
      </c>
      <c r="FF19" s="18">
        <f>IF(FF$1&lt;CapEx!$O$7,0,(VLOOKUP($B19,Inputs!$B$25:$D$44,3,0)*(VLOOKUP(Financials!$B19,Inputs!$B$3:$D$21,3,0)*(1+Inputs!$L$9)^Financials!FF$3)*FF$8))</f>
        <v>0</v>
      </c>
      <c r="FG19" s="18">
        <f>IF(FG$1&lt;CapEx!$O$7,0,(VLOOKUP($B19,Inputs!$B$25:$D$44,3,0)*(VLOOKUP(Financials!$B19,Inputs!$B$3:$D$21,3,0)*(1+Inputs!$L$9)^Financials!FG$3)*FG$8))</f>
        <v>0</v>
      </c>
      <c r="FH19" s="18">
        <f>IF(FH$1&lt;CapEx!$O$7,0,(VLOOKUP($B19,Inputs!$B$25:$D$44,3,0)*(VLOOKUP(Financials!$B19,Inputs!$B$3:$D$21,3,0)*(1+Inputs!$L$9)^Financials!FH$3)*FH$8))</f>
        <v>0</v>
      </c>
      <c r="FI19" s="18">
        <f>IF(FI$1&lt;CapEx!$O$7,0,(VLOOKUP($B19,Inputs!$B$25:$D$44,3,0)*(VLOOKUP(Financials!$B19,Inputs!$B$3:$D$21,3,0)*(1+Inputs!$L$9)^Financials!FI$3)*FI$8))</f>
        <v>0</v>
      </c>
      <c r="FJ19" s="18">
        <f>IF(FJ$1&lt;CapEx!$O$7,0,(VLOOKUP($B19,Inputs!$B$25:$D$44,3,0)*(VLOOKUP(Financials!$B19,Inputs!$B$3:$D$21,3,0)*(1+Inputs!$L$9)^Financials!FJ$3)*FJ$8))</f>
        <v>0</v>
      </c>
      <c r="FK19" s="18">
        <f>IF(FK$1&lt;CapEx!$O$7,0,(VLOOKUP($B19,Inputs!$B$25:$D$44,3,0)*(VLOOKUP(Financials!$B19,Inputs!$B$3:$D$21,3,0)*(1+Inputs!$L$9)^Financials!FK$3)*FK$8))</f>
        <v>0</v>
      </c>
      <c r="FL19" s="18">
        <f>IF(FL$1&lt;CapEx!$O$7,0,(VLOOKUP($B19,Inputs!$B$25:$D$44,3,0)*(VLOOKUP(Financials!$B19,Inputs!$B$3:$D$21,3,0)*(1+Inputs!$L$9)^Financials!FL$3)*FL$8))</f>
        <v>0</v>
      </c>
      <c r="FM19" s="18">
        <f>IF(FM$1&lt;CapEx!$O$7,0,(VLOOKUP($B19,Inputs!$B$25:$D$44,3,0)*(VLOOKUP(Financials!$B19,Inputs!$B$3:$D$21,3,0)*(1+Inputs!$L$9)^Financials!FM$3)*FM$8))</f>
        <v>0</v>
      </c>
      <c r="FN19" s="18">
        <f>IF(FN$1&lt;CapEx!$O$7,0,(VLOOKUP($B19,Inputs!$B$25:$D$44,3,0)*(VLOOKUP(Financials!$B19,Inputs!$B$3:$D$21,3,0)*(1+Inputs!$L$9)^Financials!FN$3)*FN$8))</f>
        <v>0</v>
      </c>
      <c r="FO19" s="18">
        <f>IF(FO$1&lt;CapEx!$O$7,0,(VLOOKUP($B19,Inputs!$B$25:$D$44,3,0)*(VLOOKUP(Financials!$B19,Inputs!$B$3:$D$21,3,0)*(1+Inputs!$L$9)^Financials!FO$3)*FO$8))</f>
        <v>0</v>
      </c>
      <c r="FP19" s="18">
        <f>IF(FP$1&lt;CapEx!$O$7,0,(VLOOKUP($B19,Inputs!$B$25:$D$44,3,0)*(VLOOKUP(Financials!$B19,Inputs!$B$3:$D$21,3,0)*(1+Inputs!$L$9)^Financials!FP$3)*FP$8))</f>
        <v>0</v>
      </c>
      <c r="FQ19" s="18">
        <f>IF(FQ$1&lt;CapEx!$O$7,0,(VLOOKUP($B19,Inputs!$B$25:$D$44,3,0)*(VLOOKUP(Financials!$B19,Inputs!$B$3:$D$21,3,0)*(1+Inputs!$L$9)^Financials!FQ$3)*FQ$8))</f>
        <v>0</v>
      </c>
      <c r="FR19" s="18">
        <f>IF(FR$1&lt;CapEx!$O$7,0,(VLOOKUP($B19,Inputs!$B$25:$D$44,3,0)*(VLOOKUP(Financials!$B19,Inputs!$B$3:$D$21,3,0)*(1+Inputs!$L$9)^Financials!FR$3)*FR$8))</f>
        <v>0</v>
      </c>
      <c r="FS19" s="18">
        <f>IF(FS$1&lt;CapEx!$O$7,0,(VLOOKUP($B19,Inputs!$B$25:$D$44,3,0)*(VLOOKUP(Financials!$B19,Inputs!$B$3:$D$21,3,0)*(1+Inputs!$L$9)^Financials!FS$3)*FS$8))</f>
        <v>0</v>
      </c>
      <c r="FT19" s="18">
        <f>IF(FT$1&lt;CapEx!$O$7,0,(VLOOKUP($B19,Inputs!$B$25:$D$44,3,0)*(VLOOKUP(Financials!$B19,Inputs!$B$3:$D$21,3,0)*(1+Inputs!$L$9)^Financials!FT$3)*FT$8))</f>
        <v>0</v>
      </c>
      <c r="FU19" s="18">
        <f>IF(FU$1&lt;CapEx!$O$7,0,(VLOOKUP($B19,Inputs!$B$25:$D$44,3,0)*(VLOOKUP(Financials!$B19,Inputs!$B$3:$D$21,3,0)*(1+Inputs!$L$9)^Financials!FU$3)*FU$8))</f>
        <v>0</v>
      </c>
      <c r="FV19" s="18">
        <f>IF(FV$1&lt;CapEx!$O$7,0,(VLOOKUP($B19,Inputs!$B$25:$D$44,3,0)*(VLOOKUP(Financials!$B19,Inputs!$B$3:$D$21,3,0)*(1+Inputs!$L$9)^Financials!FV$3)*FV$8))</f>
        <v>0</v>
      </c>
      <c r="FW19" s="18">
        <f>IF(FW$1&lt;CapEx!$O$7,0,(VLOOKUP($B19,Inputs!$B$25:$D$44,3,0)*(VLOOKUP(Financials!$B19,Inputs!$B$3:$D$21,3,0)*(1+Inputs!$L$9)^Financials!FW$3)*FW$8))</f>
        <v>0</v>
      </c>
      <c r="FX19" s="18">
        <f>IF(FX$1&lt;CapEx!$O$7,0,(VLOOKUP($B19,Inputs!$B$25:$D$44,3,0)*(VLOOKUP(Financials!$B19,Inputs!$B$3:$D$21,3,0)*(1+Inputs!$L$9)^Financials!FX$3)*FX$8))</f>
        <v>0</v>
      </c>
      <c r="FY19" s="18">
        <f>IF(FY$1&lt;CapEx!$O$7,0,(VLOOKUP($B19,Inputs!$B$25:$D$44,3,0)*(VLOOKUP(Financials!$B19,Inputs!$B$3:$D$21,3,0)*(1+Inputs!$L$9)^Financials!FY$3)*FY$8))</f>
        <v>0</v>
      </c>
      <c r="FZ19" s="18">
        <f>IF(FZ$1&lt;CapEx!$O$7,0,(VLOOKUP($B19,Inputs!$B$25:$D$44,3,0)*(VLOOKUP(Financials!$B19,Inputs!$B$3:$D$21,3,0)*(1+Inputs!$L$9)^Financials!FZ$3)*FZ$8))</f>
        <v>0</v>
      </c>
      <c r="GA19" s="18">
        <f>IF(GA$1&lt;CapEx!$O$7,0,(VLOOKUP($B19,Inputs!$B$25:$D$44,3,0)*(VLOOKUP(Financials!$B19,Inputs!$B$3:$D$21,3,0)*(1+Inputs!$L$9)^Financials!GA$3)*GA$8))</f>
        <v>0</v>
      </c>
      <c r="GB19" s="18">
        <f>IF(GB$1&lt;CapEx!$O$7,0,(VLOOKUP($B19,Inputs!$B$25:$D$44,3,0)*(VLOOKUP(Financials!$B19,Inputs!$B$3:$D$21,3,0)*(1+Inputs!$L$9)^Financials!GB$3)*GB$8))</f>
        <v>0</v>
      </c>
      <c r="GC19" s="18">
        <f>IF(GC$1&lt;CapEx!$O$7,0,(VLOOKUP($B19,Inputs!$B$25:$D$44,3,0)*(VLOOKUP(Financials!$B19,Inputs!$B$3:$D$21,3,0)*(1+Inputs!$L$9)^Financials!GC$3)*GC$8))</f>
        <v>0</v>
      </c>
      <c r="GD19" s="18">
        <f>IF(GD$1&lt;CapEx!$O$7,0,(VLOOKUP($B19,Inputs!$B$25:$D$44,3,0)*(VLOOKUP(Financials!$B19,Inputs!$B$3:$D$21,3,0)*(1+Inputs!$L$9)^Financials!GD$3)*GD$8))</f>
        <v>0</v>
      </c>
      <c r="GE19" s="18">
        <f>IF(GE$1&lt;CapEx!$O$7,0,(VLOOKUP($B19,Inputs!$B$25:$D$44,3,0)*(VLOOKUP(Financials!$B19,Inputs!$B$3:$D$21,3,0)*(1+Inputs!$L$9)^Financials!GE$3)*GE$8))</f>
        <v>0</v>
      </c>
      <c r="GF19" s="18">
        <f>IF(GF$1&lt;CapEx!$O$7,0,(VLOOKUP($B19,Inputs!$B$25:$D$44,3,0)*(VLOOKUP(Financials!$B19,Inputs!$B$3:$D$21,3,0)*(1+Inputs!$L$9)^Financials!GF$3)*GF$8))</f>
        <v>0</v>
      </c>
      <c r="GG19" s="18">
        <f>IF(GG$1&lt;CapEx!$O$7,0,(VLOOKUP($B19,Inputs!$B$25:$D$44,3,0)*(VLOOKUP(Financials!$B19,Inputs!$B$3:$D$21,3,0)*(1+Inputs!$L$9)^Financials!GG$3)*GG$8))</f>
        <v>0</v>
      </c>
      <c r="GH19" s="18">
        <f>IF(GH$1&lt;CapEx!$O$7,0,(VLOOKUP($B19,Inputs!$B$25:$D$44,3,0)*(VLOOKUP(Financials!$B19,Inputs!$B$3:$D$21,3,0)*(1+Inputs!$L$9)^Financials!GH$3)*GH$8))</f>
        <v>0</v>
      </c>
      <c r="GI19" s="18">
        <f>IF(GI$1&lt;CapEx!$O$7,0,(VLOOKUP($B19,Inputs!$B$25:$D$44,3,0)*(VLOOKUP(Financials!$B19,Inputs!$B$3:$D$21,3,0)*(1+Inputs!$L$9)^Financials!GI$3)*GI$8))</f>
        <v>0</v>
      </c>
      <c r="GJ19" s="18">
        <f>IF(GJ$1&lt;CapEx!$O$7,0,(VLOOKUP($B19,Inputs!$B$25:$D$44,3,0)*(VLOOKUP(Financials!$B19,Inputs!$B$3:$D$21,3,0)*(1+Inputs!$L$9)^Financials!GJ$3)*GJ$8))</f>
        <v>0</v>
      </c>
      <c r="GK19" s="18">
        <f>IF(GK$1&lt;CapEx!$O$7,0,(VLOOKUP($B19,Inputs!$B$25:$D$44,3,0)*(VLOOKUP(Financials!$B19,Inputs!$B$3:$D$21,3,0)*(1+Inputs!$L$9)^Financials!GK$3)*GK$8))</f>
        <v>0</v>
      </c>
      <c r="GL19" s="18">
        <f>IF(GL$1&lt;CapEx!$O$7,0,(VLOOKUP($B19,Inputs!$B$25:$D$44,3,0)*(VLOOKUP(Financials!$B19,Inputs!$B$3:$D$21,3,0)*(1+Inputs!$L$9)^Financials!GL$3)*GL$8))</f>
        <v>0</v>
      </c>
      <c r="GM19" s="18">
        <f>IF(GM$1&lt;CapEx!$O$7,0,(VLOOKUP($B19,Inputs!$B$25:$D$44,3,0)*(VLOOKUP(Financials!$B19,Inputs!$B$3:$D$21,3,0)*(1+Inputs!$L$9)^Financials!GM$3)*GM$8))</f>
        <v>0</v>
      </c>
      <c r="GN19" s="18">
        <f>IF(GN$1&lt;CapEx!$O$7,0,(VLOOKUP($B19,Inputs!$B$25:$D$44,3,0)*(VLOOKUP(Financials!$B19,Inputs!$B$3:$D$21,3,0)*(1+Inputs!$L$9)^Financials!GN$3)*GN$8))</f>
        <v>0</v>
      </c>
      <c r="GO19" s="18">
        <f>IF(GO$1&lt;CapEx!$O$7,0,(VLOOKUP($B19,Inputs!$B$25:$D$44,3,0)*(VLOOKUP(Financials!$B19,Inputs!$B$3:$D$21,3,0)*(1+Inputs!$L$9)^Financials!GO$3)*GO$8))</f>
        <v>0</v>
      </c>
      <c r="GP19" s="18">
        <f>IF(GP$1&lt;CapEx!$O$7,0,(VLOOKUP($B19,Inputs!$B$25:$D$44,3,0)*(VLOOKUP(Financials!$B19,Inputs!$B$3:$D$21,3,0)*(1+Inputs!$L$9)^Financials!GP$3)*GP$8))</f>
        <v>0</v>
      </c>
      <c r="GQ19" s="18">
        <f>IF(GQ$1&lt;CapEx!$O$7,0,(VLOOKUP($B19,Inputs!$B$25:$D$44,3,0)*(VLOOKUP(Financials!$B19,Inputs!$B$3:$D$21,3,0)*(1+Inputs!$L$9)^Financials!GQ$3)*GQ$8))</f>
        <v>0</v>
      </c>
      <c r="GR19" s="18">
        <f>IF(GR$1&lt;CapEx!$O$7,0,(VLOOKUP($B19,Inputs!$B$25:$D$44,3,0)*(VLOOKUP(Financials!$B19,Inputs!$B$3:$D$21,3,0)*(1+Inputs!$L$9)^Financials!GR$3)*GR$8))</f>
        <v>0</v>
      </c>
      <c r="GS19" s="18">
        <f>IF(GS$1&lt;CapEx!$O$7,0,(VLOOKUP($B19,Inputs!$B$25:$D$44,3,0)*(VLOOKUP(Financials!$B19,Inputs!$B$3:$D$21,3,0)*(1+Inputs!$L$9)^Financials!GS$3)*GS$8))</f>
        <v>0</v>
      </c>
      <c r="GT19" s="18">
        <f>IF(GT$1&lt;CapEx!$O$7,0,(VLOOKUP($B19,Inputs!$B$25:$D$44,3,0)*(VLOOKUP(Financials!$B19,Inputs!$B$3:$D$21,3,0)*(1+Inputs!$L$9)^Financials!GT$3)*GT$8))</f>
        <v>0</v>
      </c>
      <c r="GU19" s="18">
        <f>IF(GU$1&lt;CapEx!$O$7,0,(VLOOKUP($B19,Inputs!$B$25:$D$44,3,0)*(VLOOKUP(Financials!$B19,Inputs!$B$3:$D$21,3,0)*(1+Inputs!$L$9)^Financials!GU$3)*GU$8))</f>
        <v>0</v>
      </c>
      <c r="GV19" s="18">
        <f>IF(GV$1&lt;CapEx!$O$7,0,(VLOOKUP($B19,Inputs!$B$25:$D$44,3,0)*(VLOOKUP(Financials!$B19,Inputs!$B$3:$D$21,3,0)*(1+Inputs!$L$9)^Financials!GV$3)*GV$8))</f>
        <v>0</v>
      </c>
      <c r="GW19" s="18">
        <f>IF(GW$1&lt;CapEx!$O$7,0,(VLOOKUP($B19,Inputs!$B$25:$D$44,3,0)*(VLOOKUP(Financials!$B19,Inputs!$B$3:$D$21,3,0)*(1+Inputs!$L$9)^Financials!GW$3)*GW$8))</f>
        <v>0</v>
      </c>
      <c r="GX19" s="18">
        <f>IF(GX$1&lt;CapEx!$O$7,0,(VLOOKUP($B19,Inputs!$B$25:$D$44,3,0)*(VLOOKUP(Financials!$B19,Inputs!$B$3:$D$21,3,0)*(1+Inputs!$L$9)^Financials!GX$3)*GX$8))</f>
        <v>0</v>
      </c>
      <c r="GY19" s="18">
        <f>IF(GY$1&lt;CapEx!$O$7,0,(VLOOKUP($B19,Inputs!$B$25:$D$44,3,0)*(VLOOKUP(Financials!$B19,Inputs!$B$3:$D$21,3,0)*(1+Inputs!$L$9)^Financials!GY$3)*GY$8))</f>
        <v>0</v>
      </c>
      <c r="GZ19" s="18">
        <f>IF(GZ$1&lt;CapEx!$O$7,0,(VLOOKUP($B19,Inputs!$B$25:$D$44,3,0)*(VLOOKUP(Financials!$B19,Inputs!$B$3:$D$21,3,0)*(1+Inputs!$L$9)^Financials!GZ$3)*GZ$8))</f>
        <v>0</v>
      </c>
      <c r="HA19" s="18">
        <f>IF(HA$1&lt;CapEx!$O$7,0,(VLOOKUP($B19,Inputs!$B$25:$D$44,3,0)*(VLOOKUP(Financials!$B19,Inputs!$B$3:$D$21,3,0)*(1+Inputs!$L$9)^Financials!HA$3)*HA$8))</f>
        <v>0</v>
      </c>
      <c r="HB19" s="18">
        <f>IF(HB$1&lt;CapEx!$O$7,0,(VLOOKUP($B19,Inputs!$B$25:$D$44,3,0)*(VLOOKUP(Financials!$B19,Inputs!$B$3:$D$21,3,0)*(1+Inputs!$L$9)^Financials!HB$3)*HB$8))</f>
        <v>0</v>
      </c>
      <c r="HC19" s="18">
        <f>IF(HC$1&lt;CapEx!$O$7,0,(VLOOKUP($B19,Inputs!$B$25:$D$44,3,0)*(VLOOKUP(Financials!$B19,Inputs!$B$3:$D$21,3,0)*(1+Inputs!$L$9)^Financials!HC$3)*HC$8))</f>
        <v>0</v>
      </c>
      <c r="HD19" s="18">
        <f>IF(HD$1&lt;CapEx!$O$7,0,(VLOOKUP($B19,Inputs!$B$25:$D$44,3,0)*(VLOOKUP(Financials!$B19,Inputs!$B$3:$D$21,3,0)*(1+Inputs!$L$9)^Financials!HD$3)*HD$8))</f>
        <v>0</v>
      </c>
      <c r="HE19" s="18">
        <f>IF(HE$1&lt;CapEx!$O$7,0,(VLOOKUP($B19,Inputs!$B$25:$D$44,3,0)*(VLOOKUP(Financials!$B19,Inputs!$B$3:$D$21,3,0)*(1+Inputs!$L$9)^Financials!HE$3)*HE$8))</f>
        <v>0</v>
      </c>
      <c r="HF19" s="18">
        <f>IF(HF$1&lt;CapEx!$O$7,0,(VLOOKUP($B19,Inputs!$B$25:$D$44,3,0)*(VLOOKUP(Financials!$B19,Inputs!$B$3:$D$21,3,0)*(1+Inputs!$L$9)^Financials!HF$3)*HF$8))</f>
        <v>0</v>
      </c>
      <c r="HG19" s="18">
        <f>IF(HG$1&lt;CapEx!$O$7,0,(VLOOKUP($B19,Inputs!$B$25:$D$44,3,0)*(VLOOKUP(Financials!$B19,Inputs!$B$3:$D$21,3,0)*(1+Inputs!$L$9)^Financials!HG$3)*HG$8))</f>
        <v>0</v>
      </c>
      <c r="HH19" s="18">
        <f>IF(HH$1&lt;CapEx!$O$7,0,(VLOOKUP($B19,Inputs!$B$25:$D$44,3,0)*(VLOOKUP(Financials!$B19,Inputs!$B$3:$D$21,3,0)*(1+Inputs!$L$9)^Financials!HH$3)*HH$8))</f>
        <v>0</v>
      </c>
      <c r="HI19" s="18">
        <f>IF(HI$1&lt;CapEx!$O$7,0,(VLOOKUP($B19,Inputs!$B$25:$D$44,3,0)*(VLOOKUP(Financials!$B19,Inputs!$B$3:$D$21,3,0)*(1+Inputs!$L$9)^Financials!HI$3)*HI$8))</f>
        <v>0</v>
      </c>
      <c r="HJ19" s="18">
        <f>IF(HJ$1&lt;CapEx!$O$7,0,(VLOOKUP($B19,Inputs!$B$25:$D$44,3,0)*(VLOOKUP(Financials!$B19,Inputs!$B$3:$D$21,3,0)*(1+Inputs!$L$9)^Financials!HJ$3)*HJ$8))</f>
        <v>0</v>
      </c>
      <c r="HK19" s="18">
        <f>IF(HK$1&lt;CapEx!$O$7,0,(VLOOKUP($B19,Inputs!$B$25:$D$44,3,0)*(VLOOKUP(Financials!$B19,Inputs!$B$3:$D$21,3,0)*(1+Inputs!$L$9)^Financials!HK$3)*HK$8))</f>
        <v>0</v>
      </c>
      <c r="HL19" s="18">
        <f>IF(HL$1&lt;CapEx!$O$7,0,(VLOOKUP($B19,Inputs!$B$25:$D$44,3,0)*(VLOOKUP(Financials!$B19,Inputs!$B$3:$D$21,3,0)*(1+Inputs!$L$9)^Financials!HL$3)*HL$8))</f>
        <v>0</v>
      </c>
      <c r="HM19" s="18">
        <f>IF(HM$1&lt;CapEx!$O$7,0,(VLOOKUP($B19,Inputs!$B$25:$D$44,3,0)*(VLOOKUP(Financials!$B19,Inputs!$B$3:$D$21,3,0)*(1+Inputs!$L$9)^Financials!HM$3)*HM$8))</f>
        <v>0</v>
      </c>
      <c r="HN19" s="18">
        <f>IF(HN$1&lt;CapEx!$O$7,0,(VLOOKUP($B19,Inputs!$B$25:$D$44,3,0)*(VLOOKUP(Financials!$B19,Inputs!$B$3:$D$21,3,0)*(1+Inputs!$L$9)^Financials!HN$3)*HN$8))</f>
        <v>0</v>
      </c>
      <c r="HO19" s="18">
        <f>IF(HO$1&lt;CapEx!$O$7,0,(VLOOKUP($B19,Inputs!$B$25:$D$44,3,0)*(VLOOKUP(Financials!$B19,Inputs!$B$3:$D$21,3,0)*(1+Inputs!$L$9)^Financials!HO$3)*HO$8))</f>
        <v>0</v>
      </c>
      <c r="HP19" s="18">
        <f>IF(HP$1&lt;CapEx!$O$7,0,(VLOOKUP($B19,Inputs!$B$25:$D$44,3,0)*(VLOOKUP(Financials!$B19,Inputs!$B$3:$D$21,3,0)*(1+Inputs!$L$9)^Financials!HP$3)*HP$8))</f>
        <v>0</v>
      </c>
      <c r="HQ19" s="18">
        <f>IF(HQ$1&lt;CapEx!$O$7,0,(VLOOKUP($B19,Inputs!$B$25:$D$44,3,0)*(VLOOKUP(Financials!$B19,Inputs!$B$3:$D$21,3,0)*(1+Inputs!$L$9)^Financials!HQ$3)*HQ$8))</f>
        <v>0</v>
      </c>
      <c r="HR19" s="18">
        <f>IF(HR$1&lt;CapEx!$O$7,0,(VLOOKUP($B19,Inputs!$B$25:$D$44,3,0)*(VLOOKUP(Financials!$B19,Inputs!$B$3:$D$21,3,0)*(1+Inputs!$L$9)^Financials!HR$3)*HR$8))</f>
        <v>0</v>
      </c>
      <c r="HS19" s="18">
        <f>IF(HS$1&lt;CapEx!$O$7,0,(VLOOKUP($B19,Inputs!$B$25:$D$44,3,0)*(VLOOKUP(Financials!$B19,Inputs!$B$3:$D$21,3,0)*(1+Inputs!$L$9)^Financials!HS$3)*HS$8))</f>
        <v>0</v>
      </c>
      <c r="HT19" s="18">
        <f>IF(HT$1&lt;CapEx!$O$7,0,(VLOOKUP($B19,Inputs!$B$25:$D$44,3,0)*(VLOOKUP(Financials!$B19,Inputs!$B$3:$D$21,3,0)*(1+Inputs!$L$9)^Financials!HT$3)*HT$8))</f>
        <v>0</v>
      </c>
      <c r="HU19" s="18">
        <f>IF(HU$1&lt;CapEx!$O$7,0,(VLOOKUP($B19,Inputs!$B$25:$D$44,3,0)*(VLOOKUP(Financials!$B19,Inputs!$B$3:$D$21,3,0)*(1+Inputs!$L$9)^Financials!HU$3)*HU$8))</f>
        <v>0</v>
      </c>
      <c r="HV19" s="18">
        <f>IF(HV$1&lt;CapEx!$O$7,0,(VLOOKUP($B19,Inputs!$B$25:$D$44,3,0)*(VLOOKUP(Financials!$B19,Inputs!$B$3:$D$21,3,0)*(1+Inputs!$L$9)^Financials!HV$3)*HV$8))</f>
        <v>0</v>
      </c>
      <c r="HW19" s="18">
        <f>IF(HW$1&lt;CapEx!$O$7,0,(VLOOKUP($B19,Inputs!$B$25:$D$44,3,0)*(VLOOKUP(Financials!$B19,Inputs!$B$3:$D$21,3,0)*(1+Inputs!$L$9)^Financials!HW$3)*HW$8))</f>
        <v>0</v>
      </c>
      <c r="HX19" s="18">
        <f>IF(HX$1&lt;CapEx!$O$7,0,(VLOOKUP($B19,Inputs!$B$25:$D$44,3,0)*(VLOOKUP(Financials!$B19,Inputs!$B$3:$D$21,3,0)*(1+Inputs!$L$9)^Financials!HX$3)*HX$8))</f>
        <v>0</v>
      </c>
      <c r="HY19" s="18">
        <f>IF(HY$1&lt;CapEx!$O$7,0,(VLOOKUP($B19,Inputs!$B$25:$D$44,3,0)*(VLOOKUP(Financials!$B19,Inputs!$B$3:$D$21,3,0)*(1+Inputs!$L$9)^Financials!HY$3)*HY$8))</f>
        <v>0</v>
      </c>
      <c r="HZ19" s="18">
        <f>IF(HZ$1&lt;CapEx!$O$7,0,(VLOOKUP($B19,Inputs!$B$25:$D$44,3,0)*(VLOOKUP(Financials!$B19,Inputs!$B$3:$D$21,3,0)*(1+Inputs!$L$9)^Financials!HZ$3)*HZ$8))</f>
        <v>0</v>
      </c>
      <c r="IA19" s="18">
        <f>IF(IA$1&lt;CapEx!$O$7,0,(VLOOKUP($B19,Inputs!$B$25:$D$44,3,0)*(VLOOKUP(Financials!$B19,Inputs!$B$3:$D$21,3,0)*(1+Inputs!$L$9)^Financials!IA$3)*IA$8))</f>
        <v>0</v>
      </c>
      <c r="IB19" s="18">
        <f>IF(IB$1&lt;CapEx!$O$7,0,(VLOOKUP($B19,Inputs!$B$25:$D$44,3,0)*(VLOOKUP(Financials!$B19,Inputs!$B$3:$D$21,3,0)*(1+Inputs!$L$9)^Financials!IB$3)*IB$8))</f>
        <v>0</v>
      </c>
      <c r="IC19" s="18">
        <f>IF(IC$1&lt;CapEx!$O$7,0,(VLOOKUP($B19,Inputs!$B$25:$D$44,3,0)*(VLOOKUP(Financials!$B19,Inputs!$B$3:$D$21,3,0)*(1+Inputs!$L$9)^Financials!IC$3)*IC$8))</f>
        <v>0</v>
      </c>
      <c r="ID19" s="18">
        <f>IF(ID$1&lt;CapEx!$O$7,0,(VLOOKUP($B19,Inputs!$B$25:$D$44,3,0)*(VLOOKUP(Financials!$B19,Inputs!$B$3:$D$21,3,0)*(1+Inputs!$L$9)^Financials!ID$3)*ID$8))</f>
        <v>0</v>
      </c>
      <c r="IE19" s="18">
        <f>IF(IE$1&lt;CapEx!$O$7,0,(VLOOKUP($B19,Inputs!$B$25:$D$44,3,0)*(VLOOKUP(Financials!$B19,Inputs!$B$3:$D$21,3,0)*(1+Inputs!$L$9)^Financials!IE$3)*IE$8))</f>
        <v>0</v>
      </c>
      <c r="IF19" s="18">
        <f>IF(IF$1&lt;CapEx!$O$7,0,(VLOOKUP($B19,Inputs!$B$25:$D$44,3,0)*(VLOOKUP(Financials!$B19,Inputs!$B$3:$D$21,3,0)*(1+Inputs!$L$9)^Financials!IF$3)*IF$8))</f>
        <v>0</v>
      </c>
      <c r="IG19" s="18">
        <f>IF(IG$1&lt;CapEx!$O$7,0,(VLOOKUP($B19,Inputs!$B$25:$D$44,3,0)*(VLOOKUP(Financials!$B19,Inputs!$B$3:$D$21,3,0)*(1+Inputs!$L$9)^Financials!IG$3)*IG$8))</f>
        <v>0</v>
      </c>
      <c r="IH19" s="18">
        <f>IF(IH$1&lt;CapEx!$O$7,0,(VLOOKUP($B19,Inputs!$B$25:$D$44,3,0)*(VLOOKUP(Financials!$B19,Inputs!$B$3:$D$21,3,0)*(1+Inputs!$L$9)^Financials!IH$3)*IH$8))</f>
        <v>0</v>
      </c>
      <c r="II19" s="18">
        <f>IF(II$1&lt;CapEx!$O$7,0,(VLOOKUP($B19,Inputs!$B$25:$D$44,3,0)*(VLOOKUP(Financials!$B19,Inputs!$B$3:$D$21,3,0)*(1+Inputs!$L$9)^Financials!II$3)*II$8))</f>
        <v>0</v>
      </c>
      <c r="IJ19" s="18">
        <f>IF(IJ$1&lt;CapEx!$O$7,0,(VLOOKUP($B19,Inputs!$B$25:$D$44,3,0)*(VLOOKUP(Financials!$B19,Inputs!$B$3:$D$21,3,0)*(1+Inputs!$L$9)^Financials!IJ$3)*IJ$8))</f>
        <v>0</v>
      </c>
      <c r="IK19" s="18">
        <f>IF(IK$1&lt;CapEx!$O$7,0,(VLOOKUP($B19,Inputs!$B$25:$D$44,3,0)*(VLOOKUP(Financials!$B19,Inputs!$B$3:$D$21,3,0)*(1+Inputs!$L$9)^Financials!IK$3)*IK$8))</f>
        <v>0</v>
      </c>
      <c r="IL19" s="18">
        <f>IF(IL$1&lt;CapEx!$O$7,0,(VLOOKUP($B19,Inputs!$B$25:$D$44,3,0)*(VLOOKUP(Financials!$B19,Inputs!$B$3:$D$21,3,0)*(1+Inputs!$L$9)^Financials!IL$3)*IL$8))</f>
        <v>0</v>
      </c>
      <c r="IM19" s="18">
        <f>IF(IM$1&lt;CapEx!$O$7,0,(VLOOKUP($B19,Inputs!$B$25:$D$44,3,0)*(VLOOKUP(Financials!$B19,Inputs!$B$3:$D$21,3,0)*(1+Inputs!$L$9)^Financials!IM$3)*IM$8))</f>
        <v>0</v>
      </c>
      <c r="IN19" s="18">
        <f>IF(IN$1&lt;CapEx!$O$7,0,(VLOOKUP($B19,Inputs!$B$25:$D$44,3,0)*(VLOOKUP(Financials!$B19,Inputs!$B$3:$D$21,3,0)*(1+Inputs!$L$9)^Financials!IN$3)*IN$8))</f>
        <v>0</v>
      </c>
      <c r="IO19" s="18">
        <f>IF(IO$1&lt;CapEx!$O$7,0,(VLOOKUP($B19,Inputs!$B$25:$D$44,3,0)*(VLOOKUP(Financials!$B19,Inputs!$B$3:$D$21,3,0)*(1+Inputs!$L$9)^Financials!IO$3)*IO$8))</f>
        <v>0</v>
      </c>
      <c r="IP19" s="18">
        <f>IF(IP$1&lt;CapEx!$O$7,0,(VLOOKUP($B19,Inputs!$B$25:$D$44,3,0)*(VLOOKUP(Financials!$B19,Inputs!$B$3:$D$21,3,0)*(1+Inputs!$L$9)^Financials!IP$3)*IP$8))</f>
        <v>0</v>
      </c>
      <c r="IQ19" s="18">
        <f>IF(IQ$1&lt;CapEx!$O$7,0,(VLOOKUP($B19,Inputs!$B$25:$D$44,3,0)*(VLOOKUP(Financials!$B19,Inputs!$B$3:$D$21,3,0)*(1+Inputs!$L$9)^Financials!IQ$3)*IQ$8))</f>
        <v>0</v>
      </c>
      <c r="IR19" s="18">
        <f>IF(IR$1&lt;CapEx!$O$7,0,(VLOOKUP($B19,Inputs!$B$25:$D$44,3,0)*(VLOOKUP(Financials!$B19,Inputs!$B$3:$D$21,3,0)*(1+Inputs!$L$9)^Financials!IR$3)*IR$8))</f>
        <v>0</v>
      </c>
      <c r="IS19" s="18">
        <f>IF(IS$1&lt;CapEx!$O$7,0,(VLOOKUP($B19,Inputs!$B$25:$D$44,3,0)*(VLOOKUP(Financials!$B19,Inputs!$B$3:$D$21,3,0)*(1+Inputs!$L$9)^Financials!IS$3)*IS$8))</f>
        <v>0</v>
      </c>
      <c r="IT19" s="18">
        <f>IF(IT$1&lt;CapEx!$O$7,0,(VLOOKUP($B19,Inputs!$B$25:$D$44,3,0)*(VLOOKUP(Financials!$B19,Inputs!$B$3:$D$21,3,0)*(1+Inputs!$L$9)^Financials!IT$3)*IT$8))</f>
        <v>0</v>
      </c>
      <c r="IU19" s="18">
        <f>IF(IU$1&lt;CapEx!$O$7,0,(VLOOKUP($B19,Inputs!$B$25:$D$44,3,0)*(VLOOKUP(Financials!$B19,Inputs!$B$3:$D$21,3,0)*(1+Inputs!$L$9)^Financials!IU$3)*IU$8))</f>
        <v>0</v>
      </c>
      <c r="IV19" s="18">
        <f>IF(IV$1&lt;CapEx!$O$7,0,(VLOOKUP($B19,Inputs!$B$25:$D$44,3,0)*(VLOOKUP(Financials!$B19,Inputs!$B$3:$D$21,3,0)*(1+Inputs!$L$9)^Financials!IV$3)*IV$8))</f>
        <v>0</v>
      </c>
      <c r="IW19" s="18">
        <f>IF(IW$1&lt;CapEx!$O$7,0,(VLOOKUP($B19,Inputs!$B$25:$D$44,3,0)*(VLOOKUP(Financials!$B19,Inputs!$B$3:$D$21,3,0)*(1+Inputs!$L$9)^Financials!IW$3)*IW$8))</f>
        <v>0</v>
      </c>
      <c r="IX19" s="18">
        <f>IF(IX$1&lt;CapEx!$O$7,0,(VLOOKUP($B19,Inputs!$B$25:$D$44,3,0)*(VLOOKUP(Financials!$B19,Inputs!$B$3:$D$21,3,0)*(1+Inputs!$L$9)^Financials!IX$3)*IX$8))</f>
        <v>0</v>
      </c>
      <c r="IY19" s="18">
        <f>IF(IY$1&lt;CapEx!$O$7,0,(VLOOKUP($B19,Inputs!$B$25:$D$44,3,0)*(VLOOKUP(Financials!$B19,Inputs!$B$3:$D$21,3,0)*(1+Inputs!$L$9)^Financials!IY$3)*IY$8))</f>
        <v>0</v>
      </c>
      <c r="IZ19" s="18">
        <f>IF(IZ$1&lt;CapEx!$O$7,0,(VLOOKUP($B19,Inputs!$B$25:$D$44,3,0)*(VLOOKUP(Financials!$B19,Inputs!$B$3:$D$21,3,0)*(1+Inputs!$L$9)^Financials!IZ$3)*IZ$8))</f>
        <v>0</v>
      </c>
      <c r="JA19" s="18">
        <f>IF(JA$1&lt;CapEx!$O$7,0,(VLOOKUP($B19,Inputs!$B$25:$D$44,3,0)*(VLOOKUP(Financials!$B19,Inputs!$B$3:$D$21,3,0)*(1+Inputs!$L$9)^Financials!JA$3)*JA$8))</f>
        <v>0</v>
      </c>
      <c r="JB19" s="18">
        <f>IF(JB$1&lt;CapEx!$O$7,0,(VLOOKUP($B19,Inputs!$B$25:$D$44,3,0)*(VLOOKUP(Financials!$B19,Inputs!$B$3:$D$21,3,0)*(1+Inputs!$L$9)^Financials!JB$3)*JB$8))</f>
        <v>0</v>
      </c>
      <c r="JC19" s="18">
        <f>IF(JC$1&lt;CapEx!$O$7,0,(VLOOKUP($B19,Inputs!$B$25:$D$44,3,0)*(VLOOKUP(Financials!$B19,Inputs!$B$3:$D$21,3,0)*(1+Inputs!$L$9)^Financials!JC$3)*JC$8))</f>
        <v>0</v>
      </c>
      <c r="JD19" s="18">
        <f>IF(JD$1&lt;CapEx!$O$7,0,(VLOOKUP($B19,Inputs!$B$25:$D$44,3,0)*(VLOOKUP(Financials!$B19,Inputs!$B$3:$D$21,3,0)*(1+Inputs!$L$9)^Financials!JD$3)*JD$8))</f>
        <v>0</v>
      </c>
      <c r="JE19" s="18">
        <f>IF(JE$1&lt;CapEx!$O$7,0,(VLOOKUP($B19,Inputs!$B$25:$D$44,3,0)*(VLOOKUP(Financials!$B19,Inputs!$B$3:$D$21,3,0)*(1+Inputs!$L$9)^Financials!JE$3)*JE$8))</f>
        <v>0</v>
      </c>
      <c r="JF19" s="18">
        <f>IF(JF$1&lt;CapEx!$O$7,0,(VLOOKUP($B19,Inputs!$B$25:$D$44,3,0)*(VLOOKUP(Financials!$B19,Inputs!$B$3:$D$21,3,0)*(1+Inputs!$L$9)^Financials!JF$3)*JF$8))</f>
        <v>0</v>
      </c>
      <c r="JG19" s="18">
        <f>IF(JG$1&lt;CapEx!$O$7,0,(VLOOKUP($B19,Inputs!$B$25:$D$44,3,0)*(VLOOKUP(Financials!$B19,Inputs!$B$3:$D$21,3,0)*(1+Inputs!$L$9)^Financials!JG$3)*JG$8))</f>
        <v>0</v>
      </c>
      <c r="JH19" s="18">
        <f>IF(JH$1&lt;CapEx!$O$7,0,(VLOOKUP($B19,Inputs!$B$25:$D$44,3,0)*(VLOOKUP(Financials!$B19,Inputs!$B$3:$D$21,3,0)*(1+Inputs!$L$9)^Financials!JH$3)*JH$8))</f>
        <v>0</v>
      </c>
      <c r="JI19" s="18">
        <f>IF(JI$1&lt;CapEx!$O$7,0,(VLOOKUP($B19,Inputs!$B$25:$D$44,3,0)*(VLOOKUP(Financials!$B19,Inputs!$B$3:$D$21,3,0)*(1+Inputs!$L$9)^Financials!JI$3)*JI$8))</f>
        <v>0</v>
      </c>
      <c r="JJ19" s="18">
        <f>IF(JJ$1&lt;CapEx!$O$7,0,(VLOOKUP($B19,Inputs!$B$25:$D$44,3,0)*(VLOOKUP(Financials!$B19,Inputs!$B$3:$D$21,3,0)*(1+Inputs!$L$9)^Financials!JJ$3)*JJ$8))</f>
        <v>0</v>
      </c>
      <c r="JK19" s="18">
        <f>IF(JK$1&lt;CapEx!$O$7,0,(VLOOKUP($B19,Inputs!$B$25:$D$44,3,0)*(VLOOKUP(Financials!$B19,Inputs!$B$3:$D$21,3,0)*(1+Inputs!$L$9)^Financials!JK$3)*JK$8))</f>
        <v>0</v>
      </c>
      <c r="JL19" s="18">
        <f>IF(JL$1&lt;CapEx!$O$7,0,(VLOOKUP($B19,Inputs!$B$25:$D$44,3,0)*(VLOOKUP(Financials!$B19,Inputs!$B$3:$D$21,3,0)*(1+Inputs!$L$9)^Financials!JL$3)*JL$8))</f>
        <v>0</v>
      </c>
      <c r="JM19" s="18">
        <f>IF(JM$1&lt;CapEx!$O$7,0,(VLOOKUP($B19,Inputs!$B$25:$D$44,3,0)*(VLOOKUP(Financials!$B19,Inputs!$B$3:$D$21,3,0)*(1+Inputs!$L$9)^Financials!JM$3)*JM$8))</f>
        <v>0</v>
      </c>
      <c r="JN19" s="18">
        <f>IF(JN$1&lt;CapEx!$O$7,0,(VLOOKUP($B19,Inputs!$B$25:$D$44,3,0)*(VLOOKUP(Financials!$B19,Inputs!$B$3:$D$21,3,0)*(1+Inputs!$L$9)^Financials!JN$3)*JN$8))</f>
        <v>0</v>
      </c>
      <c r="JO19" s="18">
        <f>IF(JO$1&lt;CapEx!$O$7,0,(VLOOKUP($B19,Inputs!$B$25:$D$44,3,0)*(VLOOKUP(Financials!$B19,Inputs!$B$3:$D$21,3,0)*(1+Inputs!$L$9)^Financials!JO$3)*JO$8))</f>
        <v>0</v>
      </c>
      <c r="JP19" s="18">
        <f>IF(JP$1&lt;CapEx!$O$7,0,(VLOOKUP($B19,Inputs!$B$25:$D$44,3,0)*(VLOOKUP(Financials!$B19,Inputs!$B$3:$D$21,3,0)*(1+Inputs!$L$9)^Financials!JP$3)*JP$8))</f>
        <v>0</v>
      </c>
      <c r="JQ19" s="18">
        <f>IF(JQ$1&lt;CapEx!$O$7,0,(VLOOKUP($B19,Inputs!$B$25:$D$44,3,0)*(VLOOKUP(Financials!$B19,Inputs!$B$3:$D$21,3,0)*(1+Inputs!$L$9)^Financials!JQ$3)*JQ$8))</f>
        <v>0</v>
      </c>
      <c r="JR19" s="18">
        <f>IF(JR$1&lt;CapEx!$O$7,0,(VLOOKUP($B19,Inputs!$B$25:$D$44,3,0)*(VLOOKUP(Financials!$B19,Inputs!$B$3:$D$21,3,0)*(1+Inputs!$L$9)^Financials!JR$3)*JR$8))</f>
        <v>0</v>
      </c>
    </row>
    <row r="20" spans="2:278" x14ac:dyDescent="0.2">
      <c r="B20" s="22" t="str">
        <f>Inputs!B9</f>
        <v xml:space="preserve">Carbon Black </v>
      </c>
      <c r="C20" s="18">
        <f>IF(C$1&lt;CapEx!$O$7,0,(VLOOKUP($B20,Inputs!$B$25:$D$44,3,0)*(VLOOKUP(Financials!$B20,Inputs!$B$3:$D$21,3,0)*(1+Inputs!$L$9)^Financials!C$3)*C$8))</f>
        <v>0</v>
      </c>
      <c r="D20" s="18">
        <f>IF(D$1&lt;CapEx!$O$7,0,(VLOOKUP($B20,Inputs!$B$25:$D$44,3,0)*(VLOOKUP(Financials!$B20,Inputs!$B$3:$D$21,3,0)*(1+Inputs!$L$9)^Financials!D$3)*D$8))</f>
        <v>0</v>
      </c>
      <c r="E20" s="18">
        <f>IF(E$1&lt;CapEx!$O$7,0,(VLOOKUP($B20,Inputs!$B$25:$D$44,3,0)*(VLOOKUP(Financials!$B20,Inputs!$B$3:$D$21,3,0)*(1+Inputs!$L$9)^Financials!E$3)*E$8))</f>
        <v>0</v>
      </c>
      <c r="F20" s="18">
        <f>IF(F$1&lt;CapEx!$O$7,0,(VLOOKUP($B20,Inputs!$B$25:$D$44,3,0)*(VLOOKUP(Financials!$B20,Inputs!$B$3:$D$21,3,0)*(1+Inputs!$L$9)^Financials!F$3)*F$8))</f>
        <v>0</v>
      </c>
      <c r="G20" s="18">
        <f>IF(G$1&lt;CapEx!$O$7,0,(VLOOKUP($B20,Inputs!$B$25:$D$44,3,0)*(VLOOKUP(Financials!$B20,Inputs!$B$3:$D$21,3,0)*(1+Inputs!$L$9)^Financials!G$3)*G$8))</f>
        <v>0</v>
      </c>
      <c r="H20" s="18">
        <f>IF(H$1&lt;CapEx!$O$7,0,(VLOOKUP($B20,Inputs!$B$25:$D$44,3,0)*(VLOOKUP(Financials!$B20,Inputs!$B$3:$D$21,3,0)*(1+Inputs!$L$9)^Financials!H$3)*H$8))</f>
        <v>0</v>
      </c>
      <c r="I20" s="18">
        <f>IF(I$1&lt;CapEx!$O$7,0,(VLOOKUP($B20,Inputs!$B$25:$D$44,3,0)*(VLOOKUP(Financials!$B20,Inputs!$B$3:$D$21,3,0)*(1+Inputs!$L$9)^Financials!I$3)*I$8))</f>
        <v>0</v>
      </c>
      <c r="J20" s="18">
        <f>IF(J$1&lt;CapEx!$O$7,0,(VLOOKUP($B20,Inputs!$B$25:$D$44,3,0)*(VLOOKUP(Financials!$B20,Inputs!$B$3:$D$21,3,0)*(1+Inputs!$L$9)^Financials!J$3)*J$8))</f>
        <v>0</v>
      </c>
      <c r="K20" s="18">
        <f>IF(K$1&lt;CapEx!$O$7,0,(VLOOKUP($B20,Inputs!$B$25:$D$44,3,0)*(VLOOKUP(Financials!$B20,Inputs!$B$3:$D$21,3,0)*(1+Inputs!$L$9)^Financials!K$3)*K$8))</f>
        <v>0</v>
      </c>
      <c r="L20" s="18">
        <f>IF(L$1&lt;CapEx!$O$7,0,(VLOOKUP($B20,Inputs!$B$25:$D$44,3,0)*(VLOOKUP(Financials!$B20,Inputs!$B$3:$D$21,3,0)*(1+Inputs!$L$9)^Financials!L$3)*L$8))</f>
        <v>0</v>
      </c>
      <c r="M20" s="18">
        <f>IF(M$1&lt;CapEx!$O$7,0,(VLOOKUP($B20,Inputs!$B$25:$D$44,3,0)*(VLOOKUP(Financials!$B20,Inputs!$B$3:$D$21,3,0)*(1+Inputs!$L$9)^Financials!M$3)*M$8))</f>
        <v>0</v>
      </c>
      <c r="N20" s="18">
        <f>IF(N$1&lt;CapEx!$O$7,0,(VLOOKUP($B20,Inputs!$B$25:$D$44,3,0)*(VLOOKUP(Financials!$B20,Inputs!$B$3:$D$21,3,0)*(1+Inputs!$L$9)^Financials!N$3)*N$8))</f>
        <v>0</v>
      </c>
      <c r="O20" s="18">
        <f>IF(O$1&lt;CapEx!$O$7,0,(VLOOKUP($B20,Inputs!$B$25:$D$44,3,0)*(VLOOKUP(Financials!$B20,Inputs!$B$3:$D$21,3,0)*(1+Inputs!$L$9)^Financials!O$3)*O$8))</f>
        <v>0</v>
      </c>
      <c r="P20" s="18">
        <f>IF(P$1&lt;CapEx!$O$7,0,(VLOOKUP($B20,Inputs!$B$25:$D$44,3,0)*(VLOOKUP(Financials!$B20,Inputs!$B$3:$D$21,3,0)*(1+Inputs!$L$9)^Financials!P$3)*P$8))</f>
        <v>0</v>
      </c>
      <c r="Q20" s="18">
        <f>IF(Q$1&lt;CapEx!$O$7,0,(VLOOKUP($B20,Inputs!$B$25:$D$44,3,0)*(VLOOKUP(Financials!$B20,Inputs!$B$3:$D$21,3,0)*(1+Inputs!$L$9)^Financials!Q$3)*Q$8))</f>
        <v>0</v>
      </c>
      <c r="R20" s="18">
        <f>IF(R$1&lt;CapEx!$O$7,0,(VLOOKUP($B20,Inputs!$B$25:$D$44,3,0)*(VLOOKUP(Financials!$B20,Inputs!$B$3:$D$21,3,0)*(1+Inputs!$L$9)^Financials!R$3)*R$8))</f>
        <v>679320</v>
      </c>
      <c r="S20" s="18">
        <f>IF(S$1&lt;CapEx!$O$7,0,(VLOOKUP($B20,Inputs!$B$25:$D$44,3,0)*(VLOOKUP(Financials!$B20,Inputs!$B$3:$D$21,3,0)*(1+Inputs!$L$9)^Financials!S$3)*S$8))</f>
        <v>703133.94000000006</v>
      </c>
      <c r="T20" s="18">
        <f>IF(T$1&lt;CapEx!$O$7,0,(VLOOKUP($B20,Inputs!$B$25:$D$44,3,0)*(VLOOKUP(Financials!$B20,Inputs!$B$3:$D$21,3,0)*(1+Inputs!$L$9)^Financials!T$3)*T$8))</f>
        <v>681586.28700000001</v>
      </c>
      <c r="U20" s="18">
        <f>IF(U$1&lt;CapEx!$O$7,0,(VLOOKUP($B20,Inputs!$B$25:$D$44,3,0)*(VLOOKUP(Financials!$B20,Inputs!$B$3:$D$21,3,0)*(1+Inputs!$L$9)^Financials!U$3)*U$8))</f>
        <v>705479.67294983345</v>
      </c>
      <c r="V20" s="18">
        <f>IF(V$1&lt;CapEx!$O$7,0,(VLOOKUP($B20,Inputs!$B$25:$D$44,3,0)*(VLOOKUP(Financials!$B20,Inputs!$B$3:$D$21,3,0)*(1+Inputs!$L$9)^Financials!V$3)*V$8))</f>
        <v>706655.47240474983</v>
      </c>
      <c r="W20" s="18">
        <f>IF(W$1&lt;CapEx!$O$7,0,(VLOOKUP($B20,Inputs!$B$25:$D$44,3,0)*(VLOOKUP(Financials!$B20,Inputs!$B$3:$D$21,3,0)*(1+Inputs!$L$9)^Financials!W$3)*W$8))</f>
        <v>684999.9014762172</v>
      </c>
      <c r="X20" s="18">
        <f>IF(X$1&lt;CapEx!$O$7,0,(VLOOKUP($B20,Inputs!$B$25:$D$44,3,0)*(VLOOKUP(Financials!$B20,Inputs!$B$3:$D$21,3,0)*(1+Inputs!$L$9)^Financials!X$3)*X$8))</f>
        <v>709012.95357796689</v>
      </c>
      <c r="Y20" s="18">
        <f>IF(Y$1&lt;CapEx!$O$7,0,(VLOOKUP($B20,Inputs!$B$25:$D$44,3,0)*(VLOOKUP(Financials!$B20,Inputs!$B$3:$D$21,3,0)*(1+Inputs!$L$9)^Financials!Y$3)*Y$8))</f>
        <v>687285.13725864212</v>
      </c>
      <c r="Z20" s="18">
        <f>IF(Z$1&lt;CapEx!$O$7,0,(VLOOKUP($B20,Inputs!$B$25:$D$44,3,0)*(VLOOKUP(Financials!$B20,Inputs!$B$3:$D$21,3,0)*(1+Inputs!$L$9)^Financials!Z$3)*Z$8))</f>
        <v>711378.29957032029</v>
      </c>
      <c r="AA20" s="18">
        <f>IF(AA$1&lt;CapEx!$O$7,0,(VLOOKUP($B20,Inputs!$B$25:$D$44,3,0)*(VLOOKUP(Financials!$B20,Inputs!$B$3:$D$21,3,0)*(1+Inputs!$L$9)^Financials!AA$3)*AA$8))</f>
        <v>712563.93006960407</v>
      </c>
      <c r="AB20" s="18">
        <f>IF(AB$1&lt;CapEx!$O$7,0,(VLOOKUP($B20,Inputs!$B$25:$D$44,3,0)*(VLOOKUP(Financials!$B20,Inputs!$B$3:$D$21,3,0)*(1+Inputs!$L$9)^Financials!AB$3)*AB$8))</f>
        <v>644678.80726942467</v>
      </c>
      <c r="AC20" s="18">
        <f>IF(AC$1&lt;CapEx!$O$7,0,(VLOOKUP($B20,Inputs!$B$25:$D$44,3,0)*(VLOOKUP(Financials!$B20,Inputs!$B$3:$D$21,3,0)*(1+Inputs!$L$9)^Financials!AC$3)*AC$8))</f>
        <v>714941.12251408631</v>
      </c>
      <c r="AD20" s="18">
        <f>IF(AD$1&lt;CapEx!$O$7,0,(VLOOKUP($B20,Inputs!$B$25:$D$44,3,0)*(VLOOKUP(Financials!$B20,Inputs!$B$3:$D$21,3,0)*(1+Inputs!$L$9)^Financials!AD$3)*AD$8))</f>
        <v>693031.63650155801</v>
      </c>
      <c r="AE20" s="18">
        <f>IF(AE$1&lt;CapEx!$O$7,0,(VLOOKUP($B20,Inputs!$B$25:$D$44,3,0)*(VLOOKUP(Financials!$B20,Inputs!$B$3:$D$21,3,0)*(1+Inputs!$L$9)^Financials!AE$3)*AE$8))</f>
        <v>717326.24553669593</v>
      </c>
      <c r="AF20" s="18">
        <f>IF(AF$1&lt;CapEx!$O$7,0,(VLOOKUP($B20,Inputs!$B$25:$D$44,3,0)*(VLOOKUP(Financials!$B20,Inputs!$B$3:$D$21,3,0)*(1+Inputs!$L$9)^Financials!AF$3)*AF$8))</f>
        <v>695343.6670444425</v>
      </c>
      <c r="AG20" s="18">
        <f>IF(AG$1&lt;CapEx!$O$7,0,(VLOOKUP($B20,Inputs!$B$25:$D$44,3,0)*(VLOOKUP(Financials!$B20,Inputs!$B$3:$D$21,3,0)*(1+Inputs!$L$9)^Financials!AG$3)*AG$8))</f>
        <v>719719.32559472276</v>
      </c>
      <c r="AH20" s="18">
        <f>IF(AH$1&lt;CapEx!$O$7,0,(VLOOKUP($B20,Inputs!$B$25:$D$44,3,0)*(VLOOKUP(Financials!$B20,Inputs!$B$3:$D$21,3,0)*(1+Inputs!$L$9)^Financials!AH$3)*AH$8))</f>
        <v>720918.85780404729</v>
      </c>
      <c r="AI20" s="18">
        <f>IF(AI$1&lt;CapEx!$O$7,0,(VLOOKUP($B20,Inputs!$B$25:$D$44,3,0)*(VLOOKUP(Financials!$B20,Inputs!$B$3:$D$21,3,0)*(1+Inputs!$L$9)^Financials!AI$3)*AI$8))</f>
        <v>698826.18312940723</v>
      </c>
      <c r="AJ20" s="18">
        <f>IF(AJ$1&lt;CapEx!$O$7,0,(VLOOKUP($B20,Inputs!$B$25:$D$44,3,0)*(VLOOKUP(Financials!$B20,Inputs!$B$3:$D$21,3,0)*(1+Inputs!$L$9)^Financials!AJ$3)*AJ$8))</f>
        <v>723323.92321577691</v>
      </c>
      <c r="AK20" s="18">
        <f>IF(AK$1&lt;CapEx!$O$7,0,(VLOOKUP($B20,Inputs!$B$25:$D$44,3,0)*(VLOOKUP(Financials!$B20,Inputs!$B$3:$D$21,3,0)*(1+Inputs!$L$9)^Financials!AK$3)*AK$8))</f>
        <v>701157.54492368072</v>
      </c>
      <c r="AL20" s="18">
        <f>IF(AL$1&lt;CapEx!$O$7,0,(VLOOKUP($B20,Inputs!$B$25:$D$44,3,0)*(VLOOKUP(Financials!$B20,Inputs!$B$3:$D$21,3,0)*(1+Inputs!$L$9)^Financials!AL$3)*AL$8))</f>
        <v>725737.01219294965</v>
      </c>
      <c r="AM20" s="18">
        <f>IF(AM$1&lt;CapEx!$O$7,0,(VLOOKUP($B20,Inputs!$B$25:$D$44,3,0)*(VLOOKUP(Financials!$B20,Inputs!$B$3:$D$21,3,0)*(1+Inputs!$L$9)^Financials!AM$3)*AM$8))</f>
        <v>726946.57387993811</v>
      </c>
      <c r="AN20" s="18">
        <f>IF(AN$1&lt;CapEx!$O$7,0,(VLOOKUP($B20,Inputs!$B$25:$D$44,3,0)*(VLOOKUP(Financials!$B20,Inputs!$B$3:$D$21,3,0)*(1+Inputs!$L$9)^Financials!AN$3)*AN$8))</f>
        <v>657691.23361567722</v>
      </c>
      <c r="AO20" s="18">
        <f>IF(AO$1&lt;CapEx!$O$7,0,(VLOOKUP($B20,Inputs!$B$25:$D$44,3,0)*(VLOOKUP(Financials!$B20,Inputs!$B$3:$D$21,3,0)*(1+Inputs!$L$9)^Financials!AO$3)*AO$8))</f>
        <v>729371.74842224305</v>
      </c>
      <c r="AP20" s="18">
        <f>IF(AP$1&lt;CapEx!$O$7,0,(VLOOKUP($B20,Inputs!$B$25:$D$44,3,0)*(VLOOKUP(Financials!$B20,Inputs!$B$3:$D$21,3,0)*(1+Inputs!$L$9)^Financials!AP$3)*AP$8))</f>
        <v>707020.03355123918</v>
      </c>
      <c r="AQ20" s="18">
        <f>IF(AQ$1&lt;CapEx!$O$7,0,(VLOOKUP($B20,Inputs!$B$25:$D$44,3,0)*(VLOOKUP(Financials!$B20,Inputs!$B$3:$D$21,3,0)*(1+Inputs!$L$9)^Financials!AQ$3)*AQ$8))</f>
        <v>731805.01361628517</v>
      </c>
      <c r="AR20" s="18">
        <f>IF(AR$1&lt;CapEx!$O$7,0,(VLOOKUP($B20,Inputs!$B$25:$D$44,3,0)*(VLOOKUP(Financials!$B20,Inputs!$B$3:$D$21,3,0)*(1+Inputs!$L$9)^Financials!AR$3)*AR$8))</f>
        <v>709378.73094094754</v>
      </c>
      <c r="AS20" s="18">
        <f>IF(AS$1&lt;CapEx!$O$7,0,(VLOOKUP($B20,Inputs!$B$25:$D$44,3,0)*(VLOOKUP(Financials!$B20,Inputs!$B$3:$D$21,3,0)*(1+Inputs!$L$9)^Financials!AS$3)*AS$8))</f>
        <v>734246.39645337744</v>
      </c>
      <c r="AT20" s="18">
        <f>IF(AT$1&lt;CapEx!$O$7,0,(VLOOKUP($B20,Inputs!$B$25:$D$44,3,0)*(VLOOKUP(Financials!$B20,Inputs!$B$3:$D$21,3,0)*(1+Inputs!$L$9)^Financials!AT$3)*AT$8))</f>
        <v>735470.1404474664</v>
      </c>
      <c r="AU20" s="18">
        <f>IF(AU$1&lt;CapEx!$O$7,0,(VLOOKUP($B20,Inputs!$B$25:$D$44,3,0)*(VLOOKUP(Financials!$B20,Inputs!$B$3:$D$21,3,0)*(1+Inputs!$L$9)^Financials!AU$3)*AU$8))</f>
        <v>712931.53936923773</v>
      </c>
      <c r="AV20" s="18">
        <f>IF(AV$1&lt;CapEx!$O$7,0,(VLOOKUP($B20,Inputs!$B$25:$D$44,3,0)*(VLOOKUP(Financials!$B20,Inputs!$B$3:$D$21,3,0)*(1+Inputs!$L$9)^Financials!AV$3)*AV$8))</f>
        <v>737923.75055490376</v>
      </c>
      <c r="AW20" s="18">
        <f>IF(AW$1&lt;CapEx!$O$7,0,(VLOOKUP($B20,Inputs!$B$25:$D$44,3,0)*(VLOOKUP(Financials!$B20,Inputs!$B$3:$D$21,3,0)*(1+Inputs!$L$9)^Financials!AW$3)*AW$8))</f>
        <v>715309.95819918904</v>
      </c>
      <c r="AX20" s="18">
        <f>IF(AX$1&lt;CapEx!$O$7,0,(VLOOKUP($B20,Inputs!$B$25:$D$44,3,0)*(VLOOKUP(Financials!$B20,Inputs!$B$3:$D$21,3,0)*(1+Inputs!$L$9)^Financials!AX$3)*AX$8))</f>
        <v>740385.54617828294</v>
      </c>
      <c r="AY20" s="18">
        <f>IF(AY$1&lt;CapEx!$O$7,0,(VLOOKUP($B20,Inputs!$B$25:$D$44,3,0)*(VLOOKUP(Financials!$B20,Inputs!$B$3:$D$21,3,0)*(1+Inputs!$L$9)^Financials!AY$3)*AY$8))</f>
        <v>741619.52208858018</v>
      </c>
      <c r="AZ20" s="18">
        <f>IF(AZ$1&lt;CapEx!$O$7,0,(VLOOKUP($B20,Inputs!$B$25:$D$44,3,0)*(VLOOKUP(Financials!$B20,Inputs!$B$3:$D$21,3,0)*(1+Inputs!$L$9)^Financials!AZ$3)*AZ$8))</f>
        <v>694929.38981085282</v>
      </c>
      <c r="BA20" s="18">
        <f>IF(BA$1&lt;CapEx!$O$7,0,(VLOOKUP($B20,Inputs!$B$25:$D$44,3,0)*(VLOOKUP(Financials!$B20,Inputs!$B$3:$D$21,3,0)*(1+Inputs!$L$9)^Financials!BA$3)*BA$8))</f>
        <v>744093.6472164368</v>
      </c>
      <c r="BB20" s="18">
        <f>IF(BB$1&lt;CapEx!$O$7,0,(VLOOKUP($B20,Inputs!$B$25:$D$44,3,0)*(VLOOKUP(Financials!$B20,Inputs!$B$3:$D$21,3,0)*(1+Inputs!$L$9)^Financials!BB$3)*BB$8))</f>
        <v>721290.77738238475</v>
      </c>
      <c r="BC20" s="18">
        <f>IF(BC$1&lt;CapEx!$O$7,0,(VLOOKUP($B20,Inputs!$B$25:$D$44,3,0)*(VLOOKUP(Financials!$B20,Inputs!$B$3:$D$21,3,0)*(1+Inputs!$L$9)^Financials!BC$3)*BC$8))</f>
        <v>746576.02630062285</v>
      </c>
      <c r="BD20" s="18">
        <f>IF(BD$1&lt;CapEx!$O$7,0,(VLOOKUP($B20,Inputs!$B$25:$D$44,3,0)*(VLOOKUP(Financials!$B20,Inputs!$B$3:$D$21,3,0)*(1+Inputs!$L$9)^Financials!BD$3)*BD$8))</f>
        <v>723697.08355915209</v>
      </c>
      <c r="BE20" s="18">
        <f>IF(BE$1&lt;CapEx!$O$7,0,(VLOOKUP($B20,Inputs!$B$25:$D$44,3,0)*(VLOOKUP(Financials!$B20,Inputs!$B$3:$D$21,3,0)*(1+Inputs!$L$9)^Financials!BE$3)*BE$8))</f>
        <v>749066.6868772537</v>
      </c>
      <c r="BF20" s="18">
        <f>IF(BF$1&lt;CapEx!$O$7,0,(VLOOKUP($B20,Inputs!$B$25:$D$44,3,0)*(VLOOKUP(Financials!$B20,Inputs!$B$3:$D$21,3,0)*(1+Inputs!$L$9)^Financials!BF$3)*BF$8))</f>
        <v>750315.13135538262</v>
      </c>
      <c r="BG20" s="18">
        <f>IF(BG$1&lt;CapEx!$O$7,0,(VLOOKUP($B20,Inputs!$B$25:$D$44,3,0)*(VLOOKUP(Financials!$B20,Inputs!$B$3:$D$21,3,0)*(1+Inputs!$L$9)^Financials!BG$3)*BG$8))</f>
        <v>727321.60313642723</v>
      </c>
      <c r="BH20" s="18">
        <f>IF(BH$1&lt;CapEx!$O$7,0,(VLOOKUP($B20,Inputs!$B$25:$D$44,3,0)*(VLOOKUP(Financials!$B20,Inputs!$B$3:$D$21,3,0)*(1+Inputs!$L$9)^Financials!BH$3)*BH$8))</f>
        <v>752818.26600193197</v>
      </c>
      <c r="BI20" s="18">
        <f>IF(BI$1&lt;CapEx!$O$7,0,(VLOOKUP($B20,Inputs!$B$25:$D$44,3,0)*(VLOOKUP(Financials!$B20,Inputs!$B$3:$D$21,3,0)*(1+Inputs!$L$9)^Financials!BI$3)*BI$8))</f>
        <v>729748.02881800197</v>
      </c>
      <c r="BJ20" s="18">
        <f>IF(BJ$1&lt;CapEx!$O$7,0,(VLOOKUP($B20,Inputs!$B$25:$D$44,3,0)*(VLOOKUP(Financials!$B20,Inputs!$B$3:$D$21,3,0)*(1+Inputs!$L$9)^Financials!BJ$3)*BJ$8))</f>
        <v>755329.75138378853</v>
      </c>
      <c r="BK20" s="18">
        <f>IF(BK$1&lt;CapEx!$O$7,0,(VLOOKUP($B20,Inputs!$B$25:$D$44,3,0)*(VLOOKUP(Financials!$B20,Inputs!$B$3:$D$21,3,0)*(1+Inputs!$L$9)^Financials!BK$3)*BK$8))</f>
        <v>756588.63430276175</v>
      </c>
      <c r="BL20" s="18">
        <f>IF(BL$1&lt;CapEx!$O$7,0,(VLOOKUP($B20,Inputs!$B$25:$D$44,3,0)*(VLOOKUP(Financials!$B20,Inputs!$B$3:$D$21,3,0)*(1+Inputs!$L$9)^Financials!BL$3)*BL$8))</f>
        <v>684509.33000252</v>
      </c>
      <c r="BM20" s="18">
        <f>IF(BM$1&lt;CapEx!$O$7,0,(VLOOKUP($B20,Inputs!$B$25:$D$44,3,0)*(VLOOKUP(Financials!$B20,Inputs!$B$3:$D$21,3,0)*(1+Inputs!$L$9)^Financials!BM$3)*BM$8))</f>
        <v>759112.69805219956</v>
      </c>
      <c r="BN20" s="18">
        <f>IF(BN$1&lt;CapEx!$O$7,0,(VLOOKUP($B20,Inputs!$B$25:$D$44,3,0)*(VLOOKUP(Financials!$B20,Inputs!$B$3:$D$21,3,0)*(1+Inputs!$L$9)^Financials!BN$3)*BN$8))</f>
        <v>735849.56698285812</v>
      </c>
      <c r="BO20" s="18">
        <f>IF(BO$1&lt;CapEx!$O$7,0,(VLOOKUP($B20,Inputs!$B$25:$D$44,3,0)*(VLOOKUP(Financials!$B20,Inputs!$B$3:$D$21,3,0)*(1+Inputs!$L$9)^Financials!BO$3)*BO$8))</f>
        <v>761645.18235875713</v>
      </c>
      <c r="BP20" s="18">
        <f>IF(BP$1&lt;CapEx!$O$7,0,(VLOOKUP($B20,Inputs!$B$25:$D$44,3,0)*(VLOOKUP(Financials!$B20,Inputs!$B$3:$D$21,3,0)*(1+Inputs!$L$9)^Financials!BP$3)*BP$8))</f>
        <v>738304.44289937592</v>
      </c>
      <c r="BQ20" s="18">
        <f>IF(BQ$1&lt;CapEx!$O$7,0,(VLOOKUP($B20,Inputs!$B$25:$D$44,3,0)*(VLOOKUP(Financials!$B20,Inputs!$B$3:$D$21,3,0)*(1+Inputs!$L$9)^Financials!BQ$3)*BQ$8))</f>
        <v>764186.1153143486</v>
      </c>
      <c r="BR20" s="18">
        <f>IF(BR$1&lt;CapEx!$O$7,0,(VLOOKUP($B20,Inputs!$B$25:$D$44,3,0)*(VLOOKUP(Financials!$B20,Inputs!$B$3:$D$21,3,0)*(1+Inputs!$L$9)^Financials!BR$3)*BR$8))</f>
        <v>765459.75883987243</v>
      </c>
      <c r="BS20" s="18">
        <f>IF(BS$1&lt;CapEx!$O$7,0,(VLOOKUP($B20,Inputs!$B$25:$D$44,3,0)*(VLOOKUP(Financials!$B20,Inputs!$B$3:$D$21,3,0)*(1+Inputs!$L$9)^Financials!BS$3)*BS$8))</f>
        <v>742002.12106897333</v>
      </c>
      <c r="BT20" s="18">
        <f>IF(BT$1&lt;CapEx!$O$7,0,(VLOOKUP($B20,Inputs!$B$25:$D$44,3,0)*(VLOOKUP(Financials!$B20,Inputs!$B$3:$D$21,3,0)*(1+Inputs!$L$9)^Financials!BT$3)*BT$8))</f>
        <v>768013.41764644673</v>
      </c>
      <c r="BU20" s="18">
        <f>IF(BU$1&lt;CapEx!$O$7,0,(VLOOKUP($B20,Inputs!$B$25:$D$44,3,0)*(VLOOKUP(Financials!$B20,Inputs!$B$3:$D$21,3,0)*(1+Inputs!$L$9)^Financials!BU$3)*BU$8))</f>
        <v>744477.52258953953</v>
      </c>
      <c r="BV20" s="18">
        <f>IF(BV$1&lt;CapEx!$O$7,0,(VLOOKUP($B20,Inputs!$B$25:$D$44,3,0)*(VLOOKUP(Financials!$B20,Inputs!$B$3:$D$21,3,0)*(1+Inputs!$L$9)^Financials!BV$3)*BV$8))</f>
        <v>770575.59574253962</v>
      </c>
      <c r="BW20" s="18">
        <f>IF(BW$1&lt;CapEx!$O$7,0,(VLOOKUP($B20,Inputs!$B$25:$D$44,3,0)*(VLOOKUP(Financials!$B20,Inputs!$B$3:$D$21,3,0)*(1+Inputs!$L$9)^Financials!BW$3)*BW$8))</f>
        <v>771859.88840211055</v>
      </c>
      <c r="BX20" s="18">
        <f>IF(BX$1&lt;CapEx!$O$7,0,(VLOOKUP($B20,Inputs!$B$25:$D$44,3,0)*(VLOOKUP(Financials!$B20,Inputs!$B$3:$D$21,3,0)*(1+Inputs!$L$9)^Financials!BX$3)*BX$8))</f>
        <v>698325.70978659764</v>
      </c>
      <c r="BY20" s="18">
        <f>IF(BY$1&lt;CapEx!$O$7,0,(VLOOKUP($B20,Inputs!$B$25:$D$44,3,0)*(VLOOKUP(Financials!$B20,Inputs!$B$3:$D$21,3,0)*(1+Inputs!$L$9)^Financials!BY$3)*BY$8))</f>
        <v>774434.89875202987</v>
      </c>
      <c r="BZ20" s="18">
        <f>IF(BZ$1&lt;CapEx!$O$7,0,(VLOOKUP($B20,Inputs!$B$25:$D$44,3,0)*(VLOOKUP(Financials!$B20,Inputs!$B$3:$D$21,3,0)*(1+Inputs!$L$9)^Financials!BZ$3)*BZ$8))</f>
        <v>750702.21637091925</v>
      </c>
      <c r="CA20" s="18">
        <f>IF(CA$1&lt;CapEx!$O$7,0,(VLOOKUP($B20,Inputs!$B$25:$D$44,3,0)*(VLOOKUP(Financials!$B20,Inputs!$B$3:$D$21,3,0)*(1+Inputs!$L$9)^Financials!CA$3)*CA$8))</f>
        <v>777018.49962258886</v>
      </c>
      <c r="CB20" s="18">
        <f>IF(CB$1&lt;CapEx!$O$7,0,(VLOOKUP($B20,Inputs!$B$25:$D$44,3,0)*(VLOOKUP(Financials!$B20,Inputs!$B$3:$D$21,3,0)*(1+Inputs!$L$9)^Financials!CB$3)*CB$8))</f>
        <v>753206.64237609017</v>
      </c>
      <c r="CC20" s="18">
        <f>IF(CC$1&lt;CapEx!$O$7,0,(VLOOKUP($B20,Inputs!$B$25:$D$44,3,0)*(VLOOKUP(Financials!$B20,Inputs!$B$3:$D$21,3,0)*(1+Inputs!$L$9)^Financials!CC$3)*CC$8))</f>
        <v>779610.7196727189</v>
      </c>
      <c r="CD20" s="18">
        <f>IF(CD$1&lt;CapEx!$O$7,0,(VLOOKUP($B20,Inputs!$B$25:$D$44,3,0)*(VLOOKUP(Financials!$B20,Inputs!$B$3:$D$21,3,0)*(1+Inputs!$L$9)^Financials!CD$3)*CD$8))</f>
        <v>780910.07087217341</v>
      </c>
      <c r="CE20" s="18">
        <f>IF(CE$1&lt;CapEx!$O$7,0,(VLOOKUP($B20,Inputs!$B$25:$D$44,3,0)*(VLOOKUP(Financials!$B20,Inputs!$B$3:$D$21,3,0)*(1+Inputs!$L$9)^Financials!CE$3)*CE$8))</f>
        <v>756978.95579705853</v>
      </c>
      <c r="CF20" s="18">
        <f>IF(CF$1&lt;CapEx!$O$7,0,(VLOOKUP($B20,Inputs!$B$25:$D$44,3,0)*(VLOOKUP(Financials!$B20,Inputs!$B$3:$D$21,3,0)*(1+Inputs!$L$9)^Financials!CF$3)*CF$8))</f>
        <v>783515.27363638859</v>
      </c>
      <c r="CG20" s="18">
        <f>IF(CG$1&lt;CapEx!$O$7,0,(VLOOKUP($B20,Inputs!$B$25:$D$44,3,0)*(VLOOKUP(Financials!$B20,Inputs!$B$3:$D$21,3,0)*(1+Inputs!$L$9)^Financials!CG$3)*CG$8))</f>
        <v>759504.32170237042</v>
      </c>
      <c r="CH20" s="18">
        <f>IF(CH$1&lt;CapEx!$O$7,0,(VLOOKUP($B20,Inputs!$B$25:$D$44,3,0)*(VLOOKUP(Financials!$B20,Inputs!$B$3:$D$21,3,0)*(1+Inputs!$L$9)^Financials!CH$3)*CH$8))</f>
        <v>786129.16764649237</v>
      </c>
      <c r="CI20" s="18">
        <f>IF(CI$1&lt;CapEx!$O$7,0,(VLOOKUP($B20,Inputs!$B$25:$D$44,3,0)*(VLOOKUP(Financials!$B20,Inputs!$B$3:$D$21,3,0)*(1+Inputs!$L$9)^Financials!CI$3)*CI$8))</f>
        <v>787439.38292590319</v>
      </c>
      <c r="CJ20" s="18">
        <f>IF(CJ$1&lt;CapEx!$O$7,0,(VLOOKUP($B20,Inputs!$B$25:$D$44,3,0)*(VLOOKUP(Financials!$B20,Inputs!$B$3:$D$21,3,0)*(1+Inputs!$L$9)^Financials!CJ$3)*CJ$8))</f>
        <v>712420.9642944677</v>
      </c>
      <c r="CK20" s="18">
        <f>IF(CK$1&lt;CapEx!$O$7,0,(VLOOKUP($B20,Inputs!$B$25:$D$44,3,0)*(VLOOKUP(Financials!$B20,Inputs!$B$3:$D$21,3,0)*(1+Inputs!$L$9)^Financials!CK$3)*CK$8))</f>
        <v>790066.36820060888</v>
      </c>
      <c r="CL20" s="18">
        <f>IF(CL$1&lt;CapEx!$O$7,0,(VLOOKUP($B20,Inputs!$B$25:$D$44,3,0)*(VLOOKUP(Financials!$B20,Inputs!$B$3:$D$21,3,0)*(1+Inputs!$L$9)^Financials!CL$3)*CL$8))</f>
        <v>765854.65691704198</v>
      </c>
      <c r="CM20" s="18">
        <f>IF(CM$1&lt;CapEx!$O$7,0,(VLOOKUP($B20,Inputs!$B$25:$D$44,3,0)*(VLOOKUP(Financials!$B20,Inputs!$B$3:$D$21,3,0)*(1+Inputs!$L$9)^Financials!CM$3)*CM$8))</f>
        <v>792702.11739007826</v>
      </c>
      <c r="CN20" s="18">
        <f>IF(CN$1&lt;CapEx!$O$7,0,(VLOOKUP($B20,Inputs!$B$25:$D$44,3,0)*(VLOOKUP(Financials!$B20,Inputs!$B$3:$D$21,3,0)*(1+Inputs!$L$9)^Financials!CN$3)*CN$8))</f>
        <v>768409.63314747915</v>
      </c>
      <c r="CO20" s="18">
        <f>IF(CO$1&lt;CapEx!$O$7,0,(VLOOKUP($B20,Inputs!$B$25:$D$44,3,0)*(VLOOKUP(Financials!$B20,Inputs!$B$3:$D$21,3,0)*(1+Inputs!$L$9)^Financials!CO$3)*CO$8))</f>
        <v>795346.65973170474</v>
      </c>
      <c r="CP20" s="18">
        <f>IF(CP$1&lt;CapEx!$O$7,0,(VLOOKUP($B20,Inputs!$B$25:$D$44,3,0)*(VLOOKUP(Financials!$B20,Inputs!$B$3:$D$21,3,0)*(1+Inputs!$L$9)^Financials!CP$3)*CP$8))</f>
        <v>796672.23749792436</v>
      </c>
      <c r="CQ20" s="18">
        <f>IF(CQ$1&lt;CapEx!$O$7,0,(VLOOKUP($B20,Inputs!$B$25:$D$44,3,0)*(VLOOKUP(Financials!$B20,Inputs!$B$3:$D$21,3,0)*(1+Inputs!$L$9)^Financials!CQ$3)*CQ$8))</f>
        <v>772258.08828427829</v>
      </c>
      <c r="CR20" s="18">
        <f>IF(CR$1&lt;CapEx!$O$7,0,(VLOOKUP($B20,Inputs!$B$25:$D$44,3,0)*(VLOOKUP(Financials!$B20,Inputs!$B$3:$D$21,3,0)*(1+Inputs!$L$9)^Financials!CR$3)*CR$8))</f>
        <v>799330.02460135496</v>
      </c>
      <c r="CS20" s="18">
        <f>IF(CS$1&lt;CapEx!$O$7,0,(VLOOKUP($B20,Inputs!$B$25:$D$44,3,0)*(VLOOKUP(Financials!$B20,Inputs!$B$3:$D$21,3,0)*(1+Inputs!$L$9)^Financials!CS$3)*CS$8))</f>
        <v>774834.42707324901</v>
      </c>
      <c r="CT20" s="18">
        <f>IF(CT$1&lt;CapEx!$O$7,0,(VLOOKUP($B20,Inputs!$B$25:$D$44,3,0)*(VLOOKUP(Financials!$B20,Inputs!$B$3:$D$21,3,0)*(1+Inputs!$L$9)^Financials!CT$3)*CT$8))</f>
        <v>801996.67837787245</v>
      </c>
      <c r="CU20" s="18">
        <f>IF(CU$1&lt;CapEx!$O$7,0,(VLOOKUP($B20,Inputs!$B$25:$D$44,3,0)*(VLOOKUP(Financials!$B20,Inputs!$B$3:$D$21,3,0)*(1+Inputs!$L$9)^Financials!CU$3)*CU$8))</f>
        <v>803333.33950850228</v>
      </c>
      <c r="CV20" s="18">
        <f>IF(CV$1&lt;CapEx!$O$7,0,(VLOOKUP($B20,Inputs!$B$25:$D$44,3,0)*(VLOOKUP(Financials!$B20,Inputs!$B$3:$D$21,3,0)*(1+Inputs!$L$9)^Financials!CV$3)*CV$8))</f>
        <v>726800.72243274609</v>
      </c>
      <c r="CW20" s="18">
        <f>IF(CW$1&lt;CapEx!$O$7,0,(VLOOKUP($B20,Inputs!$B$25:$D$44,3,0)*(VLOOKUP(Financials!$B20,Inputs!$B$3:$D$21,3,0)*(1+Inputs!$L$9)^Financials!CW$3)*CW$8))</f>
        <v>806013.34878836269</v>
      </c>
      <c r="CX20" s="18">
        <f>IF(CX$1&lt;CapEx!$O$7,0,(VLOOKUP($B20,Inputs!$B$25:$D$44,3,0)*(VLOOKUP(Financials!$B20,Inputs!$B$3:$D$21,3,0)*(1+Inputs!$L$9)^Financials!CX$3)*CX$8))</f>
        <v>781312.93971259031</v>
      </c>
      <c r="CY20" s="18">
        <f>IF(CY$1&lt;CapEx!$O$7,0,(VLOOKUP($B20,Inputs!$B$25:$D$44,3,0)*(VLOOKUP(Financials!$B20,Inputs!$B$3:$D$21,3,0)*(1+Inputs!$L$9)^Financials!CY$3)*CY$8))</f>
        <v>808702.2988769596</v>
      </c>
      <c r="CZ20" s="18">
        <f>IF(CZ$1&lt;CapEx!$O$7,0,(VLOOKUP($B20,Inputs!$B$25:$D$44,3,0)*(VLOOKUP(Financials!$B20,Inputs!$B$3:$D$21,3,0)*(1+Inputs!$L$9)^Financials!CZ$3)*CZ$8))</f>
        <v>783919.48649202043</v>
      </c>
      <c r="DA20" s="18">
        <f>IF(DA$1&lt;CapEx!$O$7,0,(VLOOKUP($B20,Inputs!$B$25:$D$44,3,0)*(VLOOKUP(Financials!$B20,Inputs!$B$3:$D$21,3,0)*(1+Inputs!$L$9)^Financials!DA$3)*DA$8))</f>
        <v>811400.21960182418</v>
      </c>
      <c r="DB20" s="18">
        <f>IF(DB$1&lt;CapEx!$O$7,0,(VLOOKUP($B20,Inputs!$B$25:$D$44,3,0)*(VLOOKUP(Financials!$B20,Inputs!$B$3:$D$21,3,0)*(1+Inputs!$L$9)^Financials!DB$3)*DB$8))</f>
        <v>812752.55330116081</v>
      </c>
      <c r="DC20" s="18">
        <f>IF(DC$1&lt;CapEx!$O$7,0,(VLOOKUP($B20,Inputs!$B$25:$D$44,3,0)*(VLOOKUP(Financials!$B20,Inputs!$B$3:$D$21,3,0)*(1+Inputs!$L$9)^Financials!DC$3)*DC$8))</f>
        <v>787845.62021612504</v>
      </c>
      <c r="DD20" s="18">
        <f>IF(DD$1&lt;CapEx!$O$7,0,(VLOOKUP($B20,Inputs!$B$25:$D$44,3,0)*(VLOOKUP(Financials!$B20,Inputs!$B$3:$D$21,3,0)*(1+Inputs!$L$9)^Financials!DD$3)*DD$8))</f>
        <v>815463.98612481251</v>
      </c>
      <c r="DE20" s="18">
        <f>IF(DE$1&lt;CapEx!$O$7,0,(VLOOKUP($B20,Inputs!$B$25:$D$44,3,0)*(VLOOKUP(Financials!$B20,Inputs!$B$3:$D$21,3,0)*(1+Inputs!$L$9)^Financials!DE$3)*DE$8))</f>
        <v>790473.96074356837</v>
      </c>
      <c r="DF20" s="18">
        <f>IF(DF$1&lt;CapEx!$O$7,0,(VLOOKUP($B20,Inputs!$B$25:$D$44,3,0)*(VLOOKUP(Financials!$B20,Inputs!$B$3:$D$21,3,0)*(1+Inputs!$L$9)^Financials!DF$3)*DF$8))</f>
        <v>818184.46458963479</v>
      </c>
      <c r="DG20" s="18">
        <f>IF(DG$1&lt;CapEx!$O$7,0,(VLOOKUP($B20,Inputs!$B$25:$D$44,3,0)*(VLOOKUP(Financials!$B20,Inputs!$B$3:$D$21,3,0)*(1+Inputs!$L$9)^Financials!DG$3)*DG$8))</f>
        <v>819548.10536395095</v>
      </c>
      <c r="DH20" s="18">
        <f>IF(DH$1&lt;CapEx!$O$7,0,(VLOOKUP($B20,Inputs!$B$25:$D$44,3,0)*(VLOOKUP(Financials!$B20,Inputs!$B$3:$D$21,3,0)*(1+Inputs!$L$9)^Financials!DH$3)*DH$8))</f>
        <v>741470.72672390135</v>
      </c>
      <c r="DI20" s="18">
        <f>IF(DI$1&lt;CapEx!$O$7,0,(VLOOKUP($B20,Inputs!$B$25:$D$44,3,0)*(VLOOKUP(Financials!$B20,Inputs!$B$3:$D$21,3,0)*(1+Inputs!$L$9)^Financials!DI$3)*DI$8))</f>
        <v>822282.20890434575</v>
      </c>
      <c r="DJ20" s="18">
        <f>IF(DJ$1&lt;CapEx!$O$7,0,(VLOOKUP($B20,Inputs!$B$25:$D$44,3,0)*(VLOOKUP(Financials!$B20,Inputs!$B$3:$D$21,3,0)*(1+Inputs!$L$9)^Financials!DJ$3)*DJ$8))</f>
        <v>797083.23798630945</v>
      </c>
      <c r="DK20" s="18">
        <f>IF(DK$1&lt;CapEx!$O$7,0,(VLOOKUP($B20,Inputs!$B$25:$D$44,3,0)*(VLOOKUP(Financials!$B20,Inputs!$B$3:$D$21,3,0)*(1+Inputs!$L$9)^Financials!DK$3)*DK$8))</f>
        <v>825025.4337179407</v>
      </c>
      <c r="DL20" s="18">
        <f>IF(DL$1&lt;CapEx!$O$7,0,(VLOOKUP($B20,Inputs!$B$25:$D$44,3,0)*(VLOOKUP(Financials!$B20,Inputs!$B$3:$D$21,3,0)*(1+Inputs!$L$9)^Financials!DL$3)*DL$8))</f>
        <v>799742.39623303607</v>
      </c>
      <c r="DM20" s="18">
        <f>IF(DM$1&lt;CapEx!$O$7,0,(VLOOKUP($B20,Inputs!$B$25:$D$44,3,0)*(VLOOKUP(Financials!$B20,Inputs!$B$3:$D$21,3,0)*(1+Inputs!$L$9)^Financials!DM$3)*DM$8))</f>
        <v>827777.81023431628</v>
      </c>
      <c r="DN20" s="18">
        <f>IF(DN$1&lt;CapEx!$O$7,0,(VLOOKUP($B20,Inputs!$B$25:$D$44,3,0)*(VLOOKUP(Financials!$B20,Inputs!$B$3:$D$21,3,0)*(1+Inputs!$L$9)^Financials!DN$3)*DN$8))</f>
        <v>829157.4399180403</v>
      </c>
      <c r="DO20" s="18">
        <f>IF(DO$1&lt;CapEx!$O$7,0,(VLOOKUP($B20,Inputs!$B$25:$D$44,3,0)*(VLOOKUP(Financials!$B20,Inputs!$B$3:$D$21,3,0)*(1+Inputs!$L$9)^Financials!DO$3)*DO$8))</f>
        <v>803747.77643668104</v>
      </c>
      <c r="DP20" s="18">
        <f>IF(DP$1&lt;CapEx!$O$7,0,(VLOOKUP($B20,Inputs!$B$25:$D$44,3,0)*(VLOOKUP(Financials!$B20,Inputs!$B$3:$D$21,3,0)*(1+Inputs!$L$9)^Financials!DP$3)*DP$8))</f>
        <v>831923.60126621125</v>
      </c>
      <c r="DQ20" s="18">
        <f>IF(DQ$1&lt;CapEx!$O$7,0,(VLOOKUP($B20,Inputs!$B$25:$D$44,3,0)*(VLOOKUP(Financials!$B20,Inputs!$B$3:$D$21,3,0)*(1+Inputs!$L$9)^Financials!DQ$3)*DQ$8))</f>
        <v>806429.16832418251</v>
      </c>
      <c r="DR20" s="18">
        <f>IF(DR$1&lt;CapEx!$O$7,0,(VLOOKUP($B20,Inputs!$B$25:$D$44,3,0)*(VLOOKUP(Financials!$B20,Inputs!$B$3:$D$21,3,0)*(1+Inputs!$L$9)^Financials!DR$3)*DR$8))</f>
        <v>834698.99083599146</v>
      </c>
      <c r="DS20" s="18">
        <f>IF(DS$1&lt;CapEx!$O$7,0,(VLOOKUP($B20,Inputs!$B$25:$D$44,3,0)*(VLOOKUP(Financials!$B20,Inputs!$B$3:$D$21,3,0)*(1+Inputs!$L$9)^Financials!DS$3)*DS$8))</f>
        <v>836090.15582071792</v>
      </c>
      <c r="DT20" s="18">
        <f>IF(DT$1&lt;CapEx!$O$7,0,(VLOOKUP($B20,Inputs!$B$25:$D$44,3,0)*(VLOOKUP(Financials!$B20,Inputs!$B$3:$D$21,3,0)*(1+Inputs!$L$9)^Financials!DT$3)*DT$8))</f>
        <v>756436.83559951838</v>
      </c>
      <c r="DU20" s="18">
        <f>IF(DU$1&lt;CapEx!$O$7,0,(VLOOKUP($B20,Inputs!$B$25:$D$44,3,0)*(VLOOKUP(Financials!$B20,Inputs!$B$3:$D$21,3,0)*(1+Inputs!$L$9)^Financials!DU$3)*DU$8))</f>
        <v>838879.44547944225</v>
      </c>
      <c r="DV20" s="18">
        <f>IF(DV$1&lt;CapEx!$O$7,0,(VLOOKUP($B20,Inputs!$B$25:$D$44,3,0)*(VLOOKUP(Financials!$B20,Inputs!$B$3:$D$21,3,0)*(1+Inputs!$L$9)^Financials!DV$3)*DV$8))</f>
        <v>813171.8495695882</v>
      </c>
      <c r="DW20" s="18">
        <f>IF(DW$1&lt;CapEx!$O$7,0,(VLOOKUP($B20,Inputs!$B$25:$D$44,3,0)*(VLOOKUP(Financials!$B20,Inputs!$B$3:$D$21,3,0)*(1+Inputs!$L$9)^Financials!DW$3)*DW$8))</f>
        <v>841678.04051838897</v>
      </c>
      <c r="DX20" s="18">
        <f>IF(DX$1&lt;CapEx!$O$7,0,(VLOOKUP($B20,Inputs!$B$25:$D$44,3,0)*(VLOOKUP(Financials!$B20,Inputs!$B$3:$D$21,3,0)*(1+Inputs!$L$9)^Financials!DX$3)*DX$8))</f>
        <v>815884.68121218041</v>
      </c>
      <c r="DY20" s="18">
        <f>IF(DY$1&lt;CapEx!$O$7,0,(VLOOKUP($B20,Inputs!$B$25:$D$44,3,0)*(VLOOKUP(Financials!$B20,Inputs!$B$3:$D$21,3,0)*(1+Inputs!$L$9)^Financials!DY$3)*DY$8))</f>
        <v>844485.97198134079</v>
      </c>
      <c r="DZ20" s="18">
        <f>IF(DZ$1&lt;CapEx!$O$7,0,(VLOOKUP($B20,Inputs!$B$25:$D$44,3,0)*(VLOOKUP(Financials!$B20,Inputs!$B$3:$D$21,3,0)*(1+Inputs!$L$9)^Financials!DZ$3)*DZ$8))</f>
        <v>845893.44860130991</v>
      </c>
      <c r="EA20" s="18">
        <f>IF(EA$1&lt;CapEx!$O$7,0,(VLOOKUP($B20,Inputs!$B$25:$D$44,3,0)*(VLOOKUP(Financials!$B20,Inputs!$B$3:$D$21,3,0)*(1+Inputs!$L$9)^Financials!EA$3)*EA$8))</f>
        <v>819970.90743449563</v>
      </c>
      <c r="EB20" s="18">
        <f>IF(EB$1&lt;CapEx!$O$7,0,(VLOOKUP($B20,Inputs!$B$25:$D$44,3,0)*(VLOOKUP(Financials!$B20,Inputs!$B$3:$D$21,3,0)*(1+Inputs!$L$9)^Financials!EB$3)*EB$8))</f>
        <v>848715.44313400472</v>
      </c>
      <c r="EC20" s="18">
        <f>IF(EC$1&lt;CapEx!$O$7,0,(VLOOKUP($B20,Inputs!$B$25:$D$44,3,0)*(VLOOKUP(Financials!$B20,Inputs!$B$3:$D$21,3,0)*(1+Inputs!$L$9)^Financials!EC$3)*EC$8))</f>
        <v>822706.42148957576</v>
      </c>
      <c r="ED20" s="18">
        <f>IF(ED$1&lt;CapEx!$O$7,0,(VLOOKUP($B20,Inputs!$B$25:$D$44,3,0)*(VLOOKUP(Financials!$B20,Inputs!$B$3:$D$21,3,0)*(1+Inputs!$L$9)^Financials!ED$3)*ED$8))</f>
        <v>851546.85215401591</v>
      </c>
      <c r="EE20" s="18">
        <f>IF(EE$1&lt;CapEx!$O$7,0,(VLOOKUP($B20,Inputs!$B$25:$D$44,3,0)*(VLOOKUP(Financials!$B20,Inputs!$B$3:$D$21,3,0)*(1+Inputs!$L$9)^Financials!EE$3)*EE$8))</f>
        <v>852966.096907606</v>
      </c>
      <c r="EF20" s="18">
        <f>IF(EF$1&lt;CapEx!$O$7,0,(VLOOKUP($B20,Inputs!$B$25:$D$44,3,0)*(VLOOKUP(Financials!$B20,Inputs!$B$3:$D$21,3,0)*(1+Inputs!$L$9)^Financials!EF$3)*EF$8))</f>
        <v>771705.02573984908</v>
      </c>
      <c r="EG20" s="18">
        <f>IF(EG$1&lt;CapEx!$O$7,0,(VLOOKUP($B20,Inputs!$B$25:$D$44,3,0)*(VLOOKUP(Financials!$B20,Inputs!$B$3:$D$21,3,0)*(1+Inputs!$L$9)^Financials!EG$3)*EG$8))</f>
        <v>855811.68658090057</v>
      </c>
      <c r="EH20" s="18">
        <f>IF(EH$1&lt;CapEx!$O$7,0,(VLOOKUP($B20,Inputs!$B$25:$D$44,3,0)*(VLOOKUP(Financials!$B20,Inputs!$B$3:$D$21,3,0)*(1+Inputs!$L$9)^Financials!EH$3)*EH$8))</f>
        <v>829585.19941148616</v>
      </c>
      <c r="EI20" s="18">
        <f>IF(EI$1&lt;CapEx!$O$7,0,(VLOOKUP($B20,Inputs!$B$25:$D$44,3,0)*(VLOOKUP(Financials!$B20,Inputs!$B$3:$D$21,3,0)*(1+Inputs!$L$9)^Financials!EI$3)*EI$8))</f>
        <v>858666.76945752196</v>
      </c>
      <c r="EJ20" s="18">
        <f>IF(EJ$1&lt;CapEx!$O$7,0,(VLOOKUP($B20,Inputs!$B$25:$D$44,3,0)*(VLOOKUP(Financials!$B20,Inputs!$B$3:$D$21,3,0)*(1+Inputs!$L$9)^Financials!EJ$3)*EJ$8))</f>
        <v>832352.78781285614</v>
      </c>
      <c r="EK20" s="18">
        <f>IF(EK$1&lt;CapEx!$O$7,0,(VLOOKUP($B20,Inputs!$B$25:$D$44,3,0)*(VLOOKUP(Financials!$B20,Inputs!$B$3:$D$21,3,0)*(1+Inputs!$L$9)^Financials!EK$3)*EK$8))</f>
        <v>861531.37720785127</v>
      </c>
      <c r="EL20" s="18">
        <f>IF(EL$1&lt;CapEx!$O$7,0,(VLOOKUP($B20,Inputs!$B$25:$D$44,3,0)*(VLOOKUP(Financials!$B20,Inputs!$B$3:$D$21,3,0)*(1+Inputs!$L$9)^Financials!EL$3)*EL$8))</f>
        <v>862967.26283653104</v>
      </c>
      <c r="EM20" s="18">
        <f>IF(EM$1&lt;CapEx!$O$7,0,(VLOOKUP($B20,Inputs!$B$25:$D$44,3,0)*(VLOOKUP(Financials!$B20,Inputs!$B$3:$D$21,3,0)*(1+Inputs!$L$9)^Financials!EM$3)*EM$8))</f>
        <v>836521.49187863746</v>
      </c>
      <c r="EN20" s="18">
        <f>IF(EN$1&lt;CapEx!$O$7,0,(VLOOKUP($B20,Inputs!$B$25:$D$44,3,0)*(VLOOKUP(Financials!$B20,Inputs!$B$3:$D$21,3,0)*(1+Inputs!$L$9)^Financials!EN$3)*EN$8))</f>
        <v>865846.21751060523</v>
      </c>
      <c r="EO20" s="18">
        <f>IF(EO$1&lt;CapEx!$O$7,0,(VLOOKUP($B20,Inputs!$B$25:$D$44,3,0)*(VLOOKUP(Financials!$B20,Inputs!$B$3:$D$21,3,0)*(1+Inputs!$L$9)^Financials!EO$3)*EO$8))</f>
        <v>839312.22052237729</v>
      </c>
      <c r="EP20" s="18">
        <f>IF(EP$1&lt;CapEx!$O$7,0,(VLOOKUP($B20,Inputs!$B$25:$D$44,3,0)*(VLOOKUP(Financials!$B20,Inputs!$B$3:$D$21,3,0)*(1+Inputs!$L$9)^Financials!EP$3)*EP$8))</f>
        <v>868734.77669735614</v>
      </c>
      <c r="EQ20" s="18">
        <f>IF(EQ$1&lt;CapEx!$O$7,0,(VLOOKUP($B20,Inputs!$B$25:$D$44,3,0)*(VLOOKUP(Financials!$B20,Inputs!$B$3:$D$21,3,0)*(1+Inputs!$L$9)^Financials!EQ$3)*EQ$8))</f>
        <v>870182.66799185192</v>
      </c>
      <c r="ER20" s="18">
        <f>IF(ER$1&lt;CapEx!$O$7,0,(VLOOKUP($B20,Inputs!$B$25:$D$44,3,0)*(VLOOKUP(Financials!$B20,Inputs!$B$3:$D$21,3,0)*(1+Inputs!$L$9)^Financials!ER$3)*ER$8))</f>
        <v>787281.3944605852</v>
      </c>
      <c r="ES20" s="18">
        <f>IF(ES$1&lt;CapEx!$O$7,0,(VLOOKUP($B20,Inputs!$B$25:$D$44,3,0)*(VLOOKUP(Financials!$B20,Inputs!$B$3:$D$21,3,0)*(1+Inputs!$L$9)^Financials!ES$3)*ES$8))</f>
        <v>873085.69405923574</v>
      </c>
      <c r="ET20" s="18">
        <f>IF(ET$1&lt;CapEx!$O$7,0,(VLOOKUP($B20,Inputs!$B$25:$D$44,3,0)*(VLOOKUP(Financials!$B20,Inputs!$B$3:$D$21,3,0)*(1+Inputs!$L$9)^Financials!ET$3)*ET$8))</f>
        <v>846329.84214451758</v>
      </c>
      <c r="EU20" s="18">
        <f>IF(EU$1&lt;CapEx!$O$7,0,(VLOOKUP($B20,Inputs!$B$25:$D$44,3,0)*(VLOOKUP(Financials!$B20,Inputs!$B$3:$D$21,3,0)*(1+Inputs!$L$9)^Financials!EU$3)*EU$8))</f>
        <v>875998.40494413907</v>
      </c>
      <c r="EV20" s="18">
        <f>IF(EV$1&lt;CapEx!$O$7,0,(VLOOKUP($B20,Inputs!$B$25:$D$44,3,0)*(VLOOKUP(Financials!$B20,Inputs!$B$3:$D$21,3,0)*(1+Inputs!$L$9)^Financials!EV$3)*EV$8))</f>
        <v>849153.29253456066</v>
      </c>
      <c r="EW20" s="18">
        <f>IF(EW$1&lt;CapEx!$O$7,0,(VLOOKUP($B20,Inputs!$B$25:$D$44,3,0)*(VLOOKUP(Financials!$B20,Inputs!$B$3:$D$21,3,0)*(1+Inputs!$L$9)^Financials!EW$3)*EW$8))</f>
        <v>878920.83295618871</v>
      </c>
      <c r="EX20" s="18">
        <f>IF(EX$1&lt;CapEx!$O$7,0,(VLOOKUP($B20,Inputs!$B$25:$D$44,3,0)*(VLOOKUP(Financials!$B20,Inputs!$B$3:$D$21,3,0)*(1+Inputs!$L$9)^Financials!EX$3)*EX$8))</f>
        <v>880385.70101111603</v>
      </c>
      <c r="EY20" s="18">
        <f>IF(EY$1&lt;CapEx!$O$7,0,(VLOOKUP($B20,Inputs!$B$25:$D$44,3,0)*(VLOOKUP(Financials!$B20,Inputs!$B$3:$D$21,3,0)*(1+Inputs!$L$9)^Financials!EY$3)*EY$8))</f>
        <v>853406.13920593658</v>
      </c>
      <c r="EZ20" s="18">
        <f>IF(EZ$1&lt;CapEx!$O$7,0,(VLOOKUP($B20,Inputs!$B$25:$D$44,3,0)*(VLOOKUP(Financials!$B20,Inputs!$B$3:$D$21,3,0)*(1+Inputs!$L$9)^Financials!EZ$3)*EZ$8))</f>
        <v>883322.76553032268</v>
      </c>
      <c r="FA20" s="18">
        <f>IF(FA$1&lt;CapEx!$O$7,0,(VLOOKUP($B20,Inputs!$B$25:$D$44,3,0)*(VLOOKUP(Financials!$B20,Inputs!$B$3:$D$21,3,0)*(1+Inputs!$L$9)^Financials!FA$3)*FA$8))</f>
        <v>856253.19690923218</v>
      </c>
      <c r="FB20" s="18">
        <f>IF(FB$1&lt;CapEx!$O$7,0,(VLOOKUP($B20,Inputs!$B$25:$D$44,3,0)*(VLOOKUP(Financials!$B20,Inputs!$B$3:$D$21,3,0)*(1+Inputs!$L$9)^Financials!FB$3)*FB$8))</f>
        <v>886269.62842310569</v>
      </c>
      <c r="FC20" s="18">
        <f>IF(FC$1&lt;CapEx!$O$7,0,(VLOOKUP($B20,Inputs!$B$25:$D$44,3,0)*(VLOOKUP(Financials!$B20,Inputs!$B$3:$D$21,3,0)*(1+Inputs!$L$9)^Financials!FC$3)*FC$8))</f>
        <v>887746.74447047769</v>
      </c>
      <c r="FD20" s="18">
        <f>IF(FD$1&lt;CapEx!$O$7,0,(VLOOKUP($B20,Inputs!$B$25:$D$44,3,0)*(VLOOKUP(Financials!$B20,Inputs!$B$3:$D$21,3,0)*(1+Inputs!$L$9)^Financials!FD$3)*FD$8))</f>
        <v>803172.16214780672</v>
      </c>
      <c r="FE20" s="18">
        <f>IF(FE$1&lt;CapEx!$O$7,0,(VLOOKUP($B20,Inputs!$B$25:$D$44,3,0)*(VLOOKUP(Financials!$B20,Inputs!$B$3:$D$21,3,0)*(1+Inputs!$L$9)^Financials!FE$3)*FE$8))</f>
        <v>890708.36624855851</v>
      </c>
      <c r="FF20" s="18">
        <f>IF(FF$1&lt;CapEx!$O$7,0,(VLOOKUP($B20,Inputs!$B$25:$D$44,3,0)*(VLOOKUP(Financials!$B20,Inputs!$B$3:$D$21,3,0)*(1+Inputs!$L$9)^Financials!FF$3)*FF$8))</f>
        <v>863412.46470223193</v>
      </c>
      <c r="FG20" s="18">
        <f>IF(FG$1&lt;CapEx!$O$7,0,(VLOOKUP($B20,Inputs!$B$25:$D$44,3,0)*(VLOOKUP(Financials!$B20,Inputs!$B$3:$D$21,3,0)*(1+Inputs!$L$9)^Financials!FG$3)*FG$8))</f>
        <v>893679.86832596024</v>
      </c>
      <c r="FH20" s="18">
        <f>IF(FH$1&lt;CapEx!$O$7,0,(VLOOKUP($B20,Inputs!$B$25:$D$44,3,0)*(VLOOKUP(Financials!$B20,Inputs!$B$3:$D$21,3,0)*(1+Inputs!$L$9)^Financials!FH$3)*FH$8))</f>
        <v>866292.9046191969</v>
      </c>
      <c r="FI20" s="18">
        <f>IF(FI$1&lt;CapEx!$O$7,0,(VLOOKUP($B20,Inputs!$B$25:$D$44,3,0)*(VLOOKUP(Financials!$B20,Inputs!$B$3:$D$21,3,0)*(1+Inputs!$L$9)^Financials!FI$3)*FI$8))</f>
        <v>896661.2836644589</v>
      </c>
      <c r="FJ20" s="18">
        <f>IF(FJ$1&lt;CapEx!$O$7,0,(VLOOKUP($B20,Inputs!$B$25:$D$44,3,0)*(VLOOKUP(Financials!$B20,Inputs!$B$3:$D$21,3,0)*(1+Inputs!$L$9)^Financials!FJ$3)*FJ$8))</f>
        <v>898155.71913723275</v>
      </c>
      <c r="FK20" s="18">
        <f>IF(FK$1&lt;CapEx!$O$7,0,(VLOOKUP($B20,Inputs!$B$25:$D$44,3,0)*(VLOOKUP(Financials!$B20,Inputs!$B$3:$D$21,3,0)*(1+Inputs!$L$9)^Financials!FK$3)*FK$8))</f>
        <v>870631.59226044687</v>
      </c>
      <c r="FL20" s="18">
        <f>IF(FL$1&lt;CapEx!$O$7,0,(VLOOKUP($B20,Inputs!$B$25:$D$44,3,0)*(VLOOKUP(Financials!$B20,Inputs!$B$3:$D$21,3,0)*(1+Inputs!$L$9)^Financials!FL$3)*FL$8))</f>
        <v>901152.0664113547</v>
      </c>
      <c r="FM20" s="18">
        <f>IF(FM$1&lt;CapEx!$O$7,0,(VLOOKUP($B20,Inputs!$B$25:$D$44,3,0)*(VLOOKUP(Financials!$B20,Inputs!$B$3:$D$21,3,0)*(1+Inputs!$L$9)^Financials!FM$3)*FM$8))</f>
        <v>873536.11598907132</v>
      </c>
      <c r="FN20" s="18">
        <f>IF(FN$1&lt;CapEx!$O$7,0,(VLOOKUP($B20,Inputs!$B$25:$D$44,3,0)*(VLOOKUP(Financials!$B20,Inputs!$B$3:$D$21,3,0)*(1+Inputs!$L$9)^Financials!FN$3)*FN$8))</f>
        <v>904158.40983291063</v>
      </c>
      <c r="FO20" s="18">
        <f>IF(FO$1&lt;CapEx!$O$7,0,(VLOOKUP($B20,Inputs!$B$25:$D$44,3,0)*(VLOOKUP(Financials!$B20,Inputs!$B$3:$D$21,3,0)*(1+Inputs!$L$9)^Financials!FO$3)*FO$8))</f>
        <v>905665.34051596548</v>
      </c>
      <c r="FP20" s="18">
        <f>IF(FP$1&lt;CapEx!$O$7,0,(VLOOKUP($B20,Inputs!$B$25:$D$44,3,0)*(VLOOKUP(Financials!$B20,Inputs!$B$3:$D$21,3,0)*(1+Inputs!$L$9)^Financials!FP$3)*FP$8))</f>
        <v>819383.67474207887</v>
      </c>
      <c r="FQ20" s="18">
        <f>IF(FQ$1&lt;CapEx!$O$7,0,(VLOOKUP($B20,Inputs!$B$25:$D$44,3,0)*(VLOOKUP(Financials!$B20,Inputs!$B$3:$D$21,3,0)*(1+Inputs!$L$9)^Financials!FQ$3)*FQ$8))</f>
        <v>908686.74072140909</v>
      </c>
      <c r="FR20" s="18">
        <f>IF(FR$1&lt;CapEx!$O$7,0,(VLOOKUP($B20,Inputs!$B$25:$D$44,3,0)*(VLOOKUP(Financials!$B20,Inputs!$B$3:$D$21,3,0)*(1+Inputs!$L$9)^Financials!FR$3)*FR$8))</f>
        <v>880839.88898962399</v>
      </c>
      <c r="FS20" s="18">
        <f>IF(FS$1&lt;CapEx!$O$7,0,(VLOOKUP($B20,Inputs!$B$25:$D$44,3,0)*(VLOOKUP(Financials!$B20,Inputs!$B$3:$D$21,3,0)*(1+Inputs!$L$9)^Financials!FS$3)*FS$8))</f>
        <v>911718.22065364942</v>
      </c>
      <c r="FT20" s="18">
        <f>IF(FT$1&lt;CapEx!$O$7,0,(VLOOKUP($B20,Inputs!$B$25:$D$44,3,0)*(VLOOKUP(Financials!$B20,Inputs!$B$3:$D$21,3,0)*(1+Inputs!$L$9)^Financials!FT$3)*FT$8))</f>
        <v>883778.4687303924</v>
      </c>
      <c r="FU20" s="18">
        <f>IF(FU$1&lt;CapEx!$O$7,0,(VLOOKUP($B20,Inputs!$B$25:$D$44,3,0)*(VLOOKUP(Financials!$B20,Inputs!$B$3:$D$21,3,0)*(1+Inputs!$L$9)^Financials!FU$3)*FU$8))</f>
        <v>914759.81393977453</v>
      </c>
      <c r="FV20" s="18">
        <f>IF(FV$1&lt;CapEx!$O$7,0,(VLOOKUP($B20,Inputs!$B$25:$D$44,3,0)*(VLOOKUP(Financials!$B20,Inputs!$B$3:$D$21,3,0)*(1+Inputs!$L$9)^Financials!FV$3)*FV$8))</f>
        <v>916284.41362967435</v>
      </c>
      <c r="FW20" s="18">
        <f>IF(FW$1&lt;CapEx!$O$7,0,(VLOOKUP($B20,Inputs!$B$25:$D$44,3,0)*(VLOOKUP(Financials!$B20,Inputs!$B$3:$D$21,3,0)*(1+Inputs!$L$9)^Financials!FW$3)*FW$8))</f>
        <v>888204.72998618439</v>
      </c>
      <c r="FX20" s="18">
        <f>IF(FX$1&lt;CapEx!$O$7,0,(VLOOKUP($B20,Inputs!$B$25:$D$44,3,0)*(VLOOKUP(Financials!$B20,Inputs!$B$3:$D$21,3,0)*(1+Inputs!$L$9)^Financials!FX$3)*FX$8))</f>
        <v>919341.24024292221</v>
      </c>
      <c r="FY20" s="18">
        <f>IF(FY$1&lt;CapEx!$O$7,0,(VLOOKUP($B20,Inputs!$B$25:$D$44,3,0)*(VLOOKUP(Financials!$B20,Inputs!$B$3:$D$21,3,0)*(1+Inputs!$L$9)^Financials!FY$3)*FY$8))</f>
        <v>891167.87965483288</v>
      </c>
      <c r="FZ20" s="18">
        <f>IF(FZ$1&lt;CapEx!$O$7,0,(VLOOKUP($B20,Inputs!$B$25:$D$44,3,0)*(VLOOKUP(Financials!$B20,Inputs!$B$3:$D$21,3,0)*(1+Inputs!$L$9)^Financials!FZ$3)*FZ$8))</f>
        <v>922408.26476939942</v>
      </c>
      <c r="GA20" s="18">
        <f>IF(GA$1&lt;CapEx!$O$7,0,(VLOOKUP($B20,Inputs!$B$25:$D$44,3,0)*(VLOOKUP(Financials!$B20,Inputs!$B$3:$D$21,3,0)*(1+Inputs!$L$9)^Financials!GA$3)*GA$8))</f>
        <v>923945.61187734851</v>
      </c>
      <c r="GB20" s="18">
        <f>IF(GB$1&lt;CapEx!$O$7,0,(VLOOKUP($B20,Inputs!$B$25:$D$44,3,0)*(VLOOKUP(Financials!$B20,Inputs!$B$3:$D$21,3,0)*(1+Inputs!$L$9)^Financials!GB$3)*GB$8))</f>
        <v>835922.40627268923</v>
      </c>
      <c r="GC20" s="18">
        <f>IF(GC$1&lt;CapEx!$O$7,0,(VLOOKUP($B20,Inputs!$B$25:$D$44,3,0)*(VLOOKUP(Financials!$B20,Inputs!$B$3:$D$21,3,0)*(1+Inputs!$L$9)^Financials!GC$3)*GC$8))</f>
        <v>927027.99709919502</v>
      </c>
      <c r="GD20" s="18">
        <f>IF(GD$1&lt;CapEx!$O$7,0,(VLOOKUP($B20,Inputs!$B$25:$D$44,3,0)*(VLOOKUP(Financials!$B20,Inputs!$B$3:$D$21,3,0)*(1+Inputs!$L$9)^Financials!GD$3)*GD$8))</f>
        <v>898619.07460744574</v>
      </c>
      <c r="GE20" s="18">
        <f>IF(GE$1&lt;CapEx!$O$7,0,(VLOOKUP($B20,Inputs!$B$25:$D$44,3,0)*(VLOOKUP(Financials!$B20,Inputs!$B$3:$D$21,3,0)*(1+Inputs!$L$9)^Financials!GE$3)*GE$8))</f>
        <v>930120.66550062876</v>
      </c>
      <c r="GF20" s="18">
        <f>IF(GF$1&lt;CapEx!$O$7,0,(VLOOKUP($B20,Inputs!$B$25:$D$44,3,0)*(VLOOKUP(Financials!$B20,Inputs!$B$3:$D$21,3,0)*(1+Inputs!$L$9)^Financials!GF$3)*GF$8))</f>
        <v>901616.96768689994</v>
      </c>
      <c r="GG20" s="18">
        <f>IF(GG$1&lt;CapEx!$O$7,0,(VLOOKUP($B20,Inputs!$B$25:$D$44,3,0)*(VLOOKUP(Financials!$B20,Inputs!$B$3:$D$21,3,0)*(1+Inputs!$L$9)^Financials!GG$3)*GG$8))</f>
        <v>933223.65138747962</v>
      </c>
      <c r="GH20" s="18">
        <f>IF(GH$1&lt;CapEx!$O$7,0,(VLOOKUP($B20,Inputs!$B$25:$D$44,3,0)*(VLOOKUP(Financials!$B20,Inputs!$B$3:$D$21,3,0)*(1+Inputs!$L$9)^Financials!GH$3)*GH$8))</f>
        <v>934779.02413979219</v>
      </c>
      <c r="GI20" s="18">
        <f>IF(GI$1&lt;CapEx!$O$7,0,(VLOOKUP($B20,Inputs!$B$25:$D$44,3,0)*(VLOOKUP(Financials!$B20,Inputs!$B$3:$D$21,3,0)*(1+Inputs!$L$9)^Financials!GI$3)*GI$8))</f>
        <v>906132.57017421804</v>
      </c>
      <c r="GJ20" s="18">
        <f>IF(GJ$1&lt;CapEx!$O$7,0,(VLOOKUP($B20,Inputs!$B$25:$D$44,3,0)*(VLOOKUP(Financials!$B20,Inputs!$B$3:$D$21,3,0)*(1+Inputs!$L$9)^Financials!GJ$3)*GJ$8))</f>
        <v>937897.55082865863</v>
      </c>
      <c r="GK20" s="18">
        <f>IF(GK$1&lt;CapEx!$O$7,0,(VLOOKUP($B20,Inputs!$B$25:$D$44,3,0)*(VLOOKUP(Financials!$B20,Inputs!$B$3:$D$21,3,0)*(1+Inputs!$L$9)^Financials!GK$3)*GK$8))</f>
        <v>909155.52910971595</v>
      </c>
      <c r="GL20" s="18">
        <f>IF(GL$1&lt;CapEx!$O$7,0,(VLOOKUP($B20,Inputs!$B$25:$D$44,3,0)*(VLOOKUP(Financials!$B20,Inputs!$B$3:$D$21,3,0)*(1+Inputs!$L$9)^Financials!GL$3)*GL$8))</f>
        <v>941026.48126906226</v>
      </c>
      <c r="GM20" s="18">
        <f>IF(GM$1&lt;CapEx!$O$7,0,(VLOOKUP($B20,Inputs!$B$25:$D$44,3,0)*(VLOOKUP(Financials!$B20,Inputs!$B$3:$D$21,3,0)*(1+Inputs!$L$9)^Financials!GM$3)*GM$8))</f>
        <v>942594.85873784416</v>
      </c>
      <c r="GN20" s="18">
        <f>IF(GN$1&lt;CapEx!$O$7,0,(VLOOKUP($B20,Inputs!$B$25:$D$44,3,0)*(VLOOKUP(Financials!$B20,Inputs!$B$3:$D$21,3,0)*(1+Inputs!$L$9)^Financials!GN$3)*GN$8))</f>
        <v>852794.96144303447</v>
      </c>
      <c r="GO20" s="18">
        <f>IF(GO$1&lt;CapEx!$O$7,0,(VLOOKUP($B20,Inputs!$B$25:$D$44,3,0)*(VLOOKUP(Financials!$B20,Inputs!$B$3:$D$21,3,0)*(1+Inputs!$L$9)^Financials!GO$3)*GO$8))</f>
        <v>945739.45991935581</v>
      </c>
      <c r="GP20" s="18">
        <f>IF(GP$1&lt;CapEx!$O$7,0,(VLOOKUP($B20,Inputs!$B$25:$D$44,3,0)*(VLOOKUP(Financials!$B20,Inputs!$B$3:$D$21,3,0)*(1+Inputs!$L$9)^Financials!GP$3)*GP$8))</f>
        <v>916757.12163150462</v>
      </c>
      <c r="GQ20" s="18">
        <f>IF(GQ$1&lt;CapEx!$O$7,0,(VLOOKUP($B20,Inputs!$B$25:$D$44,3,0)*(VLOOKUP(Financials!$B20,Inputs!$B$3:$D$21,3,0)*(1+Inputs!$L$9)^Financials!GQ$3)*GQ$8))</f>
        <v>948894.55183980917</v>
      </c>
      <c r="GR20" s="18">
        <f>IF(GR$1&lt;CapEx!$O$7,0,(VLOOKUP($B20,Inputs!$B$25:$D$44,3,0)*(VLOOKUP(Financials!$B20,Inputs!$B$3:$D$21,3,0)*(1+Inputs!$L$9)^Financials!GR$3)*GR$8))</f>
        <v>919815.52525116981</v>
      </c>
      <c r="GS20" s="18">
        <f>IF(GS$1&lt;CapEx!$O$7,0,(VLOOKUP($B20,Inputs!$B$25:$D$44,3,0)*(VLOOKUP(Financials!$B20,Inputs!$B$3:$D$21,3,0)*(1+Inputs!$L$9)^Financials!GS$3)*GS$8))</f>
        <v>952060.16949747468</v>
      </c>
      <c r="GT20" s="18">
        <f>IF(GT$1&lt;CapEx!$O$7,0,(VLOOKUP($B20,Inputs!$B$25:$D$44,3,0)*(VLOOKUP(Financials!$B20,Inputs!$B$3:$D$21,3,0)*(1+Inputs!$L$9)^Financials!GT$3)*GT$8))</f>
        <v>953646.9364466375</v>
      </c>
      <c r="GU20" s="18">
        <f>IF(GU$1&lt;CapEx!$O$7,0,(VLOOKUP($B20,Inputs!$B$25:$D$44,3,0)*(VLOOKUP(Financials!$B20,Inputs!$B$3:$D$21,3,0)*(1+Inputs!$L$9)^Financials!GU$3)*GU$8))</f>
        <v>924422.27226520807</v>
      </c>
      <c r="GV20" s="18">
        <f>IF(GV$1&lt;CapEx!$O$7,0,(VLOOKUP($B20,Inputs!$B$25:$D$44,3,0)*(VLOOKUP(Financials!$B20,Inputs!$B$3:$D$21,3,0)*(1+Inputs!$L$9)^Financials!GV$3)*GV$8))</f>
        <v>956828.40858739405</v>
      </c>
      <c r="GW20" s="18">
        <f>IF(GW$1&lt;CapEx!$O$7,0,(VLOOKUP($B20,Inputs!$B$25:$D$44,3,0)*(VLOOKUP(Financials!$B20,Inputs!$B$3:$D$21,3,0)*(1+Inputs!$L$9)^Financials!GW$3)*GW$8))</f>
        <v>927506.2476790708</v>
      </c>
      <c r="GX20" s="18">
        <f>IF(GX$1&lt;CapEx!$O$7,0,(VLOOKUP($B20,Inputs!$B$25:$D$44,3,0)*(VLOOKUP(Financials!$B20,Inputs!$B$3:$D$21,3,0)*(1+Inputs!$L$9)^Financials!GX$3)*GX$8))</f>
        <v>960020.49447270948</v>
      </c>
      <c r="GY20" s="18">
        <f>IF(GY$1&lt;CapEx!$O$7,0,(VLOOKUP($B20,Inputs!$B$25:$D$44,3,0)*(VLOOKUP(Financials!$B20,Inputs!$B$3:$D$21,3,0)*(1+Inputs!$L$9)^Financials!GY$3)*GY$8))</f>
        <v>961620.52863016399</v>
      </c>
      <c r="GZ20" s="18">
        <f>IF(GZ$1&lt;CapEx!$O$7,0,(VLOOKUP($B20,Inputs!$B$25:$D$44,3,0)*(VLOOKUP(Financials!$B20,Inputs!$B$3:$D$21,3,0)*(1+Inputs!$L$9)^Financials!GZ$3)*GZ$8))</f>
        <v>870008.07826819352</v>
      </c>
      <c r="HA20" s="18">
        <f>IF(HA$1&lt;CapEx!$O$7,0,(VLOOKUP($B20,Inputs!$B$25:$D$44,3,0)*(VLOOKUP(Financials!$B20,Inputs!$B$3:$D$21,3,0)*(1+Inputs!$L$9)^Financials!HA$3)*HA$8))</f>
        <v>964828.60156039987</v>
      </c>
      <c r="HB20" s="18">
        <f>IF(HB$1&lt;CapEx!$O$7,0,(VLOOKUP($B20,Inputs!$B$25:$D$44,3,0)*(VLOOKUP(Financials!$B20,Inputs!$B$3:$D$21,3,0)*(1+Inputs!$L$9)^Financials!HB$3)*HB$8))</f>
        <v>935261.27344806504</v>
      </c>
      <c r="HC20" s="18">
        <f>IF(HC$1&lt;CapEx!$O$7,0,(VLOOKUP($B20,Inputs!$B$25:$D$44,3,0)*(VLOOKUP(Financials!$B20,Inputs!$B$3:$D$21,3,0)*(1+Inputs!$L$9)^Financials!HC$3)*HC$8))</f>
        <v>968047.37697838352</v>
      </c>
      <c r="HD20" s="18">
        <f>IF(HD$1&lt;CapEx!$O$7,0,(VLOOKUP($B20,Inputs!$B$25:$D$44,3,0)*(VLOOKUP(Financials!$B20,Inputs!$B$3:$D$21,3,0)*(1+Inputs!$L$9)^Financials!HD$3)*HD$8))</f>
        <v>938381.40897420712</v>
      </c>
      <c r="HE20" s="18">
        <f>IF(HE$1&lt;CapEx!$O$7,0,(VLOOKUP($B20,Inputs!$B$25:$D$44,3,0)*(VLOOKUP(Financials!$B20,Inputs!$B$3:$D$21,3,0)*(1+Inputs!$L$9)^Financials!HE$3)*HE$8))</f>
        <v>971276.89058880322</v>
      </c>
      <c r="HF20" s="18">
        <f>IF(HF$1&lt;CapEx!$O$7,0,(VLOOKUP($B20,Inputs!$B$25:$D$44,3,0)*(VLOOKUP(Financials!$B20,Inputs!$B$3:$D$21,3,0)*(1+Inputs!$L$9)^Financials!HF$3)*HF$8))</f>
        <v>972895.68540645111</v>
      </c>
      <c r="HG20" s="18">
        <f>IF(HG$1&lt;CapEx!$O$7,0,(VLOOKUP($B20,Inputs!$B$25:$D$44,3,0)*(VLOOKUP(Financials!$B20,Inputs!$B$3:$D$21,3,0)*(1+Inputs!$L$9)^Financials!HG$3)*HG$8))</f>
        <v>943081.14020851126</v>
      </c>
      <c r="HH20" s="18">
        <f>IF(HH$1&lt;CapEx!$O$7,0,(VLOOKUP($B20,Inputs!$B$25:$D$44,3,0)*(VLOOKUP(Financials!$B20,Inputs!$B$3:$D$21,3,0)*(1+Inputs!$L$9)^Financials!HH$3)*HH$8))</f>
        <v>976141.37351248751</v>
      </c>
      <c r="HI20" s="18">
        <f>IF(HI$1&lt;CapEx!$O$7,0,(VLOOKUP($B20,Inputs!$B$25:$D$44,3,0)*(VLOOKUP(Financials!$B20,Inputs!$B$3:$D$21,3,0)*(1+Inputs!$L$9)^Financials!HI$3)*HI$8))</f>
        <v>946227.36367904057</v>
      </c>
      <c r="HJ20" s="18">
        <f>IF(HJ$1&lt;CapEx!$O$7,0,(VLOOKUP($B20,Inputs!$B$25:$D$44,3,0)*(VLOOKUP(Financials!$B20,Inputs!$B$3:$D$21,3,0)*(1+Inputs!$L$9)^Financials!HJ$3)*HJ$8))</f>
        <v>979397.88959467818</v>
      </c>
      <c r="HK20" s="18">
        <f>IF(HK$1&lt;CapEx!$O$7,0,(VLOOKUP($B20,Inputs!$B$25:$D$44,3,0)*(VLOOKUP(Financials!$B20,Inputs!$B$3:$D$21,3,0)*(1+Inputs!$L$9)^Financials!HK$3)*HK$8))</f>
        <v>981030.21941066917</v>
      </c>
      <c r="HL20" s="18">
        <f>IF(HL$1&lt;CapEx!$O$7,0,(VLOOKUP($B20,Inputs!$B$25:$D$44,3,0)*(VLOOKUP(Financials!$B20,Inputs!$B$3:$D$21,3,0)*(1+Inputs!$L$9)^Financials!HL$3)*HL$8))</f>
        <v>887568.6307657389</v>
      </c>
      <c r="HM20" s="18">
        <f>IF(HM$1&lt;CapEx!$O$7,0,(VLOOKUP($B20,Inputs!$B$25:$D$44,3,0)*(VLOOKUP(Financials!$B20,Inputs!$B$3:$D$21,3,0)*(1+Inputs!$L$9)^Financials!HM$3)*HM$8))</f>
        <v>984303.04522598127</v>
      </c>
      <c r="HN20" s="18">
        <f>IF(HN$1&lt;CapEx!$O$7,0,(VLOOKUP($B20,Inputs!$B$25:$D$44,3,0)*(VLOOKUP(Financials!$B20,Inputs!$B$3:$D$21,3,0)*(1+Inputs!$L$9)^Financials!HN$3)*HN$8))</f>
        <v>954138.91964647523</v>
      </c>
      <c r="HO20" s="18">
        <f>IF(HO$1&lt;CapEx!$O$7,0,(VLOOKUP($B20,Inputs!$B$25:$D$44,3,0)*(VLOOKUP(Financials!$B20,Inputs!$B$3:$D$21,3,0)*(1+Inputs!$L$9)^Financials!HO$3)*HO$8))</f>
        <v>987586.78955186019</v>
      </c>
      <c r="HP20" s="18">
        <f>IF(HP$1&lt;CapEx!$O$7,0,(VLOOKUP($B20,Inputs!$B$25:$D$44,3,0)*(VLOOKUP(Financials!$B20,Inputs!$B$3:$D$21,3,0)*(1+Inputs!$L$9)^Financials!HP$3)*HP$8))</f>
        <v>957322.03309785167</v>
      </c>
      <c r="HQ20" s="18">
        <f>IF(HQ$1&lt;CapEx!$O$7,0,(VLOOKUP($B20,Inputs!$B$25:$D$44,3,0)*(VLOOKUP(Financials!$B20,Inputs!$B$3:$D$21,3,0)*(1+Inputs!$L$9)^Financials!HQ$3)*HQ$8))</f>
        <v>990881.4888136707</v>
      </c>
      <c r="HR20" s="18">
        <f>IF(HR$1&lt;CapEx!$O$7,0,(VLOOKUP($B20,Inputs!$B$25:$D$44,3,0)*(VLOOKUP(Financials!$B20,Inputs!$B$3:$D$21,3,0)*(1+Inputs!$L$9)^Financials!HR$3)*HR$8))</f>
        <v>992532.95796169376</v>
      </c>
      <c r="HS20" s="18">
        <f>IF(HS$1&lt;CapEx!$O$7,0,(VLOOKUP($B20,Inputs!$B$25:$D$44,3,0)*(VLOOKUP(Financials!$B20,Inputs!$B$3:$D$21,3,0)*(1+Inputs!$L$9)^Financials!HS$3)*HS$8))</f>
        <v>962116.6253789966</v>
      </c>
      <c r="HT20" s="18">
        <f>IF(HT$1&lt;CapEx!$O$7,0,(VLOOKUP($B20,Inputs!$B$25:$D$44,3,0)*(VLOOKUP(Financials!$B20,Inputs!$B$3:$D$21,3,0)*(1+Inputs!$L$9)^Financials!HT$3)*HT$8))</f>
        <v>995844.15819089347</v>
      </c>
      <c r="HU20" s="18">
        <f>IF(HU$1&lt;CapEx!$O$7,0,(VLOOKUP($B20,Inputs!$B$25:$D$44,3,0)*(VLOOKUP(Financials!$B20,Inputs!$B$3:$D$21,3,0)*(1+Inputs!$L$9)^Financials!HU$3)*HU$8))</f>
        <v>965326.35334310844</v>
      </c>
      <c r="HV20" s="18">
        <f>IF(HV$1&lt;CapEx!$O$7,0,(VLOOKUP($B20,Inputs!$B$25:$D$44,3,0)*(VLOOKUP(Financials!$B20,Inputs!$B$3:$D$21,3,0)*(1+Inputs!$L$9)^Financials!HV$3)*HV$8))</f>
        <v>999166.40495196986</v>
      </c>
      <c r="HW20" s="18">
        <f>IF(HW$1&lt;CapEx!$O$7,0,(VLOOKUP($B20,Inputs!$B$25:$D$44,3,0)*(VLOOKUP(Financials!$B20,Inputs!$B$3:$D$21,3,0)*(1+Inputs!$L$9)^Financials!HW$3)*HW$8))</f>
        <v>1000831.6822935565</v>
      </c>
      <c r="HX20" s="18">
        <f>IF(HX$1&lt;CapEx!$O$7,0,(VLOOKUP($B20,Inputs!$B$25:$D$44,3,0)*(VLOOKUP(Financials!$B20,Inputs!$B$3:$D$21,3,0)*(1+Inputs!$L$9)^Financials!HX$3)*HX$8))</f>
        <v>905483.63170085847</v>
      </c>
      <c r="HY20" s="18">
        <f>IF(HY$1&lt;CapEx!$O$7,0,(VLOOKUP($B20,Inputs!$B$25:$D$44,3,0)*(VLOOKUP(Financials!$B20,Inputs!$B$3:$D$21,3,0)*(1+Inputs!$L$9)^Financials!HY$3)*HY$8))</f>
        <v>1004170.567989208</v>
      </c>
      <c r="HZ20" s="18">
        <f>IF(HZ$1&lt;CapEx!$O$7,0,(VLOOKUP($B20,Inputs!$B$25:$D$44,3,0)*(VLOOKUP(Financials!$B20,Inputs!$B$3:$D$21,3,0)*(1+Inputs!$L$9)^Financials!HZ$3)*HZ$8))</f>
        <v>973397.59897018422</v>
      </c>
      <c r="IA20" s="18">
        <f>IF(IA$1&lt;CapEx!$O$7,0,(VLOOKUP($B20,Inputs!$B$25:$D$44,3,0)*(VLOOKUP(Financials!$B20,Inputs!$B$3:$D$21,3,0)*(1+Inputs!$L$9)^Financials!IA$3)*IA$8))</f>
        <v>1007520.5925785279</v>
      </c>
      <c r="IB20" s="18">
        <f>IF(IB$1&lt;CapEx!$O$7,0,(VLOOKUP($B20,Inputs!$B$25:$D$44,3,0)*(VLOOKUP(Financials!$B20,Inputs!$B$3:$D$21,3,0)*(1+Inputs!$L$9)^Financials!IB$3)*IB$8))</f>
        <v>976644.96151563735</v>
      </c>
      <c r="IC20" s="18">
        <f>IF(IC$1&lt;CapEx!$O$7,0,(VLOOKUP($B20,Inputs!$B$25:$D$44,3,0)*(VLOOKUP(Financials!$B20,Inputs!$B$3:$D$21,3,0)*(1+Inputs!$L$9)^Financials!IC$3)*IC$8))</f>
        <v>1010881.7932221022</v>
      </c>
      <c r="ID20" s="18">
        <f>IF(ID$1&lt;CapEx!$O$7,0,(VLOOKUP($B20,Inputs!$B$25:$D$44,3,0)*(VLOOKUP(Financials!$B20,Inputs!$B$3:$D$21,3,0)*(1+Inputs!$L$9)^Financials!ID$3)*ID$8))</f>
        <v>1012566.5962108059</v>
      </c>
      <c r="IE20" s="18">
        <f>IF(IE$1&lt;CapEx!$O$7,0,(VLOOKUP($B20,Inputs!$B$25:$D$44,3,0)*(VLOOKUP(Financials!$B20,Inputs!$B$3:$D$21,3,0)*(1+Inputs!$L$9)^Financials!IE$3)*IE$8))</f>
        <v>981536.32955273299</v>
      </c>
      <c r="IF20" s="18">
        <f>IF(IF$1&lt;CapEx!$O$7,0,(VLOOKUP($B20,Inputs!$B$25:$D$44,3,0)*(VLOOKUP(Financials!$B20,Inputs!$B$3:$D$21,3,0)*(1+Inputs!$L$9)^Financials!IF$3)*IF$8))</f>
        <v>1015944.6308831647</v>
      </c>
      <c r="IG20" s="18">
        <f>IF(IG$1&lt;CapEx!$O$7,0,(VLOOKUP($B20,Inputs!$B$25:$D$44,3,0)*(VLOOKUP(Financials!$B20,Inputs!$B$3:$D$21,3,0)*(1+Inputs!$L$9)^Financials!IG$3)*IG$8))</f>
        <v>984810.84380771301</v>
      </c>
      <c r="IH20" s="18">
        <f>IF(IH$1&lt;CapEx!$O$7,0,(VLOOKUP($B20,Inputs!$B$25:$D$44,3,0)*(VLOOKUP(Financials!$B20,Inputs!$B$3:$D$21,3,0)*(1+Inputs!$L$9)^Financials!IH$3)*IH$8))</f>
        <v>1019333.9350545283</v>
      </c>
      <c r="II20" s="18">
        <f>IF(II$1&lt;CapEx!$O$7,0,(VLOOKUP($B20,Inputs!$B$25:$D$44,3,0)*(VLOOKUP(Financials!$B20,Inputs!$B$3:$D$21,3,0)*(1+Inputs!$L$9)^Financials!II$3)*II$8))</f>
        <v>1021032.8249462859</v>
      </c>
      <c r="IJ20" s="18">
        <f>IF(IJ$1&lt;CapEx!$O$7,0,(VLOOKUP($B20,Inputs!$B$25:$D$44,3,0)*(VLOOKUP(Financials!$B20,Inputs!$B$3:$D$21,3,0)*(1+Inputs!$L$9)^Financials!IJ$3)*IJ$8))</f>
        <v>923760.23538688698</v>
      </c>
      <c r="IK20" s="18">
        <f>IF(IK$1&lt;CapEx!$O$7,0,(VLOOKUP($B20,Inputs!$B$25:$D$44,3,0)*(VLOOKUP(Financials!$B20,Inputs!$B$3:$D$21,3,0)*(1+Inputs!$L$9)^Financials!IK$3)*IK$8))</f>
        <v>1024439.1038983985</v>
      </c>
      <c r="IL20" s="18">
        <f>IF(IL$1&lt;CapEx!$O$7,0,(VLOOKUP($B20,Inputs!$B$25:$D$44,3,0)*(VLOOKUP(Financials!$B20,Inputs!$B$3:$D$21,3,0)*(1+Inputs!$L$9)^Financials!IL$3)*IL$8))</f>
        <v>993045.0023273183</v>
      </c>
      <c r="IM20" s="18">
        <f>IF(IM$1&lt;CapEx!$O$7,0,(VLOOKUP($B20,Inputs!$B$25:$D$44,3,0)*(VLOOKUP(Financials!$B20,Inputs!$B$3:$D$21,3,0)*(1+Inputs!$L$9)^Financials!IM$3)*IM$8))</f>
        <v>1027856.7465755707</v>
      </c>
      <c r="IN20" s="18">
        <f>IF(IN$1&lt;CapEx!$O$7,0,(VLOOKUP($B20,Inputs!$B$25:$D$44,3,0)*(VLOOKUP(Financials!$B20,Inputs!$B$3:$D$21,3,0)*(1+Inputs!$L$9)^Financials!IN$3)*IN$8))</f>
        <v>996357.91079341597</v>
      </c>
      <c r="IO20" s="18">
        <f>IF(IO$1&lt;CapEx!$O$7,0,(VLOOKUP($B20,Inputs!$B$25:$D$44,3,0)*(VLOOKUP(Financials!$B20,Inputs!$B$3:$D$21,3,0)*(1+Inputs!$L$9)^Financials!IO$3)*IO$8))</f>
        <v>1031285.790888452</v>
      </c>
      <c r="IP20" s="18">
        <f>IF(IP$1&lt;CapEx!$O$7,0,(VLOOKUP($B20,Inputs!$B$25:$D$44,3,0)*(VLOOKUP(Financials!$B20,Inputs!$B$3:$D$21,3,0)*(1+Inputs!$L$9)^Financials!IP$3)*IP$8))</f>
        <v>1033004.6005399331</v>
      </c>
      <c r="IQ20" s="18">
        <f>IF(IQ$1&lt;CapEx!$O$7,0,(VLOOKUP($B20,Inputs!$B$25:$D$44,3,0)*(VLOOKUP(Financials!$B20,Inputs!$B$3:$D$21,3,0)*(1+Inputs!$L$9)^Financials!IQ$3)*IQ$8))</f>
        <v>1001348.0079427413</v>
      </c>
      <c r="IR20" s="18">
        <f>IF(IR$1&lt;CapEx!$O$7,0,(VLOOKUP($B20,Inputs!$B$25:$D$44,3,0)*(VLOOKUP(Financials!$B20,Inputs!$B$3:$D$21,3,0)*(1+Inputs!$L$9)^Financials!IR$3)*IR$8))</f>
        <v>1036450.8186656228</v>
      </c>
      <c r="IS20" s="18">
        <f>IF(IS$1&lt;CapEx!$O$7,0,(VLOOKUP($B20,Inputs!$B$25:$D$44,3,0)*(VLOOKUP(Financials!$B20,Inputs!$B$3:$D$21,3,0)*(1+Inputs!$L$9)^Financials!IS$3)*IS$8))</f>
        <v>1004688.6161581281</v>
      </c>
      <c r="IT20" s="18">
        <f>IF(IT$1&lt;CapEx!$O$7,0,(VLOOKUP($B20,Inputs!$B$25:$D$44,3,0)*(VLOOKUP(Financials!$B20,Inputs!$B$3:$D$21,3,0)*(1+Inputs!$L$9)^Financials!IT$3)*IT$8))</f>
        <v>1039908.5337578936</v>
      </c>
      <c r="IU20" s="18">
        <f>IF(IU$1&lt;CapEx!$O$7,0,(VLOOKUP($B20,Inputs!$B$25:$D$44,3,0)*(VLOOKUP(Financials!$B20,Inputs!$B$3:$D$21,3,0)*(1+Inputs!$L$9)^Financials!IU$3)*IU$8))</f>
        <v>1041641.7146474906</v>
      </c>
      <c r="IV20" s="18">
        <f>IF(IV$1&lt;CapEx!$O$7,0,(VLOOKUP($B20,Inputs!$B$25:$D$44,3,0)*(VLOOKUP(Financials!$B20,Inputs!$B$3:$D$21,3,0)*(1+Inputs!$L$9)^Financials!IV$3)*IV$8))</f>
        <v>942405.74054236396</v>
      </c>
      <c r="IW20" s="18">
        <f>IF(IW$1&lt;CapEx!$O$7,0,(VLOOKUP($B20,Inputs!$B$25:$D$44,3,0)*(VLOOKUP(Financials!$B20,Inputs!$B$3:$D$21,3,0)*(1+Inputs!$L$9)^Financials!IW$3)*IW$8))</f>
        <v>1045116.747145523</v>
      </c>
      <c r="IX20" s="18">
        <f>IF(IX$1&lt;CapEx!$O$7,0,(VLOOKUP($B20,Inputs!$B$25:$D$44,3,0)*(VLOOKUP(Financials!$B20,Inputs!$B$3:$D$21,3,0)*(1+Inputs!$L$9)^Financials!IX$3)*IX$8))</f>
        <v>1013088.9758620313</v>
      </c>
      <c r="IY20" s="18">
        <f>IF(IY$1&lt;CapEx!$O$7,0,(VLOOKUP($B20,Inputs!$B$25:$D$44,3,0)*(VLOOKUP(Financials!$B20,Inputs!$B$3:$D$21,3,0)*(1+Inputs!$L$9)^Financials!IY$3)*IY$8))</f>
        <v>1048603.3727380836</v>
      </c>
      <c r="IZ20" s="18">
        <f>IF(IZ$1&lt;CapEx!$O$7,0,(VLOOKUP($B20,Inputs!$B$25:$D$44,3,0)*(VLOOKUP(Financials!$B20,Inputs!$B$3:$D$21,3,0)*(1+Inputs!$L$9)^Financials!IZ$3)*IZ$8))</f>
        <v>1016468.7532509489</v>
      </c>
      <c r="JA20" s="18">
        <f>IF(JA$1&lt;CapEx!$O$7,0,(VLOOKUP($B20,Inputs!$B$25:$D$44,3,0)*(VLOOKUP(Financials!$B20,Inputs!$B$3:$D$21,3,0)*(1+Inputs!$L$9)^Financials!JA$3)*JA$8))</f>
        <v>1052101.6301010239</v>
      </c>
      <c r="JB20" s="18">
        <f>IF(JB$1&lt;CapEx!$O$7,0,(VLOOKUP($B20,Inputs!$B$25:$D$44,3,0)*(VLOOKUP(Financials!$B20,Inputs!$B$3:$D$21,3,0)*(1+Inputs!$L$9)^Financials!JB$3)*JB$8))</f>
        <v>1053855.1328178591</v>
      </c>
      <c r="JC20" s="18">
        <f>IF(JC$1&lt;CapEx!$O$7,0,(VLOOKUP($B20,Inputs!$B$25:$D$44,3,0)*(VLOOKUP(Financials!$B20,Inputs!$B$3:$D$21,3,0)*(1+Inputs!$L$9)^Financials!JC$3)*JC$8))</f>
        <v>1021559.5722960216</v>
      </c>
      <c r="JD20" s="18">
        <f>IF(JD$1&lt;CapEx!$O$7,0,(VLOOKUP($B20,Inputs!$B$25:$D$44,3,0)*(VLOOKUP(Financials!$B20,Inputs!$B$3:$D$21,3,0)*(1+Inputs!$L$9)^Financials!JD$3)*JD$8))</f>
        <v>1057370.910635954</v>
      </c>
      <c r="JE20" s="18">
        <f>IF(JE$1&lt;CapEx!$O$7,0,(VLOOKUP($B20,Inputs!$B$25:$D$44,3,0)*(VLOOKUP(Financials!$B20,Inputs!$B$3:$D$21,3,0)*(1+Inputs!$L$9)^Financials!JE$3)*JE$8))</f>
        <v>1024967.6085358202</v>
      </c>
      <c r="JF20" s="18">
        <f>IF(JF$1&lt;CapEx!$O$7,0,(VLOOKUP($B20,Inputs!$B$25:$D$44,3,0)*(VLOOKUP(Financials!$B20,Inputs!$B$3:$D$21,3,0)*(1+Inputs!$L$9)^Financials!JF$3)*JF$8))</f>
        <v>1060898.4174794927</v>
      </c>
      <c r="JG20" s="18">
        <f>IF(JG$1&lt;CapEx!$O$7,0,(VLOOKUP($B20,Inputs!$B$25:$D$44,3,0)*(VLOOKUP(Financials!$B20,Inputs!$B$3:$D$21,3,0)*(1+Inputs!$L$9)^Financials!JG$3)*JG$8))</f>
        <v>1062666.5815086251</v>
      </c>
      <c r="JH20" s="18">
        <f>IF(JH$1&lt;CapEx!$O$7,0,(VLOOKUP($B20,Inputs!$B$25:$D$44,3,0)*(VLOOKUP(Financials!$B20,Inputs!$B$3:$D$21,3,0)*(1+Inputs!$L$9)^Financials!JH$3)*JH$8))</f>
        <v>961427.59320576047</v>
      </c>
      <c r="JI20" s="18">
        <f>IF(JI$1&lt;CapEx!$O$7,0,(VLOOKUP($B20,Inputs!$B$25:$D$44,3,0)*(VLOOKUP(Financials!$B20,Inputs!$B$3:$D$21,3,0)*(1+Inputs!$L$9)^Financials!JI$3)*JI$8))</f>
        <v>1066211.7552986026</v>
      </c>
      <c r="JJ20" s="18">
        <f>IF(JJ$1&lt;CapEx!$O$7,0,(VLOOKUP($B20,Inputs!$B$25:$D$44,3,0)*(VLOOKUP(Financials!$B20,Inputs!$B$3:$D$21,3,0)*(1+Inputs!$L$9)^Financials!JJ$3)*JJ$8))</f>
        <v>1033537.5240878389</v>
      </c>
      <c r="JK20" s="18">
        <f>IF(JK$1&lt;CapEx!$O$7,0,(VLOOKUP($B20,Inputs!$B$25:$D$44,3,0)*(VLOOKUP(Financials!$B20,Inputs!$B$3:$D$21,3,0)*(1+Inputs!$L$9)^Financials!JK$3)*JK$8))</f>
        <v>1069768.7561822517</v>
      </c>
      <c r="JL20" s="18">
        <f>IF(JL$1&lt;CapEx!$O$7,0,(VLOOKUP($B20,Inputs!$B$25:$D$44,3,0)*(VLOOKUP(Financials!$B20,Inputs!$B$3:$D$21,3,0)*(1+Inputs!$L$9)^Financials!JL$3)*JL$8))</f>
        <v>1036985.5201056988</v>
      </c>
      <c r="JM20" s="18">
        <f>IF(JM$1&lt;CapEx!$O$7,0,(VLOOKUP($B20,Inputs!$B$25:$D$44,3,0)*(VLOOKUP(Financials!$B20,Inputs!$B$3:$D$21,3,0)*(1+Inputs!$L$9)^Financials!JM$3)*JM$8))</f>
        <v>1073337.6236160712</v>
      </c>
      <c r="JN20" s="18">
        <f>IF(JN$1&lt;CapEx!$O$7,0,(VLOOKUP($B20,Inputs!$B$25:$D$44,3,0)*(VLOOKUP(Financials!$B20,Inputs!$B$3:$D$21,3,0)*(1+Inputs!$L$9)^Financials!JN$3)*JN$8))</f>
        <v>1075126.5196554314</v>
      </c>
      <c r="JO20" s="18">
        <f>IF(JO$1&lt;CapEx!$O$7,0,(VLOOKUP($B20,Inputs!$B$25:$D$44,3,0)*(VLOOKUP(Financials!$B20,Inputs!$B$3:$D$21,3,0)*(1+Inputs!$L$9)^Financials!JO$3)*JO$8))</f>
        <v>1042179.0940530876</v>
      </c>
      <c r="JP20" s="18">
        <f>IF(JP$1&lt;CapEx!$O$7,0,(VLOOKUP($B20,Inputs!$B$25:$D$44,3,0)*(VLOOKUP(Financials!$B20,Inputs!$B$3:$D$21,3,0)*(1+Inputs!$L$9)^Financials!JP$3)*JP$8))</f>
        <v>1078713.2611835042</v>
      </c>
      <c r="JQ20" s="18">
        <f>IF(JQ$1&lt;CapEx!$O$7,0,(VLOOKUP($B20,Inputs!$B$25:$D$44,3,0)*(VLOOKUP(Financials!$B20,Inputs!$B$3:$D$21,3,0)*(1+Inputs!$L$9)^Financials!JQ$3)*JQ$8))</f>
        <v>1045655.9193085259</v>
      </c>
      <c r="JR20" s="18">
        <f>IF(JR$1&lt;CapEx!$O$7,0,(VLOOKUP($B20,Inputs!$B$25:$D$44,3,0)*(VLOOKUP(Financials!$B20,Inputs!$B$3:$D$21,3,0)*(1+Inputs!$L$9)^Financials!JR$3)*JR$8))</f>
        <v>1082311.9684798415</v>
      </c>
    </row>
    <row r="21" spans="2:278" x14ac:dyDescent="0.2">
      <c r="B21" s="22" t="str">
        <f>Inputs!B10</f>
        <v>Graphene</v>
      </c>
      <c r="C21" s="18">
        <f>IF(C$1&lt;CapEx!$O$7,0,(VLOOKUP($B21,Inputs!$B$25:$D$44,3,0)*(VLOOKUP(Financials!$B21,Inputs!$B$3:$D$21,3,0)*(1+Inputs!$L$9)^Financials!C$3)*C$8))</f>
        <v>0</v>
      </c>
      <c r="D21" s="18">
        <f>IF(D$1&lt;CapEx!$O$7,0,(VLOOKUP($B21,Inputs!$B$25:$D$44,3,0)*(VLOOKUP(Financials!$B21,Inputs!$B$3:$D$21,3,0)*(1+Inputs!$L$9)^Financials!D$3)*D$8))</f>
        <v>0</v>
      </c>
      <c r="E21" s="18">
        <f>IF(E$1&lt;CapEx!$O$7,0,(VLOOKUP($B21,Inputs!$B$25:$D$44,3,0)*(VLOOKUP(Financials!$B21,Inputs!$B$3:$D$21,3,0)*(1+Inputs!$L$9)^Financials!E$3)*E$8))</f>
        <v>0</v>
      </c>
      <c r="F21" s="18">
        <f>IF(F$1&lt;CapEx!$O$7,0,(VLOOKUP($B21,Inputs!$B$25:$D$44,3,0)*(VLOOKUP(Financials!$B21,Inputs!$B$3:$D$21,3,0)*(1+Inputs!$L$9)^Financials!F$3)*F$8))</f>
        <v>0</v>
      </c>
      <c r="G21" s="18">
        <f>IF(G$1&lt;CapEx!$O$7,0,(VLOOKUP($B21,Inputs!$B$25:$D$44,3,0)*(VLOOKUP(Financials!$B21,Inputs!$B$3:$D$21,3,0)*(1+Inputs!$L$9)^Financials!G$3)*G$8))</f>
        <v>0</v>
      </c>
      <c r="H21" s="18">
        <f>IF(H$1&lt;CapEx!$O$7,0,(VLOOKUP($B21,Inputs!$B$25:$D$44,3,0)*(VLOOKUP(Financials!$B21,Inputs!$B$3:$D$21,3,0)*(1+Inputs!$L$9)^Financials!H$3)*H$8))</f>
        <v>0</v>
      </c>
      <c r="I21" s="18">
        <f>IF(I$1&lt;CapEx!$O$7,0,(VLOOKUP($B21,Inputs!$B$25:$D$44,3,0)*(VLOOKUP(Financials!$B21,Inputs!$B$3:$D$21,3,0)*(1+Inputs!$L$9)^Financials!I$3)*I$8))</f>
        <v>0</v>
      </c>
      <c r="J21" s="18">
        <f>IF(J$1&lt;CapEx!$O$7,0,(VLOOKUP($B21,Inputs!$B$25:$D$44,3,0)*(VLOOKUP(Financials!$B21,Inputs!$B$3:$D$21,3,0)*(1+Inputs!$L$9)^Financials!J$3)*J$8))</f>
        <v>0</v>
      </c>
      <c r="K21" s="18">
        <f>IF(K$1&lt;CapEx!$O$7,0,(VLOOKUP($B21,Inputs!$B$25:$D$44,3,0)*(VLOOKUP(Financials!$B21,Inputs!$B$3:$D$21,3,0)*(1+Inputs!$L$9)^Financials!K$3)*K$8))</f>
        <v>0</v>
      </c>
      <c r="L21" s="18">
        <f>IF(L$1&lt;CapEx!$O$7,0,(VLOOKUP($B21,Inputs!$B$25:$D$44,3,0)*(VLOOKUP(Financials!$B21,Inputs!$B$3:$D$21,3,0)*(1+Inputs!$L$9)^Financials!L$3)*L$8))</f>
        <v>0</v>
      </c>
      <c r="M21" s="18">
        <f>IF(M$1&lt;CapEx!$O$7,0,(VLOOKUP($B21,Inputs!$B$25:$D$44,3,0)*(VLOOKUP(Financials!$B21,Inputs!$B$3:$D$21,3,0)*(1+Inputs!$L$9)^Financials!M$3)*M$8))</f>
        <v>0</v>
      </c>
      <c r="N21" s="18">
        <f>IF(N$1&lt;CapEx!$O$7,0,(VLOOKUP($B21,Inputs!$B$25:$D$44,3,0)*(VLOOKUP(Financials!$B21,Inputs!$B$3:$D$21,3,0)*(1+Inputs!$L$9)^Financials!N$3)*N$8))</f>
        <v>0</v>
      </c>
      <c r="O21" s="18">
        <f>IF(O$1&lt;CapEx!$O$7,0,(VLOOKUP($B21,Inputs!$B$25:$D$44,3,0)*(VLOOKUP(Financials!$B21,Inputs!$B$3:$D$21,3,0)*(1+Inputs!$L$9)^Financials!O$3)*O$8))</f>
        <v>0</v>
      </c>
      <c r="P21" s="18">
        <f>IF(P$1&lt;CapEx!$O$7,0,(VLOOKUP($B21,Inputs!$B$25:$D$44,3,0)*(VLOOKUP(Financials!$B21,Inputs!$B$3:$D$21,3,0)*(1+Inputs!$L$9)^Financials!P$3)*P$8))</f>
        <v>0</v>
      </c>
      <c r="Q21" s="18">
        <f>IF(Q$1&lt;CapEx!$O$7,0,(VLOOKUP($B21,Inputs!$B$25:$D$44,3,0)*(VLOOKUP(Financials!$B21,Inputs!$B$3:$D$21,3,0)*(1+Inputs!$L$9)^Financials!Q$3)*Q$8))</f>
        <v>0</v>
      </c>
      <c r="R21" s="18">
        <f>IF(R$1&lt;CapEx!$O$7,0,(VLOOKUP($B21,Inputs!$B$25:$D$44,3,0)*(VLOOKUP(Financials!$B21,Inputs!$B$3:$D$21,3,0)*(1+Inputs!$L$9)^Financials!R$3)*R$8))</f>
        <v>1528469.9999999998</v>
      </c>
      <c r="S21" s="18">
        <f>IF(S$1&lt;CapEx!$O$7,0,(VLOOKUP($B21,Inputs!$B$25:$D$44,3,0)*(VLOOKUP(Financials!$B21,Inputs!$B$3:$D$21,3,0)*(1+Inputs!$L$9)^Financials!S$3)*S$8))</f>
        <v>1582051.3649999998</v>
      </c>
      <c r="T21" s="18">
        <f>IF(T$1&lt;CapEx!$O$7,0,(VLOOKUP($B21,Inputs!$B$25:$D$44,3,0)*(VLOOKUP(Financials!$B21,Inputs!$B$3:$D$21,3,0)*(1+Inputs!$L$9)^Financials!T$3)*T$8))</f>
        <v>1533569.1457500001</v>
      </c>
      <c r="U21" s="18">
        <f>IF(U$1&lt;CapEx!$O$7,0,(VLOOKUP($B21,Inputs!$B$25:$D$44,3,0)*(VLOOKUP(Financials!$B21,Inputs!$B$3:$D$21,3,0)*(1+Inputs!$L$9)^Financials!U$3)*U$8))</f>
        <v>1587329.2641371249</v>
      </c>
      <c r="V21" s="18">
        <f>IF(V$1&lt;CapEx!$O$7,0,(VLOOKUP($B21,Inputs!$B$25:$D$44,3,0)*(VLOOKUP(Financials!$B21,Inputs!$B$3:$D$21,3,0)*(1+Inputs!$L$9)^Financials!V$3)*V$8))</f>
        <v>1589974.8129106872</v>
      </c>
      <c r="W21" s="18">
        <f>IF(W$1&lt;CapEx!$O$7,0,(VLOOKUP($B21,Inputs!$B$25:$D$44,3,0)*(VLOOKUP(Financials!$B21,Inputs!$B$3:$D$21,3,0)*(1+Inputs!$L$9)^Financials!W$3)*W$8))</f>
        <v>1541249.7783214888</v>
      </c>
      <c r="X21" s="18">
        <f>IF(X$1&lt;CapEx!$O$7,0,(VLOOKUP($B21,Inputs!$B$25:$D$44,3,0)*(VLOOKUP(Financials!$B21,Inputs!$B$3:$D$21,3,0)*(1+Inputs!$L$9)^Financials!X$3)*X$8))</f>
        <v>1595279.1455504252</v>
      </c>
      <c r="Y21" s="18">
        <f>IF(Y$1&lt;CapEx!$O$7,0,(VLOOKUP($B21,Inputs!$B$25:$D$44,3,0)*(VLOOKUP(Financials!$B21,Inputs!$B$3:$D$21,3,0)*(1+Inputs!$L$9)^Financials!Y$3)*Y$8))</f>
        <v>1546391.5588319444</v>
      </c>
      <c r="Z21" s="18">
        <f>IF(Z$1&lt;CapEx!$O$7,0,(VLOOKUP($B21,Inputs!$B$25:$D$44,3,0)*(VLOOKUP(Financials!$B21,Inputs!$B$3:$D$21,3,0)*(1+Inputs!$L$9)^Financials!Z$3)*Z$8))</f>
        <v>1600601.1740332202</v>
      </c>
      <c r="AA21" s="18">
        <f>IF(AA$1&lt;CapEx!$O$7,0,(VLOOKUP($B21,Inputs!$B$25:$D$44,3,0)*(VLOOKUP(Financials!$B21,Inputs!$B$3:$D$21,3,0)*(1+Inputs!$L$9)^Financials!AA$3)*AA$8))</f>
        <v>1603268.8426566091</v>
      </c>
      <c r="AB21" s="18">
        <f>IF(AB$1&lt;CapEx!$O$7,0,(VLOOKUP($B21,Inputs!$B$25:$D$44,3,0)*(VLOOKUP(Financials!$B21,Inputs!$B$3:$D$21,3,0)*(1+Inputs!$L$9)^Financials!AB$3)*AB$8))</f>
        <v>1450527.3163562054</v>
      </c>
      <c r="AC21" s="18">
        <f>IF(AC$1&lt;CapEx!$O$7,0,(VLOOKUP($B21,Inputs!$B$25:$D$44,3,0)*(VLOOKUP(Financials!$B21,Inputs!$B$3:$D$21,3,0)*(1+Inputs!$L$9)^Financials!AC$3)*AC$8))</f>
        <v>1608617.5256566941</v>
      </c>
      <c r="AD21" s="18">
        <f>IF(AD$1&lt;CapEx!$O$7,0,(VLOOKUP($B21,Inputs!$B$25:$D$44,3,0)*(VLOOKUP(Financials!$B21,Inputs!$B$3:$D$21,3,0)*(1+Inputs!$L$9)^Financials!AD$3)*AD$8))</f>
        <v>1559321.1821285051</v>
      </c>
      <c r="AE21" s="18">
        <f>IF(AE$1&lt;CapEx!$O$7,0,(VLOOKUP($B21,Inputs!$B$25:$D$44,3,0)*(VLOOKUP(Financials!$B21,Inputs!$B$3:$D$21,3,0)*(1+Inputs!$L$9)^Financials!AE$3)*AE$8))</f>
        <v>1613984.0524575657</v>
      </c>
      <c r="AF21" s="18">
        <f>IF(AF$1&lt;CapEx!$O$7,0,(VLOOKUP($B21,Inputs!$B$25:$D$44,3,0)*(VLOOKUP(Financials!$B21,Inputs!$B$3:$D$21,3,0)*(1+Inputs!$L$9)^Financials!AF$3)*AF$8))</f>
        <v>1564523.2508499953</v>
      </c>
      <c r="AG21" s="18">
        <f>IF(AG$1&lt;CapEx!$O$7,0,(VLOOKUP($B21,Inputs!$B$25:$D$44,3,0)*(VLOOKUP(Financials!$B21,Inputs!$B$3:$D$21,3,0)*(1+Inputs!$L$9)^Financials!AG$3)*AG$8))</f>
        <v>1619368.4825881256</v>
      </c>
      <c r="AH21" s="18">
        <f>IF(AH$1&lt;CapEx!$O$7,0,(VLOOKUP($B21,Inputs!$B$25:$D$44,3,0)*(VLOOKUP(Financials!$B21,Inputs!$B$3:$D$21,3,0)*(1+Inputs!$L$9)^Financials!AH$3)*AH$8))</f>
        <v>1622067.4300591063</v>
      </c>
      <c r="AI21" s="18">
        <f>IF(AI$1&lt;CapEx!$O$7,0,(VLOOKUP($B21,Inputs!$B$25:$D$44,3,0)*(VLOOKUP(Financials!$B21,Inputs!$B$3:$D$21,3,0)*(1+Inputs!$L$9)^Financials!AI$3)*AI$8))</f>
        <v>1572358.9120411659</v>
      </c>
      <c r="AJ21" s="18">
        <f>IF(AJ$1&lt;CapEx!$O$7,0,(VLOOKUP($B21,Inputs!$B$25:$D$44,3,0)*(VLOOKUP(Financials!$B21,Inputs!$B$3:$D$21,3,0)*(1+Inputs!$L$9)^Financials!AJ$3)*AJ$8))</f>
        <v>1627478.8272354982</v>
      </c>
      <c r="AK21" s="18">
        <f>IF(AK$1&lt;CapEx!$O$7,0,(VLOOKUP($B21,Inputs!$B$25:$D$44,3,0)*(VLOOKUP(Financials!$B21,Inputs!$B$3:$D$21,3,0)*(1+Inputs!$L$9)^Financials!AK$3)*AK$8))</f>
        <v>1577604.4760782812</v>
      </c>
      <c r="AL21" s="18">
        <f>IF(AL$1&lt;CapEx!$O$7,0,(VLOOKUP($B21,Inputs!$B$25:$D$44,3,0)*(VLOOKUP(Financials!$B21,Inputs!$B$3:$D$21,3,0)*(1+Inputs!$L$9)^Financials!AL$3)*AL$8))</f>
        <v>1632908.2774341365</v>
      </c>
      <c r="AM21" s="18">
        <f>IF(AM$1&lt;CapEx!$O$7,0,(VLOOKUP($B21,Inputs!$B$25:$D$44,3,0)*(VLOOKUP(Financials!$B21,Inputs!$B$3:$D$21,3,0)*(1+Inputs!$L$9)^Financials!AM$3)*AM$8))</f>
        <v>1635629.7912298604</v>
      </c>
      <c r="AN21" s="18">
        <f>IF(AN$1&lt;CapEx!$O$7,0,(VLOOKUP($B21,Inputs!$B$25:$D$44,3,0)*(VLOOKUP(Financials!$B21,Inputs!$B$3:$D$21,3,0)*(1+Inputs!$L$9)^Financials!AN$3)*AN$8))</f>
        <v>1479805.2756352737</v>
      </c>
      <c r="AO21" s="18">
        <f>IF(AO$1&lt;CapEx!$O$7,0,(VLOOKUP($B21,Inputs!$B$25:$D$44,3,0)*(VLOOKUP(Financials!$B21,Inputs!$B$3:$D$21,3,0)*(1+Inputs!$L$9)^Financials!AO$3)*AO$8))</f>
        <v>1641086.433950047</v>
      </c>
      <c r="AP21" s="18">
        <f>IF(AP$1&lt;CapEx!$O$7,0,(VLOOKUP($B21,Inputs!$B$25:$D$44,3,0)*(VLOOKUP(Financials!$B21,Inputs!$B$3:$D$21,3,0)*(1+Inputs!$L$9)^Financials!AP$3)*AP$8))</f>
        <v>1590795.075490288</v>
      </c>
      <c r="AQ21" s="18">
        <f>IF(AQ$1&lt;CapEx!$O$7,0,(VLOOKUP($B21,Inputs!$B$25:$D$44,3,0)*(VLOOKUP(Financials!$B21,Inputs!$B$3:$D$21,3,0)*(1+Inputs!$L$9)^Financials!AQ$3)*AQ$8))</f>
        <v>1646561.2806366417</v>
      </c>
      <c r="AR21" s="18">
        <f>IF(AR$1&lt;CapEx!$O$7,0,(VLOOKUP($B21,Inputs!$B$25:$D$44,3,0)*(VLOOKUP(Financials!$B21,Inputs!$B$3:$D$21,3,0)*(1+Inputs!$L$9)^Financials!AR$3)*AR$8))</f>
        <v>1596102.1446171314</v>
      </c>
      <c r="AS21" s="18">
        <f>IF(AS$1&lt;CapEx!$O$7,0,(VLOOKUP($B21,Inputs!$B$25:$D$44,3,0)*(VLOOKUP(Financials!$B21,Inputs!$B$3:$D$21,3,0)*(1+Inputs!$L$9)^Financials!AS$3)*AS$8))</f>
        <v>1652054.3920200991</v>
      </c>
      <c r="AT21" s="18">
        <f>IF(AT$1&lt;CapEx!$O$7,0,(VLOOKUP($B21,Inputs!$B$25:$D$44,3,0)*(VLOOKUP(Financials!$B21,Inputs!$B$3:$D$21,3,0)*(1+Inputs!$L$9)^Financials!AT$3)*AT$8))</f>
        <v>1654807.8160067992</v>
      </c>
      <c r="AU21" s="18">
        <f>IF(AU$1&lt;CapEx!$O$7,0,(VLOOKUP($B21,Inputs!$B$25:$D$44,3,0)*(VLOOKUP(Financials!$B21,Inputs!$B$3:$D$21,3,0)*(1+Inputs!$L$9)^Financials!AU$3)*AU$8))</f>
        <v>1604095.9635807846</v>
      </c>
      <c r="AV21" s="18">
        <f>IF(AV$1&lt;CapEx!$O$7,0,(VLOOKUP($B21,Inputs!$B$25:$D$44,3,0)*(VLOOKUP(Financials!$B21,Inputs!$B$3:$D$21,3,0)*(1+Inputs!$L$9)^Financials!AV$3)*AV$8))</f>
        <v>1660328.4387485331</v>
      </c>
      <c r="AW21" s="18">
        <f>IF(AW$1&lt;CapEx!$O$7,0,(VLOOKUP($B21,Inputs!$B$25:$D$44,3,0)*(VLOOKUP(Financials!$B21,Inputs!$B$3:$D$21,3,0)*(1+Inputs!$L$9)^Financials!AW$3)*AW$8))</f>
        <v>1609447.4059481751</v>
      </c>
      <c r="AX21" s="18">
        <f>IF(AX$1&lt;CapEx!$O$7,0,(VLOOKUP($B21,Inputs!$B$25:$D$44,3,0)*(VLOOKUP(Financials!$B21,Inputs!$B$3:$D$21,3,0)*(1+Inputs!$L$9)^Financials!AX$3)*AX$8))</f>
        <v>1665867.4789011367</v>
      </c>
      <c r="AY21" s="18">
        <f>IF(AY$1&lt;CapEx!$O$7,0,(VLOOKUP($B21,Inputs!$B$25:$D$44,3,0)*(VLOOKUP(Financials!$B21,Inputs!$B$3:$D$21,3,0)*(1+Inputs!$L$9)^Financials!AY$3)*AY$8))</f>
        <v>1668643.9246993051</v>
      </c>
      <c r="AZ21" s="18">
        <f>IF(AZ$1&lt;CapEx!$O$7,0,(VLOOKUP($B21,Inputs!$B$25:$D$44,3,0)*(VLOOKUP(Financials!$B21,Inputs!$B$3:$D$21,3,0)*(1+Inputs!$L$9)^Financials!AZ$3)*AZ$8))</f>
        <v>1563591.1270744188</v>
      </c>
      <c r="BA21" s="18">
        <f>IF(BA$1&lt;CapEx!$O$7,0,(VLOOKUP($B21,Inputs!$B$25:$D$44,3,0)*(VLOOKUP(Financials!$B21,Inputs!$B$3:$D$21,3,0)*(1+Inputs!$L$9)^Financials!BA$3)*BA$8))</f>
        <v>1674210.7062369825</v>
      </c>
      <c r="BB21" s="18">
        <f>IF(BB$1&lt;CapEx!$O$7,0,(VLOOKUP($B21,Inputs!$B$25:$D$44,3,0)*(VLOOKUP(Financials!$B21,Inputs!$B$3:$D$21,3,0)*(1+Inputs!$L$9)^Financials!BB$3)*BB$8))</f>
        <v>1622904.2491103655</v>
      </c>
      <c r="BC21" s="18">
        <f>IF(BC$1&lt;CapEx!$O$7,0,(VLOOKUP($B21,Inputs!$B$25:$D$44,3,0)*(VLOOKUP(Financials!$B21,Inputs!$B$3:$D$21,3,0)*(1+Inputs!$L$9)^Financials!BC$3)*BC$8))</f>
        <v>1679796.0591764015</v>
      </c>
      <c r="BD21" s="18">
        <f>IF(BD$1&lt;CapEx!$O$7,0,(VLOOKUP($B21,Inputs!$B$25:$D$44,3,0)*(VLOOKUP(Financials!$B21,Inputs!$B$3:$D$21,3,0)*(1+Inputs!$L$9)^Financials!BD$3)*BD$8))</f>
        <v>1628318.4380080919</v>
      </c>
      <c r="BE21" s="18">
        <f>IF(BE$1&lt;CapEx!$O$7,0,(VLOOKUP($B21,Inputs!$B$25:$D$44,3,0)*(VLOOKUP(Financials!$B21,Inputs!$B$3:$D$21,3,0)*(1+Inputs!$L$9)^Financials!BE$3)*BE$8))</f>
        <v>1685400.0454738205</v>
      </c>
      <c r="BF21" s="18">
        <f>IF(BF$1&lt;CapEx!$O$7,0,(VLOOKUP($B21,Inputs!$B$25:$D$44,3,0)*(VLOOKUP(Financials!$B21,Inputs!$B$3:$D$21,3,0)*(1+Inputs!$L$9)^Financials!BF$3)*BF$8))</f>
        <v>1688209.0455496109</v>
      </c>
      <c r="BG21" s="18">
        <f>IF(BG$1&lt;CapEx!$O$7,0,(VLOOKUP($B21,Inputs!$B$25:$D$44,3,0)*(VLOOKUP(Financials!$B21,Inputs!$B$3:$D$21,3,0)*(1+Inputs!$L$9)^Financials!BG$3)*BG$8))</f>
        <v>1636473.6070569609</v>
      </c>
      <c r="BH21" s="18">
        <f>IF(BH$1&lt;CapEx!$O$7,0,(VLOOKUP($B21,Inputs!$B$25:$D$44,3,0)*(VLOOKUP(Financials!$B21,Inputs!$B$3:$D$21,3,0)*(1+Inputs!$L$9)^Financials!BH$3)*BH$8))</f>
        <v>1693841.0985043468</v>
      </c>
      <c r="BI21" s="18">
        <f>IF(BI$1&lt;CapEx!$O$7,0,(VLOOKUP($B21,Inputs!$B$25:$D$44,3,0)*(VLOOKUP(Financials!$B21,Inputs!$B$3:$D$21,3,0)*(1+Inputs!$L$9)^Financials!BI$3)*BI$8))</f>
        <v>1641933.064840504</v>
      </c>
      <c r="BJ21" s="18">
        <f>IF(BJ$1&lt;CapEx!$O$7,0,(VLOOKUP($B21,Inputs!$B$25:$D$44,3,0)*(VLOOKUP(Financials!$B21,Inputs!$B$3:$D$21,3,0)*(1+Inputs!$L$9)^Financials!BJ$3)*BJ$8))</f>
        <v>1699491.9406135241</v>
      </c>
      <c r="BK21" s="18">
        <f>IF(BK$1&lt;CapEx!$O$7,0,(VLOOKUP($B21,Inputs!$B$25:$D$44,3,0)*(VLOOKUP(Financials!$B21,Inputs!$B$3:$D$21,3,0)*(1+Inputs!$L$9)^Financials!BK$3)*BK$8))</f>
        <v>1702324.4271812136</v>
      </c>
      <c r="BL21" s="18">
        <f>IF(BL$1&lt;CapEx!$O$7,0,(VLOOKUP($B21,Inputs!$B$25:$D$44,3,0)*(VLOOKUP(Financials!$B21,Inputs!$B$3:$D$21,3,0)*(1+Inputs!$L$9)^Financials!BL$3)*BL$8))</f>
        <v>1540145.9925056701</v>
      </c>
      <c r="BM21" s="18">
        <f>IF(BM$1&lt;CapEx!$O$7,0,(VLOOKUP($B21,Inputs!$B$25:$D$44,3,0)*(VLOOKUP(Financials!$B21,Inputs!$B$3:$D$21,3,0)*(1+Inputs!$L$9)^Financials!BM$3)*BM$8))</f>
        <v>1708003.5706174488</v>
      </c>
      <c r="BN21" s="18">
        <f>IF(BN$1&lt;CapEx!$O$7,0,(VLOOKUP($B21,Inputs!$B$25:$D$44,3,0)*(VLOOKUP(Financials!$B21,Inputs!$B$3:$D$21,3,0)*(1+Inputs!$L$9)^Financials!BN$3)*BN$8))</f>
        <v>1655661.5257114307</v>
      </c>
      <c r="BO21" s="18">
        <f>IF(BO$1&lt;CapEx!$O$7,0,(VLOOKUP($B21,Inputs!$B$25:$D$44,3,0)*(VLOOKUP(Financials!$B21,Inputs!$B$3:$D$21,3,0)*(1+Inputs!$L$9)^Financials!BO$3)*BO$8))</f>
        <v>1713701.6603072037</v>
      </c>
      <c r="BP21" s="18">
        <f>IF(BP$1&lt;CapEx!$O$7,0,(VLOOKUP($B21,Inputs!$B$25:$D$44,3,0)*(VLOOKUP(Financials!$B21,Inputs!$B$3:$D$21,3,0)*(1+Inputs!$L$9)^Financials!BP$3)*BP$8))</f>
        <v>1661184.9965235954</v>
      </c>
      <c r="BQ21" s="18">
        <f>IF(BQ$1&lt;CapEx!$O$7,0,(VLOOKUP($B21,Inputs!$B$25:$D$44,3,0)*(VLOOKUP(Financials!$B21,Inputs!$B$3:$D$21,3,0)*(1+Inputs!$L$9)^Financials!BQ$3)*BQ$8))</f>
        <v>1719418.7594572841</v>
      </c>
      <c r="BR21" s="18">
        <f>IF(BR$1&lt;CapEx!$O$7,0,(VLOOKUP($B21,Inputs!$B$25:$D$44,3,0)*(VLOOKUP(Financials!$B21,Inputs!$B$3:$D$21,3,0)*(1+Inputs!$L$9)^Financials!BR$3)*BR$8))</f>
        <v>1722284.4573897128</v>
      </c>
      <c r="BS21" s="18">
        <f>IF(BS$1&lt;CapEx!$O$7,0,(VLOOKUP($B21,Inputs!$B$25:$D$44,3,0)*(VLOOKUP(Financials!$B21,Inputs!$B$3:$D$21,3,0)*(1+Inputs!$L$9)^Financials!BS$3)*BS$8))</f>
        <v>1669504.7724051897</v>
      </c>
      <c r="BT21" s="18">
        <f>IF(BT$1&lt;CapEx!$O$7,0,(VLOOKUP($B21,Inputs!$B$25:$D$44,3,0)*(VLOOKUP(Financials!$B21,Inputs!$B$3:$D$21,3,0)*(1+Inputs!$L$9)^Financials!BT$3)*BT$8))</f>
        <v>1728030.1897045048</v>
      </c>
      <c r="BU21" s="18">
        <f>IF(BU$1&lt;CapEx!$O$7,0,(VLOOKUP($B21,Inputs!$B$25:$D$44,3,0)*(VLOOKUP(Financials!$B21,Inputs!$B$3:$D$21,3,0)*(1+Inputs!$L$9)^Financials!BU$3)*BU$8))</f>
        <v>1675074.4258264638</v>
      </c>
      <c r="BV21" s="18">
        <f>IF(BV$1&lt;CapEx!$O$7,0,(VLOOKUP($B21,Inputs!$B$25:$D$44,3,0)*(VLOOKUP(Financials!$B21,Inputs!$B$3:$D$21,3,0)*(1+Inputs!$L$9)^Financials!BV$3)*BV$8))</f>
        <v>1733795.0904207141</v>
      </c>
      <c r="BW21" s="18">
        <f>IF(BW$1&lt;CapEx!$O$7,0,(VLOOKUP($B21,Inputs!$B$25:$D$44,3,0)*(VLOOKUP(Financials!$B21,Inputs!$B$3:$D$21,3,0)*(1+Inputs!$L$9)^Financials!BW$3)*BW$8))</f>
        <v>1736684.7489047486</v>
      </c>
      <c r="BX21" s="18">
        <f>IF(BX$1&lt;CapEx!$O$7,0,(VLOOKUP($B21,Inputs!$B$25:$D$44,3,0)*(VLOOKUP(Financials!$B21,Inputs!$B$3:$D$21,3,0)*(1+Inputs!$L$9)^Financials!BX$3)*BX$8))</f>
        <v>1571232.8470198442</v>
      </c>
      <c r="BY21" s="18">
        <f>IF(BY$1&lt;CapEx!$O$7,0,(VLOOKUP($B21,Inputs!$B$25:$D$44,3,0)*(VLOOKUP(Financials!$B21,Inputs!$B$3:$D$21,3,0)*(1+Inputs!$L$9)^Financials!BY$3)*BY$8))</f>
        <v>1742478.522192067</v>
      </c>
      <c r="BZ21" s="18">
        <f>IF(BZ$1&lt;CapEx!$O$7,0,(VLOOKUP($B21,Inputs!$B$25:$D$44,3,0)*(VLOOKUP(Financials!$B21,Inputs!$B$3:$D$21,3,0)*(1+Inputs!$L$9)^Financials!BZ$3)*BZ$8))</f>
        <v>1689079.9868345682</v>
      </c>
      <c r="CA21" s="18">
        <f>IF(CA$1&lt;CapEx!$O$7,0,(VLOOKUP($B21,Inputs!$B$25:$D$44,3,0)*(VLOOKUP(Financials!$B21,Inputs!$B$3:$D$21,3,0)*(1+Inputs!$L$9)^Financials!CA$3)*CA$8))</f>
        <v>1748291.6241508245</v>
      </c>
      <c r="CB21" s="18">
        <f>IF(CB$1&lt;CapEx!$O$7,0,(VLOOKUP($B21,Inputs!$B$25:$D$44,3,0)*(VLOOKUP(Financials!$B21,Inputs!$B$3:$D$21,3,0)*(1+Inputs!$L$9)^Financials!CB$3)*CB$8))</f>
        <v>1694714.9453462027</v>
      </c>
      <c r="CC21" s="18">
        <f>IF(CC$1&lt;CapEx!$O$7,0,(VLOOKUP($B21,Inputs!$B$25:$D$44,3,0)*(VLOOKUP(Financials!$B21,Inputs!$B$3:$D$21,3,0)*(1+Inputs!$L$9)^Financials!CC$3)*CC$8))</f>
        <v>1754124.1192636171</v>
      </c>
      <c r="CD21" s="18">
        <f>IF(CD$1&lt;CapEx!$O$7,0,(VLOOKUP($B21,Inputs!$B$25:$D$44,3,0)*(VLOOKUP(Financials!$B21,Inputs!$B$3:$D$21,3,0)*(1+Inputs!$L$9)^Financials!CD$3)*CD$8))</f>
        <v>1757047.65946239</v>
      </c>
      <c r="CE21" s="18">
        <f>IF(CE$1&lt;CapEx!$O$7,0,(VLOOKUP($B21,Inputs!$B$25:$D$44,3,0)*(VLOOKUP(Financials!$B21,Inputs!$B$3:$D$21,3,0)*(1+Inputs!$L$9)^Financials!CE$3)*CE$8))</f>
        <v>1703202.6505433815</v>
      </c>
      <c r="CF21" s="18">
        <f>IF(CF$1&lt;CapEx!$O$7,0,(VLOOKUP($B21,Inputs!$B$25:$D$44,3,0)*(VLOOKUP(Financials!$B21,Inputs!$B$3:$D$21,3,0)*(1+Inputs!$L$9)^Financials!CF$3)*CF$8))</f>
        <v>1762909.3656818743</v>
      </c>
      <c r="CG21" s="18">
        <f>IF(CG$1&lt;CapEx!$O$7,0,(VLOOKUP($B21,Inputs!$B$25:$D$44,3,0)*(VLOOKUP(Financials!$B21,Inputs!$B$3:$D$21,3,0)*(1+Inputs!$L$9)^Financials!CG$3)*CG$8))</f>
        <v>1708884.723830333</v>
      </c>
      <c r="CH21" s="18">
        <f>IF(CH$1&lt;CapEx!$O$7,0,(VLOOKUP($B21,Inputs!$B$25:$D$44,3,0)*(VLOOKUP(Financials!$B21,Inputs!$B$3:$D$21,3,0)*(1+Inputs!$L$9)^Financials!CH$3)*CH$8))</f>
        <v>1768790.6272046075</v>
      </c>
      <c r="CI21" s="18">
        <f>IF(CI$1&lt;CapEx!$O$7,0,(VLOOKUP($B21,Inputs!$B$25:$D$44,3,0)*(VLOOKUP(Financials!$B21,Inputs!$B$3:$D$21,3,0)*(1+Inputs!$L$9)^Financials!CI$3)*CI$8))</f>
        <v>1771738.611583282</v>
      </c>
      <c r="CJ21" s="18">
        <f>IF(CJ$1&lt;CapEx!$O$7,0,(VLOOKUP($B21,Inputs!$B$25:$D$44,3,0)*(VLOOKUP(Financials!$B21,Inputs!$B$3:$D$21,3,0)*(1+Inputs!$L$9)^Financials!CJ$3)*CJ$8))</f>
        <v>1602947.1696625522</v>
      </c>
      <c r="CK21" s="18">
        <f>IF(CK$1&lt;CapEx!$O$7,0,(VLOOKUP($B21,Inputs!$B$25:$D$44,3,0)*(VLOOKUP(Financials!$B21,Inputs!$B$3:$D$21,3,0)*(1+Inputs!$L$9)^Financials!CK$3)*CK$8))</f>
        <v>1777649.3284513699</v>
      </c>
      <c r="CL21" s="18">
        <f>IF(CL$1&lt;CapEx!$O$7,0,(VLOOKUP($B21,Inputs!$B$25:$D$44,3,0)*(VLOOKUP(Financials!$B21,Inputs!$B$3:$D$21,3,0)*(1+Inputs!$L$9)^Financials!CL$3)*CL$8))</f>
        <v>1723172.9780633445</v>
      </c>
      <c r="CM21" s="18">
        <f>IF(CM$1&lt;CapEx!$O$7,0,(VLOOKUP($B21,Inputs!$B$25:$D$44,3,0)*(VLOOKUP(Financials!$B21,Inputs!$B$3:$D$21,3,0)*(1+Inputs!$L$9)^Financials!CM$3)*CM$8))</f>
        <v>1783579.7641276759</v>
      </c>
      <c r="CN21" s="18">
        <f>IF(CN$1&lt;CapEx!$O$7,0,(VLOOKUP($B21,Inputs!$B$25:$D$44,3,0)*(VLOOKUP(Financials!$B21,Inputs!$B$3:$D$21,3,0)*(1+Inputs!$L$9)^Financials!CN$3)*CN$8))</f>
        <v>1728921.6745818278</v>
      </c>
      <c r="CO21" s="18">
        <f>IF(CO$1&lt;CapEx!$O$7,0,(VLOOKUP($B21,Inputs!$B$25:$D$44,3,0)*(VLOOKUP(Financials!$B21,Inputs!$B$3:$D$21,3,0)*(1+Inputs!$L$9)^Financials!CO$3)*CO$8))</f>
        <v>1789529.9843963354</v>
      </c>
      <c r="CP21" s="18">
        <f>IF(CP$1&lt;CapEx!$O$7,0,(VLOOKUP($B21,Inputs!$B$25:$D$44,3,0)*(VLOOKUP(Financials!$B21,Inputs!$B$3:$D$21,3,0)*(1+Inputs!$L$9)^Financials!CP$3)*CP$8))</f>
        <v>1792512.5343703297</v>
      </c>
      <c r="CQ21" s="18">
        <f>IF(CQ$1&lt;CapEx!$O$7,0,(VLOOKUP($B21,Inputs!$B$25:$D$44,3,0)*(VLOOKUP(Financials!$B21,Inputs!$B$3:$D$21,3,0)*(1+Inputs!$L$9)^Financials!CQ$3)*CQ$8))</f>
        <v>1737580.6986396261</v>
      </c>
      <c r="CR21" s="18">
        <f>IF(CR$1&lt;CapEx!$O$7,0,(VLOOKUP($B21,Inputs!$B$25:$D$44,3,0)*(VLOOKUP(Financials!$B21,Inputs!$B$3:$D$21,3,0)*(1+Inputs!$L$9)^Financials!CR$3)*CR$8))</f>
        <v>1798492.5553530485</v>
      </c>
      <c r="CS21" s="18">
        <f>IF(CS$1&lt;CapEx!$O$7,0,(VLOOKUP($B21,Inputs!$B$25:$D$44,3,0)*(VLOOKUP(Financials!$B21,Inputs!$B$3:$D$21,3,0)*(1+Inputs!$L$9)^Financials!CS$3)*CS$8))</f>
        <v>1743377.4609148102</v>
      </c>
      <c r="CT21" s="18">
        <f>IF(CT$1&lt;CapEx!$O$7,0,(VLOOKUP($B21,Inputs!$B$25:$D$44,3,0)*(VLOOKUP(Financials!$B21,Inputs!$B$3:$D$21,3,0)*(1+Inputs!$L$9)^Financials!CT$3)*CT$8))</f>
        <v>1804492.526350213</v>
      </c>
      <c r="CU21" s="18">
        <f>IF(CU$1&lt;CapEx!$O$7,0,(VLOOKUP($B21,Inputs!$B$25:$D$44,3,0)*(VLOOKUP(Financials!$B21,Inputs!$B$3:$D$21,3,0)*(1+Inputs!$L$9)^Financials!CU$3)*CU$8))</f>
        <v>1807500.01389413</v>
      </c>
      <c r="CV21" s="18">
        <f>IF(CV$1&lt;CapEx!$O$7,0,(VLOOKUP($B21,Inputs!$B$25:$D$44,3,0)*(VLOOKUP(Financials!$B21,Inputs!$B$3:$D$21,3,0)*(1+Inputs!$L$9)^Financials!CV$3)*CV$8))</f>
        <v>1635301.6254736783</v>
      </c>
      <c r="CW21" s="18">
        <f>IF(CW$1&lt;CapEx!$O$7,0,(VLOOKUP($B21,Inputs!$B$25:$D$44,3,0)*(VLOOKUP(Financials!$B21,Inputs!$B$3:$D$21,3,0)*(1+Inputs!$L$9)^Financials!CW$3)*CW$8))</f>
        <v>1813530.0347738159</v>
      </c>
      <c r="CX21" s="18">
        <f>IF(CX$1&lt;CapEx!$O$7,0,(VLOOKUP($B21,Inputs!$B$25:$D$44,3,0)*(VLOOKUP(Financials!$B21,Inputs!$B$3:$D$21,3,0)*(1+Inputs!$L$9)^Financials!CX$3)*CX$8))</f>
        <v>1757954.1143533282</v>
      </c>
      <c r="CY21" s="18">
        <f>IF(CY$1&lt;CapEx!$O$7,0,(VLOOKUP($B21,Inputs!$B$25:$D$44,3,0)*(VLOOKUP(Financials!$B21,Inputs!$B$3:$D$21,3,0)*(1+Inputs!$L$9)^Financials!CY$3)*CY$8))</f>
        <v>1819580.1724731589</v>
      </c>
      <c r="CZ21" s="18">
        <f>IF(CZ$1&lt;CapEx!$O$7,0,(VLOOKUP($B21,Inputs!$B$25:$D$44,3,0)*(VLOOKUP(Financials!$B21,Inputs!$B$3:$D$21,3,0)*(1+Inputs!$L$9)^Financials!CZ$3)*CZ$8))</f>
        <v>1763818.8446070456</v>
      </c>
      <c r="DA21" s="18">
        <f>IF(DA$1&lt;CapEx!$O$7,0,(VLOOKUP($B21,Inputs!$B$25:$D$44,3,0)*(VLOOKUP(Financials!$B21,Inputs!$B$3:$D$21,3,0)*(1+Inputs!$L$9)^Financials!DA$3)*DA$8))</f>
        <v>1825650.4941041043</v>
      </c>
      <c r="DB21" s="18">
        <f>IF(DB$1&lt;CapEx!$O$7,0,(VLOOKUP($B21,Inputs!$B$25:$D$44,3,0)*(VLOOKUP(Financials!$B21,Inputs!$B$3:$D$21,3,0)*(1+Inputs!$L$9)^Financials!DB$3)*DB$8))</f>
        <v>1828693.2449276112</v>
      </c>
      <c r="DC21" s="18">
        <f>IF(DC$1&lt;CapEx!$O$7,0,(VLOOKUP($B21,Inputs!$B$25:$D$44,3,0)*(VLOOKUP(Financials!$B21,Inputs!$B$3:$D$21,3,0)*(1+Inputs!$L$9)^Financials!DC$3)*DC$8))</f>
        <v>1772652.645486281</v>
      </c>
      <c r="DD21" s="18">
        <f>IF(DD$1&lt;CapEx!$O$7,0,(VLOOKUP($B21,Inputs!$B$25:$D$44,3,0)*(VLOOKUP(Financials!$B21,Inputs!$B$3:$D$21,3,0)*(1+Inputs!$L$9)^Financials!DD$3)*DD$8))</f>
        <v>1834793.9687808282</v>
      </c>
      <c r="DE21" s="18">
        <f>IF(DE$1&lt;CapEx!$O$7,0,(VLOOKUP($B21,Inputs!$B$25:$D$44,3,0)*(VLOOKUP(Financials!$B21,Inputs!$B$3:$D$21,3,0)*(1+Inputs!$L$9)^Financials!DE$3)*DE$8))</f>
        <v>1778566.411673029</v>
      </c>
      <c r="DF21" s="18">
        <f>IF(DF$1&lt;CapEx!$O$7,0,(VLOOKUP($B21,Inputs!$B$25:$D$44,3,0)*(VLOOKUP(Financials!$B21,Inputs!$B$3:$D$21,3,0)*(1+Inputs!$L$9)^Financials!DF$3)*DF$8))</f>
        <v>1840915.0453266781</v>
      </c>
      <c r="DG21" s="18">
        <f>IF(DG$1&lt;CapEx!$O$7,0,(VLOOKUP($B21,Inputs!$B$25:$D$44,3,0)*(VLOOKUP(Financials!$B21,Inputs!$B$3:$D$21,3,0)*(1+Inputs!$L$9)^Financials!DG$3)*DG$8))</f>
        <v>1843983.2370688897</v>
      </c>
      <c r="DH21" s="18">
        <f>IF(DH$1&lt;CapEx!$O$7,0,(VLOOKUP($B21,Inputs!$B$25:$D$44,3,0)*(VLOOKUP(Financials!$B21,Inputs!$B$3:$D$21,3,0)*(1+Inputs!$L$9)^Financials!DH$3)*DH$8))</f>
        <v>1668309.1351287777</v>
      </c>
      <c r="DI21" s="18">
        <f>IF(DI$1&lt;CapEx!$O$7,0,(VLOOKUP($B21,Inputs!$B$25:$D$44,3,0)*(VLOOKUP(Financials!$B21,Inputs!$B$3:$D$21,3,0)*(1+Inputs!$L$9)^Financials!DI$3)*DI$8))</f>
        <v>1850134.9700347777</v>
      </c>
      <c r="DJ21" s="18">
        <f>IF(DJ$1&lt;CapEx!$O$7,0,(VLOOKUP($B21,Inputs!$B$25:$D$44,3,0)*(VLOOKUP(Financials!$B21,Inputs!$B$3:$D$21,3,0)*(1+Inputs!$L$9)^Financials!DJ$3)*DJ$8))</f>
        <v>1793437.285469196</v>
      </c>
      <c r="DK21" s="18">
        <f>IF(DK$1&lt;CapEx!$O$7,0,(VLOOKUP($B21,Inputs!$B$25:$D$44,3,0)*(VLOOKUP(Financials!$B21,Inputs!$B$3:$D$21,3,0)*(1+Inputs!$L$9)^Financials!DK$3)*DK$8))</f>
        <v>1856307.2258653664</v>
      </c>
      <c r="DL21" s="18">
        <f>IF(DL$1&lt;CapEx!$O$7,0,(VLOOKUP($B21,Inputs!$B$25:$D$44,3,0)*(VLOOKUP(Financials!$B21,Inputs!$B$3:$D$21,3,0)*(1+Inputs!$L$9)^Financials!DL$3)*DL$8))</f>
        <v>1799420.3915243312</v>
      </c>
      <c r="DM21" s="18">
        <f>IF(DM$1&lt;CapEx!$O$7,0,(VLOOKUP($B21,Inputs!$B$25:$D$44,3,0)*(VLOOKUP(Financials!$B21,Inputs!$B$3:$D$21,3,0)*(1+Inputs!$L$9)^Financials!DM$3)*DM$8))</f>
        <v>1862500.0730272119</v>
      </c>
      <c r="DN21" s="18">
        <f>IF(DN$1&lt;CapEx!$O$7,0,(VLOOKUP($B21,Inputs!$B$25:$D$44,3,0)*(VLOOKUP(Financials!$B21,Inputs!$B$3:$D$21,3,0)*(1+Inputs!$L$9)^Financials!DN$3)*DN$8))</f>
        <v>1865604.2398155909</v>
      </c>
      <c r="DO21" s="18">
        <f>IF(DO$1&lt;CapEx!$O$7,0,(VLOOKUP($B21,Inputs!$B$25:$D$44,3,0)*(VLOOKUP(Financials!$B21,Inputs!$B$3:$D$21,3,0)*(1+Inputs!$L$9)^Financials!DO$3)*DO$8))</f>
        <v>1808432.4969825321</v>
      </c>
      <c r="DP21" s="18">
        <f>IF(DP$1&lt;CapEx!$O$7,0,(VLOOKUP($B21,Inputs!$B$25:$D$44,3,0)*(VLOOKUP(Financials!$B21,Inputs!$B$3:$D$21,3,0)*(1+Inputs!$L$9)^Financials!DP$3)*DP$8))</f>
        <v>1871828.1028489755</v>
      </c>
      <c r="DQ21" s="18">
        <f>IF(DQ$1&lt;CapEx!$O$7,0,(VLOOKUP($B21,Inputs!$B$25:$D$44,3,0)*(VLOOKUP(Financials!$B21,Inputs!$B$3:$D$21,3,0)*(1+Inputs!$L$9)^Financials!DQ$3)*DQ$8))</f>
        <v>1814465.6287294102</v>
      </c>
      <c r="DR21" s="18">
        <f>IF(DR$1&lt;CapEx!$O$7,0,(VLOOKUP($B21,Inputs!$B$25:$D$44,3,0)*(VLOOKUP(Financials!$B21,Inputs!$B$3:$D$21,3,0)*(1+Inputs!$L$9)^Financials!DR$3)*DR$8))</f>
        <v>1878072.7293809804</v>
      </c>
      <c r="DS21" s="18">
        <f>IF(DS$1&lt;CapEx!$O$7,0,(VLOOKUP($B21,Inputs!$B$25:$D$44,3,0)*(VLOOKUP(Financials!$B21,Inputs!$B$3:$D$21,3,0)*(1+Inputs!$L$9)^Financials!DS$3)*DS$8))</f>
        <v>1881202.8505966151</v>
      </c>
      <c r="DT21" s="18">
        <f>IF(DT$1&lt;CapEx!$O$7,0,(VLOOKUP($B21,Inputs!$B$25:$D$44,3,0)*(VLOOKUP(Financials!$B21,Inputs!$B$3:$D$21,3,0)*(1+Inputs!$L$9)^Financials!DT$3)*DT$8))</f>
        <v>1701982.8800989161</v>
      </c>
      <c r="DU21" s="18">
        <f>IF(DU$1&lt;CapEx!$O$7,0,(VLOOKUP($B21,Inputs!$B$25:$D$44,3,0)*(VLOOKUP(Financials!$B21,Inputs!$B$3:$D$21,3,0)*(1+Inputs!$L$9)^Financials!DU$3)*DU$8))</f>
        <v>1887478.7523287449</v>
      </c>
      <c r="DV21" s="18">
        <f>IF(DV$1&lt;CapEx!$O$7,0,(VLOOKUP($B21,Inputs!$B$25:$D$44,3,0)*(VLOOKUP(Financials!$B21,Inputs!$B$3:$D$21,3,0)*(1+Inputs!$L$9)^Financials!DV$3)*DV$8))</f>
        <v>1829636.6615315734</v>
      </c>
      <c r="DW21" s="18">
        <f>IF(DW$1&lt;CapEx!$O$7,0,(VLOOKUP($B21,Inputs!$B$25:$D$44,3,0)*(VLOOKUP(Financials!$B21,Inputs!$B$3:$D$21,3,0)*(1+Inputs!$L$9)^Financials!DW$3)*DW$8))</f>
        <v>1893775.5911663752</v>
      </c>
      <c r="DX21" s="18">
        <f>IF(DX$1&lt;CapEx!$O$7,0,(VLOOKUP($B21,Inputs!$B$25:$D$44,3,0)*(VLOOKUP(Financials!$B21,Inputs!$B$3:$D$21,3,0)*(1+Inputs!$L$9)^Financials!DX$3)*DX$8))</f>
        <v>1835740.5327274059</v>
      </c>
      <c r="DY21" s="18">
        <f>IF(DY$1&lt;CapEx!$O$7,0,(VLOOKUP($B21,Inputs!$B$25:$D$44,3,0)*(VLOOKUP(Financials!$B21,Inputs!$B$3:$D$21,3,0)*(1+Inputs!$L$9)^Financials!DY$3)*DY$8))</f>
        <v>1900093.4369580168</v>
      </c>
      <c r="DZ21" s="18">
        <f>IF(DZ$1&lt;CapEx!$O$7,0,(VLOOKUP($B21,Inputs!$B$25:$D$44,3,0)*(VLOOKUP(Financials!$B21,Inputs!$B$3:$D$21,3,0)*(1+Inputs!$L$9)^Financials!DZ$3)*DZ$8))</f>
        <v>1903260.2593529471</v>
      </c>
      <c r="EA21" s="18">
        <f>IF(EA$1&lt;CapEx!$O$7,0,(VLOOKUP($B21,Inputs!$B$25:$D$44,3,0)*(VLOOKUP(Financials!$B21,Inputs!$B$3:$D$21,3,0)*(1+Inputs!$L$9)^Financials!EA$3)*EA$8))</f>
        <v>1844934.5417276148</v>
      </c>
      <c r="EB21" s="18">
        <f>IF(EB$1&lt;CapEx!$O$7,0,(VLOOKUP($B21,Inputs!$B$25:$D$44,3,0)*(VLOOKUP(Financials!$B21,Inputs!$B$3:$D$21,3,0)*(1+Inputs!$L$9)^Financials!EB$3)*EB$8))</f>
        <v>1909609.7470515105</v>
      </c>
      <c r="EC21" s="18">
        <f>IF(EC$1&lt;CapEx!$O$7,0,(VLOOKUP($B21,Inputs!$B$25:$D$44,3,0)*(VLOOKUP(Financials!$B21,Inputs!$B$3:$D$21,3,0)*(1+Inputs!$L$9)^Financials!EC$3)*EC$8))</f>
        <v>1851089.448351545</v>
      </c>
      <c r="ED21" s="18">
        <f>IF(ED$1&lt;CapEx!$O$7,0,(VLOOKUP($B21,Inputs!$B$25:$D$44,3,0)*(VLOOKUP(Financials!$B21,Inputs!$B$3:$D$21,3,0)*(1+Inputs!$L$9)^Financials!ED$3)*ED$8))</f>
        <v>1915980.4173465357</v>
      </c>
      <c r="EE21" s="18">
        <f>IF(EE$1&lt;CapEx!$O$7,0,(VLOOKUP($B21,Inputs!$B$25:$D$44,3,0)*(VLOOKUP(Financials!$B21,Inputs!$B$3:$D$21,3,0)*(1+Inputs!$L$9)^Financials!EE$3)*EE$8))</f>
        <v>1919173.7180421136</v>
      </c>
      <c r="EF21" s="18">
        <f>IF(EF$1&lt;CapEx!$O$7,0,(VLOOKUP($B21,Inputs!$B$25:$D$44,3,0)*(VLOOKUP(Financials!$B21,Inputs!$B$3:$D$21,3,0)*(1+Inputs!$L$9)^Financials!EF$3)*EF$8))</f>
        <v>1736336.3079146603</v>
      </c>
      <c r="EG21" s="18">
        <f>IF(EG$1&lt;CapEx!$O$7,0,(VLOOKUP($B21,Inputs!$B$25:$D$44,3,0)*(VLOOKUP(Financials!$B21,Inputs!$B$3:$D$21,3,0)*(1+Inputs!$L$9)^Financials!EG$3)*EG$8))</f>
        <v>1925576.2948070262</v>
      </c>
      <c r="EH21" s="18">
        <f>IF(EH$1&lt;CapEx!$O$7,0,(VLOOKUP($B21,Inputs!$B$25:$D$44,3,0)*(VLOOKUP(Financials!$B21,Inputs!$B$3:$D$21,3,0)*(1+Inputs!$L$9)^Financials!EH$3)*EH$8))</f>
        <v>1866566.6986758434</v>
      </c>
      <c r="EI21" s="18">
        <f>IF(EI$1&lt;CapEx!$O$7,0,(VLOOKUP($B21,Inputs!$B$25:$D$44,3,0)*(VLOOKUP(Financials!$B21,Inputs!$B$3:$D$21,3,0)*(1+Inputs!$L$9)^Financials!EI$3)*EI$8))</f>
        <v>1932000.2312794244</v>
      </c>
      <c r="EJ21" s="18">
        <f>IF(EJ$1&lt;CapEx!$O$7,0,(VLOOKUP($B21,Inputs!$B$25:$D$44,3,0)*(VLOOKUP(Financials!$B21,Inputs!$B$3:$D$21,3,0)*(1+Inputs!$L$9)^Financials!EJ$3)*EJ$8))</f>
        <v>1872793.7725789258</v>
      </c>
      <c r="EK21" s="18">
        <f>IF(EK$1&lt;CapEx!$O$7,0,(VLOOKUP($B21,Inputs!$B$25:$D$44,3,0)*(VLOOKUP(Financials!$B21,Inputs!$B$3:$D$21,3,0)*(1+Inputs!$L$9)^Financials!EK$3)*EK$8))</f>
        <v>1938445.5987176653</v>
      </c>
      <c r="EL21" s="18">
        <f>IF(EL$1&lt;CapEx!$O$7,0,(VLOOKUP($B21,Inputs!$B$25:$D$44,3,0)*(VLOOKUP(Financials!$B21,Inputs!$B$3:$D$21,3,0)*(1+Inputs!$L$9)^Financials!EL$3)*EL$8))</f>
        <v>1941676.3413821943</v>
      </c>
      <c r="EM21" s="18">
        <f>IF(EM$1&lt;CapEx!$O$7,0,(VLOOKUP($B21,Inputs!$B$25:$D$44,3,0)*(VLOOKUP(Financials!$B21,Inputs!$B$3:$D$21,3,0)*(1+Inputs!$L$9)^Financials!EM$3)*EM$8))</f>
        <v>1882173.356726934</v>
      </c>
      <c r="EN21" s="18">
        <f>IF(EN$1&lt;CapEx!$O$7,0,(VLOOKUP($B21,Inputs!$B$25:$D$44,3,0)*(VLOOKUP(Financials!$B21,Inputs!$B$3:$D$21,3,0)*(1+Inputs!$L$9)^Financials!EN$3)*EN$8))</f>
        <v>1948153.9893988613</v>
      </c>
      <c r="EO21" s="18">
        <f>IF(EO$1&lt;CapEx!$O$7,0,(VLOOKUP($B21,Inputs!$B$25:$D$44,3,0)*(VLOOKUP(Financials!$B21,Inputs!$B$3:$D$21,3,0)*(1+Inputs!$L$9)^Financials!EO$3)*EO$8))</f>
        <v>1888452.4961753488</v>
      </c>
      <c r="EP21" s="18">
        <f>IF(EP$1&lt;CapEx!$O$7,0,(VLOOKUP($B21,Inputs!$B$25:$D$44,3,0)*(VLOOKUP(Financials!$B21,Inputs!$B$3:$D$21,3,0)*(1+Inputs!$L$9)^Financials!EP$3)*EP$8))</f>
        <v>1954653.2475690511</v>
      </c>
      <c r="EQ21" s="18">
        <f>IF(EQ$1&lt;CapEx!$O$7,0,(VLOOKUP($B21,Inputs!$B$25:$D$44,3,0)*(VLOOKUP(Financials!$B21,Inputs!$B$3:$D$21,3,0)*(1+Inputs!$L$9)^Financials!EQ$3)*EQ$8))</f>
        <v>1957911.0029816662</v>
      </c>
      <c r="ER21" s="18">
        <f>IF(ER$1&lt;CapEx!$O$7,0,(VLOOKUP($B21,Inputs!$B$25:$D$44,3,0)*(VLOOKUP(Financials!$B21,Inputs!$B$3:$D$21,3,0)*(1+Inputs!$L$9)^Financials!ER$3)*ER$8))</f>
        <v>1771383.1375363162</v>
      </c>
      <c r="ES21" s="18">
        <f>IF(ES$1&lt;CapEx!$O$7,0,(VLOOKUP($B21,Inputs!$B$25:$D$44,3,0)*(VLOOKUP(Financials!$B21,Inputs!$B$3:$D$21,3,0)*(1+Inputs!$L$9)^Financials!ES$3)*ES$8))</f>
        <v>1964442.8116332802</v>
      </c>
      <c r="ET21" s="18">
        <f>IF(ET$1&lt;CapEx!$O$7,0,(VLOOKUP($B21,Inputs!$B$25:$D$44,3,0)*(VLOOKUP(Financials!$B21,Inputs!$B$3:$D$21,3,0)*(1+Inputs!$L$9)^Financials!ET$3)*ET$8))</f>
        <v>1904242.1448251638</v>
      </c>
      <c r="EU21" s="18">
        <f>IF(EU$1&lt;CapEx!$O$7,0,(VLOOKUP($B21,Inputs!$B$25:$D$44,3,0)*(VLOOKUP(Financials!$B21,Inputs!$B$3:$D$21,3,0)*(1+Inputs!$L$9)^Financials!EU$3)*EU$8))</f>
        <v>1970996.4111243126</v>
      </c>
      <c r="EV21" s="18">
        <f>IF(EV$1&lt;CapEx!$O$7,0,(VLOOKUP($B21,Inputs!$B$25:$D$44,3,0)*(VLOOKUP(Financials!$B21,Inputs!$B$3:$D$21,3,0)*(1+Inputs!$L$9)^Financials!EV$3)*EV$8))</f>
        <v>1910594.9082027613</v>
      </c>
      <c r="EW21" s="18">
        <f>IF(EW$1&lt;CapEx!$O$7,0,(VLOOKUP($B21,Inputs!$B$25:$D$44,3,0)*(VLOOKUP(Financials!$B21,Inputs!$B$3:$D$21,3,0)*(1+Inputs!$L$9)^Financials!EW$3)*EW$8))</f>
        <v>1977571.8741514245</v>
      </c>
      <c r="EX21" s="18">
        <f>IF(EX$1&lt;CapEx!$O$7,0,(VLOOKUP($B21,Inputs!$B$25:$D$44,3,0)*(VLOOKUP(Financials!$B21,Inputs!$B$3:$D$21,3,0)*(1+Inputs!$L$9)^Financials!EX$3)*EX$8))</f>
        <v>1980867.827275011</v>
      </c>
      <c r="EY21" s="18">
        <f>IF(EY$1&lt;CapEx!$O$7,0,(VLOOKUP($B21,Inputs!$B$25:$D$44,3,0)*(VLOOKUP(Financials!$B21,Inputs!$B$3:$D$21,3,0)*(1+Inputs!$L$9)^Financials!EY$3)*EY$8))</f>
        <v>1920163.8132133575</v>
      </c>
      <c r="EZ21" s="18">
        <f>IF(EZ$1&lt;CapEx!$O$7,0,(VLOOKUP($B21,Inputs!$B$25:$D$44,3,0)*(VLOOKUP(Financials!$B21,Inputs!$B$3:$D$21,3,0)*(1+Inputs!$L$9)^Financials!EZ$3)*EZ$8))</f>
        <v>1987476.2224432256</v>
      </c>
      <c r="FA21" s="18">
        <f>IF(FA$1&lt;CapEx!$O$7,0,(VLOOKUP($B21,Inputs!$B$25:$D$44,3,0)*(VLOOKUP(Financials!$B21,Inputs!$B$3:$D$21,3,0)*(1+Inputs!$L$9)^Financials!FA$3)*FA$8))</f>
        <v>1926569.6930457721</v>
      </c>
      <c r="FB21" s="18">
        <f>IF(FB$1&lt;CapEx!$O$7,0,(VLOOKUP($B21,Inputs!$B$25:$D$44,3,0)*(VLOOKUP(Financials!$B21,Inputs!$B$3:$D$21,3,0)*(1+Inputs!$L$9)^Financials!FB$3)*FB$8))</f>
        <v>1994106.6639519879</v>
      </c>
      <c r="FC21" s="18">
        <f>IF(FC$1&lt;CapEx!$O$7,0,(VLOOKUP($B21,Inputs!$B$25:$D$44,3,0)*(VLOOKUP(Financials!$B21,Inputs!$B$3:$D$21,3,0)*(1+Inputs!$L$9)^Financials!FC$3)*FC$8))</f>
        <v>1997430.1750585749</v>
      </c>
      <c r="FD21" s="18">
        <f>IF(FD$1&lt;CapEx!$O$7,0,(VLOOKUP($B21,Inputs!$B$25:$D$44,3,0)*(VLOOKUP(Financials!$B21,Inputs!$B$3:$D$21,3,0)*(1+Inputs!$L$9)^Financials!FD$3)*FD$8))</f>
        <v>1807137.3648325645</v>
      </c>
      <c r="FE21" s="18">
        <f>IF(FE$1&lt;CapEx!$O$7,0,(VLOOKUP($B21,Inputs!$B$25:$D$44,3,0)*(VLOOKUP(Financials!$B21,Inputs!$B$3:$D$21,3,0)*(1+Inputs!$L$9)^Financials!FE$3)*FE$8))</f>
        <v>2004093.8240592564</v>
      </c>
      <c r="FF21" s="18">
        <f>IF(FF$1&lt;CapEx!$O$7,0,(VLOOKUP($B21,Inputs!$B$25:$D$44,3,0)*(VLOOKUP(Financials!$B21,Inputs!$B$3:$D$21,3,0)*(1+Inputs!$L$9)^Financials!FF$3)*FF$8))</f>
        <v>1942678.0455800218</v>
      </c>
      <c r="FG21" s="18">
        <f>IF(FG$1&lt;CapEx!$O$7,0,(VLOOKUP($B21,Inputs!$B$25:$D$44,3,0)*(VLOOKUP(Financials!$B21,Inputs!$B$3:$D$21,3,0)*(1+Inputs!$L$9)^Financials!FG$3)*FG$8))</f>
        <v>2010779.70373341</v>
      </c>
      <c r="FH21" s="18">
        <f>IF(FH$1&lt;CapEx!$O$7,0,(VLOOKUP($B21,Inputs!$B$25:$D$44,3,0)*(VLOOKUP(Financials!$B21,Inputs!$B$3:$D$21,3,0)*(1+Inputs!$L$9)^Financials!FH$3)*FH$8))</f>
        <v>1949159.0353931927</v>
      </c>
      <c r="FI21" s="18">
        <f>IF(FI$1&lt;CapEx!$O$7,0,(VLOOKUP($B21,Inputs!$B$25:$D$44,3,0)*(VLOOKUP(Financials!$B21,Inputs!$B$3:$D$21,3,0)*(1+Inputs!$L$9)^Financials!FI$3)*FI$8))</f>
        <v>2017487.8882450324</v>
      </c>
      <c r="FJ21" s="18">
        <f>IF(FJ$1&lt;CapEx!$O$7,0,(VLOOKUP($B21,Inputs!$B$25:$D$44,3,0)*(VLOOKUP(Financials!$B21,Inputs!$B$3:$D$21,3,0)*(1+Inputs!$L$9)^Financials!FJ$3)*FJ$8))</f>
        <v>2020850.3680587739</v>
      </c>
      <c r="FK21" s="18">
        <f>IF(FK$1&lt;CapEx!$O$7,0,(VLOOKUP($B21,Inputs!$B$25:$D$44,3,0)*(VLOOKUP(Financials!$B21,Inputs!$B$3:$D$21,3,0)*(1+Inputs!$L$9)^Financials!FK$3)*FK$8))</f>
        <v>1958921.0825860056</v>
      </c>
      <c r="FL21" s="18">
        <f>IF(FL$1&lt;CapEx!$O$7,0,(VLOOKUP($B21,Inputs!$B$25:$D$44,3,0)*(VLOOKUP(Financials!$B21,Inputs!$B$3:$D$21,3,0)*(1+Inputs!$L$9)^Financials!FL$3)*FL$8))</f>
        <v>2027592.149425548</v>
      </c>
      <c r="FM21" s="18">
        <f>IF(FM$1&lt;CapEx!$O$7,0,(VLOOKUP($B21,Inputs!$B$25:$D$44,3,0)*(VLOOKUP(Financials!$B21,Inputs!$B$3:$D$21,3,0)*(1+Inputs!$L$9)^Financials!FM$3)*FM$8))</f>
        <v>1965456.2609754105</v>
      </c>
      <c r="FN21" s="18">
        <f>IF(FN$1&lt;CapEx!$O$7,0,(VLOOKUP($B21,Inputs!$B$25:$D$44,3,0)*(VLOOKUP(Financials!$B21,Inputs!$B$3:$D$21,3,0)*(1+Inputs!$L$9)^Financials!FN$3)*FN$8))</f>
        <v>2034356.4221240492</v>
      </c>
      <c r="FO21" s="18">
        <f>IF(FO$1&lt;CapEx!$O$7,0,(VLOOKUP($B21,Inputs!$B$25:$D$44,3,0)*(VLOOKUP(Financials!$B21,Inputs!$B$3:$D$21,3,0)*(1+Inputs!$L$9)^Financials!FO$3)*FO$8))</f>
        <v>2037747.0161609221</v>
      </c>
      <c r="FP21" s="18">
        <f>IF(FP$1&lt;CapEx!$O$7,0,(VLOOKUP($B21,Inputs!$B$25:$D$44,3,0)*(VLOOKUP(Financials!$B21,Inputs!$B$3:$D$21,3,0)*(1+Inputs!$L$9)^Financials!FP$3)*FP$8))</f>
        <v>1843613.2681696774</v>
      </c>
      <c r="FQ21" s="18">
        <f>IF(FQ$1&lt;CapEx!$O$7,0,(VLOOKUP($B21,Inputs!$B$25:$D$44,3,0)*(VLOOKUP(Financials!$B21,Inputs!$B$3:$D$21,3,0)*(1+Inputs!$L$9)^Financials!FQ$3)*FQ$8))</f>
        <v>2044545.1666231705</v>
      </c>
      <c r="FR21" s="18">
        <f>IF(FR$1&lt;CapEx!$O$7,0,(VLOOKUP($B21,Inputs!$B$25:$D$44,3,0)*(VLOOKUP(Financials!$B21,Inputs!$B$3:$D$21,3,0)*(1+Inputs!$L$9)^Financials!FR$3)*FR$8))</f>
        <v>1981889.7502266536</v>
      </c>
      <c r="FS21" s="18">
        <f>IF(FS$1&lt;CapEx!$O$7,0,(VLOOKUP($B21,Inputs!$B$25:$D$44,3,0)*(VLOOKUP(Financials!$B21,Inputs!$B$3:$D$21,3,0)*(1+Inputs!$L$9)^Financials!FS$3)*FS$8))</f>
        <v>2051365.996470711</v>
      </c>
      <c r="FT21" s="18">
        <f>IF(FT$1&lt;CapEx!$O$7,0,(VLOOKUP($B21,Inputs!$B$25:$D$44,3,0)*(VLOOKUP(Financials!$B21,Inputs!$B$3:$D$21,3,0)*(1+Inputs!$L$9)^Financials!FT$3)*FT$8))</f>
        <v>1988501.5546433826</v>
      </c>
      <c r="FU21" s="18">
        <f>IF(FU$1&lt;CapEx!$O$7,0,(VLOOKUP($B21,Inputs!$B$25:$D$44,3,0)*(VLOOKUP(Financials!$B21,Inputs!$B$3:$D$21,3,0)*(1+Inputs!$L$9)^Financials!FU$3)*FU$8))</f>
        <v>2058209.5813644922</v>
      </c>
      <c r="FV21" s="18">
        <f>IF(FV$1&lt;CapEx!$O$7,0,(VLOOKUP($B21,Inputs!$B$25:$D$44,3,0)*(VLOOKUP(Financials!$B21,Inputs!$B$3:$D$21,3,0)*(1+Inputs!$L$9)^Financials!FV$3)*FV$8))</f>
        <v>2061639.9306667671</v>
      </c>
      <c r="FW21" s="18">
        <f>IF(FW$1&lt;CapEx!$O$7,0,(VLOOKUP($B21,Inputs!$B$25:$D$44,3,0)*(VLOOKUP(Financials!$B21,Inputs!$B$3:$D$21,3,0)*(1+Inputs!$L$9)^Financials!FW$3)*FW$8))</f>
        <v>1998460.6424689149</v>
      </c>
      <c r="FX21" s="18">
        <f>IF(FX$1&lt;CapEx!$O$7,0,(VLOOKUP($B21,Inputs!$B$25:$D$44,3,0)*(VLOOKUP(Financials!$B21,Inputs!$B$3:$D$21,3,0)*(1+Inputs!$L$9)^Financials!FX$3)*FX$8))</f>
        <v>2068517.7905465751</v>
      </c>
      <c r="FY21" s="18">
        <f>IF(FY$1&lt;CapEx!$O$7,0,(VLOOKUP($B21,Inputs!$B$25:$D$44,3,0)*(VLOOKUP(Financials!$B21,Inputs!$B$3:$D$21,3,0)*(1+Inputs!$L$9)^Financials!FY$3)*FY$8))</f>
        <v>2005127.7292233738</v>
      </c>
      <c r="FZ21" s="18">
        <f>IF(FZ$1&lt;CapEx!$O$7,0,(VLOOKUP($B21,Inputs!$B$25:$D$44,3,0)*(VLOOKUP(Financials!$B21,Inputs!$B$3:$D$21,3,0)*(1+Inputs!$L$9)^Financials!FZ$3)*FZ$8))</f>
        <v>2075418.5957311487</v>
      </c>
      <c r="GA21" s="18">
        <f>IF(GA$1&lt;CapEx!$O$7,0,(VLOOKUP($B21,Inputs!$B$25:$D$44,3,0)*(VLOOKUP(Financials!$B21,Inputs!$B$3:$D$21,3,0)*(1+Inputs!$L$9)^Financials!GA$3)*GA$8))</f>
        <v>2078877.6267240343</v>
      </c>
      <c r="GB21" s="18">
        <f>IF(GB$1&lt;CapEx!$O$7,0,(VLOOKUP($B21,Inputs!$B$25:$D$44,3,0)*(VLOOKUP(Financials!$B21,Inputs!$B$3:$D$21,3,0)*(1+Inputs!$L$9)^Financials!GB$3)*GB$8))</f>
        <v>1880825.4141135509</v>
      </c>
      <c r="GC21" s="18">
        <f>IF(GC$1&lt;CapEx!$O$7,0,(VLOOKUP($B21,Inputs!$B$25:$D$44,3,0)*(VLOOKUP(Financials!$B21,Inputs!$B$3:$D$21,3,0)*(1+Inputs!$L$9)^Financials!GC$3)*GC$8))</f>
        <v>2085812.9934731887</v>
      </c>
      <c r="GD21" s="18">
        <f>IF(GD$1&lt;CapEx!$O$7,0,(VLOOKUP($B21,Inputs!$B$25:$D$44,3,0)*(VLOOKUP(Financials!$B21,Inputs!$B$3:$D$21,3,0)*(1+Inputs!$L$9)^Financials!GD$3)*GD$8))</f>
        <v>2021892.9178667529</v>
      </c>
      <c r="GE21" s="18">
        <f>IF(GE$1&lt;CapEx!$O$7,0,(VLOOKUP($B21,Inputs!$B$25:$D$44,3,0)*(VLOOKUP(Financials!$B21,Inputs!$B$3:$D$21,3,0)*(1+Inputs!$L$9)^Financials!GE$3)*GE$8))</f>
        <v>2092771.4973764149</v>
      </c>
      <c r="GF21" s="18">
        <f>IF(GF$1&lt;CapEx!$O$7,0,(VLOOKUP($B21,Inputs!$B$25:$D$44,3,0)*(VLOOKUP(Financials!$B21,Inputs!$B$3:$D$21,3,0)*(1+Inputs!$L$9)^Financials!GF$3)*GF$8))</f>
        <v>2028638.1772955246</v>
      </c>
      <c r="GG21" s="18">
        <f>IF(GG$1&lt;CapEx!$O$7,0,(VLOOKUP($B21,Inputs!$B$25:$D$44,3,0)*(VLOOKUP(Financials!$B21,Inputs!$B$3:$D$21,3,0)*(1+Inputs!$L$9)^Financials!GG$3)*GG$8))</f>
        <v>2099753.215621829</v>
      </c>
      <c r="GH21" s="18">
        <f>IF(GH$1&lt;CapEx!$O$7,0,(VLOOKUP($B21,Inputs!$B$25:$D$44,3,0)*(VLOOKUP(Financials!$B21,Inputs!$B$3:$D$21,3,0)*(1+Inputs!$L$9)^Financials!GH$3)*GH$8))</f>
        <v>2103252.8043145323</v>
      </c>
      <c r="GI21" s="18">
        <f>IF(GI$1&lt;CapEx!$O$7,0,(VLOOKUP($B21,Inputs!$B$25:$D$44,3,0)*(VLOOKUP(Financials!$B21,Inputs!$B$3:$D$21,3,0)*(1+Inputs!$L$9)^Financials!GI$3)*GI$8))</f>
        <v>2038798.2828919902</v>
      </c>
      <c r="GJ21" s="18">
        <f>IF(GJ$1&lt;CapEx!$O$7,0,(VLOOKUP($B21,Inputs!$B$25:$D$44,3,0)*(VLOOKUP(Financials!$B21,Inputs!$B$3:$D$21,3,0)*(1+Inputs!$L$9)^Financials!GJ$3)*GJ$8))</f>
        <v>2110269.489364482</v>
      </c>
      <c r="GK21" s="18">
        <f>IF(GK$1&lt;CapEx!$O$7,0,(VLOOKUP($B21,Inputs!$B$25:$D$44,3,0)*(VLOOKUP(Financials!$B21,Inputs!$B$3:$D$21,3,0)*(1+Inputs!$L$9)^Financials!GK$3)*GK$8))</f>
        <v>2045599.9404968608</v>
      </c>
      <c r="GL21" s="18">
        <f>IF(GL$1&lt;CapEx!$O$7,0,(VLOOKUP($B21,Inputs!$B$25:$D$44,3,0)*(VLOOKUP(Financials!$B21,Inputs!$B$3:$D$21,3,0)*(1+Inputs!$L$9)^Financials!GL$3)*GL$8))</f>
        <v>2117309.5828553904</v>
      </c>
      <c r="GM21" s="18">
        <f>IF(GM$1&lt;CapEx!$O$7,0,(VLOOKUP($B21,Inputs!$B$25:$D$44,3,0)*(VLOOKUP(Financials!$B21,Inputs!$B$3:$D$21,3,0)*(1+Inputs!$L$9)^Financials!GM$3)*GM$8))</f>
        <v>2120838.4321601489</v>
      </c>
      <c r="GN21" s="18">
        <f>IF(GN$1&lt;CapEx!$O$7,0,(VLOOKUP($B21,Inputs!$B$25:$D$44,3,0)*(VLOOKUP(Financials!$B21,Inputs!$B$3:$D$21,3,0)*(1+Inputs!$L$9)^Financials!GN$3)*GN$8))</f>
        <v>1918788.663246827</v>
      </c>
      <c r="GO21" s="18">
        <f>IF(GO$1&lt;CapEx!$O$7,0,(VLOOKUP($B21,Inputs!$B$25:$D$44,3,0)*(VLOOKUP(Financials!$B21,Inputs!$B$3:$D$21,3,0)*(1+Inputs!$L$9)^Financials!GO$3)*GO$8))</f>
        <v>2127913.7848185506</v>
      </c>
      <c r="GP21" s="18">
        <f>IF(GP$1&lt;CapEx!$O$7,0,(VLOOKUP($B21,Inputs!$B$25:$D$44,3,0)*(VLOOKUP(Financials!$B21,Inputs!$B$3:$D$21,3,0)*(1+Inputs!$L$9)^Financials!GP$3)*GP$8))</f>
        <v>2062703.523670885</v>
      </c>
      <c r="GQ21" s="18">
        <f>IF(GQ$1&lt;CapEx!$O$7,0,(VLOOKUP($B21,Inputs!$B$25:$D$44,3,0)*(VLOOKUP(Financials!$B21,Inputs!$B$3:$D$21,3,0)*(1+Inputs!$L$9)^Financials!GQ$3)*GQ$8))</f>
        <v>2135012.7416395703</v>
      </c>
      <c r="GR21" s="18">
        <f>IF(GR$1&lt;CapEx!$O$7,0,(VLOOKUP($B21,Inputs!$B$25:$D$44,3,0)*(VLOOKUP(Financials!$B21,Inputs!$B$3:$D$21,3,0)*(1+Inputs!$L$9)^Financials!GR$3)*GR$8))</f>
        <v>2069584.9318151318</v>
      </c>
      <c r="GS21" s="18">
        <f>IF(GS$1&lt;CapEx!$O$7,0,(VLOOKUP($B21,Inputs!$B$25:$D$44,3,0)*(VLOOKUP(Financials!$B21,Inputs!$B$3:$D$21,3,0)*(1+Inputs!$L$9)^Financials!GS$3)*GS$8))</f>
        <v>2142135.3813693179</v>
      </c>
      <c r="GT21" s="18">
        <f>IF(GT$1&lt;CapEx!$O$7,0,(VLOOKUP($B21,Inputs!$B$25:$D$44,3,0)*(VLOOKUP(Financials!$B21,Inputs!$B$3:$D$21,3,0)*(1+Inputs!$L$9)^Financials!GT$3)*GT$8))</f>
        <v>2145705.607004934</v>
      </c>
      <c r="GU21" s="18">
        <f>IF(GU$1&lt;CapEx!$O$7,0,(VLOOKUP($B21,Inputs!$B$25:$D$44,3,0)*(VLOOKUP(Financials!$B21,Inputs!$B$3:$D$21,3,0)*(1+Inputs!$L$9)^Financials!GU$3)*GU$8))</f>
        <v>2079950.1125967181</v>
      </c>
      <c r="GV21" s="18">
        <f>IF(GV$1&lt;CapEx!$O$7,0,(VLOOKUP($B21,Inputs!$B$25:$D$44,3,0)*(VLOOKUP(Financials!$B21,Inputs!$B$3:$D$21,3,0)*(1+Inputs!$L$9)^Financials!GV$3)*GV$8))</f>
        <v>2152863.9193216367</v>
      </c>
      <c r="GW21" s="18">
        <f>IF(GW$1&lt;CapEx!$O$7,0,(VLOOKUP($B21,Inputs!$B$25:$D$44,3,0)*(VLOOKUP(Financials!$B21,Inputs!$B$3:$D$21,3,0)*(1+Inputs!$L$9)^Financials!GW$3)*GW$8))</f>
        <v>2086889.0572779088</v>
      </c>
      <c r="GX21" s="18">
        <f>IF(GX$1&lt;CapEx!$O$7,0,(VLOOKUP($B21,Inputs!$B$25:$D$44,3,0)*(VLOOKUP(Financials!$B21,Inputs!$B$3:$D$21,3,0)*(1+Inputs!$L$9)^Financials!GX$3)*GX$8))</f>
        <v>2160046.1125635956</v>
      </c>
      <c r="GY21" s="18">
        <f>IF(GY$1&lt;CapEx!$O$7,0,(VLOOKUP($B21,Inputs!$B$25:$D$44,3,0)*(VLOOKUP(Financials!$B21,Inputs!$B$3:$D$21,3,0)*(1+Inputs!$L$9)^Financials!GY$3)*GY$8))</f>
        <v>2163646.1894178689</v>
      </c>
      <c r="GZ21" s="18">
        <f>IF(GZ$1&lt;CapEx!$O$7,0,(VLOOKUP($B21,Inputs!$B$25:$D$44,3,0)*(VLOOKUP(Financials!$B21,Inputs!$B$3:$D$21,3,0)*(1+Inputs!$L$9)^Financials!GZ$3)*GZ$8))</f>
        <v>1957518.1761034352</v>
      </c>
      <c r="HA21" s="18">
        <f>IF(HA$1&lt;CapEx!$O$7,0,(VLOOKUP($B21,Inputs!$B$25:$D$44,3,0)*(VLOOKUP(Financials!$B21,Inputs!$B$3:$D$21,3,0)*(1+Inputs!$L$9)^Financials!HA$3)*HA$8))</f>
        <v>2170864.3535108995</v>
      </c>
      <c r="HB21" s="18">
        <f>IF(HB$1&lt;CapEx!$O$7,0,(VLOOKUP($B21,Inputs!$B$25:$D$44,3,0)*(VLOOKUP(Financials!$B21,Inputs!$B$3:$D$21,3,0)*(1+Inputs!$L$9)^Financials!HB$3)*HB$8))</f>
        <v>2104337.8652581465</v>
      </c>
      <c r="HC21" s="18">
        <f>IF(HC$1&lt;CapEx!$O$7,0,(VLOOKUP($B21,Inputs!$B$25:$D$44,3,0)*(VLOOKUP(Financials!$B21,Inputs!$B$3:$D$21,3,0)*(1+Inputs!$L$9)^Financials!HC$3)*HC$8))</f>
        <v>2178106.5982013629</v>
      </c>
      <c r="HD21" s="18">
        <f>IF(HD$1&lt;CapEx!$O$7,0,(VLOOKUP($B21,Inputs!$B$25:$D$44,3,0)*(VLOOKUP(Financials!$B21,Inputs!$B$3:$D$21,3,0)*(1+Inputs!$L$9)^Financials!HD$3)*HD$8))</f>
        <v>2111358.170191966</v>
      </c>
      <c r="HE21" s="18">
        <f>IF(HE$1&lt;CapEx!$O$7,0,(VLOOKUP($B21,Inputs!$B$25:$D$44,3,0)*(VLOOKUP(Financials!$B21,Inputs!$B$3:$D$21,3,0)*(1+Inputs!$L$9)^Financials!HE$3)*HE$8))</f>
        <v>2185373.0038248068</v>
      </c>
      <c r="HF21" s="18">
        <f>IF(HF$1&lt;CapEx!$O$7,0,(VLOOKUP($B21,Inputs!$B$25:$D$44,3,0)*(VLOOKUP(Financials!$B21,Inputs!$B$3:$D$21,3,0)*(1+Inputs!$L$9)^Financials!HF$3)*HF$8))</f>
        <v>2189015.2921645148</v>
      </c>
      <c r="HG21" s="18">
        <f>IF(HG$1&lt;CapEx!$O$7,0,(VLOOKUP($B21,Inputs!$B$25:$D$44,3,0)*(VLOOKUP(Financials!$B21,Inputs!$B$3:$D$21,3,0)*(1+Inputs!$L$9)^Financials!HG$3)*HG$8))</f>
        <v>2121932.5654691504</v>
      </c>
      <c r="HH21" s="18">
        <f>IF(HH$1&lt;CapEx!$O$7,0,(VLOOKUP($B21,Inputs!$B$25:$D$44,3,0)*(VLOOKUP(Financials!$B21,Inputs!$B$3:$D$21,3,0)*(1+Inputs!$L$9)^Financials!HH$3)*HH$8))</f>
        <v>2196318.0904030968</v>
      </c>
      <c r="HI21" s="18">
        <f>IF(HI$1&lt;CapEx!$O$7,0,(VLOOKUP($B21,Inputs!$B$25:$D$44,3,0)*(VLOOKUP(Financials!$B21,Inputs!$B$3:$D$21,3,0)*(1+Inputs!$L$9)^Financials!HI$3)*HI$8))</f>
        <v>2129011.568277841</v>
      </c>
      <c r="HJ21" s="18">
        <f>IF(HJ$1&lt;CapEx!$O$7,0,(VLOOKUP($B21,Inputs!$B$25:$D$44,3,0)*(VLOOKUP(Financials!$B21,Inputs!$B$3:$D$21,3,0)*(1+Inputs!$L$9)^Financials!HJ$3)*HJ$8))</f>
        <v>2203645.2515880256</v>
      </c>
      <c r="HK21" s="18">
        <f>IF(HK$1&lt;CapEx!$O$7,0,(VLOOKUP($B21,Inputs!$B$25:$D$44,3,0)*(VLOOKUP(Financials!$B21,Inputs!$B$3:$D$21,3,0)*(1+Inputs!$L$9)^Financials!HK$3)*HK$8))</f>
        <v>2207317.9936740054</v>
      </c>
      <c r="HL21" s="18">
        <f>IF(HL$1&lt;CapEx!$O$7,0,(VLOOKUP($B21,Inputs!$B$25:$D$44,3,0)*(VLOOKUP(Financials!$B21,Inputs!$B$3:$D$21,3,0)*(1+Inputs!$L$9)^Financials!HL$3)*HL$8))</f>
        <v>1997029.4192229123</v>
      </c>
      <c r="HM21" s="18">
        <f>IF(HM$1&lt;CapEx!$O$7,0,(VLOOKUP($B21,Inputs!$B$25:$D$44,3,0)*(VLOOKUP(Financials!$B21,Inputs!$B$3:$D$21,3,0)*(1+Inputs!$L$9)^Financials!HM$3)*HM$8))</f>
        <v>2214681.8517584573</v>
      </c>
      <c r="HN21" s="18">
        <f>IF(HN$1&lt;CapEx!$O$7,0,(VLOOKUP($B21,Inputs!$B$25:$D$44,3,0)*(VLOOKUP(Financials!$B21,Inputs!$B$3:$D$21,3,0)*(1+Inputs!$L$9)^Financials!HN$3)*HN$8))</f>
        <v>2146812.5692045689</v>
      </c>
      <c r="HO21" s="18">
        <f>IF(HO$1&lt;CapEx!$O$7,0,(VLOOKUP($B21,Inputs!$B$25:$D$44,3,0)*(VLOOKUP(Financials!$B21,Inputs!$B$3:$D$21,3,0)*(1+Inputs!$L$9)^Financials!HO$3)*HO$8))</f>
        <v>2222070.2764916853</v>
      </c>
      <c r="HP21" s="18">
        <f>IF(HP$1&lt;CapEx!$O$7,0,(VLOOKUP($B21,Inputs!$B$25:$D$44,3,0)*(VLOOKUP(Financials!$B21,Inputs!$B$3:$D$21,3,0)*(1+Inputs!$L$9)^Financials!HP$3)*HP$8))</f>
        <v>2153974.5744701657</v>
      </c>
      <c r="HQ21" s="18">
        <f>IF(HQ$1&lt;CapEx!$O$7,0,(VLOOKUP($B21,Inputs!$B$25:$D$44,3,0)*(VLOOKUP(Financials!$B21,Inputs!$B$3:$D$21,3,0)*(1+Inputs!$L$9)^Financials!HQ$3)*HQ$8))</f>
        <v>2229483.3498307588</v>
      </c>
      <c r="HR21" s="18">
        <f>IF(HR$1&lt;CapEx!$O$7,0,(VLOOKUP($B21,Inputs!$B$25:$D$44,3,0)*(VLOOKUP(Financials!$B21,Inputs!$B$3:$D$21,3,0)*(1+Inputs!$L$9)^Financials!HR$3)*HR$8))</f>
        <v>2233199.1554138106</v>
      </c>
      <c r="HS21" s="18">
        <f>IF(HS$1&lt;CapEx!$O$7,0,(VLOOKUP($B21,Inputs!$B$25:$D$44,3,0)*(VLOOKUP(Financials!$B21,Inputs!$B$3:$D$21,3,0)*(1+Inputs!$L$9)^Financials!HS$3)*HS$8))</f>
        <v>2164762.4071027422</v>
      </c>
      <c r="HT21" s="18">
        <f>IF(HT$1&lt;CapEx!$O$7,0,(VLOOKUP($B21,Inputs!$B$25:$D$44,3,0)*(VLOOKUP(Financials!$B21,Inputs!$B$3:$D$21,3,0)*(1+Inputs!$L$9)^Financials!HT$3)*HT$8))</f>
        <v>2240649.3559295107</v>
      </c>
      <c r="HU21" s="18">
        <f>IF(HU$1&lt;CapEx!$O$7,0,(VLOOKUP($B21,Inputs!$B$25:$D$44,3,0)*(VLOOKUP(Financials!$B21,Inputs!$B$3:$D$21,3,0)*(1+Inputs!$L$9)^Financials!HU$3)*HU$8))</f>
        <v>2171984.2950219936</v>
      </c>
      <c r="HV21" s="18">
        <f>IF(HV$1&lt;CapEx!$O$7,0,(VLOOKUP($B21,Inputs!$B$25:$D$44,3,0)*(VLOOKUP(Financials!$B21,Inputs!$B$3:$D$21,3,0)*(1+Inputs!$L$9)^Financials!HV$3)*HV$8))</f>
        <v>2248124.4111419315</v>
      </c>
      <c r="HW21" s="18">
        <f>IF(HW$1&lt;CapEx!$O$7,0,(VLOOKUP($B21,Inputs!$B$25:$D$44,3,0)*(VLOOKUP(Financials!$B21,Inputs!$B$3:$D$21,3,0)*(1+Inputs!$L$9)^Financials!HW$3)*HW$8))</f>
        <v>2251871.2851605024</v>
      </c>
      <c r="HX21" s="18">
        <f>IF(HX$1&lt;CapEx!$O$7,0,(VLOOKUP($B21,Inputs!$B$25:$D$44,3,0)*(VLOOKUP(Financials!$B21,Inputs!$B$3:$D$21,3,0)*(1+Inputs!$L$9)^Financials!HX$3)*HX$8))</f>
        <v>2037338.1713269313</v>
      </c>
      <c r="HY21" s="18">
        <f>IF(HY$1&lt;CapEx!$O$7,0,(VLOOKUP($B21,Inputs!$B$25:$D$44,3,0)*(VLOOKUP(Financials!$B21,Inputs!$B$3:$D$21,3,0)*(1+Inputs!$L$9)^Financials!HY$3)*HY$8))</f>
        <v>2259383.777975718</v>
      </c>
      <c r="HZ21" s="18">
        <f>IF(HZ$1&lt;CapEx!$O$7,0,(VLOOKUP($B21,Inputs!$B$25:$D$44,3,0)*(VLOOKUP(Financials!$B21,Inputs!$B$3:$D$21,3,0)*(1+Inputs!$L$9)^Financials!HZ$3)*HZ$8))</f>
        <v>2190144.5976829142</v>
      </c>
      <c r="IA21" s="18">
        <f>IF(IA$1&lt;CapEx!$O$7,0,(VLOOKUP($B21,Inputs!$B$25:$D$44,3,0)*(VLOOKUP(Financials!$B21,Inputs!$B$3:$D$21,3,0)*(1+Inputs!$L$9)^Financials!IA$3)*IA$8))</f>
        <v>2266921.3333016871</v>
      </c>
      <c r="IB21" s="18">
        <f>IF(IB$1&lt;CapEx!$O$7,0,(VLOOKUP($B21,Inputs!$B$25:$D$44,3,0)*(VLOOKUP(Financials!$B21,Inputs!$B$3:$D$21,3,0)*(1+Inputs!$L$9)^Financials!IB$3)*IB$8))</f>
        <v>2197451.163410184</v>
      </c>
      <c r="IC21" s="18">
        <f>IF(IC$1&lt;CapEx!$O$7,0,(VLOOKUP($B21,Inputs!$B$25:$D$44,3,0)*(VLOOKUP(Financials!$B21,Inputs!$B$3:$D$21,3,0)*(1+Inputs!$L$9)^Financials!IC$3)*IC$8))</f>
        <v>2274484.03474973</v>
      </c>
      <c r="ID21" s="18">
        <f>IF(ID$1&lt;CapEx!$O$7,0,(VLOOKUP($B21,Inputs!$B$25:$D$44,3,0)*(VLOOKUP(Financials!$B21,Inputs!$B$3:$D$21,3,0)*(1+Inputs!$L$9)^Financials!ID$3)*ID$8))</f>
        <v>2278274.8414743133</v>
      </c>
      <c r="IE21" s="18">
        <f>IF(IE$1&lt;CapEx!$O$7,0,(VLOOKUP($B21,Inputs!$B$25:$D$44,3,0)*(VLOOKUP(Financials!$B21,Inputs!$B$3:$D$21,3,0)*(1+Inputs!$L$9)^Financials!IE$3)*IE$8))</f>
        <v>2208456.7414936493</v>
      </c>
      <c r="IF21" s="18">
        <f>IF(IF$1&lt;CapEx!$O$7,0,(VLOOKUP($B21,Inputs!$B$25:$D$44,3,0)*(VLOOKUP(Financials!$B21,Inputs!$B$3:$D$21,3,0)*(1+Inputs!$L$9)^Financials!IF$3)*IF$8))</f>
        <v>2285875.4194871206</v>
      </c>
      <c r="IG21" s="18">
        <f>IF(IG$1&lt;CapEx!$O$7,0,(VLOOKUP($B21,Inputs!$B$25:$D$44,3,0)*(VLOOKUP(Financials!$B21,Inputs!$B$3:$D$21,3,0)*(1+Inputs!$L$9)^Financials!IG$3)*IG$8))</f>
        <v>2215824.3985673543</v>
      </c>
      <c r="IH21" s="18">
        <f>IF(IH$1&lt;CapEx!$O$7,0,(VLOOKUP($B21,Inputs!$B$25:$D$44,3,0)*(VLOOKUP(Financials!$B21,Inputs!$B$3:$D$21,3,0)*(1+Inputs!$L$9)^Financials!IH$3)*IH$8))</f>
        <v>2293501.3538726885</v>
      </c>
      <c r="II21" s="18">
        <f>IF(II$1&lt;CapEx!$O$7,0,(VLOOKUP($B21,Inputs!$B$25:$D$44,3,0)*(VLOOKUP(Financials!$B21,Inputs!$B$3:$D$21,3,0)*(1+Inputs!$L$9)^Financials!II$3)*II$8))</f>
        <v>2297323.8561291429</v>
      </c>
      <c r="IJ21" s="18">
        <f>IF(IJ$1&lt;CapEx!$O$7,0,(VLOOKUP($B21,Inputs!$B$25:$D$44,3,0)*(VLOOKUP(Financials!$B21,Inputs!$B$3:$D$21,3,0)*(1+Inputs!$L$9)^Financials!IJ$3)*IJ$8))</f>
        <v>2078460.5296204954</v>
      </c>
      <c r="IK21" s="18">
        <f>IF(IK$1&lt;CapEx!$O$7,0,(VLOOKUP($B21,Inputs!$B$25:$D$44,3,0)*(VLOOKUP(Financials!$B21,Inputs!$B$3:$D$21,3,0)*(1+Inputs!$L$9)^Financials!IK$3)*IK$8))</f>
        <v>2304987.9837713963</v>
      </c>
      <c r="IL21" s="18">
        <f>IF(IL$1&lt;CapEx!$O$7,0,(VLOOKUP($B21,Inputs!$B$25:$D$44,3,0)*(VLOOKUP(Financials!$B21,Inputs!$B$3:$D$21,3,0)*(1+Inputs!$L$9)^Financials!IL$3)*IL$8))</f>
        <v>2234351.2552364659</v>
      </c>
      <c r="IM21" s="18">
        <f>IF(IM$1&lt;CapEx!$O$7,0,(VLOOKUP($B21,Inputs!$B$25:$D$44,3,0)*(VLOOKUP(Financials!$B21,Inputs!$B$3:$D$21,3,0)*(1+Inputs!$L$9)^Financials!IM$3)*IM$8))</f>
        <v>2312677.6797950338</v>
      </c>
      <c r="IN21" s="18">
        <f>IF(IN$1&lt;CapEx!$O$7,0,(VLOOKUP($B21,Inputs!$B$25:$D$44,3,0)*(VLOOKUP(Financials!$B21,Inputs!$B$3:$D$21,3,0)*(1+Inputs!$L$9)^Financials!IN$3)*IN$8))</f>
        <v>2241805.2992851855</v>
      </c>
      <c r="IO21" s="18">
        <f>IF(IO$1&lt;CapEx!$O$7,0,(VLOOKUP($B21,Inputs!$B$25:$D$44,3,0)*(VLOOKUP(Financials!$B21,Inputs!$B$3:$D$21,3,0)*(1+Inputs!$L$9)^Financials!IO$3)*IO$8))</f>
        <v>2320393.0294990172</v>
      </c>
      <c r="IP21" s="18">
        <f>IF(IP$1&lt;CapEx!$O$7,0,(VLOOKUP($B21,Inputs!$B$25:$D$44,3,0)*(VLOOKUP(Financials!$B21,Inputs!$B$3:$D$21,3,0)*(1+Inputs!$L$9)^Financials!IP$3)*IP$8))</f>
        <v>2324260.3512148494</v>
      </c>
      <c r="IQ21" s="18">
        <f>IF(IQ$1&lt;CapEx!$O$7,0,(VLOOKUP($B21,Inputs!$B$25:$D$44,3,0)*(VLOOKUP(Financials!$B21,Inputs!$B$3:$D$21,3,0)*(1+Inputs!$L$9)^Financials!IQ$3)*IQ$8))</f>
        <v>2253033.0178711675</v>
      </c>
      <c r="IR21" s="18">
        <f>IF(IR$1&lt;CapEx!$O$7,0,(VLOOKUP($B21,Inputs!$B$25:$D$44,3,0)*(VLOOKUP(Financials!$B21,Inputs!$B$3:$D$21,3,0)*(1+Inputs!$L$9)^Financials!IR$3)*IR$8))</f>
        <v>2332014.3419976509</v>
      </c>
      <c r="IS21" s="18">
        <f>IF(IS$1&lt;CapEx!$O$7,0,(VLOOKUP($B21,Inputs!$B$25:$D$44,3,0)*(VLOOKUP(Financials!$B21,Inputs!$B$3:$D$21,3,0)*(1+Inputs!$L$9)^Financials!IS$3)*IS$8))</f>
        <v>2260549.3863557884</v>
      </c>
      <c r="IT21" s="18">
        <f>IF(IT$1&lt;CapEx!$O$7,0,(VLOOKUP($B21,Inputs!$B$25:$D$44,3,0)*(VLOOKUP(Financials!$B21,Inputs!$B$3:$D$21,3,0)*(1+Inputs!$L$9)^Financials!IT$3)*IT$8))</f>
        <v>2339794.2009552605</v>
      </c>
      <c r="IU21" s="18">
        <f>IF(IU$1&lt;CapEx!$O$7,0,(VLOOKUP($B21,Inputs!$B$25:$D$44,3,0)*(VLOOKUP(Financials!$B21,Inputs!$B$3:$D$21,3,0)*(1+Inputs!$L$9)^Financials!IU$3)*IU$8))</f>
        <v>2343693.8579568532</v>
      </c>
      <c r="IV21" s="18">
        <f>IF(IV$1&lt;CapEx!$O$7,0,(VLOOKUP($B21,Inputs!$B$25:$D$44,3,0)*(VLOOKUP(Financials!$B21,Inputs!$B$3:$D$21,3,0)*(1+Inputs!$L$9)^Financials!IV$3)*IV$8))</f>
        <v>2120412.9162203185</v>
      </c>
      <c r="IW21" s="18">
        <f>IF(IW$1&lt;CapEx!$O$7,0,(VLOOKUP($B21,Inputs!$B$25:$D$44,3,0)*(VLOOKUP(Financials!$B21,Inputs!$B$3:$D$21,3,0)*(1+Inputs!$L$9)^Financials!IW$3)*IW$8))</f>
        <v>2351512.6810774263</v>
      </c>
      <c r="IX21" s="18">
        <f>IF(IX$1&lt;CapEx!$O$7,0,(VLOOKUP($B21,Inputs!$B$25:$D$44,3,0)*(VLOOKUP(Financials!$B21,Inputs!$B$3:$D$21,3,0)*(1+Inputs!$L$9)^Financials!IX$3)*IX$8))</f>
        <v>2279450.1956895702</v>
      </c>
      <c r="IY21" s="18">
        <f>IF(IY$1&lt;CapEx!$O$7,0,(VLOOKUP($B21,Inputs!$B$25:$D$44,3,0)*(VLOOKUP(Financials!$B21,Inputs!$B$3:$D$21,3,0)*(1+Inputs!$L$9)^Financials!IY$3)*IY$8))</f>
        <v>2359357.5886606881</v>
      </c>
      <c r="IZ21" s="18">
        <f>IF(IZ$1&lt;CapEx!$O$7,0,(VLOOKUP($B21,Inputs!$B$25:$D$44,3,0)*(VLOOKUP(Financials!$B21,Inputs!$B$3:$D$21,3,0)*(1+Inputs!$L$9)^Financials!IZ$3)*IZ$8))</f>
        <v>2287054.6948146345</v>
      </c>
      <c r="JA21" s="18">
        <f>IF(JA$1&lt;CapEx!$O$7,0,(VLOOKUP($B21,Inputs!$B$25:$D$44,3,0)*(VLOOKUP(Financials!$B21,Inputs!$B$3:$D$21,3,0)*(1+Inputs!$L$9)^Financials!JA$3)*JA$8))</f>
        <v>2367228.6677273037</v>
      </c>
      <c r="JB21" s="18">
        <f>IF(JB$1&lt;CapEx!$O$7,0,(VLOOKUP($B21,Inputs!$B$25:$D$44,3,0)*(VLOOKUP(Financials!$B21,Inputs!$B$3:$D$21,3,0)*(1+Inputs!$L$9)^Financials!JB$3)*JB$8))</f>
        <v>2371174.0488401828</v>
      </c>
      <c r="JC21" s="18">
        <f>IF(JC$1&lt;CapEx!$O$7,0,(VLOOKUP($B21,Inputs!$B$25:$D$44,3,0)*(VLOOKUP(Financials!$B21,Inputs!$B$3:$D$21,3,0)*(1+Inputs!$L$9)^Financials!JC$3)*JC$8))</f>
        <v>2298509.0376660484</v>
      </c>
      <c r="JD21" s="18">
        <f>IF(JD$1&lt;CapEx!$O$7,0,(VLOOKUP($B21,Inputs!$B$25:$D$44,3,0)*(VLOOKUP(Financials!$B21,Inputs!$B$3:$D$21,3,0)*(1+Inputs!$L$9)^Financials!JD$3)*JD$8))</f>
        <v>2379084.5489308964</v>
      </c>
      <c r="JE21" s="18">
        <f>IF(JE$1&lt;CapEx!$O$7,0,(VLOOKUP($B21,Inputs!$B$25:$D$44,3,0)*(VLOOKUP(Financials!$B21,Inputs!$B$3:$D$21,3,0)*(1+Inputs!$L$9)^Financials!JE$3)*JE$8))</f>
        <v>2306177.119205595</v>
      </c>
      <c r="JF21" s="18">
        <f>IF(JF$1&lt;CapEx!$O$7,0,(VLOOKUP($B21,Inputs!$B$25:$D$44,3,0)*(VLOOKUP(Financials!$B21,Inputs!$B$3:$D$21,3,0)*(1+Inputs!$L$9)^Financials!JF$3)*JF$8))</f>
        <v>2387021.4393288582</v>
      </c>
      <c r="JG21" s="18">
        <f>IF(JG$1&lt;CapEx!$O$7,0,(VLOOKUP($B21,Inputs!$B$25:$D$44,3,0)*(VLOOKUP(Financials!$B21,Inputs!$B$3:$D$21,3,0)*(1+Inputs!$L$9)^Financials!JG$3)*JG$8))</f>
        <v>2390999.8083944065</v>
      </c>
      <c r="JH21" s="18">
        <f>IF(JH$1&lt;CapEx!$O$7,0,(VLOOKUP($B21,Inputs!$B$25:$D$44,3,0)*(VLOOKUP(Financials!$B21,Inputs!$B$3:$D$21,3,0)*(1+Inputs!$L$9)^Financials!JH$3)*JH$8))</f>
        <v>2163212.0847129612</v>
      </c>
      <c r="JI21" s="18">
        <f>IF(JI$1&lt;CapEx!$O$7,0,(VLOOKUP($B21,Inputs!$B$25:$D$44,3,0)*(VLOOKUP(Financials!$B21,Inputs!$B$3:$D$21,3,0)*(1+Inputs!$L$9)^Financials!JI$3)*JI$8))</f>
        <v>2398976.4494218566</v>
      </c>
      <c r="JJ21" s="18">
        <f>IF(JJ$1&lt;CapEx!$O$7,0,(VLOOKUP($B21,Inputs!$B$25:$D$44,3,0)*(VLOOKUP(Financials!$B21,Inputs!$B$3:$D$21,3,0)*(1+Inputs!$L$9)^Financials!JJ$3)*JJ$8))</f>
        <v>2325459.4291976374</v>
      </c>
      <c r="JK21" s="18">
        <f>IF(JK$1&lt;CapEx!$O$7,0,(VLOOKUP($B21,Inputs!$B$25:$D$44,3,0)*(VLOOKUP(Financials!$B21,Inputs!$B$3:$D$21,3,0)*(1+Inputs!$L$9)^Financials!JK$3)*JK$8))</f>
        <v>2406979.7014100663</v>
      </c>
      <c r="JL21" s="18">
        <f>IF(JL$1&lt;CapEx!$O$7,0,(VLOOKUP($B21,Inputs!$B$25:$D$44,3,0)*(VLOOKUP(Financials!$B21,Inputs!$B$3:$D$21,3,0)*(1+Inputs!$L$9)^Financials!JL$3)*JL$8))</f>
        <v>2333217.4202378225</v>
      </c>
      <c r="JM21" s="18">
        <f>IF(JM$1&lt;CapEx!$O$7,0,(VLOOKUP($B21,Inputs!$B$25:$D$44,3,0)*(VLOOKUP(Financials!$B21,Inputs!$B$3:$D$21,3,0)*(1+Inputs!$L$9)^Financials!JM$3)*JM$8))</f>
        <v>2415009.6531361602</v>
      </c>
      <c r="JN21" s="18">
        <f>IF(JN$1&lt;CapEx!$O$7,0,(VLOOKUP($B21,Inputs!$B$25:$D$44,3,0)*(VLOOKUP(Financials!$B21,Inputs!$B$3:$D$21,3,0)*(1+Inputs!$L$9)^Financials!JN$3)*JN$8))</f>
        <v>2419034.6692247204</v>
      </c>
      <c r="JO21" s="18">
        <f>IF(JO$1&lt;CapEx!$O$7,0,(VLOOKUP($B21,Inputs!$B$25:$D$44,3,0)*(VLOOKUP(Financials!$B21,Inputs!$B$3:$D$21,3,0)*(1+Inputs!$L$9)^Financials!JO$3)*JO$8))</f>
        <v>2344902.961619447</v>
      </c>
      <c r="JP21" s="18">
        <f>IF(JP$1&lt;CapEx!$O$7,0,(VLOOKUP($B21,Inputs!$B$25:$D$44,3,0)*(VLOOKUP(Financials!$B21,Inputs!$B$3:$D$21,3,0)*(1+Inputs!$L$9)^Financials!JP$3)*JP$8))</f>
        <v>2427104.8376628845</v>
      </c>
      <c r="JQ21" s="18">
        <f>IF(JQ$1&lt;CapEx!$O$7,0,(VLOOKUP($B21,Inputs!$B$25:$D$44,3,0)*(VLOOKUP(Financials!$B21,Inputs!$B$3:$D$21,3,0)*(1+Inputs!$L$9)^Financials!JQ$3)*JQ$8))</f>
        <v>2352725.8184441831</v>
      </c>
      <c r="JR21" s="18">
        <f>IF(JR$1&lt;CapEx!$O$7,0,(VLOOKUP($B21,Inputs!$B$25:$D$44,3,0)*(VLOOKUP(Financials!$B21,Inputs!$B$3:$D$21,3,0)*(1+Inputs!$L$9)^Financials!JR$3)*JR$8))</f>
        <v>2435201.9290796435</v>
      </c>
    </row>
    <row r="22" spans="2:278" x14ac:dyDescent="0.2">
      <c r="B22" s="22" t="str">
        <f>Inputs!B15</f>
        <v>Light Oil Sale</v>
      </c>
      <c r="C22" s="18">
        <f>IF(C$1&lt;CapEx!$O$7,0,(VLOOKUP($B22,Inputs!$B$25:$D$44,3,0)*(VLOOKUP(Financials!$B22,Inputs!$B$3:$D$21,3,0)*(1+Inputs!$L$10)^Financials!C$3)*C$8))</f>
        <v>0</v>
      </c>
      <c r="D22" s="18">
        <f>IF(D$1&lt;CapEx!$O$7,0,(VLOOKUP($B22,Inputs!$B$25:$D$44,3,0)*(VLOOKUP(Financials!$B22,Inputs!$B$3:$D$21,3,0)*(1+Inputs!$L$10)^Financials!D$3)*D$8))</f>
        <v>0</v>
      </c>
      <c r="E22" s="18">
        <f>IF(E$1&lt;CapEx!$O$7,0,(VLOOKUP($B22,Inputs!$B$25:$D$44,3,0)*(VLOOKUP(Financials!$B22,Inputs!$B$3:$D$21,3,0)*(1+Inputs!$L$10)^Financials!E$3)*E$8))</f>
        <v>0</v>
      </c>
      <c r="F22" s="18">
        <f>IF(F$1&lt;CapEx!$O$7,0,(VLOOKUP($B22,Inputs!$B$25:$D$44,3,0)*(VLOOKUP(Financials!$B22,Inputs!$B$3:$D$21,3,0)*(1+Inputs!$L$10)^Financials!F$3)*F$8))</f>
        <v>0</v>
      </c>
      <c r="G22" s="18">
        <f>IF(G$1&lt;CapEx!$O$7,0,(VLOOKUP($B22,Inputs!$B$25:$D$44,3,0)*(VLOOKUP(Financials!$B22,Inputs!$B$3:$D$21,3,0)*(1+Inputs!$L$10)^Financials!G$3)*G$8))</f>
        <v>0</v>
      </c>
      <c r="H22" s="18">
        <f>IF(H$1&lt;CapEx!$O$7,0,(VLOOKUP($B22,Inputs!$B$25:$D$44,3,0)*(VLOOKUP(Financials!$B22,Inputs!$B$3:$D$21,3,0)*(1+Inputs!$L$10)^Financials!H$3)*H$8))</f>
        <v>0</v>
      </c>
      <c r="I22" s="18">
        <f>IF(I$1&lt;CapEx!$O$7,0,(VLOOKUP($B22,Inputs!$B$25:$D$44,3,0)*(VLOOKUP(Financials!$B22,Inputs!$B$3:$D$21,3,0)*(1+Inputs!$L$10)^Financials!I$3)*I$8))</f>
        <v>0</v>
      </c>
      <c r="J22" s="18">
        <f>IF(J$1&lt;CapEx!$O$7,0,(VLOOKUP($B22,Inputs!$B$25:$D$44,3,0)*(VLOOKUP(Financials!$B22,Inputs!$B$3:$D$21,3,0)*(1+Inputs!$L$10)^Financials!J$3)*J$8))</f>
        <v>0</v>
      </c>
      <c r="K22" s="18">
        <f>IF(K$1&lt;CapEx!$O$7,0,(VLOOKUP($B22,Inputs!$B$25:$D$44,3,0)*(VLOOKUP(Financials!$B22,Inputs!$B$3:$D$21,3,0)*(1+Inputs!$L$10)^Financials!K$3)*K$8))</f>
        <v>0</v>
      </c>
      <c r="L22" s="18">
        <f>IF(L$1&lt;CapEx!$O$7,0,(VLOOKUP($B22,Inputs!$B$25:$D$44,3,0)*(VLOOKUP(Financials!$B22,Inputs!$B$3:$D$21,3,0)*(1+Inputs!$L$10)^Financials!L$3)*L$8))</f>
        <v>0</v>
      </c>
      <c r="M22" s="18">
        <f>IF(M$1&lt;CapEx!$O$7,0,(VLOOKUP($B22,Inputs!$B$25:$D$44,3,0)*(VLOOKUP(Financials!$B22,Inputs!$B$3:$D$21,3,0)*(1+Inputs!$L$10)^Financials!M$3)*M$8))</f>
        <v>0</v>
      </c>
      <c r="N22" s="18">
        <f>IF(N$1&lt;CapEx!$O$7,0,(VLOOKUP($B22,Inputs!$B$25:$D$44,3,0)*(VLOOKUP(Financials!$B22,Inputs!$B$3:$D$21,3,0)*(1+Inputs!$L$10)^Financials!N$3)*N$8))</f>
        <v>0</v>
      </c>
      <c r="O22" s="18">
        <f>IF(O$1&lt;CapEx!$O$7,0,(VLOOKUP($B22,Inputs!$B$25:$D$44,3,0)*(VLOOKUP(Financials!$B22,Inputs!$B$3:$D$21,3,0)*(1+Inputs!$L$10)^Financials!O$3)*O$8))</f>
        <v>0</v>
      </c>
      <c r="P22" s="18">
        <f>IF(P$1&lt;CapEx!$O$7,0,(VLOOKUP($B22,Inputs!$B$25:$D$44,3,0)*(VLOOKUP(Financials!$B22,Inputs!$B$3:$D$21,3,0)*(1+Inputs!$L$10)^Financials!P$3)*P$8))</f>
        <v>0</v>
      </c>
      <c r="Q22" s="18">
        <f>IF(Q$1&lt;CapEx!$O$7,0,(VLOOKUP($B22,Inputs!$B$25:$D$44,3,0)*(VLOOKUP(Financials!$B22,Inputs!$B$3:$D$21,3,0)*(1+Inputs!$L$10)^Financials!Q$3)*Q$8))</f>
        <v>0</v>
      </c>
      <c r="R22" s="18">
        <f>IF(R$1&lt;CapEx!$O$7,0,(VLOOKUP($B22,Inputs!$B$25:$D$44,3,0)*(VLOOKUP(Financials!$B22,Inputs!$B$3:$D$21,3,0)*(1+Inputs!$L$10)^Financials!R$3)*R$8))</f>
        <v>0</v>
      </c>
      <c r="S22" s="18">
        <f>IF(S$1&lt;CapEx!$O$7,0,(VLOOKUP($B22,Inputs!$B$25:$D$44,3,0)*(VLOOKUP(Financials!$B22,Inputs!$B$3:$D$21,3,0)*(1+Inputs!$L$10)^Financials!S$3)*S$8))</f>
        <v>0</v>
      </c>
      <c r="T22" s="18">
        <f>IF(T$1&lt;CapEx!$O$7,0,(VLOOKUP($B22,Inputs!$B$25:$D$44,3,0)*(VLOOKUP(Financials!$B22,Inputs!$B$3:$D$21,3,0)*(1+Inputs!$L$10)^Financials!T$3)*T$8))</f>
        <v>0</v>
      </c>
      <c r="U22" s="18">
        <f>IF(U$1&lt;CapEx!$O$7,0,(VLOOKUP($B22,Inputs!$B$25:$D$44,3,0)*(VLOOKUP(Financials!$B22,Inputs!$B$3:$D$21,3,0)*(1+Inputs!$L$10)^Financials!U$3)*U$8))</f>
        <v>0</v>
      </c>
      <c r="V22" s="18">
        <f>IF(V$1&lt;CapEx!$O$7,0,(VLOOKUP($B22,Inputs!$B$25:$D$44,3,0)*(VLOOKUP(Financials!$B22,Inputs!$B$3:$D$21,3,0)*(1+Inputs!$L$10)^Financials!V$3)*V$8))</f>
        <v>0</v>
      </c>
      <c r="W22" s="18">
        <f>IF(W$1&lt;CapEx!$O$7,0,(VLOOKUP($B22,Inputs!$B$25:$D$44,3,0)*(VLOOKUP(Financials!$B22,Inputs!$B$3:$D$21,3,0)*(1+Inputs!$L$10)^Financials!W$3)*W$8))</f>
        <v>0</v>
      </c>
      <c r="X22" s="18">
        <f>IF(X$1&lt;CapEx!$O$7,0,(VLOOKUP($B22,Inputs!$B$25:$D$44,3,0)*(VLOOKUP(Financials!$B22,Inputs!$B$3:$D$21,3,0)*(1+Inputs!$L$10)^Financials!X$3)*X$8))</f>
        <v>0</v>
      </c>
      <c r="Y22" s="18">
        <f>IF(Y$1&lt;CapEx!$O$7,0,(VLOOKUP($B22,Inputs!$B$25:$D$44,3,0)*(VLOOKUP(Financials!$B22,Inputs!$B$3:$D$21,3,0)*(1+Inputs!$L$10)^Financials!Y$3)*Y$8))</f>
        <v>0</v>
      </c>
      <c r="Z22" s="18">
        <f>IF(Z$1&lt;CapEx!$O$7,0,(VLOOKUP($B22,Inputs!$B$25:$D$44,3,0)*(VLOOKUP(Financials!$B22,Inputs!$B$3:$D$21,3,0)*(1+Inputs!$L$10)^Financials!Z$3)*Z$8))</f>
        <v>0</v>
      </c>
      <c r="AA22" s="18">
        <f>IF(AA$1&lt;CapEx!$O$7,0,(VLOOKUP($B22,Inputs!$B$25:$D$44,3,0)*(VLOOKUP(Financials!$B22,Inputs!$B$3:$D$21,3,0)*(1+Inputs!$L$10)^Financials!AA$3)*AA$8))</f>
        <v>0</v>
      </c>
      <c r="AB22" s="18">
        <f>IF(AB$1&lt;CapEx!$O$7,0,(VLOOKUP($B22,Inputs!$B$25:$D$44,3,0)*(VLOOKUP(Financials!$B22,Inputs!$B$3:$D$21,3,0)*(1+Inputs!$L$10)^Financials!AB$3)*AB$8))</f>
        <v>0</v>
      </c>
      <c r="AC22" s="18">
        <f>IF(AC$1&lt;CapEx!$O$7,0,(VLOOKUP($B22,Inputs!$B$25:$D$44,3,0)*(VLOOKUP(Financials!$B22,Inputs!$B$3:$D$21,3,0)*(1+Inputs!$L$10)^Financials!AC$3)*AC$8))</f>
        <v>0</v>
      </c>
      <c r="AD22" s="18">
        <f>IF(AD$1&lt;CapEx!$O$7,0,(VLOOKUP($B22,Inputs!$B$25:$D$44,3,0)*(VLOOKUP(Financials!$B22,Inputs!$B$3:$D$21,3,0)*(1+Inputs!$L$10)^Financials!AD$3)*AD$8))</f>
        <v>0</v>
      </c>
      <c r="AE22" s="18">
        <f>IF(AE$1&lt;CapEx!$O$7,0,(VLOOKUP($B22,Inputs!$B$25:$D$44,3,0)*(VLOOKUP(Financials!$B22,Inputs!$B$3:$D$21,3,0)*(1+Inputs!$L$10)^Financials!AE$3)*AE$8))</f>
        <v>0</v>
      </c>
      <c r="AF22" s="18">
        <f>IF(AF$1&lt;CapEx!$O$7,0,(VLOOKUP($B22,Inputs!$B$25:$D$44,3,0)*(VLOOKUP(Financials!$B22,Inputs!$B$3:$D$21,3,0)*(1+Inputs!$L$10)^Financials!AF$3)*AF$8))</f>
        <v>0</v>
      </c>
      <c r="AG22" s="18">
        <f>IF(AG$1&lt;CapEx!$O$7,0,(VLOOKUP($B22,Inputs!$B$25:$D$44,3,0)*(VLOOKUP(Financials!$B22,Inputs!$B$3:$D$21,3,0)*(1+Inputs!$L$10)^Financials!AG$3)*AG$8))</f>
        <v>0</v>
      </c>
      <c r="AH22" s="18">
        <f>IF(AH$1&lt;CapEx!$O$7,0,(VLOOKUP($B22,Inputs!$B$25:$D$44,3,0)*(VLOOKUP(Financials!$B22,Inputs!$B$3:$D$21,3,0)*(1+Inputs!$L$10)^Financials!AH$3)*AH$8))</f>
        <v>0</v>
      </c>
      <c r="AI22" s="18">
        <f>IF(AI$1&lt;CapEx!$O$7,0,(VLOOKUP($B22,Inputs!$B$25:$D$44,3,0)*(VLOOKUP(Financials!$B22,Inputs!$B$3:$D$21,3,0)*(1+Inputs!$L$10)^Financials!AI$3)*AI$8))</f>
        <v>0</v>
      </c>
      <c r="AJ22" s="18">
        <f>IF(AJ$1&lt;CapEx!$O$7,0,(VLOOKUP($B22,Inputs!$B$25:$D$44,3,0)*(VLOOKUP(Financials!$B22,Inputs!$B$3:$D$21,3,0)*(1+Inputs!$L$10)^Financials!AJ$3)*AJ$8))</f>
        <v>0</v>
      </c>
      <c r="AK22" s="18">
        <f>IF(AK$1&lt;CapEx!$O$7,0,(VLOOKUP($B22,Inputs!$B$25:$D$44,3,0)*(VLOOKUP(Financials!$B22,Inputs!$B$3:$D$21,3,0)*(1+Inputs!$L$10)^Financials!AK$3)*AK$8))</f>
        <v>0</v>
      </c>
      <c r="AL22" s="18">
        <f>IF(AL$1&lt;CapEx!$O$7,0,(VLOOKUP($B22,Inputs!$B$25:$D$44,3,0)*(VLOOKUP(Financials!$B22,Inputs!$B$3:$D$21,3,0)*(1+Inputs!$L$10)^Financials!AL$3)*AL$8))</f>
        <v>0</v>
      </c>
      <c r="AM22" s="18">
        <f>IF(AM$1&lt;CapEx!$O$7,0,(VLOOKUP($B22,Inputs!$B$25:$D$44,3,0)*(VLOOKUP(Financials!$B22,Inputs!$B$3:$D$21,3,0)*(1+Inputs!$L$10)^Financials!AM$3)*AM$8))</f>
        <v>0</v>
      </c>
      <c r="AN22" s="18">
        <f>IF(AN$1&lt;CapEx!$O$7,0,(VLOOKUP($B22,Inputs!$B$25:$D$44,3,0)*(VLOOKUP(Financials!$B22,Inputs!$B$3:$D$21,3,0)*(1+Inputs!$L$10)^Financials!AN$3)*AN$8))</f>
        <v>0</v>
      </c>
      <c r="AO22" s="18">
        <f>IF(AO$1&lt;CapEx!$O$7,0,(VLOOKUP($B22,Inputs!$B$25:$D$44,3,0)*(VLOOKUP(Financials!$B22,Inputs!$B$3:$D$21,3,0)*(1+Inputs!$L$10)^Financials!AO$3)*AO$8))</f>
        <v>0</v>
      </c>
      <c r="AP22" s="18">
        <f>IF(AP$1&lt;CapEx!$O$7,0,(VLOOKUP($B22,Inputs!$B$25:$D$44,3,0)*(VLOOKUP(Financials!$B22,Inputs!$B$3:$D$21,3,0)*(1+Inputs!$L$10)^Financials!AP$3)*AP$8))</f>
        <v>0</v>
      </c>
      <c r="AQ22" s="18">
        <f>IF(AQ$1&lt;CapEx!$O$7,0,(VLOOKUP($B22,Inputs!$B$25:$D$44,3,0)*(VLOOKUP(Financials!$B22,Inputs!$B$3:$D$21,3,0)*(1+Inputs!$L$10)^Financials!AQ$3)*AQ$8))</f>
        <v>0</v>
      </c>
      <c r="AR22" s="18">
        <f>IF(AR$1&lt;CapEx!$O$7,0,(VLOOKUP($B22,Inputs!$B$25:$D$44,3,0)*(VLOOKUP(Financials!$B22,Inputs!$B$3:$D$21,3,0)*(1+Inputs!$L$10)^Financials!AR$3)*AR$8))</f>
        <v>0</v>
      </c>
      <c r="AS22" s="18">
        <f>IF(AS$1&lt;CapEx!$O$7,0,(VLOOKUP($B22,Inputs!$B$25:$D$44,3,0)*(VLOOKUP(Financials!$B22,Inputs!$B$3:$D$21,3,0)*(1+Inputs!$L$10)^Financials!AS$3)*AS$8))</f>
        <v>0</v>
      </c>
      <c r="AT22" s="18">
        <f>IF(AT$1&lt;CapEx!$O$7,0,(VLOOKUP($B22,Inputs!$B$25:$D$44,3,0)*(VLOOKUP(Financials!$B22,Inputs!$B$3:$D$21,3,0)*(1+Inputs!$L$10)^Financials!AT$3)*AT$8))</f>
        <v>0</v>
      </c>
      <c r="AU22" s="18">
        <f>IF(AU$1&lt;CapEx!$O$7,0,(VLOOKUP($B22,Inputs!$B$25:$D$44,3,0)*(VLOOKUP(Financials!$B22,Inputs!$B$3:$D$21,3,0)*(1+Inputs!$L$10)^Financials!AU$3)*AU$8))</f>
        <v>0</v>
      </c>
      <c r="AV22" s="18">
        <f>IF(AV$1&lt;CapEx!$O$7,0,(VLOOKUP($B22,Inputs!$B$25:$D$44,3,0)*(VLOOKUP(Financials!$B22,Inputs!$B$3:$D$21,3,0)*(1+Inputs!$L$10)^Financials!AV$3)*AV$8))</f>
        <v>0</v>
      </c>
      <c r="AW22" s="18">
        <f>IF(AW$1&lt;CapEx!$O$7,0,(VLOOKUP($B22,Inputs!$B$25:$D$44,3,0)*(VLOOKUP(Financials!$B22,Inputs!$B$3:$D$21,3,0)*(1+Inputs!$L$10)^Financials!AW$3)*AW$8))</f>
        <v>0</v>
      </c>
      <c r="AX22" s="18">
        <f>IF(AX$1&lt;CapEx!$O$7,0,(VLOOKUP($B22,Inputs!$B$25:$D$44,3,0)*(VLOOKUP(Financials!$B22,Inputs!$B$3:$D$21,3,0)*(1+Inputs!$L$10)^Financials!AX$3)*AX$8))</f>
        <v>0</v>
      </c>
      <c r="AY22" s="18">
        <f>IF(AY$1&lt;CapEx!$O$7,0,(VLOOKUP($B22,Inputs!$B$25:$D$44,3,0)*(VLOOKUP(Financials!$B22,Inputs!$B$3:$D$21,3,0)*(1+Inputs!$L$10)^Financials!AY$3)*AY$8))</f>
        <v>0</v>
      </c>
      <c r="AZ22" s="18">
        <f>IF(AZ$1&lt;CapEx!$O$7,0,(VLOOKUP($B22,Inputs!$B$25:$D$44,3,0)*(VLOOKUP(Financials!$B22,Inputs!$B$3:$D$21,3,0)*(1+Inputs!$L$10)^Financials!AZ$3)*AZ$8))</f>
        <v>0</v>
      </c>
      <c r="BA22" s="18">
        <f>IF(BA$1&lt;CapEx!$O$7,0,(VLOOKUP($B22,Inputs!$B$25:$D$44,3,0)*(VLOOKUP(Financials!$B22,Inputs!$B$3:$D$21,3,0)*(1+Inputs!$L$10)^Financials!BA$3)*BA$8))</f>
        <v>0</v>
      </c>
      <c r="BB22" s="18">
        <f>IF(BB$1&lt;CapEx!$O$7,0,(VLOOKUP($B22,Inputs!$B$25:$D$44,3,0)*(VLOOKUP(Financials!$B22,Inputs!$B$3:$D$21,3,0)*(1+Inputs!$L$10)^Financials!BB$3)*BB$8))</f>
        <v>0</v>
      </c>
      <c r="BC22" s="18">
        <f>IF(BC$1&lt;CapEx!$O$7,0,(VLOOKUP($B22,Inputs!$B$25:$D$44,3,0)*(VLOOKUP(Financials!$B22,Inputs!$B$3:$D$21,3,0)*(1+Inputs!$L$10)^Financials!BC$3)*BC$8))</f>
        <v>0</v>
      </c>
      <c r="BD22" s="18">
        <f>IF(BD$1&lt;CapEx!$O$7,0,(VLOOKUP($B22,Inputs!$B$25:$D$44,3,0)*(VLOOKUP(Financials!$B22,Inputs!$B$3:$D$21,3,0)*(1+Inputs!$L$10)^Financials!BD$3)*BD$8))</f>
        <v>0</v>
      </c>
      <c r="BE22" s="18">
        <f>IF(BE$1&lt;CapEx!$O$7,0,(VLOOKUP($B22,Inputs!$B$25:$D$44,3,0)*(VLOOKUP(Financials!$B22,Inputs!$B$3:$D$21,3,0)*(1+Inputs!$L$10)^Financials!BE$3)*BE$8))</f>
        <v>0</v>
      </c>
      <c r="BF22" s="18">
        <f>IF(BF$1&lt;CapEx!$O$7,0,(VLOOKUP($B22,Inputs!$B$25:$D$44,3,0)*(VLOOKUP(Financials!$B22,Inputs!$B$3:$D$21,3,0)*(1+Inputs!$L$10)^Financials!BF$3)*BF$8))</f>
        <v>0</v>
      </c>
      <c r="BG22" s="18">
        <f>IF(BG$1&lt;CapEx!$O$7,0,(VLOOKUP($B22,Inputs!$B$25:$D$44,3,0)*(VLOOKUP(Financials!$B22,Inputs!$B$3:$D$21,3,0)*(1+Inputs!$L$10)^Financials!BG$3)*BG$8))</f>
        <v>0</v>
      </c>
      <c r="BH22" s="18">
        <f>IF(BH$1&lt;CapEx!$O$7,0,(VLOOKUP($B22,Inputs!$B$25:$D$44,3,0)*(VLOOKUP(Financials!$B22,Inputs!$B$3:$D$21,3,0)*(1+Inputs!$L$10)^Financials!BH$3)*BH$8))</f>
        <v>0</v>
      </c>
      <c r="BI22" s="18">
        <f>IF(BI$1&lt;CapEx!$O$7,0,(VLOOKUP($B22,Inputs!$B$25:$D$44,3,0)*(VLOOKUP(Financials!$B22,Inputs!$B$3:$D$21,3,0)*(1+Inputs!$L$10)^Financials!BI$3)*BI$8))</f>
        <v>0</v>
      </c>
      <c r="BJ22" s="18">
        <f>IF(BJ$1&lt;CapEx!$O$7,0,(VLOOKUP($B22,Inputs!$B$25:$D$44,3,0)*(VLOOKUP(Financials!$B22,Inputs!$B$3:$D$21,3,0)*(1+Inputs!$L$10)^Financials!BJ$3)*BJ$8))</f>
        <v>0</v>
      </c>
      <c r="BK22" s="18">
        <f>IF(BK$1&lt;CapEx!$O$7,0,(VLOOKUP($B22,Inputs!$B$25:$D$44,3,0)*(VLOOKUP(Financials!$B22,Inputs!$B$3:$D$21,3,0)*(1+Inputs!$L$10)^Financials!BK$3)*BK$8))</f>
        <v>0</v>
      </c>
      <c r="BL22" s="18">
        <f>IF(BL$1&lt;CapEx!$O$7,0,(VLOOKUP($B22,Inputs!$B$25:$D$44,3,0)*(VLOOKUP(Financials!$B22,Inputs!$B$3:$D$21,3,0)*(1+Inputs!$L$10)^Financials!BL$3)*BL$8))</f>
        <v>0</v>
      </c>
      <c r="BM22" s="18">
        <f>IF(BM$1&lt;CapEx!$O$7,0,(VLOOKUP($B22,Inputs!$B$25:$D$44,3,0)*(VLOOKUP(Financials!$B22,Inputs!$B$3:$D$21,3,0)*(1+Inputs!$L$10)^Financials!BM$3)*BM$8))</f>
        <v>0</v>
      </c>
      <c r="BN22" s="18">
        <f>IF(BN$1&lt;CapEx!$O$7,0,(VLOOKUP($B22,Inputs!$B$25:$D$44,3,0)*(VLOOKUP(Financials!$B22,Inputs!$B$3:$D$21,3,0)*(1+Inputs!$L$10)^Financials!BN$3)*BN$8))</f>
        <v>0</v>
      </c>
      <c r="BO22" s="18">
        <f>IF(BO$1&lt;CapEx!$O$7,0,(VLOOKUP($B22,Inputs!$B$25:$D$44,3,0)*(VLOOKUP(Financials!$B22,Inputs!$B$3:$D$21,3,0)*(1+Inputs!$L$10)^Financials!BO$3)*BO$8))</f>
        <v>0</v>
      </c>
      <c r="BP22" s="18">
        <f>IF(BP$1&lt;CapEx!$O$7,0,(VLOOKUP($B22,Inputs!$B$25:$D$44,3,0)*(VLOOKUP(Financials!$B22,Inputs!$B$3:$D$21,3,0)*(1+Inputs!$L$10)^Financials!BP$3)*BP$8))</f>
        <v>0</v>
      </c>
      <c r="BQ22" s="18">
        <f>IF(BQ$1&lt;CapEx!$O$7,0,(VLOOKUP($B22,Inputs!$B$25:$D$44,3,0)*(VLOOKUP(Financials!$B22,Inputs!$B$3:$D$21,3,0)*(1+Inputs!$L$10)^Financials!BQ$3)*BQ$8))</f>
        <v>0</v>
      </c>
      <c r="BR22" s="18">
        <f>IF(BR$1&lt;CapEx!$O$7,0,(VLOOKUP($B22,Inputs!$B$25:$D$44,3,0)*(VLOOKUP(Financials!$B22,Inputs!$B$3:$D$21,3,0)*(1+Inputs!$L$10)^Financials!BR$3)*BR$8))</f>
        <v>0</v>
      </c>
      <c r="BS22" s="18">
        <f>IF(BS$1&lt;CapEx!$O$7,0,(VLOOKUP($B22,Inputs!$B$25:$D$44,3,0)*(VLOOKUP(Financials!$B22,Inputs!$B$3:$D$21,3,0)*(1+Inputs!$L$10)^Financials!BS$3)*BS$8))</f>
        <v>0</v>
      </c>
      <c r="BT22" s="18">
        <f>IF(BT$1&lt;CapEx!$O$7,0,(VLOOKUP($B22,Inputs!$B$25:$D$44,3,0)*(VLOOKUP(Financials!$B22,Inputs!$B$3:$D$21,3,0)*(1+Inputs!$L$10)^Financials!BT$3)*BT$8))</f>
        <v>0</v>
      </c>
      <c r="BU22" s="18">
        <f>IF(BU$1&lt;CapEx!$O$7,0,(VLOOKUP($B22,Inputs!$B$25:$D$44,3,0)*(VLOOKUP(Financials!$B22,Inputs!$B$3:$D$21,3,0)*(1+Inputs!$L$10)^Financials!BU$3)*BU$8))</f>
        <v>0</v>
      </c>
      <c r="BV22" s="18">
        <f>IF(BV$1&lt;CapEx!$O$7,0,(VLOOKUP($B22,Inputs!$B$25:$D$44,3,0)*(VLOOKUP(Financials!$B22,Inputs!$B$3:$D$21,3,0)*(1+Inputs!$L$10)^Financials!BV$3)*BV$8))</f>
        <v>0</v>
      </c>
      <c r="BW22" s="18">
        <f>IF(BW$1&lt;CapEx!$O$7,0,(VLOOKUP($B22,Inputs!$B$25:$D$44,3,0)*(VLOOKUP(Financials!$B22,Inputs!$B$3:$D$21,3,0)*(1+Inputs!$L$10)^Financials!BW$3)*BW$8))</f>
        <v>0</v>
      </c>
      <c r="BX22" s="18">
        <f>IF(BX$1&lt;CapEx!$O$7,0,(VLOOKUP($B22,Inputs!$B$25:$D$44,3,0)*(VLOOKUP(Financials!$B22,Inputs!$B$3:$D$21,3,0)*(1+Inputs!$L$10)^Financials!BX$3)*BX$8))</f>
        <v>0</v>
      </c>
      <c r="BY22" s="18">
        <f>IF(BY$1&lt;CapEx!$O$7,0,(VLOOKUP($B22,Inputs!$B$25:$D$44,3,0)*(VLOOKUP(Financials!$B22,Inputs!$B$3:$D$21,3,0)*(1+Inputs!$L$10)^Financials!BY$3)*BY$8))</f>
        <v>0</v>
      </c>
      <c r="BZ22" s="18">
        <f>IF(BZ$1&lt;CapEx!$O$7,0,(VLOOKUP($B22,Inputs!$B$25:$D$44,3,0)*(VLOOKUP(Financials!$B22,Inputs!$B$3:$D$21,3,0)*(1+Inputs!$L$10)^Financials!BZ$3)*BZ$8))</f>
        <v>0</v>
      </c>
      <c r="CA22" s="18">
        <f>IF(CA$1&lt;CapEx!$O$7,0,(VLOOKUP($B22,Inputs!$B$25:$D$44,3,0)*(VLOOKUP(Financials!$B22,Inputs!$B$3:$D$21,3,0)*(1+Inputs!$L$10)^Financials!CA$3)*CA$8))</f>
        <v>0</v>
      </c>
      <c r="CB22" s="18">
        <f>IF(CB$1&lt;CapEx!$O$7,0,(VLOOKUP($B22,Inputs!$B$25:$D$44,3,0)*(VLOOKUP(Financials!$B22,Inputs!$B$3:$D$21,3,0)*(1+Inputs!$L$10)^Financials!CB$3)*CB$8))</f>
        <v>0</v>
      </c>
      <c r="CC22" s="18">
        <f>IF(CC$1&lt;CapEx!$O$7,0,(VLOOKUP($B22,Inputs!$B$25:$D$44,3,0)*(VLOOKUP(Financials!$B22,Inputs!$B$3:$D$21,3,0)*(1+Inputs!$L$10)^Financials!CC$3)*CC$8))</f>
        <v>0</v>
      </c>
      <c r="CD22" s="18">
        <f>IF(CD$1&lt;CapEx!$O$7,0,(VLOOKUP($B22,Inputs!$B$25:$D$44,3,0)*(VLOOKUP(Financials!$B22,Inputs!$B$3:$D$21,3,0)*(1+Inputs!$L$10)^Financials!CD$3)*CD$8))</f>
        <v>0</v>
      </c>
      <c r="CE22" s="18">
        <f>IF(CE$1&lt;CapEx!$O$7,0,(VLOOKUP($B22,Inputs!$B$25:$D$44,3,0)*(VLOOKUP(Financials!$B22,Inputs!$B$3:$D$21,3,0)*(1+Inputs!$L$10)^Financials!CE$3)*CE$8))</f>
        <v>0</v>
      </c>
      <c r="CF22" s="18">
        <f>IF(CF$1&lt;CapEx!$O$7,0,(VLOOKUP($B22,Inputs!$B$25:$D$44,3,0)*(VLOOKUP(Financials!$B22,Inputs!$B$3:$D$21,3,0)*(1+Inputs!$L$10)^Financials!CF$3)*CF$8))</f>
        <v>0</v>
      </c>
      <c r="CG22" s="18">
        <f>IF(CG$1&lt;CapEx!$O$7,0,(VLOOKUP($B22,Inputs!$B$25:$D$44,3,0)*(VLOOKUP(Financials!$B22,Inputs!$B$3:$D$21,3,0)*(1+Inputs!$L$10)^Financials!CG$3)*CG$8))</f>
        <v>0</v>
      </c>
      <c r="CH22" s="18">
        <f>IF(CH$1&lt;CapEx!$O$7,0,(VLOOKUP($B22,Inputs!$B$25:$D$44,3,0)*(VLOOKUP(Financials!$B22,Inputs!$B$3:$D$21,3,0)*(1+Inputs!$L$10)^Financials!CH$3)*CH$8))</f>
        <v>0</v>
      </c>
      <c r="CI22" s="18">
        <f>IF(CI$1&lt;CapEx!$O$7,0,(VLOOKUP($B22,Inputs!$B$25:$D$44,3,0)*(VLOOKUP(Financials!$B22,Inputs!$B$3:$D$21,3,0)*(1+Inputs!$L$10)^Financials!CI$3)*CI$8))</f>
        <v>0</v>
      </c>
      <c r="CJ22" s="18">
        <f>IF(CJ$1&lt;CapEx!$O$7,0,(VLOOKUP($B22,Inputs!$B$25:$D$44,3,0)*(VLOOKUP(Financials!$B22,Inputs!$B$3:$D$21,3,0)*(1+Inputs!$L$10)^Financials!CJ$3)*CJ$8))</f>
        <v>0</v>
      </c>
      <c r="CK22" s="18">
        <f>IF(CK$1&lt;CapEx!$O$7,0,(VLOOKUP($B22,Inputs!$B$25:$D$44,3,0)*(VLOOKUP(Financials!$B22,Inputs!$B$3:$D$21,3,0)*(1+Inputs!$L$10)^Financials!CK$3)*CK$8))</f>
        <v>0</v>
      </c>
      <c r="CL22" s="18">
        <f>IF(CL$1&lt;CapEx!$O$7,0,(VLOOKUP($B22,Inputs!$B$25:$D$44,3,0)*(VLOOKUP(Financials!$B22,Inputs!$B$3:$D$21,3,0)*(1+Inputs!$L$10)^Financials!CL$3)*CL$8))</f>
        <v>0</v>
      </c>
      <c r="CM22" s="18">
        <f>IF(CM$1&lt;CapEx!$O$7,0,(VLOOKUP($B22,Inputs!$B$25:$D$44,3,0)*(VLOOKUP(Financials!$B22,Inputs!$B$3:$D$21,3,0)*(1+Inputs!$L$10)^Financials!CM$3)*CM$8))</f>
        <v>0</v>
      </c>
      <c r="CN22" s="18">
        <f>IF(CN$1&lt;CapEx!$O$7,0,(VLOOKUP($B22,Inputs!$B$25:$D$44,3,0)*(VLOOKUP(Financials!$B22,Inputs!$B$3:$D$21,3,0)*(1+Inputs!$L$10)^Financials!CN$3)*CN$8))</f>
        <v>0</v>
      </c>
      <c r="CO22" s="18">
        <f>IF(CO$1&lt;CapEx!$O$7,0,(VLOOKUP($B22,Inputs!$B$25:$D$44,3,0)*(VLOOKUP(Financials!$B22,Inputs!$B$3:$D$21,3,0)*(1+Inputs!$L$10)^Financials!CO$3)*CO$8))</f>
        <v>0</v>
      </c>
      <c r="CP22" s="18">
        <f>IF(CP$1&lt;CapEx!$O$7,0,(VLOOKUP($B22,Inputs!$B$25:$D$44,3,0)*(VLOOKUP(Financials!$B22,Inputs!$B$3:$D$21,3,0)*(1+Inputs!$L$10)^Financials!CP$3)*CP$8))</f>
        <v>0</v>
      </c>
      <c r="CQ22" s="18">
        <f>IF(CQ$1&lt;CapEx!$O$7,0,(VLOOKUP($B22,Inputs!$B$25:$D$44,3,0)*(VLOOKUP(Financials!$B22,Inputs!$B$3:$D$21,3,0)*(1+Inputs!$L$10)^Financials!CQ$3)*CQ$8))</f>
        <v>0</v>
      </c>
      <c r="CR22" s="18">
        <f>IF(CR$1&lt;CapEx!$O$7,0,(VLOOKUP($B22,Inputs!$B$25:$D$44,3,0)*(VLOOKUP(Financials!$B22,Inputs!$B$3:$D$21,3,0)*(1+Inputs!$L$10)^Financials!CR$3)*CR$8))</f>
        <v>0</v>
      </c>
      <c r="CS22" s="18">
        <f>IF(CS$1&lt;CapEx!$O$7,0,(VLOOKUP($B22,Inputs!$B$25:$D$44,3,0)*(VLOOKUP(Financials!$B22,Inputs!$B$3:$D$21,3,0)*(1+Inputs!$L$10)^Financials!CS$3)*CS$8))</f>
        <v>0</v>
      </c>
      <c r="CT22" s="18">
        <f>IF(CT$1&lt;CapEx!$O$7,0,(VLOOKUP($B22,Inputs!$B$25:$D$44,3,0)*(VLOOKUP(Financials!$B22,Inputs!$B$3:$D$21,3,0)*(1+Inputs!$L$10)^Financials!CT$3)*CT$8))</f>
        <v>0</v>
      </c>
      <c r="CU22" s="18">
        <f>IF(CU$1&lt;CapEx!$O$7,0,(VLOOKUP($B22,Inputs!$B$25:$D$44,3,0)*(VLOOKUP(Financials!$B22,Inputs!$B$3:$D$21,3,0)*(1+Inputs!$L$10)^Financials!CU$3)*CU$8))</f>
        <v>0</v>
      </c>
      <c r="CV22" s="18">
        <f>IF(CV$1&lt;CapEx!$O$7,0,(VLOOKUP($B22,Inputs!$B$25:$D$44,3,0)*(VLOOKUP(Financials!$B22,Inputs!$B$3:$D$21,3,0)*(1+Inputs!$L$10)^Financials!CV$3)*CV$8))</f>
        <v>0</v>
      </c>
      <c r="CW22" s="18">
        <f>IF(CW$1&lt;CapEx!$O$7,0,(VLOOKUP($B22,Inputs!$B$25:$D$44,3,0)*(VLOOKUP(Financials!$B22,Inputs!$B$3:$D$21,3,0)*(1+Inputs!$L$10)^Financials!CW$3)*CW$8))</f>
        <v>0</v>
      </c>
      <c r="CX22" s="18">
        <f>IF(CX$1&lt;CapEx!$O$7,0,(VLOOKUP($B22,Inputs!$B$25:$D$44,3,0)*(VLOOKUP(Financials!$B22,Inputs!$B$3:$D$21,3,0)*(1+Inputs!$L$10)^Financials!CX$3)*CX$8))</f>
        <v>0</v>
      </c>
      <c r="CY22" s="18">
        <f>IF(CY$1&lt;CapEx!$O$7,0,(VLOOKUP($B22,Inputs!$B$25:$D$44,3,0)*(VLOOKUP(Financials!$B22,Inputs!$B$3:$D$21,3,0)*(1+Inputs!$L$10)^Financials!CY$3)*CY$8))</f>
        <v>0</v>
      </c>
      <c r="CZ22" s="18">
        <f>IF(CZ$1&lt;CapEx!$O$7,0,(VLOOKUP($B22,Inputs!$B$25:$D$44,3,0)*(VLOOKUP(Financials!$B22,Inputs!$B$3:$D$21,3,0)*(1+Inputs!$L$10)^Financials!CZ$3)*CZ$8))</f>
        <v>0</v>
      </c>
      <c r="DA22" s="18">
        <f>IF(DA$1&lt;CapEx!$O$7,0,(VLOOKUP($B22,Inputs!$B$25:$D$44,3,0)*(VLOOKUP(Financials!$B22,Inputs!$B$3:$D$21,3,0)*(1+Inputs!$L$10)^Financials!DA$3)*DA$8))</f>
        <v>0</v>
      </c>
      <c r="DB22" s="18">
        <f>IF(DB$1&lt;CapEx!$O$7,0,(VLOOKUP($B22,Inputs!$B$25:$D$44,3,0)*(VLOOKUP(Financials!$B22,Inputs!$B$3:$D$21,3,0)*(1+Inputs!$L$10)^Financials!DB$3)*DB$8))</f>
        <v>0</v>
      </c>
      <c r="DC22" s="18">
        <f>IF(DC$1&lt;CapEx!$O$7,0,(VLOOKUP($B22,Inputs!$B$25:$D$44,3,0)*(VLOOKUP(Financials!$B22,Inputs!$B$3:$D$21,3,0)*(1+Inputs!$L$10)^Financials!DC$3)*DC$8))</f>
        <v>0</v>
      </c>
      <c r="DD22" s="18">
        <f>IF(DD$1&lt;CapEx!$O$7,0,(VLOOKUP($B22,Inputs!$B$25:$D$44,3,0)*(VLOOKUP(Financials!$B22,Inputs!$B$3:$D$21,3,0)*(1+Inputs!$L$10)^Financials!DD$3)*DD$8))</f>
        <v>0</v>
      </c>
      <c r="DE22" s="18">
        <f>IF(DE$1&lt;CapEx!$O$7,0,(VLOOKUP($B22,Inputs!$B$25:$D$44,3,0)*(VLOOKUP(Financials!$B22,Inputs!$B$3:$D$21,3,0)*(1+Inputs!$L$10)^Financials!DE$3)*DE$8))</f>
        <v>0</v>
      </c>
      <c r="DF22" s="18">
        <f>IF(DF$1&lt;CapEx!$O$7,0,(VLOOKUP($B22,Inputs!$B$25:$D$44,3,0)*(VLOOKUP(Financials!$B22,Inputs!$B$3:$D$21,3,0)*(1+Inputs!$L$10)^Financials!DF$3)*DF$8))</f>
        <v>0</v>
      </c>
      <c r="DG22" s="18">
        <f>IF(DG$1&lt;CapEx!$O$7,0,(VLOOKUP($B22,Inputs!$B$25:$D$44,3,0)*(VLOOKUP(Financials!$B22,Inputs!$B$3:$D$21,3,0)*(1+Inputs!$L$10)^Financials!DG$3)*DG$8))</f>
        <v>0</v>
      </c>
      <c r="DH22" s="18">
        <f>IF(DH$1&lt;CapEx!$O$7,0,(VLOOKUP($B22,Inputs!$B$25:$D$44,3,0)*(VLOOKUP(Financials!$B22,Inputs!$B$3:$D$21,3,0)*(1+Inputs!$L$10)^Financials!DH$3)*DH$8))</f>
        <v>0</v>
      </c>
      <c r="DI22" s="18">
        <f>IF(DI$1&lt;CapEx!$O$7,0,(VLOOKUP($B22,Inputs!$B$25:$D$44,3,0)*(VLOOKUP(Financials!$B22,Inputs!$B$3:$D$21,3,0)*(1+Inputs!$L$10)^Financials!DI$3)*DI$8))</f>
        <v>0</v>
      </c>
      <c r="DJ22" s="18">
        <f>IF(DJ$1&lt;CapEx!$O$7,0,(VLOOKUP($B22,Inputs!$B$25:$D$44,3,0)*(VLOOKUP(Financials!$B22,Inputs!$B$3:$D$21,3,0)*(1+Inputs!$L$10)^Financials!DJ$3)*DJ$8))</f>
        <v>0</v>
      </c>
      <c r="DK22" s="18">
        <f>IF(DK$1&lt;CapEx!$O$7,0,(VLOOKUP($B22,Inputs!$B$25:$D$44,3,0)*(VLOOKUP(Financials!$B22,Inputs!$B$3:$D$21,3,0)*(1+Inputs!$L$10)^Financials!DK$3)*DK$8))</f>
        <v>0</v>
      </c>
      <c r="DL22" s="18">
        <f>IF(DL$1&lt;CapEx!$O$7,0,(VLOOKUP($B22,Inputs!$B$25:$D$44,3,0)*(VLOOKUP(Financials!$B22,Inputs!$B$3:$D$21,3,0)*(1+Inputs!$L$10)^Financials!DL$3)*DL$8))</f>
        <v>0</v>
      </c>
      <c r="DM22" s="18">
        <f>IF(DM$1&lt;CapEx!$O$7,0,(VLOOKUP($B22,Inputs!$B$25:$D$44,3,0)*(VLOOKUP(Financials!$B22,Inputs!$B$3:$D$21,3,0)*(1+Inputs!$L$10)^Financials!DM$3)*DM$8))</f>
        <v>0</v>
      </c>
      <c r="DN22" s="18">
        <f>IF(DN$1&lt;CapEx!$O$7,0,(VLOOKUP($B22,Inputs!$B$25:$D$44,3,0)*(VLOOKUP(Financials!$B22,Inputs!$B$3:$D$21,3,0)*(1+Inputs!$L$10)^Financials!DN$3)*DN$8))</f>
        <v>0</v>
      </c>
      <c r="DO22" s="18">
        <f>IF(DO$1&lt;CapEx!$O$7,0,(VLOOKUP($B22,Inputs!$B$25:$D$44,3,0)*(VLOOKUP(Financials!$B22,Inputs!$B$3:$D$21,3,0)*(1+Inputs!$L$10)^Financials!DO$3)*DO$8))</f>
        <v>0</v>
      </c>
      <c r="DP22" s="18">
        <f>IF(DP$1&lt;CapEx!$O$7,0,(VLOOKUP($B22,Inputs!$B$25:$D$44,3,0)*(VLOOKUP(Financials!$B22,Inputs!$B$3:$D$21,3,0)*(1+Inputs!$L$10)^Financials!DP$3)*DP$8))</f>
        <v>0</v>
      </c>
      <c r="DQ22" s="18">
        <f>IF(DQ$1&lt;CapEx!$O$7,0,(VLOOKUP($B22,Inputs!$B$25:$D$44,3,0)*(VLOOKUP(Financials!$B22,Inputs!$B$3:$D$21,3,0)*(1+Inputs!$L$10)^Financials!DQ$3)*DQ$8))</f>
        <v>0</v>
      </c>
      <c r="DR22" s="18">
        <f>IF(DR$1&lt;CapEx!$O$7,0,(VLOOKUP($B22,Inputs!$B$25:$D$44,3,0)*(VLOOKUP(Financials!$B22,Inputs!$B$3:$D$21,3,0)*(1+Inputs!$L$10)^Financials!DR$3)*DR$8))</f>
        <v>0</v>
      </c>
      <c r="DS22" s="18">
        <f>IF(DS$1&lt;CapEx!$O$7,0,(VLOOKUP($B22,Inputs!$B$25:$D$44,3,0)*(VLOOKUP(Financials!$B22,Inputs!$B$3:$D$21,3,0)*(1+Inputs!$L$10)^Financials!DS$3)*DS$8))</f>
        <v>0</v>
      </c>
      <c r="DT22" s="18">
        <f>IF(DT$1&lt;CapEx!$O$7,0,(VLOOKUP($B22,Inputs!$B$25:$D$44,3,0)*(VLOOKUP(Financials!$B22,Inputs!$B$3:$D$21,3,0)*(1+Inputs!$L$10)^Financials!DT$3)*DT$8))</f>
        <v>0</v>
      </c>
      <c r="DU22" s="18">
        <f>IF(DU$1&lt;CapEx!$O$7,0,(VLOOKUP($B22,Inputs!$B$25:$D$44,3,0)*(VLOOKUP(Financials!$B22,Inputs!$B$3:$D$21,3,0)*(1+Inputs!$L$10)^Financials!DU$3)*DU$8))</f>
        <v>0</v>
      </c>
      <c r="DV22" s="18">
        <f>IF(DV$1&lt;CapEx!$O$7,0,(VLOOKUP($B22,Inputs!$B$25:$D$44,3,0)*(VLOOKUP(Financials!$B22,Inputs!$B$3:$D$21,3,0)*(1+Inputs!$L$10)^Financials!DV$3)*DV$8))</f>
        <v>0</v>
      </c>
      <c r="DW22" s="18">
        <f>IF(DW$1&lt;CapEx!$O$7,0,(VLOOKUP($B22,Inputs!$B$25:$D$44,3,0)*(VLOOKUP(Financials!$B22,Inputs!$B$3:$D$21,3,0)*(1+Inputs!$L$10)^Financials!DW$3)*DW$8))</f>
        <v>0</v>
      </c>
      <c r="DX22" s="18">
        <f>IF(DX$1&lt;CapEx!$O$7,0,(VLOOKUP($B22,Inputs!$B$25:$D$44,3,0)*(VLOOKUP(Financials!$B22,Inputs!$B$3:$D$21,3,0)*(1+Inputs!$L$10)^Financials!DX$3)*DX$8))</f>
        <v>0</v>
      </c>
      <c r="DY22" s="18">
        <f>IF(DY$1&lt;CapEx!$O$7,0,(VLOOKUP($B22,Inputs!$B$25:$D$44,3,0)*(VLOOKUP(Financials!$B22,Inputs!$B$3:$D$21,3,0)*(1+Inputs!$L$10)^Financials!DY$3)*DY$8))</f>
        <v>0</v>
      </c>
      <c r="DZ22" s="18">
        <f>IF(DZ$1&lt;CapEx!$O$7,0,(VLOOKUP($B22,Inputs!$B$25:$D$44,3,0)*(VLOOKUP(Financials!$B22,Inputs!$B$3:$D$21,3,0)*(1+Inputs!$L$10)^Financials!DZ$3)*DZ$8))</f>
        <v>0</v>
      </c>
      <c r="EA22" s="18">
        <f>IF(EA$1&lt;CapEx!$O$7,0,(VLOOKUP($B22,Inputs!$B$25:$D$44,3,0)*(VLOOKUP(Financials!$B22,Inputs!$B$3:$D$21,3,0)*(1+Inputs!$L$10)^Financials!EA$3)*EA$8))</f>
        <v>0</v>
      </c>
      <c r="EB22" s="18">
        <f>IF(EB$1&lt;CapEx!$O$7,0,(VLOOKUP($B22,Inputs!$B$25:$D$44,3,0)*(VLOOKUP(Financials!$B22,Inputs!$B$3:$D$21,3,0)*(1+Inputs!$L$10)^Financials!EB$3)*EB$8))</f>
        <v>0</v>
      </c>
      <c r="EC22" s="18">
        <f>IF(EC$1&lt;CapEx!$O$7,0,(VLOOKUP($B22,Inputs!$B$25:$D$44,3,0)*(VLOOKUP(Financials!$B22,Inputs!$B$3:$D$21,3,0)*(1+Inputs!$L$10)^Financials!EC$3)*EC$8))</f>
        <v>0</v>
      </c>
      <c r="ED22" s="18">
        <f>IF(ED$1&lt;CapEx!$O$7,0,(VLOOKUP($B22,Inputs!$B$25:$D$44,3,0)*(VLOOKUP(Financials!$B22,Inputs!$B$3:$D$21,3,0)*(1+Inputs!$L$10)^Financials!ED$3)*ED$8))</f>
        <v>0</v>
      </c>
      <c r="EE22" s="18">
        <f>IF(EE$1&lt;CapEx!$O$7,0,(VLOOKUP($B22,Inputs!$B$25:$D$44,3,0)*(VLOOKUP(Financials!$B22,Inputs!$B$3:$D$21,3,0)*(1+Inputs!$L$10)^Financials!EE$3)*EE$8))</f>
        <v>0</v>
      </c>
      <c r="EF22" s="18">
        <f>IF(EF$1&lt;CapEx!$O$7,0,(VLOOKUP($B22,Inputs!$B$25:$D$44,3,0)*(VLOOKUP(Financials!$B22,Inputs!$B$3:$D$21,3,0)*(1+Inputs!$L$10)^Financials!EF$3)*EF$8))</f>
        <v>0</v>
      </c>
      <c r="EG22" s="18">
        <f>IF(EG$1&lt;CapEx!$O$7,0,(VLOOKUP($B22,Inputs!$B$25:$D$44,3,0)*(VLOOKUP(Financials!$B22,Inputs!$B$3:$D$21,3,0)*(1+Inputs!$L$10)^Financials!EG$3)*EG$8))</f>
        <v>0</v>
      </c>
      <c r="EH22" s="18">
        <f>IF(EH$1&lt;CapEx!$O$7,0,(VLOOKUP($B22,Inputs!$B$25:$D$44,3,0)*(VLOOKUP(Financials!$B22,Inputs!$B$3:$D$21,3,0)*(1+Inputs!$L$10)^Financials!EH$3)*EH$8))</f>
        <v>0</v>
      </c>
      <c r="EI22" s="18">
        <f>IF(EI$1&lt;CapEx!$O$7,0,(VLOOKUP($B22,Inputs!$B$25:$D$44,3,0)*(VLOOKUP(Financials!$B22,Inputs!$B$3:$D$21,3,0)*(1+Inputs!$L$10)^Financials!EI$3)*EI$8))</f>
        <v>0</v>
      </c>
      <c r="EJ22" s="18">
        <f>IF(EJ$1&lt;CapEx!$O$7,0,(VLOOKUP($B22,Inputs!$B$25:$D$44,3,0)*(VLOOKUP(Financials!$B22,Inputs!$B$3:$D$21,3,0)*(1+Inputs!$L$10)^Financials!EJ$3)*EJ$8))</f>
        <v>0</v>
      </c>
      <c r="EK22" s="18">
        <f>IF(EK$1&lt;CapEx!$O$7,0,(VLOOKUP($B22,Inputs!$B$25:$D$44,3,0)*(VLOOKUP(Financials!$B22,Inputs!$B$3:$D$21,3,0)*(1+Inputs!$L$10)^Financials!EK$3)*EK$8))</f>
        <v>0</v>
      </c>
      <c r="EL22" s="18">
        <f>IF(EL$1&lt;CapEx!$O$7,0,(VLOOKUP($B22,Inputs!$B$25:$D$44,3,0)*(VLOOKUP(Financials!$B22,Inputs!$B$3:$D$21,3,0)*(1+Inputs!$L$10)^Financials!EL$3)*EL$8))</f>
        <v>0</v>
      </c>
      <c r="EM22" s="18">
        <f>IF(EM$1&lt;CapEx!$O$7,0,(VLOOKUP($B22,Inputs!$B$25:$D$44,3,0)*(VLOOKUP(Financials!$B22,Inputs!$B$3:$D$21,3,0)*(1+Inputs!$L$10)^Financials!EM$3)*EM$8))</f>
        <v>0</v>
      </c>
      <c r="EN22" s="18">
        <f>IF(EN$1&lt;CapEx!$O$7,0,(VLOOKUP($B22,Inputs!$B$25:$D$44,3,0)*(VLOOKUP(Financials!$B22,Inputs!$B$3:$D$21,3,0)*(1+Inputs!$L$10)^Financials!EN$3)*EN$8))</f>
        <v>0</v>
      </c>
      <c r="EO22" s="18">
        <f>IF(EO$1&lt;CapEx!$O$7,0,(VLOOKUP($B22,Inputs!$B$25:$D$44,3,0)*(VLOOKUP(Financials!$B22,Inputs!$B$3:$D$21,3,0)*(1+Inputs!$L$10)^Financials!EO$3)*EO$8))</f>
        <v>0</v>
      </c>
      <c r="EP22" s="18">
        <f>IF(EP$1&lt;CapEx!$O$7,0,(VLOOKUP($B22,Inputs!$B$25:$D$44,3,0)*(VLOOKUP(Financials!$B22,Inputs!$B$3:$D$21,3,0)*(1+Inputs!$L$10)^Financials!EP$3)*EP$8))</f>
        <v>0</v>
      </c>
      <c r="EQ22" s="18">
        <f>IF(EQ$1&lt;CapEx!$O$7,0,(VLOOKUP($B22,Inputs!$B$25:$D$44,3,0)*(VLOOKUP(Financials!$B22,Inputs!$B$3:$D$21,3,0)*(1+Inputs!$L$10)^Financials!EQ$3)*EQ$8))</f>
        <v>0</v>
      </c>
      <c r="ER22" s="18">
        <f>IF(ER$1&lt;CapEx!$O$7,0,(VLOOKUP($B22,Inputs!$B$25:$D$44,3,0)*(VLOOKUP(Financials!$B22,Inputs!$B$3:$D$21,3,0)*(1+Inputs!$L$10)^Financials!ER$3)*ER$8))</f>
        <v>0</v>
      </c>
      <c r="ES22" s="18">
        <f>IF(ES$1&lt;CapEx!$O$7,0,(VLOOKUP($B22,Inputs!$B$25:$D$44,3,0)*(VLOOKUP(Financials!$B22,Inputs!$B$3:$D$21,3,0)*(1+Inputs!$L$10)^Financials!ES$3)*ES$8))</f>
        <v>0</v>
      </c>
      <c r="ET22" s="18">
        <f>IF(ET$1&lt;CapEx!$O$7,0,(VLOOKUP($B22,Inputs!$B$25:$D$44,3,0)*(VLOOKUP(Financials!$B22,Inputs!$B$3:$D$21,3,0)*(1+Inputs!$L$10)^Financials!ET$3)*ET$8))</f>
        <v>0</v>
      </c>
      <c r="EU22" s="18">
        <f>IF(EU$1&lt;CapEx!$O$7,0,(VLOOKUP($B22,Inputs!$B$25:$D$44,3,0)*(VLOOKUP(Financials!$B22,Inputs!$B$3:$D$21,3,0)*(1+Inputs!$L$10)^Financials!EU$3)*EU$8))</f>
        <v>0</v>
      </c>
      <c r="EV22" s="18">
        <f>IF(EV$1&lt;CapEx!$O$7,0,(VLOOKUP($B22,Inputs!$B$25:$D$44,3,0)*(VLOOKUP(Financials!$B22,Inputs!$B$3:$D$21,3,0)*(1+Inputs!$L$10)^Financials!EV$3)*EV$8))</f>
        <v>0</v>
      </c>
      <c r="EW22" s="18">
        <f>IF(EW$1&lt;CapEx!$O$7,0,(VLOOKUP($B22,Inputs!$B$25:$D$44,3,0)*(VLOOKUP(Financials!$B22,Inputs!$B$3:$D$21,3,0)*(1+Inputs!$L$10)^Financials!EW$3)*EW$8))</f>
        <v>0</v>
      </c>
      <c r="EX22" s="18">
        <f>IF(EX$1&lt;CapEx!$O$7,0,(VLOOKUP($B22,Inputs!$B$25:$D$44,3,0)*(VLOOKUP(Financials!$B22,Inputs!$B$3:$D$21,3,0)*(1+Inputs!$L$10)^Financials!EX$3)*EX$8))</f>
        <v>0</v>
      </c>
      <c r="EY22" s="18">
        <f>IF(EY$1&lt;CapEx!$O$7,0,(VLOOKUP($B22,Inputs!$B$25:$D$44,3,0)*(VLOOKUP(Financials!$B22,Inputs!$B$3:$D$21,3,0)*(1+Inputs!$L$10)^Financials!EY$3)*EY$8))</f>
        <v>0</v>
      </c>
      <c r="EZ22" s="18">
        <f>IF(EZ$1&lt;CapEx!$O$7,0,(VLOOKUP($B22,Inputs!$B$25:$D$44,3,0)*(VLOOKUP(Financials!$B22,Inputs!$B$3:$D$21,3,0)*(1+Inputs!$L$10)^Financials!EZ$3)*EZ$8))</f>
        <v>0</v>
      </c>
      <c r="FA22" s="18">
        <f>IF(FA$1&lt;CapEx!$O$7,0,(VLOOKUP($B22,Inputs!$B$25:$D$44,3,0)*(VLOOKUP(Financials!$B22,Inputs!$B$3:$D$21,3,0)*(1+Inputs!$L$10)^Financials!FA$3)*FA$8))</f>
        <v>0</v>
      </c>
      <c r="FB22" s="18">
        <f>IF(FB$1&lt;CapEx!$O$7,0,(VLOOKUP($B22,Inputs!$B$25:$D$44,3,0)*(VLOOKUP(Financials!$B22,Inputs!$B$3:$D$21,3,0)*(1+Inputs!$L$10)^Financials!FB$3)*FB$8))</f>
        <v>0</v>
      </c>
      <c r="FC22" s="18">
        <f>IF(FC$1&lt;CapEx!$O$7,0,(VLOOKUP($B22,Inputs!$B$25:$D$44,3,0)*(VLOOKUP(Financials!$B22,Inputs!$B$3:$D$21,3,0)*(1+Inputs!$L$10)^Financials!FC$3)*FC$8))</f>
        <v>0</v>
      </c>
      <c r="FD22" s="18">
        <f>IF(FD$1&lt;CapEx!$O$7,0,(VLOOKUP($B22,Inputs!$B$25:$D$44,3,0)*(VLOOKUP(Financials!$B22,Inputs!$B$3:$D$21,3,0)*(1+Inputs!$L$10)^Financials!FD$3)*FD$8))</f>
        <v>0</v>
      </c>
      <c r="FE22" s="18">
        <f>IF(FE$1&lt;CapEx!$O$7,0,(VLOOKUP($B22,Inputs!$B$25:$D$44,3,0)*(VLOOKUP(Financials!$B22,Inputs!$B$3:$D$21,3,0)*(1+Inputs!$L$10)^Financials!FE$3)*FE$8))</f>
        <v>0</v>
      </c>
      <c r="FF22" s="18">
        <f>IF(FF$1&lt;CapEx!$O$7,0,(VLOOKUP($B22,Inputs!$B$25:$D$44,3,0)*(VLOOKUP(Financials!$B22,Inputs!$B$3:$D$21,3,0)*(1+Inputs!$L$10)^Financials!FF$3)*FF$8))</f>
        <v>0</v>
      </c>
      <c r="FG22" s="18">
        <f>IF(FG$1&lt;CapEx!$O$7,0,(VLOOKUP($B22,Inputs!$B$25:$D$44,3,0)*(VLOOKUP(Financials!$B22,Inputs!$B$3:$D$21,3,0)*(1+Inputs!$L$10)^Financials!FG$3)*FG$8))</f>
        <v>0</v>
      </c>
      <c r="FH22" s="18">
        <f>IF(FH$1&lt;CapEx!$O$7,0,(VLOOKUP($B22,Inputs!$B$25:$D$44,3,0)*(VLOOKUP(Financials!$B22,Inputs!$B$3:$D$21,3,0)*(1+Inputs!$L$10)^Financials!FH$3)*FH$8))</f>
        <v>0</v>
      </c>
      <c r="FI22" s="18">
        <f>IF(FI$1&lt;CapEx!$O$7,0,(VLOOKUP($B22,Inputs!$B$25:$D$44,3,0)*(VLOOKUP(Financials!$B22,Inputs!$B$3:$D$21,3,0)*(1+Inputs!$L$10)^Financials!FI$3)*FI$8))</f>
        <v>0</v>
      </c>
      <c r="FJ22" s="18">
        <f>IF(FJ$1&lt;CapEx!$O$7,0,(VLOOKUP($B22,Inputs!$B$25:$D$44,3,0)*(VLOOKUP(Financials!$B22,Inputs!$B$3:$D$21,3,0)*(1+Inputs!$L$10)^Financials!FJ$3)*FJ$8))</f>
        <v>0</v>
      </c>
      <c r="FK22" s="18">
        <f>IF(FK$1&lt;CapEx!$O$7,0,(VLOOKUP($B22,Inputs!$B$25:$D$44,3,0)*(VLOOKUP(Financials!$B22,Inputs!$B$3:$D$21,3,0)*(1+Inputs!$L$10)^Financials!FK$3)*FK$8))</f>
        <v>0</v>
      </c>
      <c r="FL22" s="18">
        <f>IF(FL$1&lt;CapEx!$O$7,0,(VLOOKUP($B22,Inputs!$B$25:$D$44,3,0)*(VLOOKUP(Financials!$B22,Inputs!$B$3:$D$21,3,0)*(1+Inputs!$L$10)^Financials!FL$3)*FL$8))</f>
        <v>0</v>
      </c>
      <c r="FM22" s="18">
        <f>IF(FM$1&lt;CapEx!$O$7,0,(VLOOKUP($B22,Inputs!$B$25:$D$44,3,0)*(VLOOKUP(Financials!$B22,Inputs!$B$3:$D$21,3,0)*(1+Inputs!$L$10)^Financials!FM$3)*FM$8))</f>
        <v>0</v>
      </c>
      <c r="FN22" s="18">
        <f>IF(FN$1&lt;CapEx!$O$7,0,(VLOOKUP($B22,Inputs!$B$25:$D$44,3,0)*(VLOOKUP(Financials!$B22,Inputs!$B$3:$D$21,3,0)*(1+Inputs!$L$10)^Financials!FN$3)*FN$8))</f>
        <v>0</v>
      </c>
      <c r="FO22" s="18">
        <f>IF(FO$1&lt;CapEx!$O$7,0,(VLOOKUP($B22,Inputs!$B$25:$D$44,3,0)*(VLOOKUP(Financials!$B22,Inputs!$B$3:$D$21,3,0)*(1+Inputs!$L$10)^Financials!FO$3)*FO$8))</f>
        <v>0</v>
      </c>
      <c r="FP22" s="18">
        <f>IF(FP$1&lt;CapEx!$O$7,0,(VLOOKUP($B22,Inputs!$B$25:$D$44,3,0)*(VLOOKUP(Financials!$B22,Inputs!$B$3:$D$21,3,0)*(1+Inputs!$L$10)^Financials!FP$3)*FP$8))</f>
        <v>0</v>
      </c>
      <c r="FQ22" s="18">
        <f>IF(FQ$1&lt;CapEx!$O$7,0,(VLOOKUP($B22,Inputs!$B$25:$D$44,3,0)*(VLOOKUP(Financials!$B22,Inputs!$B$3:$D$21,3,0)*(1+Inputs!$L$10)^Financials!FQ$3)*FQ$8))</f>
        <v>0</v>
      </c>
      <c r="FR22" s="18">
        <f>IF(FR$1&lt;CapEx!$O$7,0,(VLOOKUP($B22,Inputs!$B$25:$D$44,3,0)*(VLOOKUP(Financials!$B22,Inputs!$B$3:$D$21,3,0)*(1+Inputs!$L$10)^Financials!FR$3)*FR$8))</f>
        <v>0</v>
      </c>
      <c r="FS22" s="18">
        <f>IF(FS$1&lt;CapEx!$O$7,0,(VLOOKUP($B22,Inputs!$B$25:$D$44,3,0)*(VLOOKUP(Financials!$B22,Inputs!$B$3:$D$21,3,0)*(1+Inputs!$L$10)^Financials!FS$3)*FS$8))</f>
        <v>0</v>
      </c>
      <c r="FT22" s="18">
        <f>IF(FT$1&lt;CapEx!$O$7,0,(VLOOKUP($B22,Inputs!$B$25:$D$44,3,0)*(VLOOKUP(Financials!$B22,Inputs!$B$3:$D$21,3,0)*(1+Inputs!$L$10)^Financials!FT$3)*FT$8))</f>
        <v>0</v>
      </c>
      <c r="FU22" s="18">
        <f>IF(FU$1&lt;CapEx!$O$7,0,(VLOOKUP($B22,Inputs!$B$25:$D$44,3,0)*(VLOOKUP(Financials!$B22,Inputs!$B$3:$D$21,3,0)*(1+Inputs!$L$10)^Financials!FU$3)*FU$8))</f>
        <v>0</v>
      </c>
      <c r="FV22" s="18">
        <f>IF(FV$1&lt;CapEx!$O$7,0,(VLOOKUP($B22,Inputs!$B$25:$D$44,3,0)*(VLOOKUP(Financials!$B22,Inputs!$B$3:$D$21,3,0)*(1+Inputs!$L$10)^Financials!FV$3)*FV$8))</f>
        <v>0</v>
      </c>
      <c r="FW22" s="18">
        <f>IF(FW$1&lt;CapEx!$O$7,0,(VLOOKUP($B22,Inputs!$B$25:$D$44,3,0)*(VLOOKUP(Financials!$B22,Inputs!$B$3:$D$21,3,0)*(1+Inputs!$L$10)^Financials!FW$3)*FW$8))</f>
        <v>0</v>
      </c>
      <c r="FX22" s="18">
        <f>IF(FX$1&lt;CapEx!$O$7,0,(VLOOKUP($B22,Inputs!$B$25:$D$44,3,0)*(VLOOKUP(Financials!$B22,Inputs!$B$3:$D$21,3,0)*(1+Inputs!$L$10)^Financials!FX$3)*FX$8))</f>
        <v>0</v>
      </c>
      <c r="FY22" s="18">
        <f>IF(FY$1&lt;CapEx!$O$7,0,(VLOOKUP($B22,Inputs!$B$25:$D$44,3,0)*(VLOOKUP(Financials!$B22,Inputs!$B$3:$D$21,3,0)*(1+Inputs!$L$10)^Financials!FY$3)*FY$8))</f>
        <v>0</v>
      </c>
      <c r="FZ22" s="18">
        <f>IF(FZ$1&lt;CapEx!$O$7,0,(VLOOKUP($B22,Inputs!$B$25:$D$44,3,0)*(VLOOKUP(Financials!$B22,Inputs!$B$3:$D$21,3,0)*(1+Inputs!$L$10)^Financials!FZ$3)*FZ$8))</f>
        <v>0</v>
      </c>
      <c r="GA22" s="18">
        <f>IF(GA$1&lt;CapEx!$O$7,0,(VLOOKUP($B22,Inputs!$B$25:$D$44,3,0)*(VLOOKUP(Financials!$B22,Inputs!$B$3:$D$21,3,0)*(1+Inputs!$L$10)^Financials!GA$3)*GA$8))</f>
        <v>0</v>
      </c>
      <c r="GB22" s="18">
        <f>IF(GB$1&lt;CapEx!$O$7,0,(VLOOKUP($B22,Inputs!$B$25:$D$44,3,0)*(VLOOKUP(Financials!$B22,Inputs!$B$3:$D$21,3,0)*(1+Inputs!$L$10)^Financials!GB$3)*GB$8))</f>
        <v>0</v>
      </c>
      <c r="GC22" s="18">
        <f>IF(GC$1&lt;CapEx!$O$7,0,(VLOOKUP($B22,Inputs!$B$25:$D$44,3,0)*(VLOOKUP(Financials!$B22,Inputs!$B$3:$D$21,3,0)*(1+Inputs!$L$10)^Financials!GC$3)*GC$8))</f>
        <v>0</v>
      </c>
      <c r="GD22" s="18">
        <f>IF(GD$1&lt;CapEx!$O$7,0,(VLOOKUP($B22,Inputs!$B$25:$D$44,3,0)*(VLOOKUP(Financials!$B22,Inputs!$B$3:$D$21,3,0)*(1+Inputs!$L$10)^Financials!GD$3)*GD$8))</f>
        <v>0</v>
      </c>
      <c r="GE22" s="18">
        <f>IF(GE$1&lt;CapEx!$O$7,0,(VLOOKUP($B22,Inputs!$B$25:$D$44,3,0)*(VLOOKUP(Financials!$B22,Inputs!$B$3:$D$21,3,0)*(1+Inputs!$L$10)^Financials!GE$3)*GE$8))</f>
        <v>0</v>
      </c>
      <c r="GF22" s="18">
        <f>IF(GF$1&lt;CapEx!$O$7,0,(VLOOKUP($B22,Inputs!$B$25:$D$44,3,0)*(VLOOKUP(Financials!$B22,Inputs!$B$3:$D$21,3,0)*(1+Inputs!$L$10)^Financials!GF$3)*GF$8))</f>
        <v>0</v>
      </c>
      <c r="GG22" s="18">
        <f>IF(GG$1&lt;CapEx!$O$7,0,(VLOOKUP($B22,Inputs!$B$25:$D$44,3,0)*(VLOOKUP(Financials!$B22,Inputs!$B$3:$D$21,3,0)*(1+Inputs!$L$10)^Financials!GG$3)*GG$8))</f>
        <v>0</v>
      </c>
      <c r="GH22" s="18">
        <f>IF(GH$1&lt;CapEx!$O$7,0,(VLOOKUP($B22,Inputs!$B$25:$D$44,3,0)*(VLOOKUP(Financials!$B22,Inputs!$B$3:$D$21,3,0)*(1+Inputs!$L$10)^Financials!GH$3)*GH$8))</f>
        <v>0</v>
      </c>
      <c r="GI22" s="18">
        <f>IF(GI$1&lt;CapEx!$O$7,0,(VLOOKUP($B22,Inputs!$B$25:$D$44,3,0)*(VLOOKUP(Financials!$B22,Inputs!$B$3:$D$21,3,0)*(1+Inputs!$L$10)^Financials!GI$3)*GI$8))</f>
        <v>0</v>
      </c>
      <c r="GJ22" s="18">
        <f>IF(GJ$1&lt;CapEx!$O$7,0,(VLOOKUP($B22,Inputs!$B$25:$D$44,3,0)*(VLOOKUP(Financials!$B22,Inputs!$B$3:$D$21,3,0)*(1+Inputs!$L$10)^Financials!GJ$3)*GJ$8))</f>
        <v>0</v>
      </c>
      <c r="GK22" s="18">
        <f>IF(GK$1&lt;CapEx!$O$7,0,(VLOOKUP($B22,Inputs!$B$25:$D$44,3,0)*(VLOOKUP(Financials!$B22,Inputs!$B$3:$D$21,3,0)*(1+Inputs!$L$10)^Financials!GK$3)*GK$8))</f>
        <v>0</v>
      </c>
      <c r="GL22" s="18">
        <f>IF(GL$1&lt;CapEx!$O$7,0,(VLOOKUP($B22,Inputs!$B$25:$D$44,3,0)*(VLOOKUP(Financials!$B22,Inputs!$B$3:$D$21,3,0)*(1+Inputs!$L$10)^Financials!GL$3)*GL$8))</f>
        <v>0</v>
      </c>
      <c r="GM22" s="18">
        <f>IF(GM$1&lt;CapEx!$O$7,0,(VLOOKUP($B22,Inputs!$B$25:$D$44,3,0)*(VLOOKUP(Financials!$B22,Inputs!$B$3:$D$21,3,0)*(1+Inputs!$L$10)^Financials!GM$3)*GM$8))</f>
        <v>0</v>
      </c>
      <c r="GN22" s="18">
        <f>IF(GN$1&lt;CapEx!$O$7,0,(VLOOKUP($B22,Inputs!$B$25:$D$44,3,0)*(VLOOKUP(Financials!$B22,Inputs!$B$3:$D$21,3,0)*(1+Inputs!$L$10)^Financials!GN$3)*GN$8))</f>
        <v>0</v>
      </c>
      <c r="GO22" s="18">
        <f>IF(GO$1&lt;CapEx!$O$7,0,(VLOOKUP($B22,Inputs!$B$25:$D$44,3,0)*(VLOOKUP(Financials!$B22,Inputs!$B$3:$D$21,3,0)*(1+Inputs!$L$10)^Financials!GO$3)*GO$8))</f>
        <v>0</v>
      </c>
      <c r="GP22" s="18">
        <f>IF(GP$1&lt;CapEx!$O$7,0,(VLOOKUP($B22,Inputs!$B$25:$D$44,3,0)*(VLOOKUP(Financials!$B22,Inputs!$B$3:$D$21,3,0)*(1+Inputs!$L$10)^Financials!GP$3)*GP$8))</f>
        <v>0</v>
      </c>
      <c r="GQ22" s="18">
        <f>IF(GQ$1&lt;CapEx!$O$7,0,(VLOOKUP($B22,Inputs!$B$25:$D$44,3,0)*(VLOOKUP(Financials!$B22,Inputs!$B$3:$D$21,3,0)*(1+Inputs!$L$10)^Financials!GQ$3)*GQ$8))</f>
        <v>0</v>
      </c>
      <c r="GR22" s="18">
        <f>IF(GR$1&lt;CapEx!$O$7,0,(VLOOKUP($B22,Inputs!$B$25:$D$44,3,0)*(VLOOKUP(Financials!$B22,Inputs!$B$3:$D$21,3,0)*(1+Inputs!$L$10)^Financials!GR$3)*GR$8))</f>
        <v>0</v>
      </c>
      <c r="GS22" s="18">
        <f>IF(GS$1&lt;CapEx!$O$7,0,(VLOOKUP($B22,Inputs!$B$25:$D$44,3,0)*(VLOOKUP(Financials!$B22,Inputs!$B$3:$D$21,3,0)*(1+Inputs!$L$10)^Financials!GS$3)*GS$8))</f>
        <v>0</v>
      </c>
      <c r="GT22" s="18">
        <f>IF(GT$1&lt;CapEx!$O$7,0,(VLOOKUP($B22,Inputs!$B$25:$D$44,3,0)*(VLOOKUP(Financials!$B22,Inputs!$B$3:$D$21,3,0)*(1+Inputs!$L$10)^Financials!GT$3)*GT$8))</f>
        <v>0</v>
      </c>
      <c r="GU22" s="18">
        <f>IF(GU$1&lt;CapEx!$O$7,0,(VLOOKUP($B22,Inputs!$B$25:$D$44,3,0)*(VLOOKUP(Financials!$B22,Inputs!$B$3:$D$21,3,0)*(1+Inputs!$L$10)^Financials!GU$3)*GU$8))</f>
        <v>0</v>
      </c>
      <c r="GV22" s="18">
        <f>IF(GV$1&lt;CapEx!$O$7,0,(VLOOKUP($B22,Inputs!$B$25:$D$44,3,0)*(VLOOKUP(Financials!$B22,Inputs!$B$3:$D$21,3,0)*(1+Inputs!$L$10)^Financials!GV$3)*GV$8))</f>
        <v>0</v>
      </c>
      <c r="GW22" s="18">
        <f>IF(GW$1&lt;CapEx!$O$7,0,(VLOOKUP($B22,Inputs!$B$25:$D$44,3,0)*(VLOOKUP(Financials!$B22,Inputs!$B$3:$D$21,3,0)*(1+Inputs!$L$10)^Financials!GW$3)*GW$8))</f>
        <v>0</v>
      </c>
      <c r="GX22" s="18">
        <f>IF(GX$1&lt;CapEx!$O$7,0,(VLOOKUP($B22,Inputs!$B$25:$D$44,3,0)*(VLOOKUP(Financials!$B22,Inputs!$B$3:$D$21,3,0)*(1+Inputs!$L$10)^Financials!GX$3)*GX$8))</f>
        <v>0</v>
      </c>
      <c r="GY22" s="18">
        <f>IF(GY$1&lt;CapEx!$O$7,0,(VLOOKUP($B22,Inputs!$B$25:$D$44,3,0)*(VLOOKUP(Financials!$B22,Inputs!$B$3:$D$21,3,0)*(1+Inputs!$L$10)^Financials!GY$3)*GY$8))</f>
        <v>0</v>
      </c>
      <c r="GZ22" s="18">
        <f>IF(GZ$1&lt;CapEx!$O$7,0,(VLOOKUP($B22,Inputs!$B$25:$D$44,3,0)*(VLOOKUP(Financials!$B22,Inputs!$B$3:$D$21,3,0)*(1+Inputs!$L$10)^Financials!GZ$3)*GZ$8))</f>
        <v>0</v>
      </c>
      <c r="HA22" s="18">
        <f>IF(HA$1&lt;CapEx!$O$7,0,(VLOOKUP($B22,Inputs!$B$25:$D$44,3,0)*(VLOOKUP(Financials!$B22,Inputs!$B$3:$D$21,3,0)*(1+Inputs!$L$10)^Financials!HA$3)*HA$8))</f>
        <v>0</v>
      </c>
      <c r="HB22" s="18">
        <f>IF(HB$1&lt;CapEx!$O$7,0,(VLOOKUP($B22,Inputs!$B$25:$D$44,3,0)*(VLOOKUP(Financials!$B22,Inputs!$B$3:$D$21,3,0)*(1+Inputs!$L$10)^Financials!HB$3)*HB$8))</f>
        <v>0</v>
      </c>
      <c r="HC22" s="18">
        <f>IF(HC$1&lt;CapEx!$O$7,0,(VLOOKUP($B22,Inputs!$B$25:$D$44,3,0)*(VLOOKUP(Financials!$B22,Inputs!$B$3:$D$21,3,0)*(1+Inputs!$L$10)^Financials!HC$3)*HC$8))</f>
        <v>0</v>
      </c>
      <c r="HD22" s="18">
        <f>IF(HD$1&lt;CapEx!$O$7,0,(VLOOKUP($B22,Inputs!$B$25:$D$44,3,0)*(VLOOKUP(Financials!$B22,Inputs!$B$3:$D$21,3,0)*(1+Inputs!$L$10)^Financials!HD$3)*HD$8))</f>
        <v>0</v>
      </c>
      <c r="HE22" s="18">
        <f>IF(HE$1&lt;CapEx!$O$7,0,(VLOOKUP($B22,Inputs!$B$25:$D$44,3,0)*(VLOOKUP(Financials!$B22,Inputs!$B$3:$D$21,3,0)*(1+Inputs!$L$10)^Financials!HE$3)*HE$8))</f>
        <v>0</v>
      </c>
      <c r="HF22" s="18">
        <f>IF(HF$1&lt;CapEx!$O$7,0,(VLOOKUP($B22,Inputs!$B$25:$D$44,3,0)*(VLOOKUP(Financials!$B22,Inputs!$B$3:$D$21,3,0)*(1+Inputs!$L$10)^Financials!HF$3)*HF$8))</f>
        <v>0</v>
      </c>
      <c r="HG22" s="18">
        <f>IF(HG$1&lt;CapEx!$O$7,0,(VLOOKUP($B22,Inputs!$B$25:$D$44,3,0)*(VLOOKUP(Financials!$B22,Inputs!$B$3:$D$21,3,0)*(1+Inputs!$L$10)^Financials!HG$3)*HG$8))</f>
        <v>0</v>
      </c>
      <c r="HH22" s="18">
        <f>IF(HH$1&lt;CapEx!$O$7,0,(VLOOKUP($B22,Inputs!$B$25:$D$44,3,0)*(VLOOKUP(Financials!$B22,Inputs!$B$3:$D$21,3,0)*(1+Inputs!$L$10)^Financials!HH$3)*HH$8))</f>
        <v>0</v>
      </c>
      <c r="HI22" s="18">
        <f>IF(HI$1&lt;CapEx!$O$7,0,(VLOOKUP($B22,Inputs!$B$25:$D$44,3,0)*(VLOOKUP(Financials!$B22,Inputs!$B$3:$D$21,3,0)*(1+Inputs!$L$10)^Financials!HI$3)*HI$8))</f>
        <v>0</v>
      </c>
      <c r="HJ22" s="18">
        <f>IF(HJ$1&lt;CapEx!$O$7,0,(VLOOKUP($B22,Inputs!$B$25:$D$44,3,0)*(VLOOKUP(Financials!$B22,Inputs!$B$3:$D$21,3,0)*(1+Inputs!$L$10)^Financials!HJ$3)*HJ$8))</f>
        <v>0</v>
      </c>
      <c r="HK22" s="18">
        <f>IF(HK$1&lt;CapEx!$O$7,0,(VLOOKUP($B22,Inputs!$B$25:$D$44,3,0)*(VLOOKUP(Financials!$B22,Inputs!$B$3:$D$21,3,0)*(1+Inputs!$L$10)^Financials!HK$3)*HK$8))</f>
        <v>0</v>
      </c>
      <c r="HL22" s="18">
        <f>IF(HL$1&lt;CapEx!$O$7,0,(VLOOKUP($B22,Inputs!$B$25:$D$44,3,0)*(VLOOKUP(Financials!$B22,Inputs!$B$3:$D$21,3,0)*(1+Inputs!$L$10)^Financials!HL$3)*HL$8))</f>
        <v>0</v>
      </c>
      <c r="HM22" s="18">
        <f>IF(HM$1&lt;CapEx!$O$7,0,(VLOOKUP($B22,Inputs!$B$25:$D$44,3,0)*(VLOOKUP(Financials!$B22,Inputs!$B$3:$D$21,3,0)*(1+Inputs!$L$10)^Financials!HM$3)*HM$8))</f>
        <v>0</v>
      </c>
      <c r="HN22" s="18">
        <f>IF(HN$1&lt;CapEx!$O$7,0,(VLOOKUP($B22,Inputs!$B$25:$D$44,3,0)*(VLOOKUP(Financials!$B22,Inputs!$B$3:$D$21,3,0)*(1+Inputs!$L$10)^Financials!HN$3)*HN$8))</f>
        <v>0</v>
      </c>
      <c r="HO22" s="18">
        <f>IF(HO$1&lt;CapEx!$O$7,0,(VLOOKUP($B22,Inputs!$B$25:$D$44,3,0)*(VLOOKUP(Financials!$B22,Inputs!$B$3:$D$21,3,0)*(1+Inputs!$L$10)^Financials!HO$3)*HO$8))</f>
        <v>0</v>
      </c>
      <c r="HP22" s="18">
        <f>IF(HP$1&lt;CapEx!$O$7,0,(VLOOKUP($B22,Inputs!$B$25:$D$44,3,0)*(VLOOKUP(Financials!$B22,Inputs!$B$3:$D$21,3,0)*(1+Inputs!$L$10)^Financials!HP$3)*HP$8))</f>
        <v>0</v>
      </c>
      <c r="HQ22" s="18">
        <f>IF(HQ$1&lt;CapEx!$O$7,0,(VLOOKUP($B22,Inputs!$B$25:$D$44,3,0)*(VLOOKUP(Financials!$B22,Inputs!$B$3:$D$21,3,0)*(1+Inputs!$L$10)^Financials!HQ$3)*HQ$8))</f>
        <v>0</v>
      </c>
      <c r="HR22" s="18">
        <f>IF(HR$1&lt;CapEx!$O$7,0,(VLOOKUP($B22,Inputs!$B$25:$D$44,3,0)*(VLOOKUP(Financials!$B22,Inputs!$B$3:$D$21,3,0)*(1+Inputs!$L$10)^Financials!HR$3)*HR$8))</f>
        <v>0</v>
      </c>
      <c r="HS22" s="18">
        <f>IF(HS$1&lt;CapEx!$O$7,0,(VLOOKUP($B22,Inputs!$B$25:$D$44,3,0)*(VLOOKUP(Financials!$B22,Inputs!$B$3:$D$21,3,0)*(1+Inputs!$L$10)^Financials!HS$3)*HS$8))</f>
        <v>0</v>
      </c>
      <c r="HT22" s="18">
        <f>IF(HT$1&lt;CapEx!$O$7,0,(VLOOKUP($B22,Inputs!$B$25:$D$44,3,0)*(VLOOKUP(Financials!$B22,Inputs!$B$3:$D$21,3,0)*(1+Inputs!$L$10)^Financials!HT$3)*HT$8))</f>
        <v>0</v>
      </c>
      <c r="HU22" s="18">
        <f>IF(HU$1&lt;CapEx!$O$7,0,(VLOOKUP($B22,Inputs!$B$25:$D$44,3,0)*(VLOOKUP(Financials!$B22,Inputs!$B$3:$D$21,3,0)*(1+Inputs!$L$10)^Financials!HU$3)*HU$8))</f>
        <v>0</v>
      </c>
      <c r="HV22" s="18">
        <f>IF(HV$1&lt;CapEx!$O$7,0,(VLOOKUP($B22,Inputs!$B$25:$D$44,3,0)*(VLOOKUP(Financials!$B22,Inputs!$B$3:$D$21,3,0)*(1+Inputs!$L$10)^Financials!HV$3)*HV$8))</f>
        <v>0</v>
      </c>
      <c r="HW22" s="18">
        <f>IF(HW$1&lt;CapEx!$O$7,0,(VLOOKUP($B22,Inputs!$B$25:$D$44,3,0)*(VLOOKUP(Financials!$B22,Inputs!$B$3:$D$21,3,0)*(1+Inputs!$L$10)^Financials!HW$3)*HW$8))</f>
        <v>0</v>
      </c>
      <c r="HX22" s="18">
        <f>IF(HX$1&lt;CapEx!$O$7,0,(VLOOKUP($B22,Inputs!$B$25:$D$44,3,0)*(VLOOKUP(Financials!$B22,Inputs!$B$3:$D$21,3,0)*(1+Inputs!$L$10)^Financials!HX$3)*HX$8))</f>
        <v>0</v>
      </c>
      <c r="HY22" s="18">
        <f>IF(HY$1&lt;CapEx!$O$7,0,(VLOOKUP($B22,Inputs!$B$25:$D$44,3,0)*(VLOOKUP(Financials!$B22,Inputs!$B$3:$D$21,3,0)*(1+Inputs!$L$10)^Financials!HY$3)*HY$8))</f>
        <v>0</v>
      </c>
      <c r="HZ22" s="18">
        <f>IF(HZ$1&lt;CapEx!$O$7,0,(VLOOKUP($B22,Inputs!$B$25:$D$44,3,0)*(VLOOKUP(Financials!$B22,Inputs!$B$3:$D$21,3,0)*(1+Inputs!$L$10)^Financials!HZ$3)*HZ$8))</f>
        <v>0</v>
      </c>
      <c r="IA22" s="18">
        <f>IF(IA$1&lt;CapEx!$O$7,0,(VLOOKUP($B22,Inputs!$B$25:$D$44,3,0)*(VLOOKUP(Financials!$B22,Inputs!$B$3:$D$21,3,0)*(1+Inputs!$L$10)^Financials!IA$3)*IA$8))</f>
        <v>0</v>
      </c>
      <c r="IB22" s="18">
        <f>IF(IB$1&lt;CapEx!$O$7,0,(VLOOKUP($B22,Inputs!$B$25:$D$44,3,0)*(VLOOKUP(Financials!$B22,Inputs!$B$3:$D$21,3,0)*(1+Inputs!$L$10)^Financials!IB$3)*IB$8))</f>
        <v>0</v>
      </c>
      <c r="IC22" s="18">
        <f>IF(IC$1&lt;CapEx!$O$7,0,(VLOOKUP($B22,Inputs!$B$25:$D$44,3,0)*(VLOOKUP(Financials!$B22,Inputs!$B$3:$D$21,3,0)*(1+Inputs!$L$10)^Financials!IC$3)*IC$8))</f>
        <v>0</v>
      </c>
      <c r="ID22" s="18">
        <f>IF(ID$1&lt;CapEx!$O$7,0,(VLOOKUP($B22,Inputs!$B$25:$D$44,3,0)*(VLOOKUP(Financials!$B22,Inputs!$B$3:$D$21,3,0)*(1+Inputs!$L$10)^Financials!ID$3)*ID$8))</f>
        <v>0</v>
      </c>
      <c r="IE22" s="18">
        <f>IF(IE$1&lt;CapEx!$O$7,0,(VLOOKUP($B22,Inputs!$B$25:$D$44,3,0)*(VLOOKUP(Financials!$B22,Inputs!$B$3:$D$21,3,0)*(1+Inputs!$L$10)^Financials!IE$3)*IE$8))</f>
        <v>0</v>
      </c>
      <c r="IF22" s="18">
        <f>IF(IF$1&lt;CapEx!$O$7,0,(VLOOKUP($B22,Inputs!$B$25:$D$44,3,0)*(VLOOKUP(Financials!$B22,Inputs!$B$3:$D$21,3,0)*(1+Inputs!$L$10)^Financials!IF$3)*IF$8))</f>
        <v>0</v>
      </c>
      <c r="IG22" s="18">
        <f>IF(IG$1&lt;CapEx!$O$7,0,(VLOOKUP($B22,Inputs!$B$25:$D$44,3,0)*(VLOOKUP(Financials!$B22,Inputs!$B$3:$D$21,3,0)*(1+Inputs!$L$10)^Financials!IG$3)*IG$8))</f>
        <v>0</v>
      </c>
      <c r="IH22" s="18">
        <f>IF(IH$1&lt;CapEx!$O$7,0,(VLOOKUP($B22,Inputs!$B$25:$D$44,3,0)*(VLOOKUP(Financials!$B22,Inputs!$B$3:$D$21,3,0)*(1+Inputs!$L$10)^Financials!IH$3)*IH$8))</f>
        <v>0</v>
      </c>
      <c r="II22" s="18">
        <f>IF(II$1&lt;CapEx!$O$7,0,(VLOOKUP($B22,Inputs!$B$25:$D$44,3,0)*(VLOOKUP(Financials!$B22,Inputs!$B$3:$D$21,3,0)*(1+Inputs!$L$10)^Financials!II$3)*II$8))</f>
        <v>0</v>
      </c>
      <c r="IJ22" s="18">
        <f>IF(IJ$1&lt;CapEx!$O$7,0,(VLOOKUP($B22,Inputs!$B$25:$D$44,3,0)*(VLOOKUP(Financials!$B22,Inputs!$B$3:$D$21,3,0)*(1+Inputs!$L$10)^Financials!IJ$3)*IJ$8))</f>
        <v>0</v>
      </c>
      <c r="IK22" s="18">
        <f>IF(IK$1&lt;CapEx!$O$7,0,(VLOOKUP($B22,Inputs!$B$25:$D$44,3,0)*(VLOOKUP(Financials!$B22,Inputs!$B$3:$D$21,3,0)*(1+Inputs!$L$10)^Financials!IK$3)*IK$8))</f>
        <v>0</v>
      </c>
      <c r="IL22" s="18">
        <f>IF(IL$1&lt;CapEx!$O$7,0,(VLOOKUP($B22,Inputs!$B$25:$D$44,3,0)*(VLOOKUP(Financials!$B22,Inputs!$B$3:$D$21,3,0)*(1+Inputs!$L$10)^Financials!IL$3)*IL$8))</f>
        <v>0</v>
      </c>
      <c r="IM22" s="18">
        <f>IF(IM$1&lt;CapEx!$O$7,0,(VLOOKUP($B22,Inputs!$B$25:$D$44,3,0)*(VLOOKUP(Financials!$B22,Inputs!$B$3:$D$21,3,0)*(1+Inputs!$L$10)^Financials!IM$3)*IM$8))</f>
        <v>0</v>
      </c>
      <c r="IN22" s="18">
        <f>IF(IN$1&lt;CapEx!$O$7,0,(VLOOKUP($B22,Inputs!$B$25:$D$44,3,0)*(VLOOKUP(Financials!$B22,Inputs!$B$3:$D$21,3,0)*(1+Inputs!$L$10)^Financials!IN$3)*IN$8))</f>
        <v>0</v>
      </c>
      <c r="IO22" s="18">
        <f>IF(IO$1&lt;CapEx!$O$7,0,(VLOOKUP($B22,Inputs!$B$25:$D$44,3,0)*(VLOOKUP(Financials!$B22,Inputs!$B$3:$D$21,3,0)*(1+Inputs!$L$10)^Financials!IO$3)*IO$8))</f>
        <v>0</v>
      </c>
      <c r="IP22" s="18">
        <f>IF(IP$1&lt;CapEx!$O$7,0,(VLOOKUP($B22,Inputs!$B$25:$D$44,3,0)*(VLOOKUP(Financials!$B22,Inputs!$B$3:$D$21,3,0)*(1+Inputs!$L$10)^Financials!IP$3)*IP$8))</f>
        <v>0</v>
      </c>
      <c r="IQ22" s="18">
        <f>IF(IQ$1&lt;CapEx!$O$7,0,(VLOOKUP($B22,Inputs!$B$25:$D$44,3,0)*(VLOOKUP(Financials!$B22,Inputs!$B$3:$D$21,3,0)*(1+Inputs!$L$10)^Financials!IQ$3)*IQ$8))</f>
        <v>0</v>
      </c>
      <c r="IR22" s="18">
        <f>IF(IR$1&lt;CapEx!$O$7,0,(VLOOKUP($B22,Inputs!$B$25:$D$44,3,0)*(VLOOKUP(Financials!$B22,Inputs!$B$3:$D$21,3,0)*(1+Inputs!$L$10)^Financials!IR$3)*IR$8))</f>
        <v>0</v>
      </c>
      <c r="IS22" s="18">
        <f>IF(IS$1&lt;CapEx!$O$7,0,(VLOOKUP($B22,Inputs!$B$25:$D$44,3,0)*(VLOOKUP(Financials!$B22,Inputs!$B$3:$D$21,3,0)*(1+Inputs!$L$10)^Financials!IS$3)*IS$8))</f>
        <v>0</v>
      </c>
      <c r="IT22" s="18">
        <f>IF(IT$1&lt;CapEx!$O$7,0,(VLOOKUP($B22,Inputs!$B$25:$D$44,3,0)*(VLOOKUP(Financials!$B22,Inputs!$B$3:$D$21,3,0)*(1+Inputs!$L$10)^Financials!IT$3)*IT$8))</f>
        <v>0</v>
      </c>
      <c r="IU22" s="18">
        <f>IF(IU$1&lt;CapEx!$O$7,0,(VLOOKUP($B22,Inputs!$B$25:$D$44,3,0)*(VLOOKUP(Financials!$B22,Inputs!$B$3:$D$21,3,0)*(1+Inputs!$L$10)^Financials!IU$3)*IU$8))</f>
        <v>0</v>
      </c>
      <c r="IV22" s="18">
        <f>IF(IV$1&lt;CapEx!$O$7,0,(VLOOKUP($B22,Inputs!$B$25:$D$44,3,0)*(VLOOKUP(Financials!$B22,Inputs!$B$3:$D$21,3,0)*(1+Inputs!$L$10)^Financials!IV$3)*IV$8))</f>
        <v>0</v>
      </c>
      <c r="IW22" s="18">
        <f>IF(IW$1&lt;CapEx!$O$7,0,(VLOOKUP($B22,Inputs!$B$25:$D$44,3,0)*(VLOOKUP(Financials!$B22,Inputs!$B$3:$D$21,3,0)*(1+Inputs!$L$10)^Financials!IW$3)*IW$8))</f>
        <v>0</v>
      </c>
      <c r="IX22" s="18">
        <f>IF(IX$1&lt;CapEx!$O$7,0,(VLOOKUP($B22,Inputs!$B$25:$D$44,3,0)*(VLOOKUP(Financials!$B22,Inputs!$B$3:$D$21,3,0)*(1+Inputs!$L$10)^Financials!IX$3)*IX$8))</f>
        <v>0</v>
      </c>
      <c r="IY22" s="18">
        <f>IF(IY$1&lt;CapEx!$O$7,0,(VLOOKUP($B22,Inputs!$B$25:$D$44,3,0)*(VLOOKUP(Financials!$B22,Inputs!$B$3:$D$21,3,0)*(1+Inputs!$L$10)^Financials!IY$3)*IY$8))</f>
        <v>0</v>
      </c>
      <c r="IZ22" s="18">
        <f>IF(IZ$1&lt;CapEx!$O$7,0,(VLOOKUP($B22,Inputs!$B$25:$D$44,3,0)*(VLOOKUP(Financials!$B22,Inputs!$B$3:$D$21,3,0)*(1+Inputs!$L$10)^Financials!IZ$3)*IZ$8))</f>
        <v>0</v>
      </c>
      <c r="JA22" s="18">
        <f>IF(JA$1&lt;CapEx!$O$7,0,(VLOOKUP($B22,Inputs!$B$25:$D$44,3,0)*(VLOOKUP(Financials!$B22,Inputs!$B$3:$D$21,3,0)*(1+Inputs!$L$10)^Financials!JA$3)*JA$8))</f>
        <v>0</v>
      </c>
      <c r="JB22" s="18">
        <f>IF(JB$1&lt;CapEx!$O$7,0,(VLOOKUP($B22,Inputs!$B$25:$D$44,3,0)*(VLOOKUP(Financials!$B22,Inputs!$B$3:$D$21,3,0)*(1+Inputs!$L$10)^Financials!JB$3)*JB$8))</f>
        <v>0</v>
      </c>
      <c r="JC22" s="18">
        <f>IF(JC$1&lt;CapEx!$O$7,0,(VLOOKUP($B22,Inputs!$B$25:$D$44,3,0)*(VLOOKUP(Financials!$B22,Inputs!$B$3:$D$21,3,0)*(1+Inputs!$L$10)^Financials!JC$3)*JC$8))</f>
        <v>0</v>
      </c>
      <c r="JD22" s="18">
        <f>IF(JD$1&lt;CapEx!$O$7,0,(VLOOKUP($B22,Inputs!$B$25:$D$44,3,0)*(VLOOKUP(Financials!$B22,Inputs!$B$3:$D$21,3,0)*(1+Inputs!$L$10)^Financials!JD$3)*JD$8))</f>
        <v>0</v>
      </c>
      <c r="JE22" s="18">
        <f>IF(JE$1&lt;CapEx!$O$7,0,(VLOOKUP($B22,Inputs!$B$25:$D$44,3,0)*(VLOOKUP(Financials!$B22,Inputs!$B$3:$D$21,3,0)*(1+Inputs!$L$10)^Financials!JE$3)*JE$8))</f>
        <v>0</v>
      </c>
      <c r="JF22" s="18">
        <f>IF(JF$1&lt;CapEx!$O$7,0,(VLOOKUP($B22,Inputs!$B$25:$D$44,3,0)*(VLOOKUP(Financials!$B22,Inputs!$B$3:$D$21,3,0)*(1+Inputs!$L$10)^Financials!JF$3)*JF$8))</f>
        <v>0</v>
      </c>
      <c r="JG22" s="18">
        <f>IF(JG$1&lt;CapEx!$O$7,0,(VLOOKUP($B22,Inputs!$B$25:$D$44,3,0)*(VLOOKUP(Financials!$B22,Inputs!$B$3:$D$21,3,0)*(1+Inputs!$L$10)^Financials!JG$3)*JG$8))</f>
        <v>0</v>
      </c>
      <c r="JH22" s="18">
        <f>IF(JH$1&lt;CapEx!$O$7,0,(VLOOKUP($B22,Inputs!$B$25:$D$44,3,0)*(VLOOKUP(Financials!$B22,Inputs!$B$3:$D$21,3,0)*(1+Inputs!$L$10)^Financials!JH$3)*JH$8))</f>
        <v>0</v>
      </c>
      <c r="JI22" s="18">
        <f>IF(JI$1&lt;CapEx!$O$7,0,(VLOOKUP($B22,Inputs!$B$25:$D$44,3,0)*(VLOOKUP(Financials!$B22,Inputs!$B$3:$D$21,3,0)*(1+Inputs!$L$10)^Financials!JI$3)*JI$8))</f>
        <v>0</v>
      </c>
      <c r="JJ22" s="18">
        <f>IF(JJ$1&lt;CapEx!$O$7,0,(VLOOKUP($B22,Inputs!$B$25:$D$44,3,0)*(VLOOKUP(Financials!$B22,Inputs!$B$3:$D$21,3,0)*(1+Inputs!$L$10)^Financials!JJ$3)*JJ$8))</f>
        <v>0</v>
      </c>
      <c r="JK22" s="18">
        <f>IF(JK$1&lt;CapEx!$O$7,0,(VLOOKUP($B22,Inputs!$B$25:$D$44,3,0)*(VLOOKUP(Financials!$B22,Inputs!$B$3:$D$21,3,0)*(1+Inputs!$L$10)^Financials!JK$3)*JK$8))</f>
        <v>0</v>
      </c>
      <c r="JL22" s="18">
        <f>IF(JL$1&lt;CapEx!$O$7,0,(VLOOKUP($B22,Inputs!$B$25:$D$44,3,0)*(VLOOKUP(Financials!$B22,Inputs!$B$3:$D$21,3,0)*(1+Inputs!$L$10)^Financials!JL$3)*JL$8))</f>
        <v>0</v>
      </c>
      <c r="JM22" s="18">
        <f>IF(JM$1&lt;CapEx!$O$7,0,(VLOOKUP($B22,Inputs!$B$25:$D$44,3,0)*(VLOOKUP(Financials!$B22,Inputs!$B$3:$D$21,3,0)*(1+Inputs!$L$10)^Financials!JM$3)*JM$8))</f>
        <v>0</v>
      </c>
      <c r="JN22" s="18">
        <f>IF(JN$1&lt;CapEx!$O$7,0,(VLOOKUP($B22,Inputs!$B$25:$D$44,3,0)*(VLOOKUP(Financials!$B22,Inputs!$B$3:$D$21,3,0)*(1+Inputs!$L$10)^Financials!JN$3)*JN$8))</f>
        <v>0</v>
      </c>
      <c r="JO22" s="18">
        <f>IF(JO$1&lt;CapEx!$O$7,0,(VLOOKUP($B22,Inputs!$B$25:$D$44,3,0)*(VLOOKUP(Financials!$B22,Inputs!$B$3:$D$21,3,0)*(1+Inputs!$L$10)^Financials!JO$3)*JO$8))</f>
        <v>0</v>
      </c>
      <c r="JP22" s="18">
        <f>IF(JP$1&lt;CapEx!$O$7,0,(VLOOKUP($B22,Inputs!$B$25:$D$44,3,0)*(VLOOKUP(Financials!$B22,Inputs!$B$3:$D$21,3,0)*(1+Inputs!$L$10)^Financials!JP$3)*JP$8))</f>
        <v>0</v>
      </c>
      <c r="JQ22" s="18">
        <f>IF(JQ$1&lt;CapEx!$O$7,0,(VLOOKUP($B22,Inputs!$B$25:$D$44,3,0)*(VLOOKUP(Financials!$B22,Inputs!$B$3:$D$21,3,0)*(1+Inputs!$L$10)^Financials!JQ$3)*JQ$8))</f>
        <v>0</v>
      </c>
      <c r="JR22" s="18">
        <f>IF(JR$1&lt;CapEx!$O$7,0,(VLOOKUP($B22,Inputs!$B$25:$D$44,3,0)*(VLOOKUP(Financials!$B22,Inputs!$B$3:$D$21,3,0)*(1+Inputs!$L$10)^Financials!JR$3)*JR$8))</f>
        <v>0</v>
      </c>
    </row>
    <row r="23" spans="2:278" x14ac:dyDescent="0.2">
      <c r="B23" s="22" t="str">
        <f>Inputs!B16</f>
        <v>Diesel</v>
      </c>
      <c r="C23" s="18">
        <f>IF(C$1&lt;CapEx!$O$7,0,(VLOOKUP($B23,Inputs!$B$25:$D$44,3,0)*(VLOOKUP(Financials!$B23,Inputs!$B$3:$D$21,3,0)*(1+Inputs!$L$10)^Financials!C$3)*C$8))</f>
        <v>0</v>
      </c>
      <c r="D23" s="18">
        <f>IF(D$1&lt;CapEx!$O$7,0,(VLOOKUP($B23,Inputs!$B$25:$D$44,3,0)*(VLOOKUP(Financials!$B23,Inputs!$B$3:$D$21,3,0)*(1+Inputs!$L$10)^Financials!D$3)*D$8))</f>
        <v>0</v>
      </c>
      <c r="E23" s="18">
        <f>IF(E$1&lt;CapEx!$O$7,0,(VLOOKUP($B23,Inputs!$B$25:$D$44,3,0)*(VLOOKUP(Financials!$B23,Inputs!$B$3:$D$21,3,0)*(1+Inputs!$L$10)^Financials!E$3)*E$8))</f>
        <v>0</v>
      </c>
      <c r="F23" s="18">
        <f>IF(F$1&lt;CapEx!$O$7,0,(VLOOKUP($B23,Inputs!$B$25:$D$44,3,0)*(VLOOKUP(Financials!$B23,Inputs!$B$3:$D$21,3,0)*(1+Inputs!$L$10)^Financials!F$3)*F$8))</f>
        <v>0</v>
      </c>
      <c r="G23" s="18">
        <f>IF(G$1&lt;CapEx!$O$7,0,(VLOOKUP($B23,Inputs!$B$25:$D$44,3,0)*(VLOOKUP(Financials!$B23,Inputs!$B$3:$D$21,3,0)*(1+Inputs!$L$10)^Financials!G$3)*G$8))</f>
        <v>0</v>
      </c>
      <c r="H23" s="18">
        <f>IF(H$1&lt;CapEx!$O$7,0,(VLOOKUP($B23,Inputs!$B$25:$D$44,3,0)*(VLOOKUP(Financials!$B23,Inputs!$B$3:$D$21,3,0)*(1+Inputs!$L$10)^Financials!H$3)*H$8))</f>
        <v>0</v>
      </c>
      <c r="I23" s="18">
        <f>IF(I$1&lt;CapEx!$O$7,0,(VLOOKUP($B23,Inputs!$B$25:$D$44,3,0)*(VLOOKUP(Financials!$B23,Inputs!$B$3:$D$21,3,0)*(1+Inputs!$L$10)^Financials!I$3)*I$8))</f>
        <v>0</v>
      </c>
      <c r="J23" s="18">
        <f>IF(J$1&lt;CapEx!$O$7,0,(VLOOKUP($B23,Inputs!$B$25:$D$44,3,0)*(VLOOKUP(Financials!$B23,Inputs!$B$3:$D$21,3,0)*(1+Inputs!$L$10)^Financials!J$3)*J$8))</f>
        <v>0</v>
      </c>
      <c r="K23" s="18">
        <f>IF(K$1&lt;CapEx!$O$7,0,(VLOOKUP($B23,Inputs!$B$25:$D$44,3,0)*(VLOOKUP(Financials!$B23,Inputs!$B$3:$D$21,3,0)*(1+Inputs!$L$10)^Financials!K$3)*K$8))</f>
        <v>0</v>
      </c>
      <c r="L23" s="18">
        <f>IF(L$1&lt;CapEx!$O$7,0,(VLOOKUP($B23,Inputs!$B$25:$D$44,3,0)*(VLOOKUP(Financials!$B23,Inputs!$B$3:$D$21,3,0)*(1+Inputs!$L$10)^Financials!L$3)*L$8))</f>
        <v>0</v>
      </c>
      <c r="M23" s="18">
        <f>IF(M$1&lt;CapEx!$O$7,0,(VLOOKUP($B23,Inputs!$B$25:$D$44,3,0)*(VLOOKUP(Financials!$B23,Inputs!$B$3:$D$21,3,0)*(1+Inputs!$L$10)^Financials!M$3)*M$8))</f>
        <v>0</v>
      </c>
      <c r="N23" s="18">
        <f>IF(N$1&lt;CapEx!$O$7,0,(VLOOKUP($B23,Inputs!$B$25:$D$44,3,0)*(VLOOKUP(Financials!$B23,Inputs!$B$3:$D$21,3,0)*(1+Inputs!$L$10)^Financials!N$3)*N$8))</f>
        <v>0</v>
      </c>
      <c r="O23" s="18">
        <f>IF(O$1&lt;CapEx!$O$7,0,(VLOOKUP($B23,Inputs!$B$25:$D$44,3,0)*(VLOOKUP(Financials!$B23,Inputs!$B$3:$D$21,3,0)*(1+Inputs!$L$10)^Financials!O$3)*O$8))</f>
        <v>0</v>
      </c>
      <c r="P23" s="18">
        <f>IF(P$1&lt;CapEx!$O$7,0,(VLOOKUP($B23,Inputs!$B$25:$D$44,3,0)*(VLOOKUP(Financials!$B23,Inputs!$B$3:$D$21,3,0)*(1+Inputs!$L$10)^Financials!P$3)*P$8))</f>
        <v>0</v>
      </c>
      <c r="Q23" s="18">
        <f>IF(Q$1&lt;CapEx!$O$7,0,(VLOOKUP($B23,Inputs!$B$25:$D$44,3,0)*(VLOOKUP(Financials!$B23,Inputs!$B$3:$D$21,3,0)*(1+Inputs!$L$10)^Financials!Q$3)*Q$8))</f>
        <v>0</v>
      </c>
      <c r="R23" s="18">
        <f>IF(R$1&lt;CapEx!$O$7,0,(VLOOKUP($B23,Inputs!$B$25:$D$44,3,0)*(VLOOKUP(Financials!$B23,Inputs!$B$3:$D$21,3,0)*(1+Inputs!$L$10)^Financials!R$3)*R$8))</f>
        <v>0</v>
      </c>
      <c r="S23" s="18">
        <f>IF(S$1&lt;CapEx!$O$7,0,(VLOOKUP($B23,Inputs!$B$25:$D$44,3,0)*(VLOOKUP(Financials!$B23,Inputs!$B$3:$D$21,3,0)*(1+Inputs!$L$10)^Financials!S$3)*S$8))</f>
        <v>0</v>
      </c>
      <c r="T23" s="18">
        <f>IF(T$1&lt;CapEx!$O$7,0,(VLOOKUP($B23,Inputs!$B$25:$D$44,3,0)*(VLOOKUP(Financials!$B23,Inputs!$B$3:$D$21,3,0)*(1+Inputs!$L$10)^Financials!T$3)*T$8))</f>
        <v>0</v>
      </c>
      <c r="U23" s="18">
        <f>IF(U$1&lt;CapEx!$O$7,0,(VLOOKUP($B23,Inputs!$B$25:$D$44,3,0)*(VLOOKUP(Financials!$B23,Inputs!$B$3:$D$21,3,0)*(1+Inputs!$L$10)^Financials!U$3)*U$8))</f>
        <v>0</v>
      </c>
      <c r="V23" s="18">
        <f>IF(V$1&lt;CapEx!$O$7,0,(VLOOKUP($B23,Inputs!$B$25:$D$44,3,0)*(VLOOKUP(Financials!$B23,Inputs!$B$3:$D$21,3,0)*(1+Inputs!$L$10)^Financials!V$3)*V$8))</f>
        <v>0</v>
      </c>
      <c r="W23" s="18">
        <f>IF(W$1&lt;CapEx!$O$7,0,(VLOOKUP($B23,Inputs!$B$25:$D$44,3,0)*(VLOOKUP(Financials!$B23,Inputs!$B$3:$D$21,3,0)*(1+Inputs!$L$10)^Financials!W$3)*W$8))</f>
        <v>0</v>
      </c>
      <c r="X23" s="18">
        <f>IF(X$1&lt;CapEx!$O$7,0,(VLOOKUP($B23,Inputs!$B$25:$D$44,3,0)*(VLOOKUP(Financials!$B23,Inputs!$B$3:$D$21,3,0)*(1+Inputs!$L$10)^Financials!X$3)*X$8))</f>
        <v>0</v>
      </c>
      <c r="Y23" s="18">
        <f>IF(Y$1&lt;CapEx!$O$7,0,(VLOOKUP($B23,Inputs!$B$25:$D$44,3,0)*(VLOOKUP(Financials!$B23,Inputs!$B$3:$D$21,3,0)*(1+Inputs!$L$10)^Financials!Y$3)*Y$8))</f>
        <v>0</v>
      </c>
      <c r="Z23" s="18">
        <f>IF(Z$1&lt;CapEx!$O$7,0,(VLOOKUP($B23,Inputs!$B$25:$D$44,3,0)*(VLOOKUP(Financials!$B23,Inputs!$B$3:$D$21,3,0)*(1+Inputs!$L$10)^Financials!Z$3)*Z$8))</f>
        <v>0</v>
      </c>
      <c r="AA23" s="18">
        <f>IF(AA$1&lt;CapEx!$O$7,0,(VLOOKUP($B23,Inputs!$B$25:$D$44,3,0)*(VLOOKUP(Financials!$B23,Inputs!$B$3:$D$21,3,0)*(1+Inputs!$L$10)^Financials!AA$3)*AA$8))</f>
        <v>0</v>
      </c>
      <c r="AB23" s="18">
        <f>IF(AB$1&lt;CapEx!$O$7,0,(VLOOKUP($B23,Inputs!$B$25:$D$44,3,0)*(VLOOKUP(Financials!$B23,Inputs!$B$3:$D$21,3,0)*(1+Inputs!$L$10)^Financials!AB$3)*AB$8))</f>
        <v>0</v>
      </c>
      <c r="AC23" s="18">
        <f>IF(AC$1&lt;CapEx!$O$7,0,(VLOOKUP($B23,Inputs!$B$25:$D$44,3,0)*(VLOOKUP(Financials!$B23,Inputs!$B$3:$D$21,3,0)*(1+Inputs!$L$10)^Financials!AC$3)*AC$8))</f>
        <v>0</v>
      </c>
      <c r="AD23" s="18">
        <f>IF(AD$1&lt;CapEx!$O$7,0,(VLOOKUP($B23,Inputs!$B$25:$D$44,3,0)*(VLOOKUP(Financials!$B23,Inputs!$B$3:$D$21,3,0)*(1+Inputs!$L$10)^Financials!AD$3)*AD$8))</f>
        <v>0</v>
      </c>
      <c r="AE23" s="18">
        <f>IF(AE$1&lt;CapEx!$O$7,0,(VLOOKUP($B23,Inputs!$B$25:$D$44,3,0)*(VLOOKUP(Financials!$B23,Inputs!$B$3:$D$21,3,0)*(1+Inputs!$L$10)^Financials!AE$3)*AE$8))</f>
        <v>0</v>
      </c>
      <c r="AF23" s="18">
        <f>IF(AF$1&lt;CapEx!$O$7,0,(VLOOKUP($B23,Inputs!$B$25:$D$44,3,0)*(VLOOKUP(Financials!$B23,Inputs!$B$3:$D$21,3,0)*(1+Inputs!$L$10)^Financials!AF$3)*AF$8))</f>
        <v>0</v>
      </c>
      <c r="AG23" s="18">
        <f>IF(AG$1&lt;CapEx!$O$7,0,(VLOOKUP($B23,Inputs!$B$25:$D$44,3,0)*(VLOOKUP(Financials!$B23,Inputs!$B$3:$D$21,3,0)*(1+Inputs!$L$10)^Financials!AG$3)*AG$8))</f>
        <v>0</v>
      </c>
      <c r="AH23" s="18">
        <f>IF(AH$1&lt;CapEx!$O$7,0,(VLOOKUP($B23,Inputs!$B$25:$D$44,3,0)*(VLOOKUP(Financials!$B23,Inputs!$B$3:$D$21,3,0)*(1+Inputs!$L$10)^Financials!AH$3)*AH$8))</f>
        <v>0</v>
      </c>
      <c r="AI23" s="18">
        <f>IF(AI$1&lt;CapEx!$O$7,0,(VLOOKUP($B23,Inputs!$B$25:$D$44,3,0)*(VLOOKUP(Financials!$B23,Inputs!$B$3:$D$21,3,0)*(1+Inputs!$L$10)^Financials!AI$3)*AI$8))</f>
        <v>0</v>
      </c>
      <c r="AJ23" s="18">
        <f>IF(AJ$1&lt;CapEx!$O$7,0,(VLOOKUP($B23,Inputs!$B$25:$D$44,3,0)*(VLOOKUP(Financials!$B23,Inputs!$B$3:$D$21,3,0)*(1+Inputs!$L$10)^Financials!AJ$3)*AJ$8))</f>
        <v>0</v>
      </c>
      <c r="AK23" s="18">
        <f>IF(AK$1&lt;CapEx!$O$7,0,(VLOOKUP($B23,Inputs!$B$25:$D$44,3,0)*(VLOOKUP(Financials!$B23,Inputs!$B$3:$D$21,3,0)*(1+Inputs!$L$10)^Financials!AK$3)*AK$8))</f>
        <v>0</v>
      </c>
      <c r="AL23" s="18">
        <f>IF(AL$1&lt;CapEx!$O$7,0,(VLOOKUP($B23,Inputs!$B$25:$D$44,3,0)*(VLOOKUP(Financials!$B23,Inputs!$B$3:$D$21,3,0)*(1+Inputs!$L$10)^Financials!AL$3)*AL$8))</f>
        <v>0</v>
      </c>
      <c r="AM23" s="18">
        <f>IF(AM$1&lt;CapEx!$O$7,0,(VLOOKUP($B23,Inputs!$B$25:$D$44,3,0)*(VLOOKUP(Financials!$B23,Inputs!$B$3:$D$21,3,0)*(1+Inputs!$L$10)^Financials!AM$3)*AM$8))</f>
        <v>0</v>
      </c>
      <c r="AN23" s="18">
        <f>IF(AN$1&lt;CapEx!$O$7,0,(VLOOKUP($B23,Inputs!$B$25:$D$44,3,0)*(VLOOKUP(Financials!$B23,Inputs!$B$3:$D$21,3,0)*(1+Inputs!$L$10)^Financials!AN$3)*AN$8))</f>
        <v>0</v>
      </c>
      <c r="AO23" s="18">
        <f>IF(AO$1&lt;CapEx!$O$7,0,(VLOOKUP($B23,Inputs!$B$25:$D$44,3,0)*(VLOOKUP(Financials!$B23,Inputs!$B$3:$D$21,3,0)*(1+Inputs!$L$10)^Financials!AO$3)*AO$8))</f>
        <v>0</v>
      </c>
      <c r="AP23" s="18">
        <f>IF(AP$1&lt;CapEx!$O$7,0,(VLOOKUP($B23,Inputs!$B$25:$D$44,3,0)*(VLOOKUP(Financials!$B23,Inputs!$B$3:$D$21,3,0)*(1+Inputs!$L$10)^Financials!AP$3)*AP$8))</f>
        <v>0</v>
      </c>
      <c r="AQ23" s="18">
        <f>IF(AQ$1&lt;CapEx!$O$7,0,(VLOOKUP($B23,Inputs!$B$25:$D$44,3,0)*(VLOOKUP(Financials!$B23,Inputs!$B$3:$D$21,3,0)*(1+Inputs!$L$10)^Financials!AQ$3)*AQ$8))</f>
        <v>0</v>
      </c>
      <c r="AR23" s="18">
        <f>IF(AR$1&lt;CapEx!$O$7,0,(VLOOKUP($B23,Inputs!$B$25:$D$44,3,0)*(VLOOKUP(Financials!$B23,Inputs!$B$3:$D$21,3,0)*(1+Inputs!$L$10)^Financials!AR$3)*AR$8))</f>
        <v>0</v>
      </c>
      <c r="AS23" s="18">
        <f>IF(AS$1&lt;CapEx!$O$7,0,(VLOOKUP($B23,Inputs!$B$25:$D$44,3,0)*(VLOOKUP(Financials!$B23,Inputs!$B$3:$D$21,3,0)*(1+Inputs!$L$10)^Financials!AS$3)*AS$8))</f>
        <v>0</v>
      </c>
      <c r="AT23" s="18">
        <f>IF(AT$1&lt;CapEx!$O$7,0,(VLOOKUP($B23,Inputs!$B$25:$D$44,3,0)*(VLOOKUP(Financials!$B23,Inputs!$B$3:$D$21,3,0)*(1+Inputs!$L$10)^Financials!AT$3)*AT$8))</f>
        <v>0</v>
      </c>
      <c r="AU23" s="18">
        <f>IF(AU$1&lt;CapEx!$O$7,0,(VLOOKUP($B23,Inputs!$B$25:$D$44,3,0)*(VLOOKUP(Financials!$B23,Inputs!$B$3:$D$21,3,0)*(1+Inputs!$L$10)^Financials!AU$3)*AU$8))</f>
        <v>0</v>
      </c>
      <c r="AV23" s="18">
        <f>IF(AV$1&lt;CapEx!$O$7,0,(VLOOKUP($B23,Inputs!$B$25:$D$44,3,0)*(VLOOKUP(Financials!$B23,Inputs!$B$3:$D$21,3,0)*(1+Inputs!$L$10)^Financials!AV$3)*AV$8))</f>
        <v>0</v>
      </c>
      <c r="AW23" s="18">
        <f>IF(AW$1&lt;CapEx!$O$7,0,(VLOOKUP($B23,Inputs!$B$25:$D$44,3,0)*(VLOOKUP(Financials!$B23,Inputs!$B$3:$D$21,3,0)*(1+Inputs!$L$10)^Financials!AW$3)*AW$8))</f>
        <v>0</v>
      </c>
      <c r="AX23" s="18">
        <f>IF(AX$1&lt;CapEx!$O$7,0,(VLOOKUP($B23,Inputs!$B$25:$D$44,3,0)*(VLOOKUP(Financials!$B23,Inputs!$B$3:$D$21,3,0)*(1+Inputs!$L$10)^Financials!AX$3)*AX$8))</f>
        <v>0</v>
      </c>
      <c r="AY23" s="18">
        <f>IF(AY$1&lt;CapEx!$O$7,0,(VLOOKUP($B23,Inputs!$B$25:$D$44,3,0)*(VLOOKUP(Financials!$B23,Inputs!$B$3:$D$21,3,0)*(1+Inputs!$L$10)^Financials!AY$3)*AY$8))</f>
        <v>0</v>
      </c>
      <c r="AZ23" s="18">
        <f>IF(AZ$1&lt;CapEx!$O$7,0,(VLOOKUP($B23,Inputs!$B$25:$D$44,3,0)*(VLOOKUP(Financials!$B23,Inputs!$B$3:$D$21,3,0)*(1+Inputs!$L$10)^Financials!AZ$3)*AZ$8))</f>
        <v>0</v>
      </c>
      <c r="BA23" s="18">
        <f>IF(BA$1&lt;CapEx!$O$7,0,(VLOOKUP($B23,Inputs!$B$25:$D$44,3,0)*(VLOOKUP(Financials!$B23,Inputs!$B$3:$D$21,3,0)*(1+Inputs!$L$10)^Financials!BA$3)*BA$8))</f>
        <v>0</v>
      </c>
      <c r="BB23" s="18">
        <f>IF(BB$1&lt;CapEx!$O$7,0,(VLOOKUP($B23,Inputs!$B$25:$D$44,3,0)*(VLOOKUP(Financials!$B23,Inputs!$B$3:$D$21,3,0)*(1+Inputs!$L$10)^Financials!BB$3)*BB$8))</f>
        <v>0</v>
      </c>
      <c r="BC23" s="18">
        <f>IF(BC$1&lt;CapEx!$O$7,0,(VLOOKUP($B23,Inputs!$B$25:$D$44,3,0)*(VLOOKUP(Financials!$B23,Inputs!$B$3:$D$21,3,0)*(1+Inputs!$L$10)^Financials!BC$3)*BC$8))</f>
        <v>0</v>
      </c>
      <c r="BD23" s="18">
        <f>IF(BD$1&lt;CapEx!$O$7,0,(VLOOKUP($B23,Inputs!$B$25:$D$44,3,0)*(VLOOKUP(Financials!$B23,Inputs!$B$3:$D$21,3,0)*(1+Inputs!$L$10)^Financials!BD$3)*BD$8))</f>
        <v>0</v>
      </c>
      <c r="BE23" s="18">
        <f>IF(BE$1&lt;CapEx!$O$7,0,(VLOOKUP($B23,Inputs!$B$25:$D$44,3,0)*(VLOOKUP(Financials!$B23,Inputs!$B$3:$D$21,3,0)*(1+Inputs!$L$10)^Financials!BE$3)*BE$8))</f>
        <v>0</v>
      </c>
      <c r="BF23" s="18">
        <f>IF(BF$1&lt;CapEx!$O$7,0,(VLOOKUP($B23,Inputs!$B$25:$D$44,3,0)*(VLOOKUP(Financials!$B23,Inputs!$B$3:$D$21,3,0)*(1+Inputs!$L$10)^Financials!BF$3)*BF$8))</f>
        <v>0</v>
      </c>
      <c r="BG23" s="18">
        <f>IF(BG$1&lt;CapEx!$O$7,0,(VLOOKUP($B23,Inputs!$B$25:$D$44,3,0)*(VLOOKUP(Financials!$B23,Inputs!$B$3:$D$21,3,0)*(1+Inputs!$L$10)^Financials!BG$3)*BG$8))</f>
        <v>0</v>
      </c>
      <c r="BH23" s="18">
        <f>IF(BH$1&lt;CapEx!$O$7,0,(VLOOKUP($B23,Inputs!$B$25:$D$44,3,0)*(VLOOKUP(Financials!$B23,Inputs!$B$3:$D$21,3,0)*(1+Inputs!$L$10)^Financials!BH$3)*BH$8))</f>
        <v>0</v>
      </c>
      <c r="BI23" s="18">
        <f>IF(BI$1&lt;CapEx!$O$7,0,(VLOOKUP($B23,Inputs!$B$25:$D$44,3,0)*(VLOOKUP(Financials!$B23,Inputs!$B$3:$D$21,3,0)*(1+Inputs!$L$10)^Financials!BI$3)*BI$8))</f>
        <v>0</v>
      </c>
      <c r="BJ23" s="18">
        <f>IF(BJ$1&lt;CapEx!$O$7,0,(VLOOKUP($B23,Inputs!$B$25:$D$44,3,0)*(VLOOKUP(Financials!$B23,Inputs!$B$3:$D$21,3,0)*(1+Inputs!$L$10)^Financials!BJ$3)*BJ$8))</f>
        <v>0</v>
      </c>
      <c r="BK23" s="18">
        <f>IF(BK$1&lt;CapEx!$O$7,0,(VLOOKUP($B23,Inputs!$B$25:$D$44,3,0)*(VLOOKUP(Financials!$B23,Inputs!$B$3:$D$21,3,0)*(1+Inputs!$L$10)^Financials!BK$3)*BK$8))</f>
        <v>0</v>
      </c>
      <c r="BL23" s="18">
        <f>IF(BL$1&lt;CapEx!$O$7,0,(VLOOKUP($B23,Inputs!$B$25:$D$44,3,0)*(VLOOKUP(Financials!$B23,Inputs!$B$3:$D$21,3,0)*(1+Inputs!$L$10)^Financials!BL$3)*BL$8))</f>
        <v>0</v>
      </c>
      <c r="BM23" s="18">
        <f>IF(BM$1&lt;CapEx!$O$7,0,(VLOOKUP($B23,Inputs!$B$25:$D$44,3,0)*(VLOOKUP(Financials!$B23,Inputs!$B$3:$D$21,3,0)*(1+Inputs!$L$10)^Financials!BM$3)*BM$8))</f>
        <v>0</v>
      </c>
      <c r="BN23" s="18">
        <f>IF(BN$1&lt;CapEx!$O$7,0,(VLOOKUP($B23,Inputs!$B$25:$D$44,3,0)*(VLOOKUP(Financials!$B23,Inputs!$B$3:$D$21,3,0)*(1+Inputs!$L$10)^Financials!BN$3)*BN$8))</f>
        <v>0</v>
      </c>
      <c r="BO23" s="18">
        <f>IF(BO$1&lt;CapEx!$O$7,0,(VLOOKUP($B23,Inputs!$B$25:$D$44,3,0)*(VLOOKUP(Financials!$B23,Inputs!$B$3:$D$21,3,0)*(1+Inputs!$L$10)^Financials!BO$3)*BO$8))</f>
        <v>0</v>
      </c>
      <c r="BP23" s="18">
        <f>IF(BP$1&lt;CapEx!$O$7,0,(VLOOKUP($B23,Inputs!$B$25:$D$44,3,0)*(VLOOKUP(Financials!$B23,Inputs!$B$3:$D$21,3,0)*(1+Inputs!$L$10)^Financials!BP$3)*BP$8))</f>
        <v>0</v>
      </c>
      <c r="BQ23" s="18">
        <f>IF(BQ$1&lt;CapEx!$O$7,0,(VLOOKUP($B23,Inputs!$B$25:$D$44,3,0)*(VLOOKUP(Financials!$B23,Inputs!$B$3:$D$21,3,0)*(1+Inputs!$L$10)^Financials!BQ$3)*BQ$8))</f>
        <v>0</v>
      </c>
      <c r="BR23" s="18">
        <f>IF(BR$1&lt;CapEx!$O$7,0,(VLOOKUP($B23,Inputs!$B$25:$D$44,3,0)*(VLOOKUP(Financials!$B23,Inputs!$B$3:$D$21,3,0)*(1+Inputs!$L$10)^Financials!BR$3)*BR$8))</f>
        <v>0</v>
      </c>
      <c r="BS23" s="18">
        <f>IF(BS$1&lt;CapEx!$O$7,0,(VLOOKUP($B23,Inputs!$B$25:$D$44,3,0)*(VLOOKUP(Financials!$B23,Inputs!$B$3:$D$21,3,0)*(1+Inputs!$L$10)^Financials!BS$3)*BS$8))</f>
        <v>0</v>
      </c>
      <c r="BT23" s="18">
        <f>IF(BT$1&lt;CapEx!$O$7,0,(VLOOKUP($B23,Inputs!$B$25:$D$44,3,0)*(VLOOKUP(Financials!$B23,Inputs!$B$3:$D$21,3,0)*(1+Inputs!$L$10)^Financials!BT$3)*BT$8))</f>
        <v>0</v>
      </c>
      <c r="BU23" s="18">
        <f>IF(BU$1&lt;CapEx!$O$7,0,(VLOOKUP($B23,Inputs!$B$25:$D$44,3,0)*(VLOOKUP(Financials!$B23,Inputs!$B$3:$D$21,3,0)*(1+Inputs!$L$10)^Financials!BU$3)*BU$8))</f>
        <v>0</v>
      </c>
      <c r="BV23" s="18">
        <f>IF(BV$1&lt;CapEx!$O$7,0,(VLOOKUP($B23,Inputs!$B$25:$D$44,3,0)*(VLOOKUP(Financials!$B23,Inputs!$B$3:$D$21,3,0)*(1+Inputs!$L$10)^Financials!BV$3)*BV$8))</f>
        <v>0</v>
      </c>
      <c r="BW23" s="18">
        <f>IF(BW$1&lt;CapEx!$O$7,0,(VLOOKUP($B23,Inputs!$B$25:$D$44,3,0)*(VLOOKUP(Financials!$B23,Inputs!$B$3:$D$21,3,0)*(1+Inputs!$L$10)^Financials!BW$3)*BW$8))</f>
        <v>0</v>
      </c>
      <c r="BX23" s="18">
        <f>IF(BX$1&lt;CapEx!$O$7,0,(VLOOKUP($B23,Inputs!$B$25:$D$44,3,0)*(VLOOKUP(Financials!$B23,Inputs!$B$3:$D$21,3,0)*(1+Inputs!$L$10)^Financials!BX$3)*BX$8))</f>
        <v>0</v>
      </c>
      <c r="BY23" s="18">
        <f>IF(BY$1&lt;CapEx!$O$7,0,(VLOOKUP($B23,Inputs!$B$25:$D$44,3,0)*(VLOOKUP(Financials!$B23,Inputs!$B$3:$D$21,3,0)*(1+Inputs!$L$10)^Financials!BY$3)*BY$8))</f>
        <v>0</v>
      </c>
      <c r="BZ23" s="18">
        <f>IF(BZ$1&lt;CapEx!$O$7,0,(VLOOKUP($B23,Inputs!$B$25:$D$44,3,0)*(VLOOKUP(Financials!$B23,Inputs!$B$3:$D$21,3,0)*(1+Inputs!$L$10)^Financials!BZ$3)*BZ$8))</f>
        <v>0</v>
      </c>
      <c r="CA23" s="18">
        <f>IF(CA$1&lt;CapEx!$O$7,0,(VLOOKUP($B23,Inputs!$B$25:$D$44,3,0)*(VLOOKUP(Financials!$B23,Inputs!$B$3:$D$21,3,0)*(1+Inputs!$L$10)^Financials!CA$3)*CA$8))</f>
        <v>0</v>
      </c>
      <c r="CB23" s="18">
        <f>IF(CB$1&lt;CapEx!$O$7,0,(VLOOKUP($B23,Inputs!$B$25:$D$44,3,0)*(VLOOKUP(Financials!$B23,Inputs!$B$3:$D$21,3,0)*(1+Inputs!$L$10)^Financials!CB$3)*CB$8))</f>
        <v>0</v>
      </c>
      <c r="CC23" s="18">
        <f>IF(CC$1&lt;CapEx!$O$7,0,(VLOOKUP($B23,Inputs!$B$25:$D$44,3,0)*(VLOOKUP(Financials!$B23,Inputs!$B$3:$D$21,3,0)*(1+Inputs!$L$10)^Financials!CC$3)*CC$8))</f>
        <v>0</v>
      </c>
      <c r="CD23" s="18">
        <f>IF(CD$1&lt;CapEx!$O$7,0,(VLOOKUP($B23,Inputs!$B$25:$D$44,3,0)*(VLOOKUP(Financials!$B23,Inputs!$B$3:$D$21,3,0)*(1+Inputs!$L$10)^Financials!CD$3)*CD$8))</f>
        <v>0</v>
      </c>
      <c r="CE23" s="18">
        <f>IF(CE$1&lt;CapEx!$O$7,0,(VLOOKUP($B23,Inputs!$B$25:$D$44,3,0)*(VLOOKUP(Financials!$B23,Inputs!$B$3:$D$21,3,0)*(1+Inputs!$L$10)^Financials!CE$3)*CE$8))</f>
        <v>0</v>
      </c>
      <c r="CF23" s="18">
        <f>IF(CF$1&lt;CapEx!$O$7,0,(VLOOKUP($B23,Inputs!$B$25:$D$44,3,0)*(VLOOKUP(Financials!$B23,Inputs!$B$3:$D$21,3,0)*(1+Inputs!$L$10)^Financials!CF$3)*CF$8))</f>
        <v>0</v>
      </c>
      <c r="CG23" s="18">
        <f>IF(CG$1&lt;CapEx!$O$7,0,(VLOOKUP($B23,Inputs!$B$25:$D$44,3,0)*(VLOOKUP(Financials!$B23,Inputs!$B$3:$D$21,3,0)*(1+Inputs!$L$10)^Financials!CG$3)*CG$8))</f>
        <v>0</v>
      </c>
      <c r="CH23" s="18">
        <f>IF(CH$1&lt;CapEx!$O$7,0,(VLOOKUP($B23,Inputs!$B$25:$D$44,3,0)*(VLOOKUP(Financials!$B23,Inputs!$B$3:$D$21,3,0)*(1+Inputs!$L$10)^Financials!CH$3)*CH$8))</f>
        <v>0</v>
      </c>
      <c r="CI23" s="18">
        <f>IF(CI$1&lt;CapEx!$O$7,0,(VLOOKUP($B23,Inputs!$B$25:$D$44,3,0)*(VLOOKUP(Financials!$B23,Inputs!$B$3:$D$21,3,0)*(1+Inputs!$L$10)^Financials!CI$3)*CI$8))</f>
        <v>0</v>
      </c>
      <c r="CJ23" s="18">
        <f>IF(CJ$1&lt;CapEx!$O$7,0,(VLOOKUP($B23,Inputs!$B$25:$D$44,3,0)*(VLOOKUP(Financials!$B23,Inputs!$B$3:$D$21,3,0)*(1+Inputs!$L$10)^Financials!CJ$3)*CJ$8))</f>
        <v>0</v>
      </c>
      <c r="CK23" s="18">
        <f>IF(CK$1&lt;CapEx!$O$7,0,(VLOOKUP($B23,Inputs!$B$25:$D$44,3,0)*(VLOOKUP(Financials!$B23,Inputs!$B$3:$D$21,3,0)*(1+Inputs!$L$10)^Financials!CK$3)*CK$8))</f>
        <v>0</v>
      </c>
      <c r="CL23" s="18">
        <f>IF(CL$1&lt;CapEx!$O$7,0,(VLOOKUP($B23,Inputs!$B$25:$D$44,3,0)*(VLOOKUP(Financials!$B23,Inputs!$B$3:$D$21,3,0)*(1+Inputs!$L$10)^Financials!CL$3)*CL$8))</f>
        <v>0</v>
      </c>
      <c r="CM23" s="18">
        <f>IF(CM$1&lt;CapEx!$O$7,0,(VLOOKUP($B23,Inputs!$B$25:$D$44,3,0)*(VLOOKUP(Financials!$B23,Inputs!$B$3:$D$21,3,0)*(1+Inputs!$L$10)^Financials!CM$3)*CM$8))</f>
        <v>0</v>
      </c>
      <c r="CN23" s="18">
        <f>IF(CN$1&lt;CapEx!$O$7,0,(VLOOKUP($B23,Inputs!$B$25:$D$44,3,0)*(VLOOKUP(Financials!$B23,Inputs!$B$3:$D$21,3,0)*(1+Inputs!$L$10)^Financials!CN$3)*CN$8))</f>
        <v>0</v>
      </c>
      <c r="CO23" s="18">
        <f>IF(CO$1&lt;CapEx!$O$7,0,(VLOOKUP($B23,Inputs!$B$25:$D$44,3,0)*(VLOOKUP(Financials!$B23,Inputs!$B$3:$D$21,3,0)*(1+Inputs!$L$10)^Financials!CO$3)*CO$8))</f>
        <v>0</v>
      </c>
      <c r="CP23" s="18">
        <f>IF(CP$1&lt;CapEx!$O$7,0,(VLOOKUP($B23,Inputs!$B$25:$D$44,3,0)*(VLOOKUP(Financials!$B23,Inputs!$B$3:$D$21,3,0)*(1+Inputs!$L$10)^Financials!CP$3)*CP$8))</f>
        <v>0</v>
      </c>
      <c r="CQ23" s="18">
        <f>IF(CQ$1&lt;CapEx!$O$7,0,(VLOOKUP($B23,Inputs!$B$25:$D$44,3,0)*(VLOOKUP(Financials!$B23,Inputs!$B$3:$D$21,3,0)*(1+Inputs!$L$10)^Financials!CQ$3)*CQ$8))</f>
        <v>0</v>
      </c>
      <c r="CR23" s="18">
        <f>IF(CR$1&lt;CapEx!$O$7,0,(VLOOKUP($B23,Inputs!$B$25:$D$44,3,0)*(VLOOKUP(Financials!$B23,Inputs!$B$3:$D$21,3,0)*(1+Inputs!$L$10)^Financials!CR$3)*CR$8))</f>
        <v>0</v>
      </c>
      <c r="CS23" s="18">
        <f>IF(CS$1&lt;CapEx!$O$7,0,(VLOOKUP($B23,Inputs!$B$25:$D$44,3,0)*(VLOOKUP(Financials!$B23,Inputs!$B$3:$D$21,3,0)*(1+Inputs!$L$10)^Financials!CS$3)*CS$8))</f>
        <v>0</v>
      </c>
      <c r="CT23" s="18">
        <f>IF(CT$1&lt;CapEx!$O$7,0,(VLOOKUP($B23,Inputs!$B$25:$D$44,3,0)*(VLOOKUP(Financials!$B23,Inputs!$B$3:$D$21,3,0)*(1+Inputs!$L$10)^Financials!CT$3)*CT$8))</f>
        <v>0</v>
      </c>
      <c r="CU23" s="18">
        <f>IF(CU$1&lt;CapEx!$O$7,0,(VLOOKUP($B23,Inputs!$B$25:$D$44,3,0)*(VLOOKUP(Financials!$B23,Inputs!$B$3:$D$21,3,0)*(1+Inputs!$L$10)^Financials!CU$3)*CU$8))</f>
        <v>0</v>
      </c>
      <c r="CV23" s="18">
        <f>IF(CV$1&lt;CapEx!$O$7,0,(VLOOKUP($B23,Inputs!$B$25:$D$44,3,0)*(VLOOKUP(Financials!$B23,Inputs!$B$3:$D$21,3,0)*(1+Inputs!$L$10)^Financials!CV$3)*CV$8))</f>
        <v>0</v>
      </c>
      <c r="CW23" s="18">
        <f>IF(CW$1&lt;CapEx!$O$7,0,(VLOOKUP($B23,Inputs!$B$25:$D$44,3,0)*(VLOOKUP(Financials!$B23,Inputs!$B$3:$D$21,3,0)*(1+Inputs!$L$10)^Financials!CW$3)*CW$8))</f>
        <v>0</v>
      </c>
      <c r="CX23" s="18">
        <f>IF(CX$1&lt;CapEx!$O$7,0,(VLOOKUP($B23,Inputs!$B$25:$D$44,3,0)*(VLOOKUP(Financials!$B23,Inputs!$B$3:$D$21,3,0)*(1+Inputs!$L$10)^Financials!CX$3)*CX$8))</f>
        <v>0</v>
      </c>
      <c r="CY23" s="18">
        <f>IF(CY$1&lt;CapEx!$O$7,0,(VLOOKUP($B23,Inputs!$B$25:$D$44,3,0)*(VLOOKUP(Financials!$B23,Inputs!$B$3:$D$21,3,0)*(1+Inputs!$L$10)^Financials!CY$3)*CY$8))</f>
        <v>0</v>
      </c>
      <c r="CZ23" s="18">
        <f>IF(CZ$1&lt;CapEx!$O$7,0,(VLOOKUP($B23,Inputs!$B$25:$D$44,3,0)*(VLOOKUP(Financials!$B23,Inputs!$B$3:$D$21,3,0)*(1+Inputs!$L$10)^Financials!CZ$3)*CZ$8))</f>
        <v>0</v>
      </c>
      <c r="DA23" s="18">
        <f>IF(DA$1&lt;CapEx!$O$7,0,(VLOOKUP($B23,Inputs!$B$25:$D$44,3,0)*(VLOOKUP(Financials!$B23,Inputs!$B$3:$D$21,3,0)*(1+Inputs!$L$10)^Financials!DA$3)*DA$8))</f>
        <v>0</v>
      </c>
      <c r="DB23" s="18">
        <f>IF(DB$1&lt;CapEx!$O$7,0,(VLOOKUP($B23,Inputs!$B$25:$D$44,3,0)*(VLOOKUP(Financials!$B23,Inputs!$B$3:$D$21,3,0)*(1+Inputs!$L$10)^Financials!DB$3)*DB$8))</f>
        <v>0</v>
      </c>
      <c r="DC23" s="18">
        <f>IF(DC$1&lt;CapEx!$O$7,0,(VLOOKUP($B23,Inputs!$B$25:$D$44,3,0)*(VLOOKUP(Financials!$B23,Inputs!$B$3:$D$21,3,0)*(1+Inputs!$L$10)^Financials!DC$3)*DC$8))</f>
        <v>0</v>
      </c>
      <c r="DD23" s="18">
        <f>IF(DD$1&lt;CapEx!$O$7,0,(VLOOKUP($B23,Inputs!$B$25:$D$44,3,0)*(VLOOKUP(Financials!$B23,Inputs!$B$3:$D$21,3,0)*(1+Inputs!$L$10)^Financials!DD$3)*DD$8))</f>
        <v>0</v>
      </c>
      <c r="DE23" s="18">
        <f>IF(DE$1&lt;CapEx!$O$7,0,(VLOOKUP($B23,Inputs!$B$25:$D$44,3,0)*(VLOOKUP(Financials!$B23,Inputs!$B$3:$D$21,3,0)*(1+Inputs!$L$10)^Financials!DE$3)*DE$8))</f>
        <v>0</v>
      </c>
      <c r="DF23" s="18">
        <f>IF(DF$1&lt;CapEx!$O$7,0,(VLOOKUP($B23,Inputs!$B$25:$D$44,3,0)*(VLOOKUP(Financials!$B23,Inputs!$B$3:$D$21,3,0)*(1+Inputs!$L$10)^Financials!DF$3)*DF$8))</f>
        <v>0</v>
      </c>
      <c r="DG23" s="18">
        <f>IF(DG$1&lt;CapEx!$O$7,0,(VLOOKUP($B23,Inputs!$B$25:$D$44,3,0)*(VLOOKUP(Financials!$B23,Inputs!$B$3:$D$21,3,0)*(1+Inputs!$L$10)^Financials!DG$3)*DG$8))</f>
        <v>0</v>
      </c>
      <c r="DH23" s="18">
        <f>IF(DH$1&lt;CapEx!$O$7,0,(VLOOKUP($B23,Inputs!$B$25:$D$44,3,0)*(VLOOKUP(Financials!$B23,Inputs!$B$3:$D$21,3,0)*(1+Inputs!$L$10)^Financials!DH$3)*DH$8))</f>
        <v>0</v>
      </c>
      <c r="DI23" s="18">
        <f>IF(DI$1&lt;CapEx!$O$7,0,(VLOOKUP($B23,Inputs!$B$25:$D$44,3,0)*(VLOOKUP(Financials!$B23,Inputs!$B$3:$D$21,3,0)*(1+Inputs!$L$10)^Financials!DI$3)*DI$8))</f>
        <v>0</v>
      </c>
      <c r="DJ23" s="18">
        <f>IF(DJ$1&lt;CapEx!$O$7,0,(VLOOKUP($B23,Inputs!$B$25:$D$44,3,0)*(VLOOKUP(Financials!$B23,Inputs!$B$3:$D$21,3,0)*(1+Inputs!$L$10)^Financials!DJ$3)*DJ$8))</f>
        <v>0</v>
      </c>
      <c r="DK23" s="18">
        <f>IF(DK$1&lt;CapEx!$O$7,0,(VLOOKUP($B23,Inputs!$B$25:$D$44,3,0)*(VLOOKUP(Financials!$B23,Inputs!$B$3:$D$21,3,0)*(1+Inputs!$L$10)^Financials!DK$3)*DK$8))</f>
        <v>0</v>
      </c>
      <c r="DL23" s="18">
        <f>IF(DL$1&lt;CapEx!$O$7,0,(VLOOKUP($B23,Inputs!$B$25:$D$44,3,0)*(VLOOKUP(Financials!$B23,Inputs!$B$3:$D$21,3,0)*(1+Inputs!$L$10)^Financials!DL$3)*DL$8))</f>
        <v>0</v>
      </c>
      <c r="DM23" s="18">
        <f>IF(DM$1&lt;CapEx!$O$7,0,(VLOOKUP($B23,Inputs!$B$25:$D$44,3,0)*(VLOOKUP(Financials!$B23,Inputs!$B$3:$D$21,3,0)*(1+Inputs!$L$10)^Financials!DM$3)*DM$8))</f>
        <v>0</v>
      </c>
      <c r="DN23" s="18">
        <f>IF(DN$1&lt;CapEx!$O$7,0,(VLOOKUP($B23,Inputs!$B$25:$D$44,3,0)*(VLOOKUP(Financials!$B23,Inputs!$B$3:$D$21,3,0)*(1+Inputs!$L$10)^Financials!DN$3)*DN$8))</f>
        <v>0</v>
      </c>
      <c r="DO23" s="18">
        <f>IF(DO$1&lt;CapEx!$O$7,0,(VLOOKUP($B23,Inputs!$B$25:$D$44,3,0)*(VLOOKUP(Financials!$B23,Inputs!$B$3:$D$21,3,0)*(1+Inputs!$L$10)^Financials!DO$3)*DO$8))</f>
        <v>0</v>
      </c>
      <c r="DP23" s="18">
        <f>IF(DP$1&lt;CapEx!$O$7,0,(VLOOKUP($B23,Inputs!$B$25:$D$44,3,0)*(VLOOKUP(Financials!$B23,Inputs!$B$3:$D$21,3,0)*(1+Inputs!$L$10)^Financials!DP$3)*DP$8))</f>
        <v>0</v>
      </c>
      <c r="DQ23" s="18">
        <f>IF(DQ$1&lt;CapEx!$O$7,0,(VLOOKUP($B23,Inputs!$B$25:$D$44,3,0)*(VLOOKUP(Financials!$B23,Inputs!$B$3:$D$21,3,0)*(1+Inputs!$L$10)^Financials!DQ$3)*DQ$8))</f>
        <v>0</v>
      </c>
      <c r="DR23" s="18">
        <f>IF(DR$1&lt;CapEx!$O$7,0,(VLOOKUP($B23,Inputs!$B$25:$D$44,3,0)*(VLOOKUP(Financials!$B23,Inputs!$B$3:$D$21,3,0)*(1+Inputs!$L$10)^Financials!DR$3)*DR$8))</f>
        <v>0</v>
      </c>
      <c r="DS23" s="18">
        <f>IF(DS$1&lt;CapEx!$O$7,0,(VLOOKUP($B23,Inputs!$B$25:$D$44,3,0)*(VLOOKUP(Financials!$B23,Inputs!$B$3:$D$21,3,0)*(1+Inputs!$L$10)^Financials!DS$3)*DS$8))</f>
        <v>0</v>
      </c>
      <c r="DT23" s="18">
        <f>IF(DT$1&lt;CapEx!$O$7,0,(VLOOKUP($B23,Inputs!$B$25:$D$44,3,0)*(VLOOKUP(Financials!$B23,Inputs!$B$3:$D$21,3,0)*(1+Inputs!$L$10)^Financials!DT$3)*DT$8))</f>
        <v>0</v>
      </c>
      <c r="DU23" s="18">
        <f>IF(DU$1&lt;CapEx!$O$7,0,(VLOOKUP($B23,Inputs!$B$25:$D$44,3,0)*(VLOOKUP(Financials!$B23,Inputs!$B$3:$D$21,3,0)*(1+Inputs!$L$10)^Financials!DU$3)*DU$8))</f>
        <v>0</v>
      </c>
      <c r="DV23" s="18">
        <f>IF(DV$1&lt;CapEx!$O$7,0,(VLOOKUP($B23,Inputs!$B$25:$D$44,3,0)*(VLOOKUP(Financials!$B23,Inputs!$B$3:$D$21,3,0)*(1+Inputs!$L$10)^Financials!DV$3)*DV$8))</f>
        <v>0</v>
      </c>
      <c r="DW23" s="18">
        <f>IF(DW$1&lt;CapEx!$O$7,0,(VLOOKUP($B23,Inputs!$B$25:$D$44,3,0)*(VLOOKUP(Financials!$B23,Inputs!$B$3:$D$21,3,0)*(1+Inputs!$L$10)^Financials!DW$3)*DW$8))</f>
        <v>0</v>
      </c>
      <c r="DX23" s="18">
        <f>IF(DX$1&lt;CapEx!$O$7,0,(VLOOKUP($B23,Inputs!$B$25:$D$44,3,0)*(VLOOKUP(Financials!$B23,Inputs!$B$3:$D$21,3,0)*(1+Inputs!$L$10)^Financials!DX$3)*DX$8))</f>
        <v>0</v>
      </c>
      <c r="DY23" s="18">
        <f>IF(DY$1&lt;CapEx!$O$7,0,(VLOOKUP($B23,Inputs!$B$25:$D$44,3,0)*(VLOOKUP(Financials!$B23,Inputs!$B$3:$D$21,3,0)*(1+Inputs!$L$10)^Financials!DY$3)*DY$8))</f>
        <v>0</v>
      </c>
      <c r="DZ23" s="18">
        <f>IF(DZ$1&lt;CapEx!$O$7,0,(VLOOKUP($B23,Inputs!$B$25:$D$44,3,0)*(VLOOKUP(Financials!$B23,Inputs!$B$3:$D$21,3,0)*(1+Inputs!$L$10)^Financials!DZ$3)*DZ$8))</f>
        <v>0</v>
      </c>
      <c r="EA23" s="18">
        <f>IF(EA$1&lt;CapEx!$O$7,0,(VLOOKUP($B23,Inputs!$B$25:$D$44,3,0)*(VLOOKUP(Financials!$B23,Inputs!$B$3:$D$21,3,0)*(1+Inputs!$L$10)^Financials!EA$3)*EA$8))</f>
        <v>0</v>
      </c>
      <c r="EB23" s="18">
        <f>IF(EB$1&lt;CapEx!$O$7,0,(VLOOKUP($B23,Inputs!$B$25:$D$44,3,0)*(VLOOKUP(Financials!$B23,Inputs!$B$3:$D$21,3,0)*(1+Inputs!$L$10)^Financials!EB$3)*EB$8))</f>
        <v>0</v>
      </c>
      <c r="EC23" s="18">
        <f>IF(EC$1&lt;CapEx!$O$7,0,(VLOOKUP($B23,Inputs!$B$25:$D$44,3,0)*(VLOOKUP(Financials!$B23,Inputs!$B$3:$D$21,3,0)*(1+Inputs!$L$10)^Financials!EC$3)*EC$8))</f>
        <v>0</v>
      </c>
      <c r="ED23" s="18">
        <f>IF(ED$1&lt;CapEx!$O$7,0,(VLOOKUP($B23,Inputs!$B$25:$D$44,3,0)*(VLOOKUP(Financials!$B23,Inputs!$B$3:$D$21,3,0)*(1+Inputs!$L$10)^Financials!ED$3)*ED$8))</f>
        <v>0</v>
      </c>
      <c r="EE23" s="18">
        <f>IF(EE$1&lt;CapEx!$O$7,0,(VLOOKUP($B23,Inputs!$B$25:$D$44,3,0)*(VLOOKUP(Financials!$B23,Inputs!$B$3:$D$21,3,0)*(1+Inputs!$L$10)^Financials!EE$3)*EE$8))</f>
        <v>0</v>
      </c>
      <c r="EF23" s="18">
        <f>IF(EF$1&lt;CapEx!$O$7,0,(VLOOKUP($B23,Inputs!$B$25:$D$44,3,0)*(VLOOKUP(Financials!$B23,Inputs!$B$3:$D$21,3,0)*(1+Inputs!$L$10)^Financials!EF$3)*EF$8))</f>
        <v>0</v>
      </c>
      <c r="EG23" s="18">
        <f>IF(EG$1&lt;CapEx!$O$7,0,(VLOOKUP($B23,Inputs!$B$25:$D$44,3,0)*(VLOOKUP(Financials!$B23,Inputs!$B$3:$D$21,3,0)*(1+Inputs!$L$10)^Financials!EG$3)*EG$8))</f>
        <v>0</v>
      </c>
      <c r="EH23" s="18">
        <f>IF(EH$1&lt;CapEx!$O$7,0,(VLOOKUP($B23,Inputs!$B$25:$D$44,3,0)*(VLOOKUP(Financials!$B23,Inputs!$B$3:$D$21,3,0)*(1+Inputs!$L$10)^Financials!EH$3)*EH$8))</f>
        <v>0</v>
      </c>
      <c r="EI23" s="18">
        <f>IF(EI$1&lt;CapEx!$O$7,0,(VLOOKUP($B23,Inputs!$B$25:$D$44,3,0)*(VLOOKUP(Financials!$B23,Inputs!$B$3:$D$21,3,0)*(1+Inputs!$L$10)^Financials!EI$3)*EI$8))</f>
        <v>0</v>
      </c>
      <c r="EJ23" s="18">
        <f>IF(EJ$1&lt;CapEx!$O$7,0,(VLOOKUP($B23,Inputs!$B$25:$D$44,3,0)*(VLOOKUP(Financials!$B23,Inputs!$B$3:$D$21,3,0)*(1+Inputs!$L$10)^Financials!EJ$3)*EJ$8))</f>
        <v>0</v>
      </c>
      <c r="EK23" s="18">
        <f>IF(EK$1&lt;CapEx!$O$7,0,(VLOOKUP($B23,Inputs!$B$25:$D$44,3,0)*(VLOOKUP(Financials!$B23,Inputs!$B$3:$D$21,3,0)*(1+Inputs!$L$10)^Financials!EK$3)*EK$8))</f>
        <v>0</v>
      </c>
      <c r="EL23" s="18">
        <f>IF(EL$1&lt;CapEx!$O$7,0,(VLOOKUP($B23,Inputs!$B$25:$D$44,3,0)*(VLOOKUP(Financials!$B23,Inputs!$B$3:$D$21,3,0)*(1+Inputs!$L$10)^Financials!EL$3)*EL$8))</f>
        <v>0</v>
      </c>
      <c r="EM23" s="18">
        <f>IF(EM$1&lt;CapEx!$O$7,0,(VLOOKUP($B23,Inputs!$B$25:$D$44,3,0)*(VLOOKUP(Financials!$B23,Inputs!$B$3:$D$21,3,0)*(1+Inputs!$L$10)^Financials!EM$3)*EM$8))</f>
        <v>0</v>
      </c>
      <c r="EN23" s="18">
        <f>IF(EN$1&lt;CapEx!$O$7,0,(VLOOKUP($B23,Inputs!$B$25:$D$44,3,0)*(VLOOKUP(Financials!$B23,Inputs!$B$3:$D$21,3,0)*(1+Inputs!$L$10)^Financials!EN$3)*EN$8))</f>
        <v>0</v>
      </c>
      <c r="EO23" s="18">
        <f>IF(EO$1&lt;CapEx!$O$7,0,(VLOOKUP($B23,Inputs!$B$25:$D$44,3,0)*(VLOOKUP(Financials!$B23,Inputs!$B$3:$D$21,3,0)*(1+Inputs!$L$10)^Financials!EO$3)*EO$8))</f>
        <v>0</v>
      </c>
      <c r="EP23" s="18">
        <f>IF(EP$1&lt;CapEx!$O$7,0,(VLOOKUP($B23,Inputs!$B$25:$D$44,3,0)*(VLOOKUP(Financials!$B23,Inputs!$B$3:$D$21,3,0)*(1+Inputs!$L$10)^Financials!EP$3)*EP$8))</f>
        <v>0</v>
      </c>
      <c r="EQ23" s="18">
        <f>IF(EQ$1&lt;CapEx!$O$7,0,(VLOOKUP($B23,Inputs!$B$25:$D$44,3,0)*(VLOOKUP(Financials!$B23,Inputs!$B$3:$D$21,3,0)*(1+Inputs!$L$10)^Financials!EQ$3)*EQ$8))</f>
        <v>0</v>
      </c>
      <c r="ER23" s="18">
        <f>IF(ER$1&lt;CapEx!$O$7,0,(VLOOKUP($B23,Inputs!$B$25:$D$44,3,0)*(VLOOKUP(Financials!$B23,Inputs!$B$3:$D$21,3,0)*(1+Inputs!$L$10)^Financials!ER$3)*ER$8))</f>
        <v>0</v>
      </c>
      <c r="ES23" s="18">
        <f>IF(ES$1&lt;CapEx!$O$7,0,(VLOOKUP($B23,Inputs!$B$25:$D$44,3,0)*(VLOOKUP(Financials!$B23,Inputs!$B$3:$D$21,3,0)*(1+Inputs!$L$10)^Financials!ES$3)*ES$8))</f>
        <v>0</v>
      </c>
      <c r="ET23" s="18">
        <f>IF(ET$1&lt;CapEx!$O$7,0,(VLOOKUP($B23,Inputs!$B$25:$D$44,3,0)*(VLOOKUP(Financials!$B23,Inputs!$B$3:$D$21,3,0)*(1+Inputs!$L$10)^Financials!ET$3)*ET$8))</f>
        <v>0</v>
      </c>
      <c r="EU23" s="18">
        <f>IF(EU$1&lt;CapEx!$O$7,0,(VLOOKUP($B23,Inputs!$B$25:$D$44,3,0)*(VLOOKUP(Financials!$B23,Inputs!$B$3:$D$21,3,0)*(1+Inputs!$L$10)^Financials!EU$3)*EU$8))</f>
        <v>0</v>
      </c>
      <c r="EV23" s="18">
        <f>IF(EV$1&lt;CapEx!$O$7,0,(VLOOKUP($B23,Inputs!$B$25:$D$44,3,0)*(VLOOKUP(Financials!$B23,Inputs!$B$3:$D$21,3,0)*(1+Inputs!$L$10)^Financials!EV$3)*EV$8))</f>
        <v>0</v>
      </c>
      <c r="EW23" s="18">
        <f>IF(EW$1&lt;CapEx!$O$7,0,(VLOOKUP($B23,Inputs!$B$25:$D$44,3,0)*(VLOOKUP(Financials!$B23,Inputs!$B$3:$D$21,3,0)*(1+Inputs!$L$10)^Financials!EW$3)*EW$8))</f>
        <v>0</v>
      </c>
      <c r="EX23" s="18">
        <f>IF(EX$1&lt;CapEx!$O$7,0,(VLOOKUP($B23,Inputs!$B$25:$D$44,3,0)*(VLOOKUP(Financials!$B23,Inputs!$B$3:$D$21,3,0)*(1+Inputs!$L$10)^Financials!EX$3)*EX$8))</f>
        <v>0</v>
      </c>
      <c r="EY23" s="18">
        <f>IF(EY$1&lt;CapEx!$O$7,0,(VLOOKUP($B23,Inputs!$B$25:$D$44,3,0)*(VLOOKUP(Financials!$B23,Inputs!$B$3:$D$21,3,0)*(1+Inputs!$L$10)^Financials!EY$3)*EY$8))</f>
        <v>0</v>
      </c>
      <c r="EZ23" s="18">
        <f>IF(EZ$1&lt;CapEx!$O$7,0,(VLOOKUP($B23,Inputs!$B$25:$D$44,3,0)*(VLOOKUP(Financials!$B23,Inputs!$B$3:$D$21,3,0)*(1+Inputs!$L$10)^Financials!EZ$3)*EZ$8))</f>
        <v>0</v>
      </c>
      <c r="FA23" s="18">
        <f>IF(FA$1&lt;CapEx!$O$7,0,(VLOOKUP($B23,Inputs!$B$25:$D$44,3,0)*(VLOOKUP(Financials!$B23,Inputs!$B$3:$D$21,3,0)*(1+Inputs!$L$10)^Financials!FA$3)*FA$8))</f>
        <v>0</v>
      </c>
      <c r="FB23" s="18">
        <f>IF(FB$1&lt;CapEx!$O$7,0,(VLOOKUP($B23,Inputs!$B$25:$D$44,3,0)*(VLOOKUP(Financials!$B23,Inputs!$B$3:$D$21,3,0)*(1+Inputs!$L$10)^Financials!FB$3)*FB$8))</f>
        <v>0</v>
      </c>
      <c r="FC23" s="18">
        <f>IF(FC$1&lt;CapEx!$O$7,0,(VLOOKUP($B23,Inputs!$B$25:$D$44,3,0)*(VLOOKUP(Financials!$B23,Inputs!$B$3:$D$21,3,0)*(1+Inputs!$L$10)^Financials!FC$3)*FC$8))</f>
        <v>0</v>
      </c>
      <c r="FD23" s="18">
        <f>IF(FD$1&lt;CapEx!$O$7,0,(VLOOKUP($B23,Inputs!$B$25:$D$44,3,0)*(VLOOKUP(Financials!$B23,Inputs!$B$3:$D$21,3,0)*(1+Inputs!$L$10)^Financials!FD$3)*FD$8))</f>
        <v>0</v>
      </c>
      <c r="FE23" s="18">
        <f>IF(FE$1&lt;CapEx!$O$7,0,(VLOOKUP($B23,Inputs!$B$25:$D$44,3,0)*(VLOOKUP(Financials!$B23,Inputs!$B$3:$D$21,3,0)*(1+Inputs!$L$10)^Financials!FE$3)*FE$8))</f>
        <v>0</v>
      </c>
      <c r="FF23" s="18">
        <f>IF(FF$1&lt;CapEx!$O$7,0,(VLOOKUP($B23,Inputs!$B$25:$D$44,3,0)*(VLOOKUP(Financials!$B23,Inputs!$B$3:$D$21,3,0)*(1+Inputs!$L$10)^Financials!FF$3)*FF$8))</f>
        <v>0</v>
      </c>
      <c r="FG23" s="18">
        <f>IF(FG$1&lt;CapEx!$O$7,0,(VLOOKUP($B23,Inputs!$B$25:$D$44,3,0)*(VLOOKUP(Financials!$B23,Inputs!$B$3:$D$21,3,0)*(1+Inputs!$L$10)^Financials!FG$3)*FG$8))</f>
        <v>0</v>
      </c>
      <c r="FH23" s="18">
        <f>IF(FH$1&lt;CapEx!$O$7,0,(VLOOKUP($B23,Inputs!$B$25:$D$44,3,0)*(VLOOKUP(Financials!$B23,Inputs!$B$3:$D$21,3,0)*(1+Inputs!$L$10)^Financials!FH$3)*FH$8))</f>
        <v>0</v>
      </c>
      <c r="FI23" s="18">
        <f>IF(FI$1&lt;CapEx!$O$7,0,(VLOOKUP($B23,Inputs!$B$25:$D$44,3,0)*(VLOOKUP(Financials!$B23,Inputs!$B$3:$D$21,3,0)*(1+Inputs!$L$10)^Financials!FI$3)*FI$8))</f>
        <v>0</v>
      </c>
      <c r="FJ23" s="18">
        <f>IF(FJ$1&lt;CapEx!$O$7,0,(VLOOKUP($B23,Inputs!$B$25:$D$44,3,0)*(VLOOKUP(Financials!$B23,Inputs!$B$3:$D$21,3,0)*(1+Inputs!$L$10)^Financials!FJ$3)*FJ$8))</f>
        <v>0</v>
      </c>
      <c r="FK23" s="18">
        <f>IF(FK$1&lt;CapEx!$O$7,0,(VLOOKUP($B23,Inputs!$B$25:$D$44,3,0)*(VLOOKUP(Financials!$B23,Inputs!$B$3:$D$21,3,0)*(1+Inputs!$L$10)^Financials!FK$3)*FK$8))</f>
        <v>0</v>
      </c>
      <c r="FL23" s="18">
        <f>IF(FL$1&lt;CapEx!$O$7,0,(VLOOKUP($B23,Inputs!$B$25:$D$44,3,0)*(VLOOKUP(Financials!$B23,Inputs!$B$3:$D$21,3,0)*(1+Inputs!$L$10)^Financials!FL$3)*FL$8))</f>
        <v>0</v>
      </c>
      <c r="FM23" s="18">
        <f>IF(FM$1&lt;CapEx!$O$7,0,(VLOOKUP($B23,Inputs!$B$25:$D$44,3,0)*(VLOOKUP(Financials!$B23,Inputs!$B$3:$D$21,3,0)*(1+Inputs!$L$10)^Financials!FM$3)*FM$8))</f>
        <v>0</v>
      </c>
      <c r="FN23" s="18">
        <f>IF(FN$1&lt;CapEx!$O$7,0,(VLOOKUP($B23,Inputs!$B$25:$D$44,3,0)*(VLOOKUP(Financials!$B23,Inputs!$B$3:$D$21,3,0)*(1+Inputs!$L$10)^Financials!FN$3)*FN$8))</f>
        <v>0</v>
      </c>
      <c r="FO23" s="18">
        <f>IF(FO$1&lt;CapEx!$O$7,0,(VLOOKUP($B23,Inputs!$B$25:$D$44,3,0)*(VLOOKUP(Financials!$B23,Inputs!$B$3:$D$21,3,0)*(1+Inputs!$L$10)^Financials!FO$3)*FO$8))</f>
        <v>0</v>
      </c>
      <c r="FP23" s="18">
        <f>IF(FP$1&lt;CapEx!$O$7,0,(VLOOKUP($B23,Inputs!$B$25:$D$44,3,0)*(VLOOKUP(Financials!$B23,Inputs!$B$3:$D$21,3,0)*(1+Inputs!$L$10)^Financials!FP$3)*FP$8))</f>
        <v>0</v>
      </c>
      <c r="FQ23" s="18">
        <f>IF(FQ$1&lt;CapEx!$O$7,0,(VLOOKUP($B23,Inputs!$B$25:$D$44,3,0)*(VLOOKUP(Financials!$B23,Inputs!$B$3:$D$21,3,0)*(1+Inputs!$L$10)^Financials!FQ$3)*FQ$8))</f>
        <v>0</v>
      </c>
      <c r="FR23" s="18">
        <f>IF(FR$1&lt;CapEx!$O$7,0,(VLOOKUP($B23,Inputs!$B$25:$D$44,3,0)*(VLOOKUP(Financials!$B23,Inputs!$B$3:$D$21,3,0)*(1+Inputs!$L$10)^Financials!FR$3)*FR$8))</f>
        <v>0</v>
      </c>
      <c r="FS23" s="18">
        <f>IF(FS$1&lt;CapEx!$O$7,0,(VLOOKUP($B23,Inputs!$B$25:$D$44,3,0)*(VLOOKUP(Financials!$B23,Inputs!$B$3:$D$21,3,0)*(1+Inputs!$L$10)^Financials!FS$3)*FS$8))</f>
        <v>0</v>
      </c>
      <c r="FT23" s="18">
        <f>IF(FT$1&lt;CapEx!$O$7,0,(VLOOKUP($B23,Inputs!$B$25:$D$44,3,0)*(VLOOKUP(Financials!$B23,Inputs!$B$3:$D$21,3,0)*(1+Inputs!$L$10)^Financials!FT$3)*FT$8))</f>
        <v>0</v>
      </c>
      <c r="FU23" s="18">
        <f>IF(FU$1&lt;CapEx!$O$7,0,(VLOOKUP($B23,Inputs!$B$25:$D$44,3,0)*(VLOOKUP(Financials!$B23,Inputs!$B$3:$D$21,3,0)*(1+Inputs!$L$10)^Financials!FU$3)*FU$8))</f>
        <v>0</v>
      </c>
      <c r="FV23" s="18">
        <f>IF(FV$1&lt;CapEx!$O$7,0,(VLOOKUP($B23,Inputs!$B$25:$D$44,3,0)*(VLOOKUP(Financials!$B23,Inputs!$B$3:$D$21,3,0)*(1+Inputs!$L$10)^Financials!FV$3)*FV$8))</f>
        <v>0</v>
      </c>
      <c r="FW23" s="18">
        <f>IF(FW$1&lt;CapEx!$O$7,0,(VLOOKUP($B23,Inputs!$B$25:$D$44,3,0)*(VLOOKUP(Financials!$B23,Inputs!$B$3:$D$21,3,0)*(1+Inputs!$L$10)^Financials!FW$3)*FW$8))</f>
        <v>0</v>
      </c>
      <c r="FX23" s="18">
        <f>IF(FX$1&lt;CapEx!$O$7,0,(VLOOKUP($B23,Inputs!$B$25:$D$44,3,0)*(VLOOKUP(Financials!$B23,Inputs!$B$3:$D$21,3,0)*(1+Inputs!$L$10)^Financials!FX$3)*FX$8))</f>
        <v>0</v>
      </c>
      <c r="FY23" s="18">
        <f>IF(FY$1&lt;CapEx!$O$7,0,(VLOOKUP($B23,Inputs!$B$25:$D$44,3,0)*(VLOOKUP(Financials!$B23,Inputs!$B$3:$D$21,3,0)*(1+Inputs!$L$10)^Financials!FY$3)*FY$8))</f>
        <v>0</v>
      </c>
      <c r="FZ23" s="18">
        <f>IF(FZ$1&lt;CapEx!$O$7,0,(VLOOKUP($B23,Inputs!$B$25:$D$44,3,0)*(VLOOKUP(Financials!$B23,Inputs!$B$3:$D$21,3,0)*(1+Inputs!$L$10)^Financials!FZ$3)*FZ$8))</f>
        <v>0</v>
      </c>
      <c r="GA23" s="18">
        <f>IF(GA$1&lt;CapEx!$O$7,0,(VLOOKUP($B23,Inputs!$B$25:$D$44,3,0)*(VLOOKUP(Financials!$B23,Inputs!$B$3:$D$21,3,0)*(1+Inputs!$L$10)^Financials!GA$3)*GA$8))</f>
        <v>0</v>
      </c>
      <c r="GB23" s="18">
        <f>IF(GB$1&lt;CapEx!$O$7,0,(VLOOKUP($B23,Inputs!$B$25:$D$44,3,0)*(VLOOKUP(Financials!$B23,Inputs!$B$3:$D$21,3,0)*(1+Inputs!$L$10)^Financials!GB$3)*GB$8))</f>
        <v>0</v>
      </c>
      <c r="GC23" s="18">
        <f>IF(GC$1&lt;CapEx!$O$7,0,(VLOOKUP($B23,Inputs!$B$25:$D$44,3,0)*(VLOOKUP(Financials!$B23,Inputs!$B$3:$D$21,3,0)*(1+Inputs!$L$10)^Financials!GC$3)*GC$8))</f>
        <v>0</v>
      </c>
      <c r="GD23" s="18">
        <f>IF(GD$1&lt;CapEx!$O$7,0,(VLOOKUP($B23,Inputs!$B$25:$D$44,3,0)*(VLOOKUP(Financials!$B23,Inputs!$B$3:$D$21,3,0)*(1+Inputs!$L$10)^Financials!GD$3)*GD$8))</f>
        <v>0</v>
      </c>
      <c r="GE23" s="18">
        <f>IF(GE$1&lt;CapEx!$O$7,0,(VLOOKUP($B23,Inputs!$B$25:$D$44,3,0)*(VLOOKUP(Financials!$B23,Inputs!$B$3:$D$21,3,0)*(1+Inputs!$L$10)^Financials!GE$3)*GE$8))</f>
        <v>0</v>
      </c>
      <c r="GF23" s="18">
        <f>IF(GF$1&lt;CapEx!$O$7,0,(VLOOKUP($B23,Inputs!$B$25:$D$44,3,0)*(VLOOKUP(Financials!$B23,Inputs!$B$3:$D$21,3,0)*(1+Inputs!$L$10)^Financials!GF$3)*GF$8))</f>
        <v>0</v>
      </c>
      <c r="GG23" s="18">
        <f>IF(GG$1&lt;CapEx!$O$7,0,(VLOOKUP($B23,Inputs!$B$25:$D$44,3,0)*(VLOOKUP(Financials!$B23,Inputs!$B$3:$D$21,3,0)*(1+Inputs!$L$10)^Financials!GG$3)*GG$8))</f>
        <v>0</v>
      </c>
      <c r="GH23" s="18">
        <f>IF(GH$1&lt;CapEx!$O$7,0,(VLOOKUP($B23,Inputs!$B$25:$D$44,3,0)*(VLOOKUP(Financials!$B23,Inputs!$B$3:$D$21,3,0)*(1+Inputs!$L$10)^Financials!GH$3)*GH$8))</f>
        <v>0</v>
      </c>
      <c r="GI23" s="18">
        <f>IF(GI$1&lt;CapEx!$O$7,0,(VLOOKUP($B23,Inputs!$B$25:$D$44,3,0)*(VLOOKUP(Financials!$B23,Inputs!$B$3:$D$21,3,0)*(1+Inputs!$L$10)^Financials!GI$3)*GI$8))</f>
        <v>0</v>
      </c>
      <c r="GJ23" s="18">
        <f>IF(GJ$1&lt;CapEx!$O$7,0,(VLOOKUP($B23,Inputs!$B$25:$D$44,3,0)*(VLOOKUP(Financials!$B23,Inputs!$B$3:$D$21,3,0)*(1+Inputs!$L$10)^Financials!GJ$3)*GJ$8))</f>
        <v>0</v>
      </c>
      <c r="GK23" s="18">
        <f>IF(GK$1&lt;CapEx!$O$7,0,(VLOOKUP($B23,Inputs!$B$25:$D$44,3,0)*(VLOOKUP(Financials!$B23,Inputs!$B$3:$D$21,3,0)*(1+Inputs!$L$10)^Financials!GK$3)*GK$8))</f>
        <v>0</v>
      </c>
      <c r="GL23" s="18">
        <f>IF(GL$1&lt;CapEx!$O$7,0,(VLOOKUP($B23,Inputs!$B$25:$D$44,3,0)*(VLOOKUP(Financials!$B23,Inputs!$B$3:$D$21,3,0)*(1+Inputs!$L$10)^Financials!GL$3)*GL$8))</f>
        <v>0</v>
      </c>
      <c r="GM23" s="18">
        <f>IF(GM$1&lt;CapEx!$O$7,0,(VLOOKUP($B23,Inputs!$B$25:$D$44,3,0)*(VLOOKUP(Financials!$B23,Inputs!$B$3:$D$21,3,0)*(1+Inputs!$L$10)^Financials!GM$3)*GM$8))</f>
        <v>0</v>
      </c>
      <c r="GN23" s="18">
        <f>IF(GN$1&lt;CapEx!$O$7,0,(VLOOKUP($B23,Inputs!$B$25:$D$44,3,0)*(VLOOKUP(Financials!$B23,Inputs!$B$3:$D$21,3,0)*(1+Inputs!$L$10)^Financials!GN$3)*GN$8))</f>
        <v>0</v>
      </c>
      <c r="GO23" s="18">
        <f>IF(GO$1&lt;CapEx!$O$7,0,(VLOOKUP($B23,Inputs!$B$25:$D$44,3,0)*(VLOOKUP(Financials!$B23,Inputs!$B$3:$D$21,3,0)*(1+Inputs!$L$10)^Financials!GO$3)*GO$8))</f>
        <v>0</v>
      </c>
      <c r="GP23" s="18">
        <f>IF(GP$1&lt;CapEx!$O$7,0,(VLOOKUP($B23,Inputs!$B$25:$D$44,3,0)*(VLOOKUP(Financials!$B23,Inputs!$B$3:$D$21,3,0)*(1+Inputs!$L$10)^Financials!GP$3)*GP$8))</f>
        <v>0</v>
      </c>
      <c r="GQ23" s="18">
        <f>IF(GQ$1&lt;CapEx!$O$7,0,(VLOOKUP($B23,Inputs!$B$25:$D$44,3,0)*(VLOOKUP(Financials!$B23,Inputs!$B$3:$D$21,3,0)*(1+Inputs!$L$10)^Financials!GQ$3)*GQ$8))</f>
        <v>0</v>
      </c>
      <c r="GR23" s="18">
        <f>IF(GR$1&lt;CapEx!$O$7,0,(VLOOKUP($B23,Inputs!$B$25:$D$44,3,0)*(VLOOKUP(Financials!$B23,Inputs!$B$3:$D$21,3,0)*(1+Inputs!$L$10)^Financials!GR$3)*GR$8))</f>
        <v>0</v>
      </c>
      <c r="GS23" s="18">
        <f>IF(GS$1&lt;CapEx!$O$7,0,(VLOOKUP($B23,Inputs!$B$25:$D$44,3,0)*(VLOOKUP(Financials!$B23,Inputs!$B$3:$D$21,3,0)*(1+Inputs!$L$10)^Financials!GS$3)*GS$8))</f>
        <v>0</v>
      </c>
      <c r="GT23" s="18">
        <f>IF(GT$1&lt;CapEx!$O$7,0,(VLOOKUP($B23,Inputs!$B$25:$D$44,3,0)*(VLOOKUP(Financials!$B23,Inputs!$B$3:$D$21,3,0)*(1+Inputs!$L$10)^Financials!GT$3)*GT$8))</f>
        <v>0</v>
      </c>
      <c r="GU23" s="18">
        <f>IF(GU$1&lt;CapEx!$O$7,0,(VLOOKUP($B23,Inputs!$B$25:$D$44,3,0)*(VLOOKUP(Financials!$B23,Inputs!$B$3:$D$21,3,0)*(1+Inputs!$L$10)^Financials!GU$3)*GU$8))</f>
        <v>0</v>
      </c>
      <c r="GV23" s="18">
        <f>IF(GV$1&lt;CapEx!$O$7,0,(VLOOKUP($B23,Inputs!$B$25:$D$44,3,0)*(VLOOKUP(Financials!$B23,Inputs!$B$3:$D$21,3,0)*(1+Inputs!$L$10)^Financials!GV$3)*GV$8))</f>
        <v>0</v>
      </c>
      <c r="GW23" s="18">
        <f>IF(GW$1&lt;CapEx!$O$7,0,(VLOOKUP($B23,Inputs!$B$25:$D$44,3,0)*(VLOOKUP(Financials!$B23,Inputs!$B$3:$D$21,3,0)*(1+Inputs!$L$10)^Financials!GW$3)*GW$8))</f>
        <v>0</v>
      </c>
      <c r="GX23" s="18">
        <f>IF(GX$1&lt;CapEx!$O$7,0,(VLOOKUP($B23,Inputs!$B$25:$D$44,3,0)*(VLOOKUP(Financials!$B23,Inputs!$B$3:$D$21,3,0)*(1+Inputs!$L$10)^Financials!GX$3)*GX$8))</f>
        <v>0</v>
      </c>
      <c r="GY23" s="18">
        <f>IF(GY$1&lt;CapEx!$O$7,0,(VLOOKUP($B23,Inputs!$B$25:$D$44,3,0)*(VLOOKUP(Financials!$B23,Inputs!$B$3:$D$21,3,0)*(1+Inputs!$L$10)^Financials!GY$3)*GY$8))</f>
        <v>0</v>
      </c>
      <c r="GZ23" s="18">
        <f>IF(GZ$1&lt;CapEx!$O$7,0,(VLOOKUP($B23,Inputs!$B$25:$D$44,3,0)*(VLOOKUP(Financials!$B23,Inputs!$B$3:$D$21,3,0)*(1+Inputs!$L$10)^Financials!GZ$3)*GZ$8))</f>
        <v>0</v>
      </c>
      <c r="HA23" s="18">
        <f>IF(HA$1&lt;CapEx!$O$7,0,(VLOOKUP($B23,Inputs!$B$25:$D$44,3,0)*(VLOOKUP(Financials!$B23,Inputs!$B$3:$D$21,3,0)*(1+Inputs!$L$10)^Financials!HA$3)*HA$8))</f>
        <v>0</v>
      </c>
      <c r="HB23" s="18">
        <f>IF(HB$1&lt;CapEx!$O$7,0,(VLOOKUP($B23,Inputs!$B$25:$D$44,3,0)*(VLOOKUP(Financials!$B23,Inputs!$B$3:$D$21,3,0)*(1+Inputs!$L$10)^Financials!HB$3)*HB$8))</f>
        <v>0</v>
      </c>
      <c r="HC23" s="18">
        <f>IF(HC$1&lt;CapEx!$O$7,0,(VLOOKUP($B23,Inputs!$B$25:$D$44,3,0)*(VLOOKUP(Financials!$B23,Inputs!$B$3:$D$21,3,0)*(1+Inputs!$L$10)^Financials!HC$3)*HC$8))</f>
        <v>0</v>
      </c>
      <c r="HD23" s="18">
        <f>IF(HD$1&lt;CapEx!$O$7,0,(VLOOKUP($B23,Inputs!$B$25:$D$44,3,0)*(VLOOKUP(Financials!$B23,Inputs!$B$3:$D$21,3,0)*(1+Inputs!$L$10)^Financials!HD$3)*HD$8))</f>
        <v>0</v>
      </c>
      <c r="HE23" s="18">
        <f>IF(HE$1&lt;CapEx!$O$7,0,(VLOOKUP($B23,Inputs!$B$25:$D$44,3,0)*(VLOOKUP(Financials!$B23,Inputs!$B$3:$D$21,3,0)*(1+Inputs!$L$10)^Financials!HE$3)*HE$8))</f>
        <v>0</v>
      </c>
      <c r="HF23" s="18">
        <f>IF(HF$1&lt;CapEx!$O$7,0,(VLOOKUP($B23,Inputs!$B$25:$D$44,3,0)*(VLOOKUP(Financials!$B23,Inputs!$B$3:$D$21,3,0)*(1+Inputs!$L$10)^Financials!HF$3)*HF$8))</f>
        <v>0</v>
      </c>
      <c r="HG23" s="18">
        <f>IF(HG$1&lt;CapEx!$O$7,0,(VLOOKUP($B23,Inputs!$B$25:$D$44,3,0)*(VLOOKUP(Financials!$B23,Inputs!$B$3:$D$21,3,0)*(1+Inputs!$L$10)^Financials!HG$3)*HG$8))</f>
        <v>0</v>
      </c>
      <c r="HH23" s="18">
        <f>IF(HH$1&lt;CapEx!$O$7,0,(VLOOKUP($B23,Inputs!$B$25:$D$44,3,0)*(VLOOKUP(Financials!$B23,Inputs!$B$3:$D$21,3,0)*(1+Inputs!$L$10)^Financials!HH$3)*HH$8))</f>
        <v>0</v>
      </c>
      <c r="HI23" s="18">
        <f>IF(HI$1&lt;CapEx!$O$7,0,(VLOOKUP($B23,Inputs!$B$25:$D$44,3,0)*(VLOOKUP(Financials!$B23,Inputs!$B$3:$D$21,3,0)*(1+Inputs!$L$10)^Financials!HI$3)*HI$8))</f>
        <v>0</v>
      </c>
      <c r="HJ23" s="18">
        <f>IF(HJ$1&lt;CapEx!$O$7,0,(VLOOKUP($B23,Inputs!$B$25:$D$44,3,0)*(VLOOKUP(Financials!$B23,Inputs!$B$3:$D$21,3,0)*(1+Inputs!$L$10)^Financials!HJ$3)*HJ$8))</f>
        <v>0</v>
      </c>
      <c r="HK23" s="18">
        <f>IF(HK$1&lt;CapEx!$O$7,0,(VLOOKUP($B23,Inputs!$B$25:$D$44,3,0)*(VLOOKUP(Financials!$B23,Inputs!$B$3:$D$21,3,0)*(1+Inputs!$L$10)^Financials!HK$3)*HK$8))</f>
        <v>0</v>
      </c>
      <c r="HL23" s="18">
        <f>IF(HL$1&lt;CapEx!$O$7,0,(VLOOKUP($B23,Inputs!$B$25:$D$44,3,0)*(VLOOKUP(Financials!$B23,Inputs!$B$3:$D$21,3,0)*(1+Inputs!$L$10)^Financials!HL$3)*HL$8))</f>
        <v>0</v>
      </c>
      <c r="HM23" s="18">
        <f>IF(HM$1&lt;CapEx!$O$7,0,(VLOOKUP($B23,Inputs!$B$25:$D$44,3,0)*(VLOOKUP(Financials!$B23,Inputs!$B$3:$D$21,3,0)*(1+Inputs!$L$10)^Financials!HM$3)*HM$8))</f>
        <v>0</v>
      </c>
      <c r="HN23" s="18">
        <f>IF(HN$1&lt;CapEx!$O$7,0,(VLOOKUP($B23,Inputs!$B$25:$D$44,3,0)*(VLOOKUP(Financials!$B23,Inputs!$B$3:$D$21,3,0)*(1+Inputs!$L$10)^Financials!HN$3)*HN$8))</f>
        <v>0</v>
      </c>
      <c r="HO23" s="18">
        <f>IF(HO$1&lt;CapEx!$O$7,0,(VLOOKUP($B23,Inputs!$B$25:$D$44,3,0)*(VLOOKUP(Financials!$B23,Inputs!$B$3:$D$21,3,0)*(1+Inputs!$L$10)^Financials!HO$3)*HO$8))</f>
        <v>0</v>
      </c>
      <c r="HP23" s="18">
        <f>IF(HP$1&lt;CapEx!$O$7,0,(VLOOKUP($B23,Inputs!$B$25:$D$44,3,0)*(VLOOKUP(Financials!$B23,Inputs!$B$3:$D$21,3,0)*(1+Inputs!$L$10)^Financials!HP$3)*HP$8))</f>
        <v>0</v>
      </c>
      <c r="HQ23" s="18">
        <f>IF(HQ$1&lt;CapEx!$O$7,0,(VLOOKUP($B23,Inputs!$B$25:$D$44,3,0)*(VLOOKUP(Financials!$B23,Inputs!$B$3:$D$21,3,0)*(1+Inputs!$L$10)^Financials!HQ$3)*HQ$8))</f>
        <v>0</v>
      </c>
      <c r="HR23" s="18">
        <f>IF(HR$1&lt;CapEx!$O$7,0,(VLOOKUP($B23,Inputs!$B$25:$D$44,3,0)*(VLOOKUP(Financials!$B23,Inputs!$B$3:$D$21,3,0)*(1+Inputs!$L$10)^Financials!HR$3)*HR$8))</f>
        <v>0</v>
      </c>
      <c r="HS23" s="18">
        <f>IF(HS$1&lt;CapEx!$O$7,0,(VLOOKUP($B23,Inputs!$B$25:$D$44,3,0)*(VLOOKUP(Financials!$B23,Inputs!$B$3:$D$21,3,0)*(1+Inputs!$L$10)^Financials!HS$3)*HS$8))</f>
        <v>0</v>
      </c>
      <c r="HT23" s="18">
        <f>IF(HT$1&lt;CapEx!$O$7,0,(VLOOKUP($B23,Inputs!$B$25:$D$44,3,0)*(VLOOKUP(Financials!$B23,Inputs!$B$3:$D$21,3,0)*(1+Inputs!$L$10)^Financials!HT$3)*HT$8))</f>
        <v>0</v>
      </c>
      <c r="HU23" s="18">
        <f>IF(HU$1&lt;CapEx!$O$7,0,(VLOOKUP($B23,Inputs!$B$25:$D$44,3,0)*(VLOOKUP(Financials!$B23,Inputs!$B$3:$D$21,3,0)*(1+Inputs!$L$10)^Financials!HU$3)*HU$8))</f>
        <v>0</v>
      </c>
      <c r="HV23" s="18">
        <f>IF(HV$1&lt;CapEx!$O$7,0,(VLOOKUP($B23,Inputs!$B$25:$D$44,3,0)*(VLOOKUP(Financials!$B23,Inputs!$B$3:$D$21,3,0)*(1+Inputs!$L$10)^Financials!HV$3)*HV$8))</f>
        <v>0</v>
      </c>
      <c r="HW23" s="18">
        <f>IF(HW$1&lt;CapEx!$O$7,0,(VLOOKUP($B23,Inputs!$B$25:$D$44,3,0)*(VLOOKUP(Financials!$B23,Inputs!$B$3:$D$21,3,0)*(1+Inputs!$L$10)^Financials!HW$3)*HW$8))</f>
        <v>0</v>
      </c>
      <c r="HX23" s="18">
        <f>IF(HX$1&lt;CapEx!$O$7,0,(VLOOKUP($B23,Inputs!$B$25:$D$44,3,0)*(VLOOKUP(Financials!$B23,Inputs!$B$3:$D$21,3,0)*(1+Inputs!$L$10)^Financials!HX$3)*HX$8))</f>
        <v>0</v>
      </c>
      <c r="HY23" s="18">
        <f>IF(HY$1&lt;CapEx!$O$7,0,(VLOOKUP($B23,Inputs!$B$25:$D$44,3,0)*(VLOOKUP(Financials!$B23,Inputs!$B$3:$D$21,3,0)*(1+Inputs!$L$10)^Financials!HY$3)*HY$8))</f>
        <v>0</v>
      </c>
      <c r="HZ23" s="18">
        <f>IF(HZ$1&lt;CapEx!$O$7,0,(VLOOKUP($B23,Inputs!$B$25:$D$44,3,0)*(VLOOKUP(Financials!$B23,Inputs!$B$3:$D$21,3,0)*(1+Inputs!$L$10)^Financials!HZ$3)*HZ$8))</f>
        <v>0</v>
      </c>
      <c r="IA23" s="18">
        <f>IF(IA$1&lt;CapEx!$O$7,0,(VLOOKUP($B23,Inputs!$B$25:$D$44,3,0)*(VLOOKUP(Financials!$B23,Inputs!$B$3:$D$21,3,0)*(1+Inputs!$L$10)^Financials!IA$3)*IA$8))</f>
        <v>0</v>
      </c>
      <c r="IB23" s="18">
        <f>IF(IB$1&lt;CapEx!$O$7,0,(VLOOKUP($B23,Inputs!$B$25:$D$44,3,0)*(VLOOKUP(Financials!$B23,Inputs!$B$3:$D$21,3,0)*(1+Inputs!$L$10)^Financials!IB$3)*IB$8))</f>
        <v>0</v>
      </c>
      <c r="IC23" s="18">
        <f>IF(IC$1&lt;CapEx!$O$7,0,(VLOOKUP($B23,Inputs!$B$25:$D$44,3,0)*(VLOOKUP(Financials!$B23,Inputs!$B$3:$D$21,3,0)*(1+Inputs!$L$10)^Financials!IC$3)*IC$8))</f>
        <v>0</v>
      </c>
      <c r="ID23" s="18">
        <f>IF(ID$1&lt;CapEx!$O$7,0,(VLOOKUP($B23,Inputs!$B$25:$D$44,3,0)*(VLOOKUP(Financials!$B23,Inputs!$B$3:$D$21,3,0)*(1+Inputs!$L$10)^Financials!ID$3)*ID$8))</f>
        <v>0</v>
      </c>
      <c r="IE23" s="18">
        <f>IF(IE$1&lt;CapEx!$O$7,0,(VLOOKUP($B23,Inputs!$B$25:$D$44,3,0)*(VLOOKUP(Financials!$B23,Inputs!$B$3:$D$21,3,0)*(1+Inputs!$L$10)^Financials!IE$3)*IE$8))</f>
        <v>0</v>
      </c>
      <c r="IF23" s="18">
        <f>IF(IF$1&lt;CapEx!$O$7,0,(VLOOKUP($B23,Inputs!$B$25:$D$44,3,0)*(VLOOKUP(Financials!$B23,Inputs!$B$3:$D$21,3,0)*(1+Inputs!$L$10)^Financials!IF$3)*IF$8))</f>
        <v>0</v>
      </c>
      <c r="IG23" s="18">
        <f>IF(IG$1&lt;CapEx!$O$7,0,(VLOOKUP($B23,Inputs!$B$25:$D$44,3,0)*(VLOOKUP(Financials!$B23,Inputs!$B$3:$D$21,3,0)*(1+Inputs!$L$10)^Financials!IG$3)*IG$8))</f>
        <v>0</v>
      </c>
      <c r="IH23" s="18">
        <f>IF(IH$1&lt;CapEx!$O$7,0,(VLOOKUP($B23,Inputs!$B$25:$D$44,3,0)*(VLOOKUP(Financials!$B23,Inputs!$B$3:$D$21,3,0)*(1+Inputs!$L$10)^Financials!IH$3)*IH$8))</f>
        <v>0</v>
      </c>
      <c r="II23" s="18">
        <f>IF(II$1&lt;CapEx!$O$7,0,(VLOOKUP($B23,Inputs!$B$25:$D$44,3,0)*(VLOOKUP(Financials!$B23,Inputs!$B$3:$D$21,3,0)*(1+Inputs!$L$10)^Financials!II$3)*II$8))</f>
        <v>0</v>
      </c>
      <c r="IJ23" s="18">
        <f>IF(IJ$1&lt;CapEx!$O$7,0,(VLOOKUP($B23,Inputs!$B$25:$D$44,3,0)*(VLOOKUP(Financials!$B23,Inputs!$B$3:$D$21,3,0)*(1+Inputs!$L$10)^Financials!IJ$3)*IJ$8))</f>
        <v>0</v>
      </c>
      <c r="IK23" s="18">
        <f>IF(IK$1&lt;CapEx!$O$7,0,(VLOOKUP($B23,Inputs!$B$25:$D$44,3,0)*(VLOOKUP(Financials!$B23,Inputs!$B$3:$D$21,3,0)*(1+Inputs!$L$10)^Financials!IK$3)*IK$8))</f>
        <v>0</v>
      </c>
      <c r="IL23" s="18">
        <f>IF(IL$1&lt;CapEx!$O$7,0,(VLOOKUP($B23,Inputs!$B$25:$D$44,3,0)*(VLOOKUP(Financials!$B23,Inputs!$B$3:$D$21,3,0)*(1+Inputs!$L$10)^Financials!IL$3)*IL$8))</f>
        <v>0</v>
      </c>
      <c r="IM23" s="18">
        <f>IF(IM$1&lt;CapEx!$O$7,0,(VLOOKUP($B23,Inputs!$B$25:$D$44,3,0)*(VLOOKUP(Financials!$B23,Inputs!$B$3:$D$21,3,0)*(1+Inputs!$L$10)^Financials!IM$3)*IM$8))</f>
        <v>0</v>
      </c>
      <c r="IN23" s="18">
        <f>IF(IN$1&lt;CapEx!$O$7,0,(VLOOKUP($B23,Inputs!$B$25:$D$44,3,0)*(VLOOKUP(Financials!$B23,Inputs!$B$3:$D$21,3,0)*(1+Inputs!$L$10)^Financials!IN$3)*IN$8))</f>
        <v>0</v>
      </c>
      <c r="IO23" s="18">
        <f>IF(IO$1&lt;CapEx!$O$7,0,(VLOOKUP($B23,Inputs!$B$25:$D$44,3,0)*(VLOOKUP(Financials!$B23,Inputs!$B$3:$D$21,3,0)*(1+Inputs!$L$10)^Financials!IO$3)*IO$8))</f>
        <v>0</v>
      </c>
      <c r="IP23" s="18">
        <f>IF(IP$1&lt;CapEx!$O$7,0,(VLOOKUP($B23,Inputs!$B$25:$D$44,3,0)*(VLOOKUP(Financials!$B23,Inputs!$B$3:$D$21,3,0)*(1+Inputs!$L$10)^Financials!IP$3)*IP$8))</f>
        <v>0</v>
      </c>
      <c r="IQ23" s="18">
        <f>IF(IQ$1&lt;CapEx!$O$7,0,(VLOOKUP($B23,Inputs!$B$25:$D$44,3,0)*(VLOOKUP(Financials!$B23,Inputs!$B$3:$D$21,3,0)*(1+Inputs!$L$10)^Financials!IQ$3)*IQ$8))</f>
        <v>0</v>
      </c>
      <c r="IR23" s="18">
        <f>IF(IR$1&lt;CapEx!$O$7,0,(VLOOKUP($B23,Inputs!$B$25:$D$44,3,0)*(VLOOKUP(Financials!$B23,Inputs!$B$3:$D$21,3,0)*(1+Inputs!$L$10)^Financials!IR$3)*IR$8))</f>
        <v>0</v>
      </c>
      <c r="IS23" s="18">
        <f>IF(IS$1&lt;CapEx!$O$7,0,(VLOOKUP($B23,Inputs!$B$25:$D$44,3,0)*(VLOOKUP(Financials!$B23,Inputs!$B$3:$D$21,3,0)*(1+Inputs!$L$10)^Financials!IS$3)*IS$8))</f>
        <v>0</v>
      </c>
      <c r="IT23" s="18">
        <f>IF(IT$1&lt;CapEx!$O$7,0,(VLOOKUP($B23,Inputs!$B$25:$D$44,3,0)*(VLOOKUP(Financials!$B23,Inputs!$B$3:$D$21,3,0)*(1+Inputs!$L$10)^Financials!IT$3)*IT$8))</f>
        <v>0</v>
      </c>
      <c r="IU23" s="18">
        <f>IF(IU$1&lt;CapEx!$O$7,0,(VLOOKUP($B23,Inputs!$B$25:$D$44,3,0)*(VLOOKUP(Financials!$B23,Inputs!$B$3:$D$21,3,0)*(1+Inputs!$L$10)^Financials!IU$3)*IU$8))</f>
        <v>0</v>
      </c>
      <c r="IV23" s="18">
        <f>IF(IV$1&lt;CapEx!$O$7,0,(VLOOKUP($B23,Inputs!$B$25:$D$44,3,0)*(VLOOKUP(Financials!$B23,Inputs!$B$3:$D$21,3,0)*(1+Inputs!$L$10)^Financials!IV$3)*IV$8))</f>
        <v>0</v>
      </c>
      <c r="IW23" s="18">
        <f>IF(IW$1&lt;CapEx!$O$7,0,(VLOOKUP($B23,Inputs!$B$25:$D$44,3,0)*(VLOOKUP(Financials!$B23,Inputs!$B$3:$D$21,3,0)*(1+Inputs!$L$10)^Financials!IW$3)*IW$8))</f>
        <v>0</v>
      </c>
      <c r="IX23" s="18">
        <f>IF(IX$1&lt;CapEx!$O$7,0,(VLOOKUP($B23,Inputs!$B$25:$D$44,3,0)*(VLOOKUP(Financials!$B23,Inputs!$B$3:$D$21,3,0)*(1+Inputs!$L$10)^Financials!IX$3)*IX$8))</f>
        <v>0</v>
      </c>
      <c r="IY23" s="18">
        <f>IF(IY$1&lt;CapEx!$O$7,0,(VLOOKUP($B23,Inputs!$B$25:$D$44,3,0)*(VLOOKUP(Financials!$B23,Inputs!$B$3:$D$21,3,0)*(1+Inputs!$L$10)^Financials!IY$3)*IY$8))</f>
        <v>0</v>
      </c>
      <c r="IZ23" s="18">
        <f>IF(IZ$1&lt;CapEx!$O$7,0,(VLOOKUP($B23,Inputs!$B$25:$D$44,3,0)*(VLOOKUP(Financials!$B23,Inputs!$B$3:$D$21,3,0)*(1+Inputs!$L$10)^Financials!IZ$3)*IZ$8))</f>
        <v>0</v>
      </c>
      <c r="JA23" s="18">
        <f>IF(JA$1&lt;CapEx!$O$7,0,(VLOOKUP($B23,Inputs!$B$25:$D$44,3,0)*(VLOOKUP(Financials!$B23,Inputs!$B$3:$D$21,3,0)*(1+Inputs!$L$10)^Financials!JA$3)*JA$8))</f>
        <v>0</v>
      </c>
      <c r="JB23" s="18">
        <f>IF(JB$1&lt;CapEx!$O$7,0,(VLOOKUP($B23,Inputs!$B$25:$D$44,3,0)*(VLOOKUP(Financials!$B23,Inputs!$B$3:$D$21,3,0)*(1+Inputs!$L$10)^Financials!JB$3)*JB$8))</f>
        <v>0</v>
      </c>
      <c r="JC23" s="18">
        <f>IF(JC$1&lt;CapEx!$O$7,0,(VLOOKUP($B23,Inputs!$B$25:$D$44,3,0)*(VLOOKUP(Financials!$B23,Inputs!$B$3:$D$21,3,0)*(1+Inputs!$L$10)^Financials!JC$3)*JC$8))</f>
        <v>0</v>
      </c>
      <c r="JD23" s="18">
        <f>IF(JD$1&lt;CapEx!$O$7,0,(VLOOKUP($B23,Inputs!$B$25:$D$44,3,0)*(VLOOKUP(Financials!$B23,Inputs!$B$3:$D$21,3,0)*(1+Inputs!$L$10)^Financials!JD$3)*JD$8))</f>
        <v>0</v>
      </c>
      <c r="JE23" s="18">
        <f>IF(JE$1&lt;CapEx!$O$7,0,(VLOOKUP($B23,Inputs!$B$25:$D$44,3,0)*(VLOOKUP(Financials!$B23,Inputs!$B$3:$D$21,3,0)*(1+Inputs!$L$10)^Financials!JE$3)*JE$8))</f>
        <v>0</v>
      </c>
      <c r="JF23" s="18">
        <f>IF(JF$1&lt;CapEx!$O$7,0,(VLOOKUP($B23,Inputs!$B$25:$D$44,3,0)*(VLOOKUP(Financials!$B23,Inputs!$B$3:$D$21,3,0)*(1+Inputs!$L$10)^Financials!JF$3)*JF$8))</f>
        <v>0</v>
      </c>
      <c r="JG23" s="18">
        <f>IF(JG$1&lt;CapEx!$O$7,0,(VLOOKUP($B23,Inputs!$B$25:$D$44,3,0)*(VLOOKUP(Financials!$B23,Inputs!$B$3:$D$21,3,0)*(1+Inputs!$L$10)^Financials!JG$3)*JG$8))</f>
        <v>0</v>
      </c>
      <c r="JH23" s="18">
        <f>IF(JH$1&lt;CapEx!$O$7,0,(VLOOKUP($B23,Inputs!$B$25:$D$44,3,0)*(VLOOKUP(Financials!$B23,Inputs!$B$3:$D$21,3,0)*(1+Inputs!$L$10)^Financials!JH$3)*JH$8))</f>
        <v>0</v>
      </c>
      <c r="JI23" s="18">
        <f>IF(JI$1&lt;CapEx!$O$7,0,(VLOOKUP($B23,Inputs!$B$25:$D$44,3,0)*(VLOOKUP(Financials!$B23,Inputs!$B$3:$D$21,3,0)*(1+Inputs!$L$10)^Financials!JI$3)*JI$8))</f>
        <v>0</v>
      </c>
      <c r="JJ23" s="18">
        <f>IF(JJ$1&lt;CapEx!$O$7,0,(VLOOKUP($B23,Inputs!$B$25:$D$44,3,0)*(VLOOKUP(Financials!$B23,Inputs!$B$3:$D$21,3,0)*(1+Inputs!$L$10)^Financials!JJ$3)*JJ$8))</f>
        <v>0</v>
      </c>
      <c r="JK23" s="18">
        <f>IF(JK$1&lt;CapEx!$O$7,0,(VLOOKUP($B23,Inputs!$B$25:$D$44,3,0)*(VLOOKUP(Financials!$B23,Inputs!$B$3:$D$21,3,0)*(1+Inputs!$L$10)^Financials!JK$3)*JK$8))</f>
        <v>0</v>
      </c>
      <c r="JL23" s="18">
        <f>IF(JL$1&lt;CapEx!$O$7,0,(VLOOKUP($B23,Inputs!$B$25:$D$44,3,0)*(VLOOKUP(Financials!$B23,Inputs!$B$3:$D$21,3,0)*(1+Inputs!$L$10)^Financials!JL$3)*JL$8))</f>
        <v>0</v>
      </c>
      <c r="JM23" s="18">
        <f>IF(JM$1&lt;CapEx!$O$7,0,(VLOOKUP($B23,Inputs!$B$25:$D$44,3,0)*(VLOOKUP(Financials!$B23,Inputs!$B$3:$D$21,3,0)*(1+Inputs!$L$10)^Financials!JM$3)*JM$8))</f>
        <v>0</v>
      </c>
      <c r="JN23" s="18">
        <f>IF(JN$1&lt;CapEx!$O$7,0,(VLOOKUP($B23,Inputs!$B$25:$D$44,3,0)*(VLOOKUP(Financials!$B23,Inputs!$B$3:$D$21,3,0)*(1+Inputs!$L$10)^Financials!JN$3)*JN$8))</f>
        <v>0</v>
      </c>
      <c r="JO23" s="18">
        <f>IF(JO$1&lt;CapEx!$O$7,0,(VLOOKUP($B23,Inputs!$B$25:$D$44,3,0)*(VLOOKUP(Financials!$B23,Inputs!$B$3:$D$21,3,0)*(1+Inputs!$L$10)^Financials!JO$3)*JO$8))</f>
        <v>0</v>
      </c>
      <c r="JP23" s="18">
        <f>IF(JP$1&lt;CapEx!$O$7,0,(VLOOKUP($B23,Inputs!$B$25:$D$44,3,0)*(VLOOKUP(Financials!$B23,Inputs!$B$3:$D$21,3,0)*(1+Inputs!$L$10)^Financials!JP$3)*JP$8))</f>
        <v>0</v>
      </c>
      <c r="JQ23" s="18">
        <f>IF(JQ$1&lt;CapEx!$O$7,0,(VLOOKUP($B23,Inputs!$B$25:$D$44,3,0)*(VLOOKUP(Financials!$B23,Inputs!$B$3:$D$21,3,0)*(1+Inputs!$L$10)^Financials!JQ$3)*JQ$8))</f>
        <v>0</v>
      </c>
      <c r="JR23" s="18">
        <f>IF(JR$1&lt;CapEx!$O$7,0,(VLOOKUP($B23,Inputs!$B$25:$D$44,3,0)*(VLOOKUP(Financials!$B23,Inputs!$B$3:$D$21,3,0)*(1+Inputs!$L$10)^Financials!JR$3)*JR$8))</f>
        <v>0</v>
      </c>
    </row>
    <row r="24" spans="2:278" x14ac:dyDescent="0.2">
      <c r="B24" s="22" t="str">
        <f>Inputs!B17</f>
        <v xml:space="preserve">JP </v>
      </c>
      <c r="C24" s="18">
        <f>IF(C$1&lt;CapEx!$O$7,0,(VLOOKUP($B24,Inputs!$B$25:$D$44,3,0)*(VLOOKUP(Financials!$B24,Inputs!$B$3:$D$21,3,0)*(1+Inputs!$L$10)^Financials!C$3)*C$8))</f>
        <v>0</v>
      </c>
      <c r="D24" s="18">
        <f>IF(D$1&lt;CapEx!$O$7,0,(VLOOKUP($B24,Inputs!$B$25:$D$44,3,0)*(VLOOKUP(Financials!$B24,Inputs!$B$3:$D$21,3,0)*(1+Inputs!$L$10)^Financials!D$3)*D$8))</f>
        <v>0</v>
      </c>
      <c r="E24" s="18">
        <f>IF(E$1&lt;CapEx!$O$7,0,(VLOOKUP($B24,Inputs!$B$25:$D$44,3,0)*(VLOOKUP(Financials!$B24,Inputs!$B$3:$D$21,3,0)*(1+Inputs!$L$10)^Financials!E$3)*E$8))</f>
        <v>0</v>
      </c>
      <c r="F24" s="18">
        <f>IF(F$1&lt;CapEx!$O$7,0,(VLOOKUP($B24,Inputs!$B$25:$D$44,3,0)*(VLOOKUP(Financials!$B24,Inputs!$B$3:$D$21,3,0)*(1+Inputs!$L$10)^Financials!F$3)*F$8))</f>
        <v>0</v>
      </c>
      <c r="G24" s="18">
        <f>IF(G$1&lt;CapEx!$O$7,0,(VLOOKUP($B24,Inputs!$B$25:$D$44,3,0)*(VLOOKUP(Financials!$B24,Inputs!$B$3:$D$21,3,0)*(1+Inputs!$L$10)^Financials!G$3)*G$8))</f>
        <v>0</v>
      </c>
      <c r="H24" s="18">
        <f>IF(H$1&lt;CapEx!$O$7,0,(VLOOKUP($B24,Inputs!$B$25:$D$44,3,0)*(VLOOKUP(Financials!$B24,Inputs!$B$3:$D$21,3,0)*(1+Inputs!$L$10)^Financials!H$3)*H$8))</f>
        <v>0</v>
      </c>
      <c r="I24" s="18">
        <f>IF(I$1&lt;CapEx!$O$7,0,(VLOOKUP($B24,Inputs!$B$25:$D$44,3,0)*(VLOOKUP(Financials!$B24,Inputs!$B$3:$D$21,3,0)*(1+Inputs!$L$10)^Financials!I$3)*I$8))</f>
        <v>0</v>
      </c>
      <c r="J24" s="18">
        <f>IF(J$1&lt;CapEx!$O$7,0,(VLOOKUP($B24,Inputs!$B$25:$D$44,3,0)*(VLOOKUP(Financials!$B24,Inputs!$B$3:$D$21,3,0)*(1+Inputs!$L$10)^Financials!J$3)*J$8))</f>
        <v>0</v>
      </c>
      <c r="K24" s="18">
        <f>IF(K$1&lt;CapEx!$O$7,0,(VLOOKUP($B24,Inputs!$B$25:$D$44,3,0)*(VLOOKUP(Financials!$B24,Inputs!$B$3:$D$21,3,0)*(1+Inputs!$L$10)^Financials!K$3)*K$8))</f>
        <v>0</v>
      </c>
      <c r="L24" s="18">
        <f>IF(L$1&lt;CapEx!$O$7,0,(VLOOKUP($B24,Inputs!$B$25:$D$44,3,0)*(VLOOKUP(Financials!$B24,Inputs!$B$3:$D$21,3,0)*(1+Inputs!$L$10)^Financials!L$3)*L$8))</f>
        <v>0</v>
      </c>
      <c r="M24" s="18">
        <f>IF(M$1&lt;CapEx!$O$7,0,(VLOOKUP($B24,Inputs!$B$25:$D$44,3,0)*(VLOOKUP(Financials!$B24,Inputs!$B$3:$D$21,3,0)*(1+Inputs!$L$10)^Financials!M$3)*M$8))</f>
        <v>0</v>
      </c>
      <c r="N24" s="18">
        <f>IF(N$1&lt;CapEx!$O$7,0,(VLOOKUP($B24,Inputs!$B$25:$D$44,3,0)*(VLOOKUP(Financials!$B24,Inputs!$B$3:$D$21,3,0)*(1+Inputs!$L$10)^Financials!N$3)*N$8))</f>
        <v>0</v>
      </c>
      <c r="O24" s="18">
        <f>IF(O$1&lt;CapEx!$O$7,0,(VLOOKUP($B24,Inputs!$B$25:$D$44,3,0)*(VLOOKUP(Financials!$B24,Inputs!$B$3:$D$21,3,0)*(1+Inputs!$L$10)^Financials!O$3)*O$8))</f>
        <v>0</v>
      </c>
      <c r="P24" s="18">
        <f>IF(P$1&lt;CapEx!$O$7,0,(VLOOKUP($B24,Inputs!$B$25:$D$44,3,0)*(VLOOKUP(Financials!$B24,Inputs!$B$3:$D$21,3,0)*(1+Inputs!$L$10)^Financials!P$3)*P$8))</f>
        <v>0</v>
      </c>
      <c r="Q24" s="18">
        <f>IF(Q$1&lt;CapEx!$O$7,0,(VLOOKUP($B24,Inputs!$B$25:$D$44,3,0)*(VLOOKUP(Financials!$B24,Inputs!$B$3:$D$21,3,0)*(1+Inputs!$L$10)^Financials!Q$3)*Q$8))</f>
        <v>0</v>
      </c>
      <c r="R24" s="18">
        <f>IF(R$1&lt;CapEx!$O$7,0,(VLOOKUP($B24,Inputs!$B$25:$D$44,3,0)*(VLOOKUP(Financials!$B24,Inputs!$B$3:$D$21,3,0)*(1+Inputs!$L$10)^Financials!R$3)*R$8))</f>
        <v>0</v>
      </c>
      <c r="S24" s="18">
        <f>IF(S$1&lt;CapEx!$O$7,0,(VLOOKUP($B24,Inputs!$B$25:$D$44,3,0)*(VLOOKUP(Financials!$B24,Inputs!$B$3:$D$21,3,0)*(1+Inputs!$L$10)^Financials!S$3)*S$8))</f>
        <v>0</v>
      </c>
      <c r="T24" s="18">
        <f>IF(T$1&lt;CapEx!$O$7,0,(VLOOKUP($B24,Inputs!$B$25:$D$44,3,0)*(VLOOKUP(Financials!$B24,Inputs!$B$3:$D$21,3,0)*(1+Inputs!$L$10)^Financials!T$3)*T$8))</f>
        <v>0</v>
      </c>
      <c r="U24" s="18">
        <f>IF(U$1&lt;CapEx!$O$7,0,(VLOOKUP($B24,Inputs!$B$25:$D$44,3,0)*(VLOOKUP(Financials!$B24,Inputs!$B$3:$D$21,3,0)*(1+Inputs!$L$10)^Financials!U$3)*U$8))</f>
        <v>0</v>
      </c>
      <c r="V24" s="18">
        <f>IF(V$1&lt;CapEx!$O$7,0,(VLOOKUP($B24,Inputs!$B$25:$D$44,3,0)*(VLOOKUP(Financials!$B24,Inputs!$B$3:$D$21,3,0)*(1+Inputs!$L$10)^Financials!V$3)*V$8))</f>
        <v>0</v>
      </c>
      <c r="W24" s="18">
        <f>IF(W$1&lt;CapEx!$O$7,0,(VLOOKUP($B24,Inputs!$B$25:$D$44,3,0)*(VLOOKUP(Financials!$B24,Inputs!$B$3:$D$21,3,0)*(1+Inputs!$L$10)^Financials!W$3)*W$8))</f>
        <v>0</v>
      </c>
      <c r="X24" s="18">
        <f>IF(X$1&lt;CapEx!$O$7,0,(VLOOKUP($B24,Inputs!$B$25:$D$44,3,0)*(VLOOKUP(Financials!$B24,Inputs!$B$3:$D$21,3,0)*(1+Inputs!$L$10)^Financials!X$3)*X$8))</f>
        <v>0</v>
      </c>
      <c r="Y24" s="18">
        <f>IF(Y$1&lt;CapEx!$O$7,0,(VLOOKUP($B24,Inputs!$B$25:$D$44,3,0)*(VLOOKUP(Financials!$B24,Inputs!$B$3:$D$21,3,0)*(1+Inputs!$L$10)^Financials!Y$3)*Y$8))</f>
        <v>0</v>
      </c>
      <c r="Z24" s="18">
        <f>IF(Z$1&lt;CapEx!$O$7,0,(VLOOKUP($B24,Inputs!$B$25:$D$44,3,0)*(VLOOKUP(Financials!$B24,Inputs!$B$3:$D$21,3,0)*(1+Inputs!$L$10)^Financials!Z$3)*Z$8))</f>
        <v>0</v>
      </c>
      <c r="AA24" s="18">
        <f>IF(AA$1&lt;CapEx!$O$7,0,(VLOOKUP($B24,Inputs!$B$25:$D$44,3,0)*(VLOOKUP(Financials!$B24,Inputs!$B$3:$D$21,3,0)*(1+Inputs!$L$10)^Financials!AA$3)*AA$8))</f>
        <v>0</v>
      </c>
      <c r="AB24" s="18">
        <f>IF(AB$1&lt;CapEx!$O$7,0,(VLOOKUP($B24,Inputs!$B$25:$D$44,3,0)*(VLOOKUP(Financials!$B24,Inputs!$B$3:$D$21,3,0)*(1+Inputs!$L$10)^Financials!AB$3)*AB$8))</f>
        <v>0</v>
      </c>
      <c r="AC24" s="18">
        <f>IF(AC$1&lt;CapEx!$O$7,0,(VLOOKUP($B24,Inputs!$B$25:$D$44,3,0)*(VLOOKUP(Financials!$B24,Inputs!$B$3:$D$21,3,0)*(1+Inputs!$L$10)^Financials!AC$3)*AC$8))</f>
        <v>0</v>
      </c>
      <c r="AD24" s="18">
        <f>IF(AD$1&lt;CapEx!$O$7,0,(VLOOKUP($B24,Inputs!$B$25:$D$44,3,0)*(VLOOKUP(Financials!$B24,Inputs!$B$3:$D$21,3,0)*(1+Inputs!$L$10)^Financials!AD$3)*AD$8))</f>
        <v>0</v>
      </c>
      <c r="AE24" s="18">
        <f>IF(AE$1&lt;CapEx!$O$7,0,(VLOOKUP($B24,Inputs!$B$25:$D$44,3,0)*(VLOOKUP(Financials!$B24,Inputs!$B$3:$D$21,3,0)*(1+Inputs!$L$10)^Financials!AE$3)*AE$8))</f>
        <v>0</v>
      </c>
      <c r="AF24" s="18">
        <f>IF(AF$1&lt;CapEx!$O$7,0,(VLOOKUP($B24,Inputs!$B$25:$D$44,3,0)*(VLOOKUP(Financials!$B24,Inputs!$B$3:$D$21,3,0)*(1+Inputs!$L$10)^Financials!AF$3)*AF$8))</f>
        <v>0</v>
      </c>
      <c r="AG24" s="18">
        <f>IF(AG$1&lt;CapEx!$O$7,0,(VLOOKUP($B24,Inputs!$B$25:$D$44,3,0)*(VLOOKUP(Financials!$B24,Inputs!$B$3:$D$21,3,0)*(1+Inputs!$L$10)^Financials!AG$3)*AG$8))</f>
        <v>0</v>
      </c>
      <c r="AH24" s="18">
        <f>IF(AH$1&lt;CapEx!$O$7,0,(VLOOKUP($B24,Inputs!$B$25:$D$44,3,0)*(VLOOKUP(Financials!$B24,Inputs!$B$3:$D$21,3,0)*(1+Inputs!$L$10)^Financials!AH$3)*AH$8))</f>
        <v>0</v>
      </c>
      <c r="AI24" s="18">
        <f>IF(AI$1&lt;CapEx!$O$7,0,(VLOOKUP($B24,Inputs!$B$25:$D$44,3,0)*(VLOOKUP(Financials!$B24,Inputs!$B$3:$D$21,3,0)*(1+Inputs!$L$10)^Financials!AI$3)*AI$8))</f>
        <v>0</v>
      </c>
      <c r="AJ24" s="18">
        <f>IF(AJ$1&lt;CapEx!$O$7,0,(VLOOKUP($B24,Inputs!$B$25:$D$44,3,0)*(VLOOKUP(Financials!$B24,Inputs!$B$3:$D$21,3,0)*(1+Inputs!$L$10)^Financials!AJ$3)*AJ$8))</f>
        <v>0</v>
      </c>
      <c r="AK24" s="18">
        <f>IF(AK$1&lt;CapEx!$O$7,0,(VLOOKUP($B24,Inputs!$B$25:$D$44,3,0)*(VLOOKUP(Financials!$B24,Inputs!$B$3:$D$21,3,0)*(1+Inputs!$L$10)^Financials!AK$3)*AK$8))</f>
        <v>0</v>
      </c>
      <c r="AL24" s="18">
        <f>IF(AL$1&lt;CapEx!$O$7,0,(VLOOKUP($B24,Inputs!$B$25:$D$44,3,0)*(VLOOKUP(Financials!$B24,Inputs!$B$3:$D$21,3,0)*(1+Inputs!$L$10)^Financials!AL$3)*AL$8))</f>
        <v>0</v>
      </c>
      <c r="AM24" s="18">
        <f>IF(AM$1&lt;CapEx!$O$7,0,(VLOOKUP($B24,Inputs!$B$25:$D$44,3,0)*(VLOOKUP(Financials!$B24,Inputs!$B$3:$D$21,3,0)*(1+Inputs!$L$10)^Financials!AM$3)*AM$8))</f>
        <v>0</v>
      </c>
      <c r="AN24" s="18">
        <f>IF(AN$1&lt;CapEx!$O$7,0,(VLOOKUP($B24,Inputs!$B$25:$D$44,3,0)*(VLOOKUP(Financials!$B24,Inputs!$B$3:$D$21,3,0)*(1+Inputs!$L$10)^Financials!AN$3)*AN$8))</f>
        <v>0</v>
      </c>
      <c r="AO24" s="18">
        <f>IF(AO$1&lt;CapEx!$O$7,0,(VLOOKUP($B24,Inputs!$B$25:$D$44,3,0)*(VLOOKUP(Financials!$B24,Inputs!$B$3:$D$21,3,0)*(1+Inputs!$L$10)^Financials!AO$3)*AO$8))</f>
        <v>0</v>
      </c>
      <c r="AP24" s="18">
        <f>IF(AP$1&lt;CapEx!$O$7,0,(VLOOKUP($B24,Inputs!$B$25:$D$44,3,0)*(VLOOKUP(Financials!$B24,Inputs!$B$3:$D$21,3,0)*(1+Inputs!$L$10)^Financials!AP$3)*AP$8))</f>
        <v>0</v>
      </c>
      <c r="AQ24" s="18">
        <f>IF(AQ$1&lt;CapEx!$O$7,0,(VLOOKUP($B24,Inputs!$B$25:$D$44,3,0)*(VLOOKUP(Financials!$B24,Inputs!$B$3:$D$21,3,0)*(1+Inputs!$L$10)^Financials!AQ$3)*AQ$8))</f>
        <v>0</v>
      </c>
      <c r="AR24" s="18">
        <f>IF(AR$1&lt;CapEx!$O$7,0,(VLOOKUP($B24,Inputs!$B$25:$D$44,3,0)*(VLOOKUP(Financials!$B24,Inputs!$B$3:$D$21,3,0)*(1+Inputs!$L$10)^Financials!AR$3)*AR$8))</f>
        <v>0</v>
      </c>
      <c r="AS24" s="18">
        <f>IF(AS$1&lt;CapEx!$O$7,0,(VLOOKUP($B24,Inputs!$B$25:$D$44,3,0)*(VLOOKUP(Financials!$B24,Inputs!$B$3:$D$21,3,0)*(1+Inputs!$L$10)^Financials!AS$3)*AS$8))</f>
        <v>0</v>
      </c>
      <c r="AT24" s="18">
        <f>IF(AT$1&lt;CapEx!$O$7,0,(VLOOKUP($B24,Inputs!$B$25:$D$44,3,0)*(VLOOKUP(Financials!$B24,Inputs!$B$3:$D$21,3,0)*(1+Inputs!$L$10)^Financials!AT$3)*AT$8))</f>
        <v>0</v>
      </c>
      <c r="AU24" s="18">
        <f>IF(AU$1&lt;CapEx!$O$7,0,(VLOOKUP($B24,Inputs!$B$25:$D$44,3,0)*(VLOOKUP(Financials!$B24,Inputs!$B$3:$D$21,3,0)*(1+Inputs!$L$10)^Financials!AU$3)*AU$8))</f>
        <v>0</v>
      </c>
      <c r="AV24" s="18">
        <f>IF(AV$1&lt;CapEx!$O$7,0,(VLOOKUP($B24,Inputs!$B$25:$D$44,3,0)*(VLOOKUP(Financials!$B24,Inputs!$B$3:$D$21,3,0)*(1+Inputs!$L$10)^Financials!AV$3)*AV$8))</f>
        <v>0</v>
      </c>
      <c r="AW24" s="18">
        <f>IF(AW$1&lt;CapEx!$O$7,0,(VLOOKUP($B24,Inputs!$B$25:$D$44,3,0)*(VLOOKUP(Financials!$B24,Inputs!$B$3:$D$21,3,0)*(1+Inputs!$L$10)^Financials!AW$3)*AW$8))</f>
        <v>0</v>
      </c>
      <c r="AX24" s="18">
        <f>IF(AX$1&lt;CapEx!$O$7,0,(VLOOKUP($B24,Inputs!$B$25:$D$44,3,0)*(VLOOKUP(Financials!$B24,Inputs!$B$3:$D$21,3,0)*(1+Inputs!$L$10)^Financials!AX$3)*AX$8))</f>
        <v>0</v>
      </c>
      <c r="AY24" s="18">
        <f>IF(AY$1&lt;CapEx!$O$7,0,(VLOOKUP($B24,Inputs!$B$25:$D$44,3,0)*(VLOOKUP(Financials!$B24,Inputs!$B$3:$D$21,3,0)*(1+Inputs!$L$10)^Financials!AY$3)*AY$8))</f>
        <v>0</v>
      </c>
      <c r="AZ24" s="18">
        <f>IF(AZ$1&lt;CapEx!$O$7,0,(VLOOKUP($B24,Inputs!$B$25:$D$44,3,0)*(VLOOKUP(Financials!$B24,Inputs!$B$3:$D$21,3,0)*(1+Inputs!$L$10)^Financials!AZ$3)*AZ$8))</f>
        <v>0</v>
      </c>
      <c r="BA24" s="18">
        <f>IF(BA$1&lt;CapEx!$O$7,0,(VLOOKUP($B24,Inputs!$B$25:$D$44,3,0)*(VLOOKUP(Financials!$B24,Inputs!$B$3:$D$21,3,0)*(1+Inputs!$L$10)^Financials!BA$3)*BA$8))</f>
        <v>0</v>
      </c>
      <c r="BB24" s="18">
        <f>IF(BB$1&lt;CapEx!$O$7,0,(VLOOKUP($B24,Inputs!$B$25:$D$44,3,0)*(VLOOKUP(Financials!$B24,Inputs!$B$3:$D$21,3,0)*(1+Inputs!$L$10)^Financials!BB$3)*BB$8))</f>
        <v>0</v>
      </c>
      <c r="BC24" s="18">
        <f>IF(BC$1&lt;CapEx!$O$7,0,(VLOOKUP($B24,Inputs!$B$25:$D$44,3,0)*(VLOOKUP(Financials!$B24,Inputs!$B$3:$D$21,3,0)*(1+Inputs!$L$10)^Financials!BC$3)*BC$8))</f>
        <v>0</v>
      </c>
      <c r="BD24" s="18">
        <f>IF(BD$1&lt;CapEx!$O$7,0,(VLOOKUP($B24,Inputs!$B$25:$D$44,3,0)*(VLOOKUP(Financials!$B24,Inputs!$B$3:$D$21,3,0)*(1+Inputs!$L$10)^Financials!BD$3)*BD$8))</f>
        <v>0</v>
      </c>
      <c r="BE24" s="18">
        <f>IF(BE$1&lt;CapEx!$O$7,0,(VLOOKUP($B24,Inputs!$B$25:$D$44,3,0)*(VLOOKUP(Financials!$B24,Inputs!$B$3:$D$21,3,0)*(1+Inputs!$L$10)^Financials!BE$3)*BE$8))</f>
        <v>0</v>
      </c>
      <c r="BF24" s="18">
        <f>IF(BF$1&lt;CapEx!$O$7,0,(VLOOKUP($B24,Inputs!$B$25:$D$44,3,0)*(VLOOKUP(Financials!$B24,Inputs!$B$3:$D$21,3,0)*(1+Inputs!$L$10)^Financials!BF$3)*BF$8))</f>
        <v>0</v>
      </c>
      <c r="BG24" s="18">
        <f>IF(BG$1&lt;CapEx!$O$7,0,(VLOOKUP($B24,Inputs!$B$25:$D$44,3,0)*(VLOOKUP(Financials!$B24,Inputs!$B$3:$D$21,3,0)*(1+Inputs!$L$10)^Financials!BG$3)*BG$8))</f>
        <v>0</v>
      </c>
      <c r="BH24" s="18">
        <f>IF(BH$1&lt;CapEx!$O$7,0,(VLOOKUP($B24,Inputs!$B$25:$D$44,3,0)*(VLOOKUP(Financials!$B24,Inputs!$B$3:$D$21,3,0)*(1+Inputs!$L$10)^Financials!BH$3)*BH$8))</f>
        <v>0</v>
      </c>
      <c r="BI24" s="18">
        <f>IF(BI$1&lt;CapEx!$O$7,0,(VLOOKUP($B24,Inputs!$B$25:$D$44,3,0)*(VLOOKUP(Financials!$B24,Inputs!$B$3:$D$21,3,0)*(1+Inputs!$L$10)^Financials!BI$3)*BI$8))</f>
        <v>0</v>
      </c>
      <c r="BJ24" s="18">
        <f>IF(BJ$1&lt;CapEx!$O$7,0,(VLOOKUP($B24,Inputs!$B$25:$D$44,3,0)*(VLOOKUP(Financials!$B24,Inputs!$B$3:$D$21,3,0)*(1+Inputs!$L$10)^Financials!BJ$3)*BJ$8))</f>
        <v>0</v>
      </c>
      <c r="BK24" s="18">
        <f>IF(BK$1&lt;CapEx!$O$7,0,(VLOOKUP($B24,Inputs!$B$25:$D$44,3,0)*(VLOOKUP(Financials!$B24,Inputs!$B$3:$D$21,3,0)*(1+Inputs!$L$10)^Financials!BK$3)*BK$8))</f>
        <v>0</v>
      </c>
      <c r="BL24" s="18">
        <f>IF(BL$1&lt;CapEx!$O$7,0,(VLOOKUP($B24,Inputs!$B$25:$D$44,3,0)*(VLOOKUP(Financials!$B24,Inputs!$B$3:$D$21,3,0)*(1+Inputs!$L$10)^Financials!BL$3)*BL$8))</f>
        <v>0</v>
      </c>
      <c r="BM24" s="18">
        <f>IF(BM$1&lt;CapEx!$O$7,0,(VLOOKUP($B24,Inputs!$B$25:$D$44,3,0)*(VLOOKUP(Financials!$B24,Inputs!$B$3:$D$21,3,0)*(1+Inputs!$L$10)^Financials!BM$3)*BM$8))</f>
        <v>0</v>
      </c>
      <c r="BN24" s="18">
        <f>IF(BN$1&lt;CapEx!$O$7,0,(VLOOKUP($B24,Inputs!$B$25:$D$44,3,0)*(VLOOKUP(Financials!$B24,Inputs!$B$3:$D$21,3,0)*(1+Inputs!$L$10)^Financials!BN$3)*BN$8))</f>
        <v>0</v>
      </c>
      <c r="BO24" s="18">
        <f>IF(BO$1&lt;CapEx!$O$7,0,(VLOOKUP($B24,Inputs!$B$25:$D$44,3,0)*(VLOOKUP(Financials!$B24,Inputs!$B$3:$D$21,3,0)*(1+Inputs!$L$10)^Financials!BO$3)*BO$8))</f>
        <v>0</v>
      </c>
      <c r="BP24" s="18">
        <f>IF(BP$1&lt;CapEx!$O$7,0,(VLOOKUP($B24,Inputs!$B$25:$D$44,3,0)*(VLOOKUP(Financials!$B24,Inputs!$B$3:$D$21,3,0)*(1+Inputs!$L$10)^Financials!BP$3)*BP$8))</f>
        <v>0</v>
      </c>
      <c r="BQ24" s="18">
        <f>IF(BQ$1&lt;CapEx!$O$7,0,(VLOOKUP($B24,Inputs!$B$25:$D$44,3,0)*(VLOOKUP(Financials!$B24,Inputs!$B$3:$D$21,3,0)*(1+Inputs!$L$10)^Financials!BQ$3)*BQ$8))</f>
        <v>0</v>
      </c>
      <c r="BR24" s="18">
        <f>IF(BR$1&lt;CapEx!$O$7,0,(VLOOKUP($B24,Inputs!$B$25:$D$44,3,0)*(VLOOKUP(Financials!$B24,Inputs!$B$3:$D$21,3,0)*(1+Inputs!$L$10)^Financials!BR$3)*BR$8))</f>
        <v>0</v>
      </c>
      <c r="BS24" s="18">
        <f>IF(BS$1&lt;CapEx!$O$7,0,(VLOOKUP($B24,Inputs!$B$25:$D$44,3,0)*(VLOOKUP(Financials!$B24,Inputs!$B$3:$D$21,3,0)*(1+Inputs!$L$10)^Financials!BS$3)*BS$8))</f>
        <v>0</v>
      </c>
      <c r="BT24" s="18">
        <f>IF(BT$1&lt;CapEx!$O$7,0,(VLOOKUP($B24,Inputs!$B$25:$D$44,3,0)*(VLOOKUP(Financials!$B24,Inputs!$B$3:$D$21,3,0)*(1+Inputs!$L$10)^Financials!BT$3)*BT$8))</f>
        <v>0</v>
      </c>
      <c r="BU24" s="18">
        <f>IF(BU$1&lt;CapEx!$O$7,0,(VLOOKUP($B24,Inputs!$B$25:$D$44,3,0)*(VLOOKUP(Financials!$B24,Inputs!$B$3:$D$21,3,0)*(1+Inputs!$L$10)^Financials!BU$3)*BU$8))</f>
        <v>0</v>
      </c>
      <c r="BV24" s="18">
        <f>IF(BV$1&lt;CapEx!$O$7,0,(VLOOKUP($B24,Inputs!$B$25:$D$44,3,0)*(VLOOKUP(Financials!$B24,Inputs!$B$3:$D$21,3,0)*(1+Inputs!$L$10)^Financials!BV$3)*BV$8))</f>
        <v>0</v>
      </c>
      <c r="BW24" s="18">
        <f>IF(BW$1&lt;CapEx!$O$7,0,(VLOOKUP($B24,Inputs!$B$25:$D$44,3,0)*(VLOOKUP(Financials!$B24,Inputs!$B$3:$D$21,3,0)*(1+Inputs!$L$10)^Financials!BW$3)*BW$8))</f>
        <v>0</v>
      </c>
      <c r="BX24" s="18">
        <f>IF(BX$1&lt;CapEx!$O$7,0,(VLOOKUP($B24,Inputs!$B$25:$D$44,3,0)*(VLOOKUP(Financials!$B24,Inputs!$B$3:$D$21,3,0)*(1+Inputs!$L$10)^Financials!BX$3)*BX$8))</f>
        <v>0</v>
      </c>
      <c r="BY24" s="18">
        <f>IF(BY$1&lt;CapEx!$O$7,0,(VLOOKUP($B24,Inputs!$B$25:$D$44,3,0)*(VLOOKUP(Financials!$B24,Inputs!$B$3:$D$21,3,0)*(1+Inputs!$L$10)^Financials!BY$3)*BY$8))</f>
        <v>0</v>
      </c>
      <c r="BZ24" s="18">
        <f>IF(BZ$1&lt;CapEx!$O$7,0,(VLOOKUP($B24,Inputs!$B$25:$D$44,3,0)*(VLOOKUP(Financials!$B24,Inputs!$B$3:$D$21,3,0)*(1+Inputs!$L$10)^Financials!BZ$3)*BZ$8))</f>
        <v>0</v>
      </c>
      <c r="CA24" s="18">
        <f>IF(CA$1&lt;CapEx!$O$7,0,(VLOOKUP($B24,Inputs!$B$25:$D$44,3,0)*(VLOOKUP(Financials!$B24,Inputs!$B$3:$D$21,3,0)*(1+Inputs!$L$10)^Financials!CA$3)*CA$8))</f>
        <v>0</v>
      </c>
      <c r="CB24" s="18">
        <f>IF(CB$1&lt;CapEx!$O$7,0,(VLOOKUP($B24,Inputs!$B$25:$D$44,3,0)*(VLOOKUP(Financials!$B24,Inputs!$B$3:$D$21,3,0)*(1+Inputs!$L$10)^Financials!CB$3)*CB$8))</f>
        <v>0</v>
      </c>
      <c r="CC24" s="18">
        <f>IF(CC$1&lt;CapEx!$O$7,0,(VLOOKUP($B24,Inputs!$B$25:$D$44,3,0)*(VLOOKUP(Financials!$B24,Inputs!$B$3:$D$21,3,0)*(1+Inputs!$L$10)^Financials!CC$3)*CC$8))</f>
        <v>0</v>
      </c>
      <c r="CD24" s="18">
        <f>IF(CD$1&lt;CapEx!$O$7,0,(VLOOKUP($B24,Inputs!$B$25:$D$44,3,0)*(VLOOKUP(Financials!$B24,Inputs!$B$3:$D$21,3,0)*(1+Inputs!$L$10)^Financials!CD$3)*CD$8))</f>
        <v>0</v>
      </c>
      <c r="CE24" s="18">
        <f>IF(CE$1&lt;CapEx!$O$7,0,(VLOOKUP($B24,Inputs!$B$25:$D$44,3,0)*(VLOOKUP(Financials!$B24,Inputs!$B$3:$D$21,3,0)*(1+Inputs!$L$10)^Financials!CE$3)*CE$8))</f>
        <v>0</v>
      </c>
      <c r="CF24" s="18">
        <f>IF(CF$1&lt;CapEx!$O$7,0,(VLOOKUP($B24,Inputs!$B$25:$D$44,3,0)*(VLOOKUP(Financials!$B24,Inputs!$B$3:$D$21,3,0)*(1+Inputs!$L$10)^Financials!CF$3)*CF$8))</f>
        <v>0</v>
      </c>
      <c r="CG24" s="18">
        <f>IF(CG$1&lt;CapEx!$O$7,0,(VLOOKUP($B24,Inputs!$B$25:$D$44,3,0)*(VLOOKUP(Financials!$B24,Inputs!$B$3:$D$21,3,0)*(1+Inputs!$L$10)^Financials!CG$3)*CG$8))</f>
        <v>0</v>
      </c>
      <c r="CH24" s="18">
        <f>IF(CH$1&lt;CapEx!$O$7,0,(VLOOKUP($B24,Inputs!$B$25:$D$44,3,0)*(VLOOKUP(Financials!$B24,Inputs!$B$3:$D$21,3,0)*(1+Inputs!$L$10)^Financials!CH$3)*CH$8))</f>
        <v>0</v>
      </c>
      <c r="CI24" s="18">
        <f>IF(CI$1&lt;CapEx!$O$7,0,(VLOOKUP($B24,Inputs!$B$25:$D$44,3,0)*(VLOOKUP(Financials!$B24,Inputs!$B$3:$D$21,3,0)*(1+Inputs!$L$10)^Financials!CI$3)*CI$8))</f>
        <v>0</v>
      </c>
      <c r="CJ24" s="18">
        <f>IF(CJ$1&lt;CapEx!$O$7,0,(VLOOKUP($B24,Inputs!$B$25:$D$44,3,0)*(VLOOKUP(Financials!$B24,Inputs!$B$3:$D$21,3,0)*(1+Inputs!$L$10)^Financials!CJ$3)*CJ$8))</f>
        <v>0</v>
      </c>
      <c r="CK24" s="18">
        <f>IF(CK$1&lt;CapEx!$O$7,0,(VLOOKUP($B24,Inputs!$B$25:$D$44,3,0)*(VLOOKUP(Financials!$B24,Inputs!$B$3:$D$21,3,0)*(1+Inputs!$L$10)^Financials!CK$3)*CK$8))</f>
        <v>0</v>
      </c>
      <c r="CL24" s="18">
        <f>IF(CL$1&lt;CapEx!$O$7,0,(VLOOKUP($B24,Inputs!$B$25:$D$44,3,0)*(VLOOKUP(Financials!$B24,Inputs!$B$3:$D$21,3,0)*(1+Inputs!$L$10)^Financials!CL$3)*CL$8))</f>
        <v>0</v>
      </c>
      <c r="CM24" s="18">
        <f>IF(CM$1&lt;CapEx!$O$7,0,(VLOOKUP($B24,Inputs!$B$25:$D$44,3,0)*(VLOOKUP(Financials!$B24,Inputs!$B$3:$D$21,3,0)*(1+Inputs!$L$10)^Financials!CM$3)*CM$8))</f>
        <v>0</v>
      </c>
      <c r="CN24" s="18">
        <f>IF(CN$1&lt;CapEx!$O$7,0,(VLOOKUP($B24,Inputs!$B$25:$D$44,3,0)*(VLOOKUP(Financials!$B24,Inputs!$B$3:$D$21,3,0)*(1+Inputs!$L$10)^Financials!CN$3)*CN$8))</f>
        <v>0</v>
      </c>
      <c r="CO24" s="18">
        <f>IF(CO$1&lt;CapEx!$O$7,0,(VLOOKUP($B24,Inputs!$B$25:$D$44,3,0)*(VLOOKUP(Financials!$B24,Inputs!$B$3:$D$21,3,0)*(1+Inputs!$L$10)^Financials!CO$3)*CO$8))</f>
        <v>0</v>
      </c>
      <c r="CP24" s="18">
        <f>IF(CP$1&lt;CapEx!$O$7,0,(VLOOKUP($B24,Inputs!$B$25:$D$44,3,0)*(VLOOKUP(Financials!$B24,Inputs!$B$3:$D$21,3,0)*(1+Inputs!$L$10)^Financials!CP$3)*CP$8))</f>
        <v>0</v>
      </c>
      <c r="CQ24" s="18">
        <f>IF(CQ$1&lt;CapEx!$O$7,0,(VLOOKUP($B24,Inputs!$B$25:$D$44,3,0)*(VLOOKUP(Financials!$B24,Inputs!$B$3:$D$21,3,0)*(1+Inputs!$L$10)^Financials!CQ$3)*CQ$8))</f>
        <v>0</v>
      </c>
      <c r="CR24" s="18">
        <f>IF(CR$1&lt;CapEx!$O$7,0,(VLOOKUP($B24,Inputs!$B$25:$D$44,3,0)*(VLOOKUP(Financials!$B24,Inputs!$B$3:$D$21,3,0)*(1+Inputs!$L$10)^Financials!CR$3)*CR$8))</f>
        <v>0</v>
      </c>
      <c r="CS24" s="18">
        <f>IF(CS$1&lt;CapEx!$O$7,0,(VLOOKUP($B24,Inputs!$B$25:$D$44,3,0)*(VLOOKUP(Financials!$B24,Inputs!$B$3:$D$21,3,0)*(1+Inputs!$L$10)^Financials!CS$3)*CS$8))</f>
        <v>0</v>
      </c>
      <c r="CT24" s="18">
        <f>IF(CT$1&lt;CapEx!$O$7,0,(VLOOKUP($B24,Inputs!$B$25:$D$44,3,0)*(VLOOKUP(Financials!$B24,Inputs!$B$3:$D$21,3,0)*(1+Inputs!$L$10)^Financials!CT$3)*CT$8))</f>
        <v>0</v>
      </c>
      <c r="CU24" s="18">
        <f>IF(CU$1&lt;CapEx!$O$7,0,(VLOOKUP($B24,Inputs!$B$25:$D$44,3,0)*(VLOOKUP(Financials!$B24,Inputs!$B$3:$D$21,3,0)*(1+Inputs!$L$10)^Financials!CU$3)*CU$8))</f>
        <v>0</v>
      </c>
      <c r="CV24" s="18">
        <f>IF(CV$1&lt;CapEx!$O$7,0,(VLOOKUP($B24,Inputs!$B$25:$D$44,3,0)*(VLOOKUP(Financials!$B24,Inputs!$B$3:$D$21,3,0)*(1+Inputs!$L$10)^Financials!CV$3)*CV$8))</f>
        <v>0</v>
      </c>
      <c r="CW24" s="18">
        <f>IF(CW$1&lt;CapEx!$O$7,0,(VLOOKUP($B24,Inputs!$B$25:$D$44,3,0)*(VLOOKUP(Financials!$B24,Inputs!$B$3:$D$21,3,0)*(1+Inputs!$L$10)^Financials!CW$3)*CW$8))</f>
        <v>0</v>
      </c>
      <c r="CX24" s="18">
        <f>IF(CX$1&lt;CapEx!$O$7,0,(VLOOKUP($B24,Inputs!$B$25:$D$44,3,0)*(VLOOKUP(Financials!$B24,Inputs!$B$3:$D$21,3,0)*(1+Inputs!$L$10)^Financials!CX$3)*CX$8))</f>
        <v>0</v>
      </c>
      <c r="CY24" s="18">
        <f>IF(CY$1&lt;CapEx!$O$7,0,(VLOOKUP($B24,Inputs!$B$25:$D$44,3,0)*(VLOOKUP(Financials!$B24,Inputs!$B$3:$D$21,3,0)*(1+Inputs!$L$10)^Financials!CY$3)*CY$8))</f>
        <v>0</v>
      </c>
      <c r="CZ24" s="18">
        <f>IF(CZ$1&lt;CapEx!$O$7,0,(VLOOKUP($B24,Inputs!$B$25:$D$44,3,0)*(VLOOKUP(Financials!$B24,Inputs!$B$3:$D$21,3,0)*(1+Inputs!$L$10)^Financials!CZ$3)*CZ$8))</f>
        <v>0</v>
      </c>
      <c r="DA24" s="18">
        <f>IF(DA$1&lt;CapEx!$O$7,0,(VLOOKUP($B24,Inputs!$B$25:$D$44,3,0)*(VLOOKUP(Financials!$B24,Inputs!$B$3:$D$21,3,0)*(1+Inputs!$L$10)^Financials!DA$3)*DA$8))</f>
        <v>0</v>
      </c>
      <c r="DB24" s="18">
        <f>IF(DB$1&lt;CapEx!$O$7,0,(VLOOKUP($B24,Inputs!$B$25:$D$44,3,0)*(VLOOKUP(Financials!$B24,Inputs!$B$3:$D$21,3,0)*(1+Inputs!$L$10)^Financials!DB$3)*DB$8))</f>
        <v>0</v>
      </c>
      <c r="DC24" s="18">
        <f>IF(DC$1&lt;CapEx!$O$7,0,(VLOOKUP($B24,Inputs!$B$25:$D$44,3,0)*(VLOOKUP(Financials!$B24,Inputs!$B$3:$D$21,3,0)*(1+Inputs!$L$10)^Financials!DC$3)*DC$8))</f>
        <v>0</v>
      </c>
      <c r="DD24" s="18">
        <f>IF(DD$1&lt;CapEx!$O$7,0,(VLOOKUP($B24,Inputs!$B$25:$D$44,3,0)*(VLOOKUP(Financials!$B24,Inputs!$B$3:$D$21,3,0)*(1+Inputs!$L$10)^Financials!DD$3)*DD$8))</f>
        <v>0</v>
      </c>
      <c r="DE24" s="18">
        <f>IF(DE$1&lt;CapEx!$O$7,0,(VLOOKUP($B24,Inputs!$B$25:$D$44,3,0)*(VLOOKUP(Financials!$B24,Inputs!$B$3:$D$21,3,0)*(1+Inputs!$L$10)^Financials!DE$3)*DE$8))</f>
        <v>0</v>
      </c>
      <c r="DF24" s="18">
        <f>IF(DF$1&lt;CapEx!$O$7,0,(VLOOKUP($B24,Inputs!$B$25:$D$44,3,0)*(VLOOKUP(Financials!$B24,Inputs!$B$3:$D$21,3,0)*(1+Inputs!$L$10)^Financials!DF$3)*DF$8))</f>
        <v>0</v>
      </c>
      <c r="DG24" s="18">
        <f>IF(DG$1&lt;CapEx!$O$7,0,(VLOOKUP($B24,Inputs!$B$25:$D$44,3,0)*(VLOOKUP(Financials!$B24,Inputs!$B$3:$D$21,3,0)*(1+Inputs!$L$10)^Financials!DG$3)*DG$8))</f>
        <v>0</v>
      </c>
      <c r="DH24" s="18">
        <f>IF(DH$1&lt;CapEx!$O$7,0,(VLOOKUP($B24,Inputs!$B$25:$D$44,3,0)*(VLOOKUP(Financials!$B24,Inputs!$B$3:$D$21,3,0)*(1+Inputs!$L$10)^Financials!DH$3)*DH$8))</f>
        <v>0</v>
      </c>
      <c r="DI24" s="18">
        <f>IF(DI$1&lt;CapEx!$O$7,0,(VLOOKUP($B24,Inputs!$B$25:$D$44,3,0)*(VLOOKUP(Financials!$B24,Inputs!$B$3:$D$21,3,0)*(1+Inputs!$L$10)^Financials!DI$3)*DI$8))</f>
        <v>0</v>
      </c>
      <c r="DJ24" s="18">
        <f>IF(DJ$1&lt;CapEx!$O$7,0,(VLOOKUP($B24,Inputs!$B$25:$D$44,3,0)*(VLOOKUP(Financials!$B24,Inputs!$B$3:$D$21,3,0)*(1+Inputs!$L$10)^Financials!DJ$3)*DJ$8))</f>
        <v>0</v>
      </c>
      <c r="DK24" s="18">
        <f>IF(DK$1&lt;CapEx!$O$7,0,(VLOOKUP($B24,Inputs!$B$25:$D$44,3,0)*(VLOOKUP(Financials!$B24,Inputs!$B$3:$D$21,3,0)*(1+Inputs!$L$10)^Financials!DK$3)*DK$8))</f>
        <v>0</v>
      </c>
      <c r="DL24" s="18">
        <f>IF(DL$1&lt;CapEx!$O$7,0,(VLOOKUP($B24,Inputs!$B$25:$D$44,3,0)*(VLOOKUP(Financials!$B24,Inputs!$B$3:$D$21,3,0)*(1+Inputs!$L$10)^Financials!DL$3)*DL$8))</f>
        <v>0</v>
      </c>
      <c r="DM24" s="18">
        <f>IF(DM$1&lt;CapEx!$O$7,0,(VLOOKUP($B24,Inputs!$B$25:$D$44,3,0)*(VLOOKUP(Financials!$B24,Inputs!$B$3:$D$21,3,0)*(1+Inputs!$L$10)^Financials!DM$3)*DM$8))</f>
        <v>0</v>
      </c>
      <c r="DN24" s="18">
        <f>IF(DN$1&lt;CapEx!$O$7,0,(VLOOKUP($B24,Inputs!$B$25:$D$44,3,0)*(VLOOKUP(Financials!$B24,Inputs!$B$3:$D$21,3,0)*(1+Inputs!$L$10)^Financials!DN$3)*DN$8))</f>
        <v>0</v>
      </c>
      <c r="DO24" s="18">
        <f>IF(DO$1&lt;CapEx!$O$7,0,(VLOOKUP($B24,Inputs!$B$25:$D$44,3,0)*(VLOOKUP(Financials!$B24,Inputs!$B$3:$D$21,3,0)*(1+Inputs!$L$10)^Financials!DO$3)*DO$8))</f>
        <v>0</v>
      </c>
      <c r="DP24" s="18">
        <f>IF(DP$1&lt;CapEx!$O$7,0,(VLOOKUP($B24,Inputs!$B$25:$D$44,3,0)*(VLOOKUP(Financials!$B24,Inputs!$B$3:$D$21,3,0)*(1+Inputs!$L$10)^Financials!DP$3)*DP$8))</f>
        <v>0</v>
      </c>
      <c r="DQ24" s="18">
        <f>IF(DQ$1&lt;CapEx!$O$7,0,(VLOOKUP($B24,Inputs!$B$25:$D$44,3,0)*(VLOOKUP(Financials!$B24,Inputs!$B$3:$D$21,3,0)*(1+Inputs!$L$10)^Financials!DQ$3)*DQ$8))</f>
        <v>0</v>
      </c>
      <c r="DR24" s="18">
        <f>IF(DR$1&lt;CapEx!$O$7,0,(VLOOKUP($B24,Inputs!$B$25:$D$44,3,0)*(VLOOKUP(Financials!$B24,Inputs!$B$3:$D$21,3,0)*(1+Inputs!$L$10)^Financials!DR$3)*DR$8))</f>
        <v>0</v>
      </c>
      <c r="DS24" s="18">
        <f>IF(DS$1&lt;CapEx!$O$7,0,(VLOOKUP($B24,Inputs!$B$25:$D$44,3,0)*(VLOOKUP(Financials!$B24,Inputs!$B$3:$D$21,3,0)*(1+Inputs!$L$10)^Financials!DS$3)*DS$8))</f>
        <v>0</v>
      </c>
      <c r="DT24" s="18">
        <f>IF(DT$1&lt;CapEx!$O$7,0,(VLOOKUP($B24,Inputs!$B$25:$D$44,3,0)*(VLOOKUP(Financials!$B24,Inputs!$B$3:$D$21,3,0)*(1+Inputs!$L$10)^Financials!DT$3)*DT$8))</f>
        <v>0</v>
      </c>
      <c r="DU24" s="18">
        <f>IF(DU$1&lt;CapEx!$O$7,0,(VLOOKUP($B24,Inputs!$B$25:$D$44,3,0)*(VLOOKUP(Financials!$B24,Inputs!$B$3:$D$21,3,0)*(1+Inputs!$L$10)^Financials!DU$3)*DU$8))</f>
        <v>0</v>
      </c>
      <c r="DV24" s="18">
        <f>IF(DV$1&lt;CapEx!$O$7,0,(VLOOKUP($B24,Inputs!$B$25:$D$44,3,0)*(VLOOKUP(Financials!$B24,Inputs!$B$3:$D$21,3,0)*(1+Inputs!$L$10)^Financials!DV$3)*DV$8))</f>
        <v>0</v>
      </c>
      <c r="DW24" s="18">
        <f>IF(DW$1&lt;CapEx!$O$7,0,(VLOOKUP($B24,Inputs!$B$25:$D$44,3,0)*(VLOOKUP(Financials!$B24,Inputs!$B$3:$D$21,3,0)*(1+Inputs!$L$10)^Financials!DW$3)*DW$8))</f>
        <v>0</v>
      </c>
      <c r="DX24" s="18">
        <f>IF(DX$1&lt;CapEx!$O$7,0,(VLOOKUP($B24,Inputs!$B$25:$D$44,3,0)*(VLOOKUP(Financials!$B24,Inputs!$B$3:$D$21,3,0)*(1+Inputs!$L$10)^Financials!DX$3)*DX$8))</f>
        <v>0</v>
      </c>
      <c r="DY24" s="18">
        <f>IF(DY$1&lt;CapEx!$O$7,0,(VLOOKUP($B24,Inputs!$B$25:$D$44,3,0)*(VLOOKUP(Financials!$B24,Inputs!$B$3:$D$21,3,0)*(1+Inputs!$L$10)^Financials!DY$3)*DY$8))</f>
        <v>0</v>
      </c>
      <c r="DZ24" s="18">
        <f>IF(DZ$1&lt;CapEx!$O$7,0,(VLOOKUP($B24,Inputs!$B$25:$D$44,3,0)*(VLOOKUP(Financials!$B24,Inputs!$B$3:$D$21,3,0)*(1+Inputs!$L$10)^Financials!DZ$3)*DZ$8))</f>
        <v>0</v>
      </c>
      <c r="EA24" s="18">
        <f>IF(EA$1&lt;CapEx!$O$7,0,(VLOOKUP($B24,Inputs!$B$25:$D$44,3,0)*(VLOOKUP(Financials!$B24,Inputs!$B$3:$D$21,3,0)*(1+Inputs!$L$10)^Financials!EA$3)*EA$8))</f>
        <v>0</v>
      </c>
      <c r="EB24" s="18">
        <f>IF(EB$1&lt;CapEx!$O$7,0,(VLOOKUP($B24,Inputs!$B$25:$D$44,3,0)*(VLOOKUP(Financials!$B24,Inputs!$B$3:$D$21,3,0)*(1+Inputs!$L$10)^Financials!EB$3)*EB$8))</f>
        <v>0</v>
      </c>
      <c r="EC24" s="18">
        <f>IF(EC$1&lt;CapEx!$O$7,0,(VLOOKUP($B24,Inputs!$B$25:$D$44,3,0)*(VLOOKUP(Financials!$B24,Inputs!$B$3:$D$21,3,0)*(1+Inputs!$L$10)^Financials!EC$3)*EC$8))</f>
        <v>0</v>
      </c>
      <c r="ED24" s="18">
        <f>IF(ED$1&lt;CapEx!$O$7,0,(VLOOKUP($B24,Inputs!$B$25:$D$44,3,0)*(VLOOKUP(Financials!$B24,Inputs!$B$3:$D$21,3,0)*(1+Inputs!$L$10)^Financials!ED$3)*ED$8))</f>
        <v>0</v>
      </c>
      <c r="EE24" s="18">
        <f>IF(EE$1&lt;CapEx!$O$7,0,(VLOOKUP($B24,Inputs!$B$25:$D$44,3,0)*(VLOOKUP(Financials!$B24,Inputs!$B$3:$D$21,3,0)*(1+Inputs!$L$10)^Financials!EE$3)*EE$8))</f>
        <v>0</v>
      </c>
      <c r="EF24" s="18">
        <f>IF(EF$1&lt;CapEx!$O$7,0,(VLOOKUP($B24,Inputs!$B$25:$D$44,3,0)*(VLOOKUP(Financials!$B24,Inputs!$B$3:$D$21,3,0)*(1+Inputs!$L$10)^Financials!EF$3)*EF$8))</f>
        <v>0</v>
      </c>
      <c r="EG24" s="18">
        <f>IF(EG$1&lt;CapEx!$O$7,0,(VLOOKUP($B24,Inputs!$B$25:$D$44,3,0)*(VLOOKUP(Financials!$B24,Inputs!$B$3:$D$21,3,0)*(1+Inputs!$L$10)^Financials!EG$3)*EG$8))</f>
        <v>0</v>
      </c>
      <c r="EH24" s="18">
        <f>IF(EH$1&lt;CapEx!$O$7,0,(VLOOKUP($B24,Inputs!$B$25:$D$44,3,0)*(VLOOKUP(Financials!$B24,Inputs!$B$3:$D$21,3,0)*(1+Inputs!$L$10)^Financials!EH$3)*EH$8))</f>
        <v>0</v>
      </c>
      <c r="EI24" s="18">
        <f>IF(EI$1&lt;CapEx!$O$7,0,(VLOOKUP($B24,Inputs!$B$25:$D$44,3,0)*(VLOOKUP(Financials!$B24,Inputs!$B$3:$D$21,3,0)*(1+Inputs!$L$10)^Financials!EI$3)*EI$8))</f>
        <v>0</v>
      </c>
      <c r="EJ24" s="18">
        <f>IF(EJ$1&lt;CapEx!$O$7,0,(VLOOKUP($B24,Inputs!$B$25:$D$44,3,0)*(VLOOKUP(Financials!$B24,Inputs!$B$3:$D$21,3,0)*(1+Inputs!$L$10)^Financials!EJ$3)*EJ$8))</f>
        <v>0</v>
      </c>
      <c r="EK24" s="18">
        <f>IF(EK$1&lt;CapEx!$O$7,0,(VLOOKUP($B24,Inputs!$B$25:$D$44,3,0)*(VLOOKUP(Financials!$B24,Inputs!$B$3:$D$21,3,0)*(1+Inputs!$L$10)^Financials!EK$3)*EK$8))</f>
        <v>0</v>
      </c>
      <c r="EL24" s="18">
        <f>IF(EL$1&lt;CapEx!$O$7,0,(VLOOKUP($B24,Inputs!$B$25:$D$44,3,0)*(VLOOKUP(Financials!$B24,Inputs!$B$3:$D$21,3,0)*(1+Inputs!$L$10)^Financials!EL$3)*EL$8))</f>
        <v>0</v>
      </c>
      <c r="EM24" s="18">
        <f>IF(EM$1&lt;CapEx!$O$7,0,(VLOOKUP($B24,Inputs!$B$25:$D$44,3,0)*(VLOOKUP(Financials!$B24,Inputs!$B$3:$D$21,3,0)*(1+Inputs!$L$10)^Financials!EM$3)*EM$8))</f>
        <v>0</v>
      </c>
      <c r="EN24" s="18">
        <f>IF(EN$1&lt;CapEx!$O$7,0,(VLOOKUP($B24,Inputs!$B$25:$D$44,3,0)*(VLOOKUP(Financials!$B24,Inputs!$B$3:$D$21,3,0)*(1+Inputs!$L$10)^Financials!EN$3)*EN$8))</f>
        <v>0</v>
      </c>
      <c r="EO24" s="18">
        <f>IF(EO$1&lt;CapEx!$O$7,0,(VLOOKUP($B24,Inputs!$B$25:$D$44,3,0)*(VLOOKUP(Financials!$B24,Inputs!$B$3:$D$21,3,0)*(1+Inputs!$L$10)^Financials!EO$3)*EO$8))</f>
        <v>0</v>
      </c>
      <c r="EP24" s="18">
        <f>IF(EP$1&lt;CapEx!$O$7,0,(VLOOKUP($B24,Inputs!$B$25:$D$44,3,0)*(VLOOKUP(Financials!$B24,Inputs!$B$3:$D$21,3,0)*(1+Inputs!$L$10)^Financials!EP$3)*EP$8))</f>
        <v>0</v>
      </c>
      <c r="EQ24" s="18">
        <f>IF(EQ$1&lt;CapEx!$O$7,0,(VLOOKUP($B24,Inputs!$B$25:$D$44,3,0)*(VLOOKUP(Financials!$B24,Inputs!$B$3:$D$21,3,0)*(1+Inputs!$L$10)^Financials!EQ$3)*EQ$8))</f>
        <v>0</v>
      </c>
      <c r="ER24" s="18">
        <f>IF(ER$1&lt;CapEx!$O$7,0,(VLOOKUP($B24,Inputs!$B$25:$D$44,3,0)*(VLOOKUP(Financials!$B24,Inputs!$B$3:$D$21,3,0)*(1+Inputs!$L$10)^Financials!ER$3)*ER$8))</f>
        <v>0</v>
      </c>
      <c r="ES24" s="18">
        <f>IF(ES$1&lt;CapEx!$O$7,0,(VLOOKUP($B24,Inputs!$B$25:$D$44,3,0)*(VLOOKUP(Financials!$B24,Inputs!$B$3:$D$21,3,0)*(1+Inputs!$L$10)^Financials!ES$3)*ES$8))</f>
        <v>0</v>
      </c>
      <c r="ET24" s="18">
        <f>IF(ET$1&lt;CapEx!$O$7,0,(VLOOKUP($B24,Inputs!$B$25:$D$44,3,0)*(VLOOKUP(Financials!$B24,Inputs!$B$3:$D$21,3,0)*(1+Inputs!$L$10)^Financials!ET$3)*ET$8))</f>
        <v>0</v>
      </c>
      <c r="EU24" s="18">
        <f>IF(EU$1&lt;CapEx!$O$7,0,(VLOOKUP($B24,Inputs!$B$25:$D$44,3,0)*(VLOOKUP(Financials!$B24,Inputs!$B$3:$D$21,3,0)*(1+Inputs!$L$10)^Financials!EU$3)*EU$8))</f>
        <v>0</v>
      </c>
      <c r="EV24" s="18">
        <f>IF(EV$1&lt;CapEx!$O$7,0,(VLOOKUP($B24,Inputs!$B$25:$D$44,3,0)*(VLOOKUP(Financials!$B24,Inputs!$B$3:$D$21,3,0)*(1+Inputs!$L$10)^Financials!EV$3)*EV$8))</f>
        <v>0</v>
      </c>
      <c r="EW24" s="18">
        <f>IF(EW$1&lt;CapEx!$O$7,0,(VLOOKUP($B24,Inputs!$B$25:$D$44,3,0)*(VLOOKUP(Financials!$B24,Inputs!$B$3:$D$21,3,0)*(1+Inputs!$L$10)^Financials!EW$3)*EW$8))</f>
        <v>0</v>
      </c>
      <c r="EX24" s="18">
        <f>IF(EX$1&lt;CapEx!$O$7,0,(VLOOKUP($B24,Inputs!$B$25:$D$44,3,0)*(VLOOKUP(Financials!$B24,Inputs!$B$3:$D$21,3,0)*(1+Inputs!$L$10)^Financials!EX$3)*EX$8))</f>
        <v>0</v>
      </c>
      <c r="EY24" s="18">
        <f>IF(EY$1&lt;CapEx!$O$7,0,(VLOOKUP($B24,Inputs!$B$25:$D$44,3,0)*(VLOOKUP(Financials!$B24,Inputs!$B$3:$D$21,3,0)*(1+Inputs!$L$10)^Financials!EY$3)*EY$8))</f>
        <v>0</v>
      </c>
      <c r="EZ24" s="18">
        <f>IF(EZ$1&lt;CapEx!$O$7,0,(VLOOKUP($B24,Inputs!$B$25:$D$44,3,0)*(VLOOKUP(Financials!$B24,Inputs!$B$3:$D$21,3,0)*(1+Inputs!$L$10)^Financials!EZ$3)*EZ$8))</f>
        <v>0</v>
      </c>
      <c r="FA24" s="18">
        <f>IF(FA$1&lt;CapEx!$O$7,0,(VLOOKUP($B24,Inputs!$B$25:$D$44,3,0)*(VLOOKUP(Financials!$B24,Inputs!$B$3:$D$21,3,0)*(1+Inputs!$L$10)^Financials!FA$3)*FA$8))</f>
        <v>0</v>
      </c>
      <c r="FB24" s="18">
        <f>IF(FB$1&lt;CapEx!$O$7,0,(VLOOKUP($B24,Inputs!$B$25:$D$44,3,0)*(VLOOKUP(Financials!$B24,Inputs!$B$3:$D$21,3,0)*(1+Inputs!$L$10)^Financials!FB$3)*FB$8))</f>
        <v>0</v>
      </c>
      <c r="FC24" s="18">
        <f>IF(FC$1&lt;CapEx!$O$7,0,(VLOOKUP($B24,Inputs!$B$25:$D$44,3,0)*(VLOOKUP(Financials!$B24,Inputs!$B$3:$D$21,3,0)*(1+Inputs!$L$10)^Financials!FC$3)*FC$8))</f>
        <v>0</v>
      </c>
      <c r="FD24" s="18">
        <f>IF(FD$1&lt;CapEx!$O$7,0,(VLOOKUP($B24,Inputs!$B$25:$D$44,3,0)*(VLOOKUP(Financials!$B24,Inputs!$B$3:$D$21,3,0)*(1+Inputs!$L$10)^Financials!FD$3)*FD$8))</f>
        <v>0</v>
      </c>
      <c r="FE24" s="18">
        <f>IF(FE$1&lt;CapEx!$O$7,0,(VLOOKUP($B24,Inputs!$B$25:$D$44,3,0)*(VLOOKUP(Financials!$B24,Inputs!$B$3:$D$21,3,0)*(1+Inputs!$L$10)^Financials!FE$3)*FE$8))</f>
        <v>0</v>
      </c>
      <c r="FF24" s="18">
        <f>IF(FF$1&lt;CapEx!$O$7,0,(VLOOKUP($B24,Inputs!$B$25:$D$44,3,0)*(VLOOKUP(Financials!$B24,Inputs!$B$3:$D$21,3,0)*(1+Inputs!$L$10)^Financials!FF$3)*FF$8))</f>
        <v>0</v>
      </c>
      <c r="FG24" s="18">
        <f>IF(FG$1&lt;CapEx!$O$7,0,(VLOOKUP($B24,Inputs!$B$25:$D$44,3,0)*(VLOOKUP(Financials!$B24,Inputs!$B$3:$D$21,3,0)*(1+Inputs!$L$10)^Financials!FG$3)*FG$8))</f>
        <v>0</v>
      </c>
      <c r="FH24" s="18">
        <f>IF(FH$1&lt;CapEx!$O$7,0,(VLOOKUP($B24,Inputs!$B$25:$D$44,3,0)*(VLOOKUP(Financials!$B24,Inputs!$B$3:$D$21,3,0)*(1+Inputs!$L$10)^Financials!FH$3)*FH$8))</f>
        <v>0</v>
      </c>
      <c r="FI24" s="18">
        <f>IF(FI$1&lt;CapEx!$O$7,0,(VLOOKUP($B24,Inputs!$B$25:$D$44,3,0)*(VLOOKUP(Financials!$B24,Inputs!$B$3:$D$21,3,0)*(1+Inputs!$L$10)^Financials!FI$3)*FI$8))</f>
        <v>0</v>
      </c>
      <c r="FJ24" s="18">
        <f>IF(FJ$1&lt;CapEx!$O$7,0,(VLOOKUP($B24,Inputs!$B$25:$D$44,3,0)*(VLOOKUP(Financials!$B24,Inputs!$B$3:$D$21,3,0)*(1+Inputs!$L$10)^Financials!FJ$3)*FJ$8))</f>
        <v>0</v>
      </c>
      <c r="FK24" s="18">
        <f>IF(FK$1&lt;CapEx!$O$7,0,(VLOOKUP($B24,Inputs!$B$25:$D$44,3,0)*(VLOOKUP(Financials!$B24,Inputs!$B$3:$D$21,3,0)*(1+Inputs!$L$10)^Financials!FK$3)*FK$8))</f>
        <v>0</v>
      </c>
      <c r="FL24" s="18">
        <f>IF(FL$1&lt;CapEx!$O$7,0,(VLOOKUP($B24,Inputs!$B$25:$D$44,3,0)*(VLOOKUP(Financials!$B24,Inputs!$B$3:$D$21,3,0)*(1+Inputs!$L$10)^Financials!FL$3)*FL$8))</f>
        <v>0</v>
      </c>
      <c r="FM24" s="18">
        <f>IF(FM$1&lt;CapEx!$O$7,0,(VLOOKUP($B24,Inputs!$B$25:$D$44,3,0)*(VLOOKUP(Financials!$B24,Inputs!$B$3:$D$21,3,0)*(1+Inputs!$L$10)^Financials!FM$3)*FM$8))</f>
        <v>0</v>
      </c>
      <c r="FN24" s="18">
        <f>IF(FN$1&lt;CapEx!$O$7,0,(VLOOKUP($B24,Inputs!$B$25:$D$44,3,0)*(VLOOKUP(Financials!$B24,Inputs!$B$3:$D$21,3,0)*(1+Inputs!$L$10)^Financials!FN$3)*FN$8))</f>
        <v>0</v>
      </c>
      <c r="FO24" s="18">
        <f>IF(FO$1&lt;CapEx!$O$7,0,(VLOOKUP($B24,Inputs!$B$25:$D$44,3,0)*(VLOOKUP(Financials!$B24,Inputs!$B$3:$D$21,3,0)*(1+Inputs!$L$10)^Financials!FO$3)*FO$8))</f>
        <v>0</v>
      </c>
      <c r="FP24" s="18">
        <f>IF(FP$1&lt;CapEx!$O$7,0,(VLOOKUP($B24,Inputs!$B$25:$D$44,3,0)*(VLOOKUP(Financials!$B24,Inputs!$B$3:$D$21,3,0)*(1+Inputs!$L$10)^Financials!FP$3)*FP$8))</f>
        <v>0</v>
      </c>
      <c r="FQ24" s="18">
        <f>IF(FQ$1&lt;CapEx!$O$7,0,(VLOOKUP($B24,Inputs!$B$25:$D$44,3,0)*(VLOOKUP(Financials!$B24,Inputs!$B$3:$D$21,3,0)*(1+Inputs!$L$10)^Financials!FQ$3)*FQ$8))</f>
        <v>0</v>
      </c>
      <c r="FR24" s="18">
        <f>IF(FR$1&lt;CapEx!$O$7,0,(VLOOKUP($B24,Inputs!$B$25:$D$44,3,0)*(VLOOKUP(Financials!$B24,Inputs!$B$3:$D$21,3,0)*(1+Inputs!$L$10)^Financials!FR$3)*FR$8))</f>
        <v>0</v>
      </c>
      <c r="FS24" s="18">
        <f>IF(FS$1&lt;CapEx!$O$7,0,(VLOOKUP($B24,Inputs!$B$25:$D$44,3,0)*(VLOOKUP(Financials!$B24,Inputs!$B$3:$D$21,3,0)*(1+Inputs!$L$10)^Financials!FS$3)*FS$8))</f>
        <v>0</v>
      </c>
      <c r="FT24" s="18">
        <f>IF(FT$1&lt;CapEx!$O$7,0,(VLOOKUP($B24,Inputs!$B$25:$D$44,3,0)*(VLOOKUP(Financials!$B24,Inputs!$B$3:$D$21,3,0)*(1+Inputs!$L$10)^Financials!FT$3)*FT$8))</f>
        <v>0</v>
      </c>
      <c r="FU24" s="18">
        <f>IF(FU$1&lt;CapEx!$O$7,0,(VLOOKUP($B24,Inputs!$B$25:$D$44,3,0)*(VLOOKUP(Financials!$B24,Inputs!$B$3:$D$21,3,0)*(1+Inputs!$L$10)^Financials!FU$3)*FU$8))</f>
        <v>0</v>
      </c>
      <c r="FV24" s="18">
        <f>IF(FV$1&lt;CapEx!$O$7,0,(VLOOKUP($B24,Inputs!$B$25:$D$44,3,0)*(VLOOKUP(Financials!$B24,Inputs!$B$3:$D$21,3,0)*(1+Inputs!$L$10)^Financials!FV$3)*FV$8))</f>
        <v>0</v>
      </c>
      <c r="FW24" s="18">
        <f>IF(FW$1&lt;CapEx!$O$7,0,(VLOOKUP($B24,Inputs!$B$25:$D$44,3,0)*(VLOOKUP(Financials!$B24,Inputs!$B$3:$D$21,3,0)*(1+Inputs!$L$10)^Financials!FW$3)*FW$8))</f>
        <v>0</v>
      </c>
      <c r="FX24" s="18">
        <f>IF(FX$1&lt;CapEx!$O$7,0,(VLOOKUP($B24,Inputs!$B$25:$D$44,3,0)*(VLOOKUP(Financials!$B24,Inputs!$B$3:$D$21,3,0)*(1+Inputs!$L$10)^Financials!FX$3)*FX$8))</f>
        <v>0</v>
      </c>
      <c r="FY24" s="18">
        <f>IF(FY$1&lt;CapEx!$O$7,0,(VLOOKUP($B24,Inputs!$B$25:$D$44,3,0)*(VLOOKUP(Financials!$B24,Inputs!$B$3:$D$21,3,0)*(1+Inputs!$L$10)^Financials!FY$3)*FY$8))</f>
        <v>0</v>
      </c>
      <c r="FZ24" s="18">
        <f>IF(FZ$1&lt;CapEx!$O$7,0,(VLOOKUP($B24,Inputs!$B$25:$D$44,3,0)*(VLOOKUP(Financials!$B24,Inputs!$B$3:$D$21,3,0)*(1+Inputs!$L$10)^Financials!FZ$3)*FZ$8))</f>
        <v>0</v>
      </c>
      <c r="GA24" s="18">
        <f>IF(GA$1&lt;CapEx!$O$7,0,(VLOOKUP($B24,Inputs!$B$25:$D$44,3,0)*(VLOOKUP(Financials!$B24,Inputs!$B$3:$D$21,3,0)*(1+Inputs!$L$10)^Financials!GA$3)*GA$8))</f>
        <v>0</v>
      </c>
      <c r="GB24" s="18">
        <f>IF(GB$1&lt;CapEx!$O$7,0,(VLOOKUP($B24,Inputs!$B$25:$D$44,3,0)*(VLOOKUP(Financials!$B24,Inputs!$B$3:$D$21,3,0)*(1+Inputs!$L$10)^Financials!GB$3)*GB$8))</f>
        <v>0</v>
      </c>
      <c r="GC24" s="18">
        <f>IF(GC$1&lt;CapEx!$O$7,0,(VLOOKUP($B24,Inputs!$B$25:$D$44,3,0)*(VLOOKUP(Financials!$B24,Inputs!$B$3:$D$21,3,0)*(1+Inputs!$L$10)^Financials!GC$3)*GC$8))</f>
        <v>0</v>
      </c>
      <c r="GD24" s="18">
        <f>IF(GD$1&lt;CapEx!$O$7,0,(VLOOKUP($B24,Inputs!$B$25:$D$44,3,0)*(VLOOKUP(Financials!$B24,Inputs!$B$3:$D$21,3,0)*(1+Inputs!$L$10)^Financials!GD$3)*GD$8))</f>
        <v>0</v>
      </c>
      <c r="GE24" s="18">
        <f>IF(GE$1&lt;CapEx!$O$7,0,(VLOOKUP($B24,Inputs!$B$25:$D$44,3,0)*(VLOOKUP(Financials!$B24,Inputs!$B$3:$D$21,3,0)*(1+Inputs!$L$10)^Financials!GE$3)*GE$8))</f>
        <v>0</v>
      </c>
      <c r="GF24" s="18">
        <f>IF(GF$1&lt;CapEx!$O$7,0,(VLOOKUP($B24,Inputs!$B$25:$D$44,3,0)*(VLOOKUP(Financials!$B24,Inputs!$B$3:$D$21,3,0)*(1+Inputs!$L$10)^Financials!GF$3)*GF$8))</f>
        <v>0</v>
      </c>
      <c r="GG24" s="18">
        <f>IF(GG$1&lt;CapEx!$O$7,0,(VLOOKUP($B24,Inputs!$B$25:$D$44,3,0)*(VLOOKUP(Financials!$B24,Inputs!$B$3:$D$21,3,0)*(1+Inputs!$L$10)^Financials!GG$3)*GG$8))</f>
        <v>0</v>
      </c>
      <c r="GH24" s="18">
        <f>IF(GH$1&lt;CapEx!$O$7,0,(VLOOKUP($B24,Inputs!$B$25:$D$44,3,0)*(VLOOKUP(Financials!$B24,Inputs!$B$3:$D$21,3,0)*(1+Inputs!$L$10)^Financials!GH$3)*GH$8))</f>
        <v>0</v>
      </c>
      <c r="GI24" s="18">
        <f>IF(GI$1&lt;CapEx!$O$7,0,(VLOOKUP($B24,Inputs!$B$25:$D$44,3,0)*(VLOOKUP(Financials!$B24,Inputs!$B$3:$D$21,3,0)*(1+Inputs!$L$10)^Financials!GI$3)*GI$8))</f>
        <v>0</v>
      </c>
      <c r="GJ24" s="18">
        <f>IF(GJ$1&lt;CapEx!$O$7,0,(VLOOKUP($B24,Inputs!$B$25:$D$44,3,0)*(VLOOKUP(Financials!$B24,Inputs!$B$3:$D$21,3,0)*(1+Inputs!$L$10)^Financials!GJ$3)*GJ$8))</f>
        <v>0</v>
      </c>
      <c r="GK24" s="18">
        <f>IF(GK$1&lt;CapEx!$O$7,0,(VLOOKUP($B24,Inputs!$B$25:$D$44,3,0)*(VLOOKUP(Financials!$B24,Inputs!$B$3:$D$21,3,0)*(1+Inputs!$L$10)^Financials!GK$3)*GK$8))</f>
        <v>0</v>
      </c>
      <c r="GL24" s="18">
        <f>IF(GL$1&lt;CapEx!$O$7,0,(VLOOKUP($B24,Inputs!$B$25:$D$44,3,0)*(VLOOKUP(Financials!$B24,Inputs!$B$3:$D$21,3,0)*(1+Inputs!$L$10)^Financials!GL$3)*GL$8))</f>
        <v>0</v>
      </c>
      <c r="GM24" s="18">
        <f>IF(GM$1&lt;CapEx!$O$7,0,(VLOOKUP($B24,Inputs!$B$25:$D$44,3,0)*(VLOOKUP(Financials!$B24,Inputs!$B$3:$D$21,3,0)*(1+Inputs!$L$10)^Financials!GM$3)*GM$8))</f>
        <v>0</v>
      </c>
      <c r="GN24" s="18">
        <f>IF(GN$1&lt;CapEx!$O$7,0,(VLOOKUP($B24,Inputs!$B$25:$D$44,3,0)*(VLOOKUP(Financials!$B24,Inputs!$B$3:$D$21,3,0)*(1+Inputs!$L$10)^Financials!GN$3)*GN$8))</f>
        <v>0</v>
      </c>
      <c r="GO24" s="18">
        <f>IF(GO$1&lt;CapEx!$O$7,0,(VLOOKUP($B24,Inputs!$B$25:$D$44,3,0)*(VLOOKUP(Financials!$B24,Inputs!$B$3:$D$21,3,0)*(1+Inputs!$L$10)^Financials!GO$3)*GO$8))</f>
        <v>0</v>
      </c>
      <c r="GP24" s="18">
        <f>IF(GP$1&lt;CapEx!$O$7,0,(VLOOKUP($B24,Inputs!$B$25:$D$44,3,0)*(VLOOKUP(Financials!$B24,Inputs!$B$3:$D$21,3,0)*(1+Inputs!$L$10)^Financials!GP$3)*GP$8))</f>
        <v>0</v>
      </c>
      <c r="GQ24" s="18">
        <f>IF(GQ$1&lt;CapEx!$O$7,0,(VLOOKUP($B24,Inputs!$B$25:$D$44,3,0)*(VLOOKUP(Financials!$B24,Inputs!$B$3:$D$21,3,0)*(1+Inputs!$L$10)^Financials!GQ$3)*GQ$8))</f>
        <v>0</v>
      </c>
      <c r="GR24" s="18">
        <f>IF(GR$1&lt;CapEx!$O$7,0,(VLOOKUP($B24,Inputs!$B$25:$D$44,3,0)*(VLOOKUP(Financials!$B24,Inputs!$B$3:$D$21,3,0)*(1+Inputs!$L$10)^Financials!GR$3)*GR$8))</f>
        <v>0</v>
      </c>
      <c r="GS24" s="18">
        <f>IF(GS$1&lt;CapEx!$O$7,0,(VLOOKUP($B24,Inputs!$B$25:$D$44,3,0)*(VLOOKUP(Financials!$B24,Inputs!$B$3:$D$21,3,0)*(1+Inputs!$L$10)^Financials!GS$3)*GS$8))</f>
        <v>0</v>
      </c>
      <c r="GT24" s="18">
        <f>IF(GT$1&lt;CapEx!$O$7,0,(VLOOKUP($B24,Inputs!$B$25:$D$44,3,0)*(VLOOKUP(Financials!$B24,Inputs!$B$3:$D$21,3,0)*(1+Inputs!$L$10)^Financials!GT$3)*GT$8))</f>
        <v>0</v>
      </c>
      <c r="GU24" s="18">
        <f>IF(GU$1&lt;CapEx!$O$7,0,(VLOOKUP($B24,Inputs!$B$25:$D$44,3,0)*(VLOOKUP(Financials!$B24,Inputs!$B$3:$D$21,3,0)*(1+Inputs!$L$10)^Financials!GU$3)*GU$8))</f>
        <v>0</v>
      </c>
      <c r="GV24" s="18">
        <f>IF(GV$1&lt;CapEx!$O$7,0,(VLOOKUP($B24,Inputs!$B$25:$D$44,3,0)*(VLOOKUP(Financials!$B24,Inputs!$B$3:$D$21,3,0)*(1+Inputs!$L$10)^Financials!GV$3)*GV$8))</f>
        <v>0</v>
      </c>
      <c r="GW24" s="18">
        <f>IF(GW$1&lt;CapEx!$O$7,0,(VLOOKUP($B24,Inputs!$B$25:$D$44,3,0)*(VLOOKUP(Financials!$B24,Inputs!$B$3:$D$21,3,0)*(1+Inputs!$L$10)^Financials!GW$3)*GW$8))</f>
        <v>0</v>
      </c>
      <c r="GX24" s="18">
        <f>IF(GX$1&lt;CapEx!$O$7,0,(VLOOKUP($B24,Inputs!$B$25:$D$44,3,0)*(VLOOKUP(Financials!$B24,Inputs!$B$3:$D$21,3,0)*(1+Inputs!$L$10)^Financials!GX$3)*GX$8))</f>
        <v>0</v>
      </c>
      <c r="GY24" s="18">
        <f>IF(GY$1&lt;CapEx!$O$7,0,(VLOOKUP($B24,Inputs!$B$25:$D$44,3,0)*(VLOOKUP(Financials!$B24,Inputs!$B$3:$D$21,3,0)*(1+Inputs!$L$10)^Financials!GY$3)*GY$8))</f>
        <v>0</v>
      </c>
      <c r="GZ24" s="18">
        <f>IF(GZ$1&lt;CapEx!$O$7,0,(VLOOKUP($B24,Inputs!$B$25:$D$44,3,0)*(VLOOKUP(Financials!$B24,Inputs!$B$3:$D$21,3,0)*(1+Inputs!$L$10)^Financials!GZ$3)*GZ$8))</f>
        <v>0</v>
      </c>
      <c r="HA24" s="18">
        <f>IF(HA$1&lt;CapEx!$O$7,0,(VLOOKUP($B24,Inputs!$B$25:$D$44,3,0)*(VLOOKUP(Financials!$B24,Inputs!$B$3:$D$21,3,0)*(1+Inputs!$L$10)^Financials!HA$3)*HA$8))</f>
        <v>0</v>
      </c>
      <c r="HB24" s="18">
        <f>IF(HB$1&lt;CapEx!$O$7,0,(VLOOKUP($B24,Inputs!$B$25:$D$44,3,0)*(VLOOKUP(Financials!$B24,Inputs!$B$3:$D$21,3,0)*(1+Inputs!$L$10)^Financials!HB$3)*HB$8))</f>
        <v>0</v>
      </c>
      <c r="HC24" s="18">
        <f>IF(HC$1&lt;CapEx!$O$7,0,(VLOOKUP($B24,Inputs!$B$25:$D$44,3,0)*(VLOOKUP(Financials!$B24,Inputs!$B$3:$D$21,3,0)*(1+Inputs!$L$10)^Financials!HC$3)*HC$8))</f>
        <v>0</v>
      </c>
      <c r="HD24" s="18">
        <f>IF(HD$1&lt;CapEx!$O$7,0,(VLOOKUP($B24,Inputs!$B$25:$D$44,3,0)*(VLOOKUP(Financials!$B24,Inputs!$B$3:$D$21,3,0)*(1+Inputs!$L$10)^Financials!HD$3)*HD$8))</f>
        <v>0</v>
      </c>
      <c r="HE24" s="18">
        <f>IF(HE$1&lt;CapEx!$O$7,0,(VLOOKUP($B24,Inputs!$B$25:$D$44,3,0)*(VLOOKUP(Financials!$B24,Inputs!$B$3:$D$21,3,0)*(1+Inputs!$L$10)^Financials!HE$3)*HE$8))</f>
        <v>0</v>
      </c>
      <c r="HF24" s="18">
        <f>IF(HF$1&lt;CapEx!$O$7,0,(VLOOKUP($B24,Inputs!$B$25:$D$44,3,0)*(VLOOKUP(Financials!$B24,Inputs!$B$3:$D$21,3,0)*(1+Inputs!$L$10)^Financials!HF$3)*HF$8))</f>
        <v>0</v>
      </c>
      <c r="HG24" s="18">
        <f>IF(HG$1&lt;CapEx!$O$7,0,(VLOOKUP($B24,Inputs!$B$25:$D$44,3,0)*(VLOOKUP(Financials!$B24,Inputs!$B$3:$D$21,3,0)*(1+Inputs!$L$10)^Financials!HG$3)*HG$8))</f>
        <v>0</v>
      </c>
      <c r="HH24" s="18">
        <f>IF(HH$1&lt;CapEx!$O$7,0,(VLOOKUP($B24,Inputs!$B$25:$D$44,3,0)*(VLOOKUP(Financials!$B24,Inputs!$B$3:$D$21,3,0)*(1+Inputs!$L$10)^Financials!HH$3)*HH$8))</f>
        <v>0</v>
      </c>
      <c r="HI24" s="18">
        <f>IF(HI$1&lt;CapEx!$O$7,0,(VLOOKUP($B24,Inputs!$B$25:$D$44,3,0)*(VLOOKUP(Financials!$B24,Inputs!$B$3:$D$21,3,0)*(1+Inputs!$L$10)^Financials!HI$3)*HI$8))</f>
        <v>0</v>
      </c>
      <c r="HJ24" s="18">
        <f>IF(HJ$1&lt;CapEx!$O$7,0,(VLOOKUP($B24,Inputs!$B$25:$D$44,3,0)*(VLOOKUP(Financials!$B24,Inputs!$B$3:$D$21,3,0)*(1+Inputs!$L$10)^Financials!HJ$3)*HJ$8))</f>
        <v>0</v>
      </c>
      <c r="HK24" s="18">
        <f>IF(HK$1&lt;CapEx!$O$7,0,(VLOOKUP($B24,Inputs!$B$25:$D$44,3,0)*(VLOOKUP(Financials!$B24,Inputs!$B$3:$D$21,3,0)*(1+Inputs!$L$10)^Financials!HK$3)*HK$8))</f>
        <v>0</v>
      </c>
      <c r="HL24" s="18">
        <f>IF(HL$1&lt;CapEx!$O$7,0,(VLOOKUP($B24,Inputs!$B$25:$D$44,3,0)*(VLOOKUP(Financials!$B24,Inputs!$B$3:$D$21,3,0)*(1+Inputs!$L$10)^Financials!HL$3)*HL$8))</f>
        <v>0</v>
      </c>
      <c r="HM24" s="18">
        <f>IF(HM$1&lt;CapEx!$O$7,0,(VLOOKUP($B24,Inputs!$B$25:$D$44,3,0)*(VLOOKUP(Financials!$B24,Inputs!$B$3:$D$21,3,0)*(1+Inputs!$L$10)^Financials!HM$3)*HM$8))</f>
        <v>0</v>
      </c>
      <c r="HN24" s="18">
        <f>IF(HN$1&lt;CapEx!$O$7,0,(VLOOKUP($B24,Inputs!$B$25:$D$44,3,0)*(VLOOKUP(Financials!$B24,Inputs!$B$3:$D$21,3,0)*(1+Inputs!$L$10)^Financials!HN$3)*HN$8))</f>
        <v>0</v>
      </c>
      <c r="HO24" s="18">
        <f>IF(HO$1&lt;CapEx!$O$7,0,(VLOOKUP($B24,Inputs!$B$25:$D$44,3,0)*(VLOOKUP(Financials!$B24,Inputs!$B$3:$D$21,3,0)*(1+Inputs!$L$10)^Financials!HO$3)*HO$8))</f>
        <v>0</v>
      </c>
      <c r="HP24" s="18">
        <f>IF(HP$1&lt;CapEx!$O$7,0,(VLOOKUP($B24,Inputs!$B$25:$D$44,3,0)*(VLOOKUP(Financials!$B24,Inputs!$B$3:$D$21,3,0)*(1+Inputs!$L$10)^Financials!HP$3)*HP$8))</f>
        <v>0</v>
      </c>
      <c r="HQ24" s="18">
        <f>IF(HQ$1&lt;CapEx!$O$7,0,(VLOOKUP($B24,Inputs!$B$25:$D$44,3,0)*(VLOOKUP(Financials!$B24,Inputs!$B$3:$D$21,3,0)*(1+Inputs!$L$10)^Financials!HQ$3)*HQ$8))</f>
        <v>0</v>
      </c>
      <c r="HR24" s="18">
        <f>IF(HR$1&lt;CapEx!$O$7,0,(VLOOKUP($B24,Inputs!$B$25:$D$44,3,0)*(VLOOKUP(Financials!$B24,Inputs!$B$3:$D$21,3,0)*(1+Inputs!$L$10)^Financials!HR$3)*HR$8))</f>
        <v>0</v>
      </c>
      <c r="HS24" s="18">
        <f>IF(HS$1&lt;CapEx!$O$7,0,(VLOOKUP($B24,Inputs!$B$25:$D$44,3,0)*(VLOOKUP(Financials!$B24,Inputs!$B$3:$D$21,3,0)*(1+Inputs!$L$10)^Financials!HS$3)*HS$8))</f>
        <v>0</v>
      </c>
      <c r="HT24" s="18">
        <f>IF(HT$1&lt;CapEx!$O$7,0,(VLOOKUP($B24,Inputs!$B$25:$D$44,3,0)*(VLOOKUP(Financials!$B24,Inputs!$B$3:$D$21,3,0)*(1+Inputs!$L$10)^Financials!HT$3)*HT$8))</f>
        <v>0</v>
      </c>
      <c r="HU24" s="18">
        <f>IF(HU$1&lt;CapEx!$O$7,0,(VLOOKUP($B24,Inputs!$B$25:$D$44,3,0)*(VLOOKUP(Financials!$B24,Inputs!$B$3:$D$21,3,0)*(1+Inputs!$L$10)^Financials!HU$3)*HU$8))</f>
        <v>0</v>
      </c>
      <c r="HV24" s="18">
        <f>IF(HV$1&lt;CapEx!$O$7,0,(VLOOKUP($B24,Inputs!$B$25:$D$44,3,0)*(VLOOKUP(Financials!$B24,Inputs!$B$3:$D$21,3,0)*(1+Inputs!$L$10)^Financials!HV$3)*HV$8))</f>
        <v>0</v>
      </c>
      <c r="HW24" s="18">
        <f>IF(HW$1&lt;CapEx!$O$7,0,(VLOOKUP($B24,Inputs!$B$25:$D$44,3,0)*(VLOOKUP(Financials!$B24,Inputs!$B$3:$D$21,3,0)*(1+Inputs!$L$10)^Financials!HW$3)*HW$8))</f>
        <v>0</v>
      </c>
      <c r="HX24" s="18">
        <f>IF(HX$1&lt;CapEx!$O$7,0,(VLOOKUP($B24,Inputs!$B$25:$D$44,3,0)*(VLOOKUP(Financials!$B24,Inputs!$B$3:$D$21,3,0)*(1+Inputs!$L$10)^Financials!HX$3)*HX$8))</f>
        <v>0</v>
      </c>
      <c r="HY24" s="18">
        <f>IF(HY$1&lt;CapEx!$O$7,0,(VLOOKUP($B24,Inputs!$B$25:$D$44,3,0)*(VLOOKUP(Financials!$B24,Inputs!$B$3:$D$21,3,0)*(1+Inputs!$L$10)^Financials!HY$3)*HY$8))</f>
        <v>0</v>
      </c>
      <c r="HZ24" s="18">
        <f>IF(HZ$1&lt;CapEx!$O$7,0,(VLOOKUP($B24,Inputs!$B$25:$D$44,3,0)*(VLOOKUP(Financials!$B24,Inputs!$B$3:$D$21,3,0)*(1+Inputs!$L$10)^Financials!HZ$3)*HZ$8))</f>
        <v>0</v>
      </c>
      <c r="IA24" s="18">
        <f>IF(IA$1&lt;CapEx!$O$7,0,(VLOOKUP($B24,Inputs!$B$25:$D$44,3,0)*(VLOOKUP(Financials!$B24,Inputs!$B$3:$D$21,3,0)*(1+Inputs!$L$10)^Financials!IA$3)*IA$8))</f>
        <v>0</v>
      </c>
      <c r="IB24" s="18">
        <f>IF(IB$1&lt;CapEx!$O$7,0,(VLOOKUP($B24,Inputs!$B$25:$D$44,3,0)*(VLOOKUP(Financials!$B24,Inputs!$B$3:$D$21,3,0)*(1+Inputs!$L$10)^Financials!IB$3)*IB$8))</f>
        <v>0</v>
      </c>
      <c r="IC24" s="18">
        <f>IF(IC$1&lt;CapEx!$O$7,0,(VLOOKUP($B24,Inputs!$B$25:$D$44,3,0)*(VLOOKUP(Financials!$B24,Inputs!$B$3:$D$21,3,0)*(1+Inputs!$L$10)^Financials!IC$3)*IC$8))</f>
        <v>0</v>
      </c>
      <c r="ID24" s="18">
        <f>IF(ID$1&lt;CapEx!$O$7,0,(VLOOKUP($B24,Inputs!$B$25:$D$44,3,0)*(VLOOKUP(Financials!$B24,Inputs!$B$3:$D$21,3,0)*(1+Inputs!$L$10)^Financials!ID$3)*ID$8))</f>
        <v>0</v>
      </c>
      <c r="IE24" s="18">
        <f>IF(IE$1&lt;CapEx!$O$7,0,(VLOOKUP($B24,Inputs!$B$25:$D$44,3,0)*(VLOOKUP(Financials!$B24,Inputs!$B$3:$D$21,3,0)*(1+Inputs!$L$10)^Financials!IE$3)*IE$8))</f>
        <v>0</v>
      </c>
      <c r="IF24" s="18">
        <f>IF(IF$1&lt;CapEx!$O$7,0,(VLOOKUP($B24,Inputs!$B$25:$D$44,3,0)*(VLOOKUP(Financials!$B24,Inputs!$B$3:$D$21,3,0)*(1+Inputs!$L$10)^Financials!IF$3)*IF$8))</f>
        <v>0</v>
      </c>
      <c r="IG24" s="18">
        <f>IF(IG$1&lt;CapEx!$O$7,0,(VLOOKUP($B24,Inputs!$B$25:$D$44,3,0)*(VLOOKUP(Financials!$B24,Inputs!$B$3:$D$21,3,0)*(1+Inputs!$L$10)^Financials!IG$3)*IG$8))</f>
        <v>0</v>
      </c>
      <c r="IH24" s="18">
        <f>IF(IH$1&lt;CapEx!$O$7,0,(VLOOKUP($B24,Inputs!$B$25:$D$44,3,0)*(VLOOKUP(Financials!$B24,Inputs!$B$3:$D$21,3,0)*(1+Inputs!$L$10)^Financials!IH$3)*IH$8))</f>
        <v>0</v>
      </c>
      <c r="II24" s="18">
        <f>IF(II$1&lt;CapEx!$O$7,0,(VLOOKUP($B24,Inputs!$B$25:$D$44,3,0)*(VLOOKUP(Financials!$B24,Inputs!$B$3:$D$21,3,0)*(1+Inputs!$L$10)^Financials!II$3)*II$8))</f>
        <v>0</v>
      </c>
      <c r="IJ24" s="18">
        <f>IF(IJ$1&lt;CapEx!$O$7,0,(VLOOKUP($B24,Inputs!$B$25:$D$44,3,0)*(VLOOKUP(Financials!$B24,Inputs!$B$3:$D$21,3,0)*(1+Inputs!$L$10)^Financials!IJ$3)*IJ$8))</f>
        <v>0</v>
      </c>
      <c r="IK24" s="18">
        <f>IF(IK$1&lt;CapEx!$O$7,0,(VLOOKUP($B24,Inputs!$B$25:$D$44,3,0)*(VLOOKUP(Financials!$B24,Inputs!$B$3:$D$21,3,0)*(1+Inputs!$L$10)^Financials!IK$3)*IK$8))</f>
        <v>0</v>
      </c>
      <c r="IL24" s="18">
        <f>IF(IL$1&lt;CapEx!$O$7,0,(VLOOKUP($B24,Inputs!$B$25:$D$44,3,0)*(VLOOKUP(Financials!$B24,Inputs!$B$3:$D$21,3,0)*(1+Inputs!$L$10)^Financials!IL$3)*IL$8))</f>
        <v>0</v>
      </c>
      <c r="IM24" s="18">
        <f>IF(IM$1&lt;CapEx!$O$7,0,(VLOOKUP($B24,Inputs!$B$25:$D$44,3,0)*(VLOOKUP(Financials!$B24,Inputs!$B$3:$D$21,3,0)*(1+Inputs!$L$10)^Financials!IM$3)*IM$8))</f>
        <v>0</v>
      </c>
      <c r="IN24" s="18">
        <f>IF(IN$1&lt;CapEx!$O$7,0,(VLOOKUP($B24,Inputs!$B$25:$D$44,3,0)*(VLOOKUP(Financials!$B24,Inputs!$B$3:$D$21,3,0)*(1+Inputs!$L$10)^Financials!IN$3)*IN$8))</f>
        <v>0</v>
      </c>
      <c r="IO24" s="18">
        <f>IF(IO$1&lt;CapEx!$O$7,0,(VLOOKUP($B24,Inputs!$B$25:$D$44,3,0)*(VLOOKUP(Financials!$B24,Inputs!$B$3:$D$21,3,0)*(1+Inputs!$L$10)^Financials!IO$3)*IO$8))</f>
        <v>0</v>
      </c>
      <c r="IP24" s="18">
        <f>IF(IP$1&lt;CapEx!$O$7,0,(VLOOKUP($B24,Inputs!$B$25:$D$44,3,0)*(VLOOKUP(Financials!$B24,Inputs!$B$3:$D$21,3,0)*(1+Inputs!$L$10)^Financials!IP$3)*IP$8))</f>
        <v>0</v>
      </c>
      <c r="IQ24" s="18">
        <f>IF(IQ$1&lt;CapEx!$O$7,0,(VLOOKUP($B24,Inputs!$B$25:$D$44,3,0)*(VLOOKUP(Financials!$B24,Inputs!$B$3:$D$21,3,0)*(1+Inputs!$L$10)^Financials!IQ$3)*IQ$8))</f>
        <v>0</v>
      </c>
      <c r="IR24" s="18">
        <f>IF(IR$1&lt;CapEx!$O$7,0,(VLOOKUP($B24,Inputs!$B$25:$D$44,3,0)*(VLOOKUP(Financials!$B24,Inputs!$B$3:$D$21,3,0)*(1+Inputs!$L$10)^Financials!IR$3)*IR$8))</f>
        <v>0</v>
      </c>
      <c r="IS24" s="18">
        <f>IF(IS$1&lt;CapEx!$O$7,0,(VLOOKUP($B24,Inputs!$B$25:$D$44,3,0)*(VLOOKUP(Financials!$B24,Inputs!$B$3:$D$21,3,0)*(1+Inputs!$L$10)^Financials!IS$3)*IS$8))</f>
        <v>0</v>
      </c>
      <c r="IT24" s="18">
        <f>IF(IT$1&lt;CapEx!$O$7,0,(VLOOKUP($B24,Inputs!$B$25:$D$44,3,0)*(VLOOKUP(Financials!$B24,Inputs!$B$3:$D$21,3,0)*(1+Inputs!$L$10)^Financials!IT$3)*IT$8))</f>
        <v>0</v>
      </c>
      <c r="IU24" s="18">
        <f>IF(IU$1&lt;CapEx!$O$7,0,(VLOOKUP($B24,Inputs!$B$25:$D$44,3,0)*(VLOOKUP(Financials!$B24,Inputs!$B$3:$D$21,3,0)*(1+Inputs!$L$10)^Financials!IU$3)*IU$8))</f>
        <v>0</v>
      </c>
      <c r="IV24" s="18">
        <f>IF(IV$1&lt;CapEx!$O$7,0,(VLOOKUP($B24,Inputs!$B$25:$D$44,3,0)*(VLOOKUP(Financials!$B24,Inputs!$B$3:$D$21,3,0)*(1+Inputs!$L$10)^Financials!IV$3)*IV$8))</f>
        <v>0</v>
      </c>
      <c r="IW24" s="18">
        <f>IF(IW$1&lt;CapEx!$O$7,0,(VLOOKUP($B24,Inputs!$B$25:$D$44,3,0)*(VLOOKUP(Financials!$B24,Inputs!$B$3:$D$21,3,0)*(1+Inputs!$L$10)^Financials!IW$3)*IW$8))</f>
        <v>0</v>
      </c>
      <c r="IX24" s="18">
        <f>IF(IX$1&lt;CapEx!$O$7,0,(VLOOKUP($B24,Inputs!$B$25:$D$44,3,0)*(VLOOKUP(Financials!$B24,Inputs!$B$3:$D$21,3,0)*(1+Inputs!$L$10)^Financials!IX$3)*IX$8))</f>
        <v>0</v>
      </c>
      <c r="IY24" s="18">
        <f>IF(IY$1&lt;CapEx!$O$7,0,(VLOOKUP($B24,Inputs!$B$25:$D$44,3,0)*(VLOOKUP(Financials!$B24,Inputs!$B$3:$D$21,3,0)*(1+Inputs!$L$10)^Financials!IY$3)*IY$8))</f>
        <v>0</v>
      </c>
      <c r="IZ24" s="18">
        <f>IF(IZ$1&lt;CapEx!$O$7,0,(VLOOKUP($B24,Inputs!$B$25:$D$44,3,0)*(VLOOKUP(Financials!$B24,Inputs!$B$3:$D$21,3,0)*(1+Inputs!$L$10)^Financials!IZ$3)*IZ$8))</f>
        <v>0</v>
      </c>
      <c r="JA24" s="18">
        <f>IF(JA$1&lt;CapEx!$O$7,0,(VLOOKUP($B24,Inputs!$B$25:$D$44,3,0)*(VLOOKUP(Financials!$B24,Inputs!$B$3:$D$21,3,0)*(1+Inputs!$L$10)^Financials!JA$3)*JA$8))</f>
        <v>0</v>
      </c>
      <c r="JB24" s="18">
        <f>IF(JB$1&lt;CapEx!$O$7,0,(VLOOKUP($B24,Inputs!$B$25:$D$44,3,0)*(VLOOKUP(Financials!$B24,Inputs!$B$3:$D$21,3,0)*(1+Inputs!$L$10)^Financials!JB$3)*JB$8))</f>
        <v>0</v>
      </c>
      <c r="JC24" s="18">
        <f>IF(JC$1&lt;CapEx!$O$7,0,(VLOOKUP($B24,Inputs!$B$25:$D$44,3,0)*(VLOOKUP(Financials!$B24,Inputs!$B$3:$D$21,3,0)*(1+Inputs!$L$10)^Financials!JC$3)*JC$8))</f>
        <v>0</v>
      </c>
      <c r="JD24" s="18">
        <f>IF(JD$1&lt;CapEx!$O$7,0,(VLOOKUP($B24,Inputs!$B$25:$D$44,3,0)*(VLOOKUP(Financials!$B24,Inputs!$B$3:$D$21,3,0)*(1+Inputs!$L$10)^Financials!JD$3)*JD$8))</f>
        <v>0</v>
      </c>
      <c r="JE24" s="18">
        <f>IF(JE$1&lt;CapEx!$O$7,0,(VLOOKUP($B24,Inputs!$B$25:$D$44,3,0)*(VLOOKUP(Financials!$B24,Inputs!$B$3:$D$21,3,0)*(1+Inputs!$L$10)^Financials!JE$3)*JE$8))</f>
        <v>0</v>
      </c>
      <c r="JF24" s="18">
        <f>IF(JF$1&lt;CapEx!$O$7,0,(VLOOKUP($B24,Inputs!$B$25:$D$44,3,0)*(VLOOKUP(Financials!$B24,Inputs!$B$3:$D$21,3,0)*(1+Inputs!$L$10)^Financials!JF$3)*JF$8))</f>
        <v>0</v>
      </c>
      <c r="JG24" s="18">
        <f>IF(JG$1&lt;CapEx!$O$7,0,(VLOOKUP($B24,Inputs!$B$25:$D$44,3,0)*(VLOOKUP(Financials!$B24,Inputs!$B$3:$D$21,3,0)*(1+Inputs!$L$10)^Financials!JG$3)*JG$8))</f>
        <v>0</v>
      </c>
      <c r="JH24" s="18">
        <f>IF(JH$1&lt;CapEx!$O$7,0,(VLOOKUP($B24,Inputs!$B$25:$D$44,3,0)*(VLOOKUP(Financials!$B24,Inputs!$B$3:$D$21,3,0)*(1+Inputs!$L$10)^Financials!JH$3)*JH$8))</f>
        <v>0</v>
      </c>
      <c r="JI24" s="18">
        <f>IF(JI$1&lt;CapEx!$O$7,0,(VLOOKUP($B24,Inputs!$B$25:$D$44,3,0)*(VLOOKUP(Financials!$B24,Inputs!$B$3:$D$21,3,0)*(1+Inputs!$L$10)^Financials!JI$3)*JI$8))</f>
        <v>0</v>
      </c>
      <c r="JJ24" s="18">
        <f>IF(JJ$1&lt;CapEx!$O$7,0,(VLOOKUP($B24,Inputs!$B$25:$D$44,3,0)*(VLOOKUP(Financials!$B24,Inputs!$B$3:$D$21,3,0)*(1+Inputs!$L$10)^Financials!JJ$3)*JJ$8))</f>
        <v>0</v>
      </c>
      <c r="JK24" s="18">
        <f>IF(JK$1&lt;CapEx!$O$7,0,(VLOOKUP($B24,Inputs!$B$25:$D$44,3,0)*(VLOOKUP(Financials!$B24,Inputs!$B$3:$D$21,3,0)*(1+Inputs!$L$10)^Financials!JK$3)*JK$8))</f>
        <v>0</v>
      </c>
      <c r="JL24" s="18">
        <f>IF(JL$1&lt;CapEx!$O$7,0,(VLOOKUP($B24,Inputs!$B$25:$D$44,3,0)*(VLOOKUP(Financials!$B24,Inputs!$B$3:$D$21,3,0)*(1+Inputs!$L$10)^Financials!JL$3)*JL$8))</f>
        <v>0</v>
      </c>
      <c r="JM24" s="18">
        <f>IF(JM$1&lt;CapEx!$O$7,0,(VLOOKUP($B24,Inputs!$B$25:$D$44,3,0)*(VLOOKUP(Financials!$B24,Inputs!$B$3:$D$21,3,0)*(1+Inputs!$L$10)^Financials!JM$3)*JM$8))</f>
        <v>0</v>
      </c>
      <c r="JN24" s="18">
        <f>IF(JN$1&lt;CapEx!$O$7,0,(VLOOKUP($B24,Inputs!$B$25:$D$44,3,0)*(VLOOKUP(Financials!$B24,Inputs!$B$3:$D$21,3,0)*(1+Inputs!$L$10)^Financials!JN$3)*JN$8))</f>
        <v>0</v>
      </c>
      <c r="JO24" s="18">
        <f>IF(JO$1&lt;CapEx!$O$7,0,(VLOOKUP($B24,Inputs!$B$25:$D$44,3,0)*(VLOOKUP(Financials!$B24,Inputs!$B$3:$D$21,3,0)*(1+Inputs!$L$10)^Financials!JO$3)*JO$8))</f>
        <v>0</v>
      </c>
      <c r="JP24" s="18">
        <f>IF(JP$1&lt;CapEx!$O$7,0,(VLOOKUP($B24,Inputs!$B$25:$D$44,3,0)*(VLOOKUP(Financials!$B24,Inputs!$B$3:$D$21,3,0)*(1+Inputs!$L$10)^Financials!JP$3)*JP$8))</f>
        <v>0</v>
      </c>
      <c r="JQ24" s="18">
        <f>IF(JQ$1&lt;CapEx!$O$7,0,(VLOOKUP($B24,Inputs!$B$25:$D$44,3,0)*(VLOOKUP(Financials!$B24,Inputs!$B$3:$D$21,3,0)*(1+Inputs!$L$10)^Financials!JQ$3)*JQ$8))</f>
        <v>0</v>
      </c>
      <c r="JR24" s="18">
        <f>IF(JR$1&lt;CapEx!$O$7,0,(VLOOKUP($B24,Inputs!$B$25:$D$44,3,0)*(VLOOKUP(Financials!$B24,Inputs!$B$3:$D$21,3,0)*(1+Inputs!$L$10)^Financials!JR$3)*JR$8))</f>
        <v>0</v>
      </c>
    </row>
    <row r="25" spans="2:278" x14ac:dyDescent="0.2">
      <c r="B25" s="22" t="str">
        <f>Inputs!B18</f>
        <v>Gas</v>
      </c>
      <c r="C25" s="18">
        <f>IF(C$1&lt;CapEx!$O$7,0,(VLOOKUP($B25,Inputs!$B$25:$D$44,3,0)*(VLOOKUP(Financials!$B25,Inputs!$B$3:$D$21,3,0)*(1+Inputs!$L$10)^Financials!C$3)*C$8))</f>
        <v>0</v>
      </c>
      <c r="D25" s="18">
        <f>IF(D$1&lt;CapEx!$O$7,0,(VLOOKUP($B25,Inputs!$B$25:$D$44,3,0)*(VLOOKUP(Financials!$B25,Inputs!$B$3:$D$21,3,0)*(1+Inputs!$L$10)^Financials!D$3)*D$8))</f>
        <v>0</v>
      </c>
      <c r="E25" s="18">
        <f>IF(E$1&lt;CapEx!$O$7,0,(VLOOKUP($B25,Inputs!$B$25:$D$44,3,0)*(VLOOKUP(Financials!$B25,Inputs!$B$3:$D$21,3,0)*(1+Inputs!$L$10)^Financials!E$3)*E$8))</f>
        <v>0</v>
      </c>
      <c r="F25" s="18">
        <f>IF(F$1&lt;CapEx!$O$7,0,(VLOOKUP($B25,Inputs!$B$25:$D$44,3,0)*(VLOOKUP(Financials!$B25,Inputs!$B$3:$D$21,3,0)*(1+Inputs!$L$10)^Financials!F$3)*F$8))</f>
        <v>0</v>
      </c>
      <c r="G25" s="18">
        <f>IF(G$1&lt;CapEx!$O$7,0,(VLOOKUP($B25,Inputs!$B$25:$D$44,3,0)*(VLOOKUP(Financials!$B25,Inputs!$B$3:$D$21,3,0)*(1+Inputs!$L$10)^Financials!G$3)*G$8))</f>
        <v>0</v>
      </c>
      <c r="H25" s="18">
        <f>IF(H$1&lt;CapEx!$O$7,0,(VLOOKUP($B25,Inputs!$B$25:$D$44,3,0)*(VLOOKUP(Financials!$B25,Inputs!$B$3:$D$21,3,0)*(1+Inputs!$L$10)^Financials!H$3)*H$8))</f>
        <v>0</v>
      </c>
      <c r="I25" s="18">
        <f>IF(I$1&lt;CapEx!$O$7,0,(VLOOKUP($B25,Inputs!$B$25:$D$44,3,0)*(VLOOKUP(Financials!$B25,Inputs!$B$3:$D$21,3,0)*(1+Inputs!$L$10)^Financials!I$3)*I$8))</f>
        <v>0</v>
      </c>
      <c r="J25" s="18">
        <f>IF(J$1&lt;CapEx!$O$7,0,(VLOOKUP($B25,Inputs!$B$25:$D$44,3,0)*(VLOOKUP(Financials!$B25,Inputs!$B$3:$D$21,3,0)*(1+Inputs!$L$10)^Financials!J$3)*J$8))</f>
        <v>0</v>
      </c>
      <c r="K25" s="18">
        <f>IF(K$1&lt;CapEx!$O$7,0,(VLOOKUP($B25,Inputs!$B$25:$D$44,3,0)*(VLOOKUP(Financials!$B25,Inputs!$B$3:$D$21,3,0)*(1+Inputs!$L$10)^Financials!K$3)*K$8))</f>
        <v>0</v>
      </c>
      <c r="L25" s="18">
        <f>IF(L$1&lt;CapEx!$O$7,0,(VLOOKUP($B25,Inputs!$B$25:$D$44,3,0)*(VLOOKUP(Financials!$B25,Inputs!$B$3:$D$21,3,0)*(1+Inputs!$L$10)^Financials!L$3)*L$8))</f>
        <v>0</v>
      </c>
      <c r="M25" s="18">
        <f>IF(M$1&lt;CapEx!$O$7,0,(VLOOKUP($B25,Inputs!$B$25:$D$44,3,0)*(VLOOKUP(Financials!$B25,Inputs!$B$3:$D$21,3,0)*(1+Inputs!$L$10)^Financials!M$3)*M$8))</f>
        <v>0</v>
      </c>
      <c r="N25" s="18">
        <f>IF(N$1&lt;CapEx!$O$7,0,(VLOOKUP($B25,Inputs!$B$25:$D$44,3,0)*(VLOOKUP(Financials!$B25,Inputs!$B$3:$D$21,3,0)*(1+Inputs!$L$10)^Financials!N$3)*N$8))</f>
        <v>0</v>
      </c>
      <c r="O25" s="18">
        <f>IF(O$1&lt;CapEx!$O$7,0,(VLOOKUP($B25,Inputs!$B$25:$D$44,3,0)*(VLOOKUP(Financials!$B25,Inputs!$B$3:$D$21,3,0)*(1+Inputs!$L$10)^Financials!O$3)*O$8))</f>
        <v>0</v>
      </c>
      <c r="P25" s="18">
        <f>IF(P$1&lt;CapEx!$O$7,0,(VLOOKUP($B25,Inputs!$B$25:$D$44,3,0)*(VLOOKUP(Financials!$B25,Inputs!$B$3:$D$21,3,0)*(1+Inputs!$L$10)^Financials!P$3)*P$8))</f>
        <v>0</v>
      </c>
      <c r="Q25" s="18">
        <f>IF(Q$1&lt;CapEx!$O$7,0,(VLOOKUP($B25,Inputs!$B$25:$D$44,3,0)*(VLOOKUP(Financials!$B25,Inputs!$B$3:$D$21,3,0)*(1+Inputs!$L$10)^Financials!Q$3)*Q$8))</f>
        <v>0</v>
      </c>
      <c r="R25" s="18">
        <f>IF(R$1&lt;CapEx!$O$7,0,(VLOOKUP($B25,Inputs!$B$25:$D$44,3,0)*(VLOOKUP(Financials!$B25,Inputs!$B$3:$D$21,3,0)*(1+Inputs!$L$10)^Financials!R$3)*R$8))</f>
        <v>0</v>
      </c>
      <c r="S25" s="18">
        <f>IF(S$1&lt;CapEx!$O$7,0,(VLOOKUP($B25,Inputs!$B$25:$D$44,3,0)*(VLOOKUP(Financials!$B25,Inputs!$B$3:$D$21,3,0)*(1+Inputs!$L$10)^Financials!S$3)*S$8))</f>
        <v>0</v>
      </c>
      <c r="T25" s="18">
        <f>IF(T$1&lt;CapEx!$O$7,0,(VLOOKUP($B25,Inputs!$B$25:$D$44,3,0)*(VLOOKUP(Financials!$B25,Inputs!$B$3:$D$21,3,0)*(1+Inputs!$L$10)^Financials!T$3)*T$8))</f>
        <v>0</v>
      </c>
      <c r="U25" s="18">
        <f>IF(U$1&lt;CapEx!$O$7,0,(VLOOKUP($B25,Inputs!$B$25:$D$44,3,0)*(VLOOKUP(Financials!$B25,Inputs!$B$3:$D$21,3,0)*(1+Inputs!$L$10)^Financials!U$3)*U$8))</f>
        <v>0</v>
      </c>
      <c r="V25" s="18">
        <f>IF(V$1&lt;CapEx!$O$7,0,(VLOOKUP($B25,Inputs!$B$25:$D$44,3,0)*(VLOOKUP(Financials!$B25,Inputs!$B$3:$D$21,3,0)*(1+Inputs!$L$10)^Financials!V$3)*V$8))</f>
        <v>0</v>
      </c>
      <c r="W25" s="18">
        <f>IF(W$1&lt;CapEx!$O$7,0,(VLOOKUP($B25,Inputs!$B$25:$D$44,3,0)*(VLOOKUP(Financials!$B25,Inputs!$B$3:$D$21,3,0)*(1+Inputs!$L$10)^Financials!W$3)*W$8))</f>
        <v>0</v>
      </c>
      <c r="X25" s="18">
        <f>IF(X$1&lt;CapEx!$O$7,0,(VLOOKUP($B25,Inputs!$B$25:$D$44,3,0)*(VLOOKUP(Financials!$B25,Inputs!$B$3:$D$21,3,0)*(1+Inputs!$L$10)^Financials!X$3)*X$8))</f>
        <v>0</v>
      </c>
      <c r="Y25" s="18">
        <f>IF(Y$1&lt;CapEx!$O$7,0,(VLOOKUP($B25,Inputs!$B$25:$D$44,3,0)*(VLOOKUP(Financials!$B25,Inputs!$B$3:$D$21,3,0)*(1+Inputs!$L$10)^Financials!Y$3)*Y$8))</f>
        <v>0</v>
      </c>
      <c r="Z25" s="18">
        <f>IF(Z$1&lt;CapEx!$O$7,0,(VLOOKUP($B25,Inputs!$B$25:$D$44,3,0)*(VLOOKUP(Financials!$B25,Inputs!$B$3:$D$21,3,0)*(1+Inputs!$L$10)^Financials!Z$3)*Z$8))</f>
        <v>0</v>
      </c>
      <c r="AA25" s="18">
        <f>IF(AA$1&lt;CapEx!$O$7,0,(VLOOKUP($B25,Inputs!$B$25:$D$44,3,0)*(VLOOKUP(Financials!$B25,Inputs!$B$3:$D$21,3,0)*(1+Inputs!$L$10)^Financials!AA$3)*AA$8))</f>
        <v>0</v>
      </c>
      <c r="AB25" s="18">
        <f>IF(AB$1&lt;CapEx!$O$7,0,(VLOOKUP($B25,Inputs!$B$25:$D$44,3,0)*(VLOOKUP(Financials!$B25,Inputs!$B$3:$D$21,3,0)*(1+Inputs!$L$10)^Financials!AB$3)*AB$8))</f>
        <v>0</v>
      </c>
      <c r="AC25" s="18">
        <f>IF(AC$1&lt;CapEx!$O$7,0,(VLOOKUP($B25,Inputs!$B$25:$D$44,3,0)*(VLOOKUP(Financials!$B25,Inputs!$B$3:$D$21,3,0)*(1+Inputs!$L$10)^Financials!AC$3)*AC$8))</f>
        <v>0</v>
      </c>
      <c r="AD25" s="18">
        <f>IF(AD$1&lt;CapEx!$O$7,0,(VLOOKUP($B25,Inputs!$B$25:$D$44,3,0)*(VLOOKUP(Financials!$B25,Inputs!$B$3:$D$21,3,0)*(1+Inputs!$L$10)^Financials!AD$3)*AD$8))</f>
        <v>0</v>
      </c>
      <c r="AE25" s="18">
        <f>IF(AE$1&lt;CapEx!$O$7,0,(VLOOKUP($B25,Inputs!$B$25:$D$44,3,0)*(VLOOKUP(Financials!$B25,Inputs!$B$3:$D$21,3,0)*(1+Inputs!$L$10)^Financials!AE$3)*AE$8))</f>
        <v>0</v>
      </c>
      <c r="AF25" s="18">
        <f>IF(AF$1&lt;CapEx!$O$7,0,(VLOOKUP($B25,Inputs!$B$25:$D$44,3,0)*(VLOOKUP(Financials!$B25,Inputs!$B$3:$D$21,3,0)*(1+Inputs!$L$10)^Financials!AF$3)*AF$8))</f>
        <v>0</v>
      </c>
      <c r="AG25" s="18">
        <f>IF(AG$1&lt;CapEx!$O$7,0,(VLOOKUP($B25,Inputs!$B$25:$D$44,3,0)*(VLOOKUP(Financials!$B25,Inputs!$B$3:$D$21,3,0)*(1+Inputs!$L$10)^Financials!AG$3)*AG$8))</f>
        <v>0</v>
      </c>
      <c r="AH25" s="18">
        <f>IF(AH$1&lt;CapEx!$O$7,0,(VLOOKUP($B25,Inputs!$B$25:$D$44,3,0)*(VLOOKUP(Financials!$B25,Inputs!$B$3:$D$21,3,0)*(1+Inputs!$L$10)^Financials!AH$3)*AH$8))</f>
        <v>0</v>
      </c>
      <c r="AI25" s="18">
        <f>IF(AI$1&lt;CapEx!$O$7,0,(VLOOKUP($B25,Inputs!$B$25:$D$44,3,0)*(VLOOKUP(Financials!$B25,Inputs!$B$3:$D$21,3,0)*(1+Inputs!$L$10)^Financials!AI$3)*AI$8))</f>
        <v>0</v>
      </c>
      <c r="AJ25" s="18">
        <f>IF(AJ$1&lt;CapEx!$O$7,0,(VLOOKUP($B25,Inputs!$B$25:$D$44,3,0)*(VLOOKUP(Financials!$B25,Inputs!$B$3:$D$21,3,0)*(1+Inputs!$L$10)^Financials!AJ$3)*AJ$8))</f>
        <v>0</v>
      </c>
      <c r="AK25" s="18">
        <f>IF(AK$1&lt;CapEx!$O$7,0,(VLOOKUP($B25,Inputs!$B$25:$D$44,3,0)*(VLOOKUP(Financials!$B25,Inputs!$B$3:$D$21,3,0)*(1+Inputs!$L$10)^Financials!AK$3)*AK$8))</f>
        <v>0</v>
      </c>
      <c r="AL25" s="18">
        <f>IF(AL$1&lt;CapEx!$O$7,0,(VLOOKUP($B25,Inputs!$B$25:$D$44,3,0)*(VLOOKUP(Financials!$B25,Inputs!$B$3:$D$21,3,0)*(1+Inputs!$L$10)^Financials!AL$3)*AL$8))</f>
        <v>0</v>
      </c>
      <c r="AM25" s="18">
        <f>IF(AM$1&lt;CapEx!$O$7,0,(VLOOKUP($B25,Inputs!$B$25:$D$44,3,0)*(VLOOKUP(Financials!$B25,Inputs!$B$3:$D$21,3,0)*(1+Inputs!$L$10)^Financials!AM$3)*AM$8))</f>
        <v>0</v>
      </c>
      <c r="AN25" s="18">
        <f>IF(AN$1&lt;CapEx!$O$7,0,(VLOOKUP($B25,Inputs!$B$25:$D$44,3,0)*(VLOOKUP(Financials!$B25,Inputs!$B$3:$D$21,3,0)*(1+Inputs!$L$10)^Financials!AN$3)*AN$8))</f>
        <v>0</v>
      </c>
      <c r="AO25" s="18">
        <f>IF(AO$1&lt;CapEx!$O$7,0,(VLOOKUP($B25,Inputs!$B$25:$D$44,3,0)*(VLOOKUP(Financials!$B25,Inputs!$B$3:$D$21,3,0)*(1+Inputs!$L$10)^Financials!AO$3)*AO$8))</f>
        <v>0</v>
      </c>
      <c r="AP25" s="18">
        <f>IF(AP$1&lt;CapEx!$O$7,0,(VLOOKUP($B25,Inputs!$B$25:$D$44,3,0)*(VLOOKUP(Financials!$B25,Inputs!$B$3:$D$21,3,0)*(1+Inputs!$L$10)^Financials!AP$3)*AP$8))</f>
        <v>0</v>
      </c>
      <c r="AQ25" s="18">
        <f>IF(AQ$1&lt;CapEx!$O$7,0,(VLOOKUP($B25,Inputs!$B$25:$D$44,3,0)*(VLOOKUP(Financials!$B25,Inputs!$B$3:$D$21,3,0)*(1+Inputs!$L$10)^Financials!AQ$3)*AQ$8))</f>
        <v>0</v>
      </c>
      <c r="AR25" s="18">
        <f>IF(AR$1&lt;CapEx!$O$7,0,(VLOOKUP($B25,Inputs!$B$25:$D$44,3,0)*(VLOOKUP(Financials!$B25,Inputs!$B$3:$D$21,3,0)*(1+Inputs!$L$10)^Financials!AR$3)*AR$8))</f>
        <v>0</v>
      </c>
      <c r="AS25" s="18">
        <f>IF(AS$1&lt;CapEx!$O$7,0,(VLOOKUP($B25,Inputs!$B$25:$D$44,3,0)*(VLOOKUP(Financials!$B25,Inputs!$B$3:$D$21,3,0)*(1+Inputs!$L$10)^Financials!AS$3)*AS$8))</f>
        <v>0</v>
      </c>
      <c r="AT25" s="18">
        <f>IF(AT$1&lt;CapEx!$O$7,0,(VLOOKUP($B25,Inputs!$B$25:$D$44,3,0)*(VLOOKUP(Financials!$B25,Inputs!$B$3:$D$21,3,0)*(1+Inputs!$L$10)^Financials!AT$3)*AT$8))</f>
        <v>0</v>
      </c>
      <c r="AU25" s="18">
        <f>IF(AU$1&lt;CapEx!$O$7,0,(VLOOKUP($B25,Inputs!$B$25:$D$44,3,0)*(VLOOKUP(Financials!$B25,Inputs!$B$3:$D$21,3,0)*(1+Inputs!$L$10)^Financials!AU$3)*AU$8))</f>
        <v>0</v>
      </c>
      <c r="AV25" s="18">
        <f>IF(AV$1&lt;CapEx!$O$7,0,(VLOOKUP($B25,Inputs!$B$25:$D$44,3,0)*(VLOOKUP(Financials!$B25,Inputs!$B$3:$D$21,3,0)*(1+Inputs!$L$10)^Financials!AV$3)*AV$8))</f>
        <v>0</v>
      </c>
      <c r="AW25" s="18">
        <f>IF(AW$1&lt;CapEx!$O$7,0,(VLOOKUP($B25,Inputs!$B$25:$D$44,3,0)*(VLOOKUP(Financials!$B25,Inputs!$B$3:$D$21,3,0)*(1+Inputs!$L$10)^Financials!AW$3)*AW$8))</f>
        <v>0</v>
      </c>
      <c r="AX25" s="18">
        <f>IF(AX$1&lt;CapEx!$O$7,0,(VLOOKUP($B25,Inputs!$B$25:$D$44,3,0)*(VLOOKUP(Financials!$B25,Inputs!$B$3:$D$21,3,0)*(1+Inputs!$L$10)^Financials!AX$3)*AX$8))</f>
        <v>0</v>
      </c>
      <c r="AY25" s="18">
        <f>IF(AY$1&lt;CapEx!$O$7,0,(VLOOKUP($B25,Inputs!$B$25:$D$44,3,0)*(VLOOKUP(Financials!$B25,Inputs!$B$3:$D$21,3,0)*(1+Inputs!$L$10)^Financials!AY$3)*AY$8))</f>
        <v>0</v>
      </c>
      <c r="AZ25" s="18">
        <f>IF(AZ$1&lt;CapEx!$O$7,0,(VLOOKUP($B25,Inputs!$B$25:$D$44,3,0)*(VLOOKUP(Financials!$B25,Inputs!$B$3:$D$21,3,0)*(1+Inputs!$L$10)^Financials!AZ$3)*AZ$8))</f>
        <v>0</v>
      </c>
      <c r="BA25" s="18">
        <f>IF(BA$1&lt;CapEx!$O$7,0,(VLOOKUP($B25,Inputs!$B$25:$D$44,3,0)*(VLOOKUP(Financials!$B25,Inputs!$B$3:$D$21,3,0)*(1+Inputs!$L$10)^Financials!BA$3)*BA$8))</f>
        <v>0</v>
      </c>
      <c r="BB25" s="18">
        <f>IF(BB$1&lt;CapEx!$O$7,0,(VLOOKUP($B25,Inputs!$B$25:$D$44,3,0)*(VLOOKUP(Financials!$B25,Inputs!$B$3:$D$21,3,0)*(1+Inputs!$L$10)^Financials!BB$3)*BB$8))</f>
        <v>0</v>
      </c>
      <c r="BC25" s="18">
        <f>IF(BC$1&lt;CapEx!$O$7,0,(VLOOKUP($B25,Inputs!$B$25:$D$44,3,0)*(VLOOKUP(Financials!$B25,Inputs!$B$3:$D$21,3,0)*(1+Inputs!$L$10)^Financials!BC$3)*BC$8))</f>
        <v>0</v>
      </c>
      <c r="BD25" s="18">
        <f>IF(BD$1&lt;CapEx!$O$7,0,(VLOOKUP($B25,Inputs!$B$25:$D$44,3,0)*(VLOOKUP(Financials!$B25,Inputs!$B$3:$D$21,3,0)*(1+Inputs!$L$10)^Financials!BD$3)*BD$8))</f>
        <v>0</v>
      </c>
      <c r="BE25" s="18">
        <f>IF(BE$1&lt;CapEx!$O$7,0,(VLOOKUP($B25,Inputs!$B$25:$D$44,3,0)*(VLOOKUP(Financials!$B25,Inputs!$B$3:$D$21,3,0)*(1+Inputs!$L$10)^Financials!BE$3)*BE$8))</f>
        <v>0</v>
      </c>
      <c r="BF25" s="18">
        <f>IF(BF$1&lt;CapEx!$O$7,0,(VLOOKUP($B25,Inputs!$B$25:$D$44,3,0)*(VLOOKUP(Financials!$B25,Inputs!$B$3:$D$21,3,0)*(1+Inputs!$L$10)^Financials!BF$3)*BF$8))</f>
        <v>0</v>
      </c>
      <c r="BG25" s="18">
        <f>IF(BG$1&lt;CapEx!$O$7,0,(VLOOKUP($B25,Inputs!$B$25:$D$44,3,0)*(VLOOKUP(Financials!$B25,Inputs!$B$3:$D$21,3,0)*(1+Inputs!$L$10)^Financials!BG$3)*BG$8))</f>
        <v>0</v>
      </c>
      <c r="BH25" s="18">
        <f>IF(BH$1&lt;CapEx!$O$7,0,(VLOOKUP($B25,Inputs!$B$25:$D$44,3,0)*(VLOOKUP(Financials!$B25,Inputs!$B$3:$D$21,3,0)*(1+Inputs!$L$10)^Financials!BH$3)*BH$8))</f>
        <v>0</v>
      </c>
      <c r="BI25" s="18">
        <f>IF(BI$1&lt;CapEx!$O$7,0,(VLOOKUP($B25,Inputs!$B$25:$D$44,3,0)*(VLOOKUP(Financials!$B25,Inputs!$B$3:$D$21,3,0)*(1+Inputs!$L$10)^Financials!BI$3)*BI$8))</f>
        <v>0</v>
      </c>
      <c r="BJ25" s="18">
        <f>IF(BJ$1&lt;CapEx!$O$7,0,(VLOOKUP($B25,Inputs!$B$25:$D$44,3,0)*(VLOOKUP(Financials!$B25,Inputs!$B$3:$D$21,3,0)*(1+Inputs!$L$10)^Financials!BJ$3)*BJ$8))</f>
        <v>0</v>
      </c>
      <c r="BK25" s="18">
        <f>IF(BK$1&lt;CapEx!$O$7,0,(VLOOKUP($B25,Inputs!$B$25:$D$44,3,0)*(VLOOKUP(Financials!$B25,Inputs!$B$3:$D$21,3,0)*(1+Inputs!$L$10)^Financials!BK$3)*BK$8))</f>
        <v>0</v>
      </c>
      <c r="BL25" s="18">
        <f>IF(BL$1&lt;CapEx!$O$7,0,(VLOOKUP($B25,Inputs!$B$25:$D$44,3,0)*(VLOOKUP(Financials!$B25,Inputs!$B$3:$D$21,3,0)*(1+Inputs!$L$10)^Financials!BL$3)*BL$8))</f>
        <v>0</v>
      </c>
      <c r="BM25" s="18">
        <f>IF(BM$1&lt;CapEx!$O$7,0,(VLOOKUP($B25,Inputs!$B$25:$D$44,3,0)*(VLOOKUP(Financials!$B25,Inputs!$B$3:$D$21,3,0)*(1+Inputs!$L$10)^Financials!BM$3)*BM$8))</f>
        <v>0</v>
      </c>
      <c r="BN25" s="18">
        <f>IF(BN$1&lt;CapEx!$O$7,0,(VLOOKUP($B25,Inputs!$B$25:$D$44,3,0)*(VLOOKUP(Financials!$B25,Inputs!$B$3:$D$21,3,0)*(1+Inputs!$L$10)^Financials!BN$3)*BN$8))</f>
        <v>0</v>
      </c>
      <c r="BO25" s="18">
        <f>IF(BO$1&lt;CapEx!$O$7,0,(VLOOKUP($B25,Inputs!$B$25:$D$44,3,0)*(VLOOKUP(Financials!$B25,Inputs!$B$3:$D$21,3,0)*(1+Inputs!$L$10)^Financials!BO$3)*BO$8))</f>
        <v>0</v>
      </c>
      <c r="BP25" s="18">
        <f>IF(BP$1&lt;CapEx!$O$7,0,(VLOOKUP($B25,Inputs!$B$25:$D$44,3,0)*(VLOOKUP(Financials!$B25,Inputs!$B$3:$D$21,3,0)*(1+Inputs!$L$10)^Financials!BP$3)*BP$8))</f>
        <v>0</v>
      </c>
      <c r="BQ25" s="18">
        <f>IF(BQ$1&lt;CapEx!$O$7,0,(VLOOKUP($B25,Inputs!$B$25:$D$44,3,0)*(VLOOKUP(Financials!$B25,Inputs!$B$3:$D$21,3,0)*(1+Inputs!$L$10)^Financials!BQ$3)*BQ$8))</f>
        <v>0</v>
      </c>
      <c r="BR25" s="18">
        <f>IF(BR$1&lt;CapEx!$O$7,0,(VLOOKUP($B25,Inputs!$B$25:$D$44,3,0)*(VLOOKUP(Financials!$B25,Inputs!$B$3:$D$21,3,0)*(1+Inputs!$L$10)^Financials!BR$3)*BR$8))</f>
        <v>0</v>
      </c>
      <c r="BS25" s="18">
        <f>IF(BS$1&lt;CapEx!$O$7,0,(VLOOKUP($B25,Inputs!$B$25:$D$44,3,0)*(VLOOKUP(Financials!$B25,Inputs!$B$3:$D$21,3,0)*(1+Inputs!$L$10)^Financials!BS$3)*BS$8))</f>
        <v>0</v>
      </c>
      <c r="BT25" s="18">
        <f>IF(BT$1&lt;CapEx!$O$7,0,(VLOOKUP($B25,Inputs!$B$25:$D$44,3,0)*(VLOOKUP(Financials!$B25,Inputs!$B$3:$D$21,3,0)*(1+Inputs!$L$10)^Financials!BT$3)*BT$8))</f>
        <v>0</v>
      </c>
      <c r="BU25" s="18">
        <f>IF(BU$1&lt;CapEx!$O$7,0,(VLOOKUP($B25,Inputs!$B$25:$D$44,3,0)*(VLOOKUP(Financials!$B25,Inputs!$B$3:$D$21,3,0)*(1+Inputs!$L$10)^Financials!BU$3)*BU$8))</f>
        <v>0</v>
      </c>
      <c r="BV25" s="18">
        <f>IF(BV$1&lt;CapEx!$O$7,0,(VLOOKUP($B25,Inputs!$B$25:$D$44,3,0)*(VLOOKUP(Financials!$B25,Inputs!$B$3:$D$21,3,0)*(1+Inputs!$L$10)^Financials!BV$3)*BV$8))</f>
        <v>0</v>
      </c>
      <c r="BW25" s="18">
        <f>IF(BW$1&lt;CapEx!$O$7,0,(VLOOKUP($B25,Inputs!$B$25:$D$44,3,0)*(VLOOKUP(Financials!$B25,Inputs!$B$3:$D$21,3,0)*(1+Inputs!$L$10)^Financials!BW$3)*BW$8))</f>
        <v>0</v>
      </c>
      <c r="BX25" s="18">
        <f>IF(BX$1&lt;CapEx!$O$7,0,(VLOOKUP($B25,Inputs!$B$25:$D$44,3,0)*(VLOOKUP(Financials!$B25,Inputs!$B$3:$D$21,3,0)*(1+Inputs!$L$10)^Financials!BX$3)*BX$8))</f>
        <v>0</v>
      </c>
      <c r="BY25" s="18">
        <f>IF(BY$1&lt;CapEx!$O$7,0,(VLOOKUP($B25,Inputs!$B$25:$D$44,3,0)*(VLOOKUP(Financials!$B25,Inputs!$B$3:$D$21,3,0)*(1+Inputs!$L$10)^Financials!BY$3)*BY$8))</f>
        <v>0</v>
      </c>
      <c r="BZ25" s="18">
        <f>IF(BZ$1&lt;CapEx!$O$7,0,(VLOOKUP($B25,Inputs!$B$25:$D$44,3,0)*(VLOOKUP(Financials!$B25,Inputs!$B$3:$D$21,3,0)*(1+Inputs!$L$10)^Financials!BZ$3)*BZ$8))</f>
        <v>0</v>
      </c>
      <c r="CA25" s="18">
        <f>IF(CA$1&lt;CapEx!$O$7,0,(VLOOKUP($B25,Inputs!$B$25:$D$44,3,0)*(VLOOKUP(Financials!$B25,Inputs!$B$3:$D$21,3,0)*(1+Inputs!$L$10)^Financials!CA$3)*CA$8))</f>
        <v>0</v>
      </c>
      <c r="CB25" s="18">
        <f>IF(CB$1&lt;CapEx!$O$7,0,(VLOOKUP($B25,Inputs!$B$25:$D$44,3,0)*(VLOOKUP(Financials!$B25,Inputs!$B$3:$D$21,3,0)*(1+Inputs!$L$10)^Financials!CB$3)*CB$8))</f>
        <v>0</v>
      </c>
      <c r="CC25" s="18">
        <f>IF(CC$1&lt;CapEx!$O$7,0,(VLOOKUP($B25,Inputs!$B$25:$D$44,3,0)*(VLOOKUP(Financials!$B25,Inputs!$B$3:$D$21,3,0)*(1+Inputs!$L$10)^Financials!CC$3)*CC$8))</f>
        <v>0</v>
      </c>
      <c r="CD25" s="18">
        <f>IF(CD$1&lt;CapEx!$O$7,0,(VLOOKUP($B25,Inputs!$B$25:$D$44,3,0)*(VLOOKUP(Financials!$B25,Inputs!$B$3:$D$21,3,0)*(1+Inputs!$L$10)^Financials!CD$3)*CD$8))</f>
        <v>0</v>
      </c>
      <c r="CE25" s="18">
        <f>IF(CE$1&lt;CapEx!$O$7,0,(VLOOKUP($B25,Inputs!$B$25:$D$44,3,0)*(VLOOKUP(Financials!$B25,Inputs!$B$3:$D$21,3,0)*(1+Inputs!$L$10)^Financials!CE$3)*CE$8))</f>
        <v>0</v>
      </c>
      <c r="CF25" s="18">
        <f>IF(CF$1&lt;CapEx!$O$7,0,(VLOOKUP($B25,Inputs!$B$25:$D$44,3,0)*(VLOOKUP(Financials!$B25,Inputs!$B$3:$D$21,3,0)*(1+Inputs!$L$10)^Financials!CF$3)*CF$8))</f>
        <v>0</v>
      </c>
      <c r="CG25" s="18">
        <f>IF(CG$1&lt;CapEx!$O$7,0,(VLOOKUP($B25,Inputs!$B$25:$D$44,3,0)*(VLOOKUP(Financials!$B25,Inputs!$B$3:$D$21,3,0)*(1+Inputs!$L$10)^Financials!CG$3)*CG$8))</f>
        <v>0</v>
      </c>
      <c r="CH25" s="18">
        <f>IF(CH$1&lt;CapEx!$O$7,0,(VLOOKUP($B25,Inputs!$B$25:$D$44,3,0)*(VLOOKUP(Financials!$B25,Inputs!$B$3:$D$21,3,0)*(1+Inputs!$L$10)^Financials!CH$3)*CH$8))</f>
        <v>0</v>
      </c>
      <c r="CI25" s="18">
        <f>IF(CI$1&lt;CapEx!$O$7,0,(VLOOKUP($B25,Inputs!$B$25:$D$44,3,0)*(VLOOKUP(Financials!$B25,Inputs!$B$3:$D$21,3,0)*(1+Inputs!$L$10)^Financials!CI$3)*CI$8))</f>
        <v>0</v>
      </c>
      <c r="CJ25" s="18">
        <f>IF(CJ$1&lt;CapEx!$O$7,0,(VLOOKUP($B25,Inputs!$B$25:$D$44,3,0)*(VLOOKUP(Financials!$B25,Inputs!$B$3:$D$21,3,0)*(1+Inputs!$L$10)^Financials!CJ$3)*CJ$8))</f>
        <v>0</v>
      </c>
      <c r="CK25" s="18">
        <f>IF(CK$1&lt;CapEx!$O$7,0,(VLOOKUP($B25,Inputs!$B$25:$D$44,3,0)*(VLOOKUP(Financials!$B25,Inputs!$B$3:$D$21,3,0)*(1+Inputs!$L$10)^Financials!CK$3)*CK$8))</f>
        <v>0</v>
      </c>
      <c r="CL25" s="18">
        <f>IF(CL$1&lt;CapEx!$O$7,0,(VLOOKUP($B25,Inputs!$B$25:$D$44,3,0)*(VLOOKUP(Financials!$B25,Inputs!$B$3:$D$21,3,0)*(1+Inputs!$L$10)^Financials!CL$3)*CL$8))</f>
        <v>0</v>
      </c>
      <c r="CM25" s="18">
        <f>IF(CM$1&lt;CapEx!$O$7,0,(VLOOKUP($B25,Inputs!$B$25:$D$44,3,0)*(VLOOKUP(Financials!$B25,Inputs!$B$3:$D$21,3,0)*(1+Inputs!$L$10)^Financials!CM$3)*CM$8))</f>
        <v>0</v>
      </c>
      <c r="CN25" s="18">
        <f>IF(CN$1&lt;CapEx!$O$7,0,(VLOOKUP($B25,Inputs!$B$25:$D$44,3,0)*(VLOOKUP(Financials!$B25,Inputs!$B$3:$D$21,3,0)*(1+Inputs!$L$10)^Financials!CN$3)*CN$8))</f>
        <v>0</v>
      </c>
      <c r="CO25" s="18">
        <f>IF(CO$1&lt;CapEx!$O$7,0,(VLOOKUP($B25,Inputs!$B$25:$D$44,3,0)*(VLOOKUP(Financials!$B25,Inputs!$B$3:$D$21,3,0)*(1+Inputs!$L$10)^Financials!CO$3)*CO$8))</f>
        <v>0</v>
      </c>
      <c r="CP25" s="18">
        <f>IF(CP$1&lt;CapEx!$O$7,0,(VLOOKUP($B25,Inputs!$B$25:$D$44,3,0)*(VLOOKUP(Financials!$B25,Inputs!$B$3:$D$21,3,0)*(1+Inputs!$L$10)^Financials!CP$3)*CP$8))</f>
        <v>0</v>
      </c>
      <c r="CQ25" s="18">
        <f>IF(CQ$1&lt;CapEx!$O$7,0,(VLOOKUP($B25,Inputs!$B$25:$D$44,3,0)*(VLOOKUP(Financials!$B25,Inputs!$B$3:$D$21,3,0)*(1+Inputs!$L$10)^Financials!CQ$3)*CQ$8))</f>
        <v>0</v>
      </c>
      <c r="CR25" s="18">
        <f>IF(CR$1&lt;CapEx!$O$7,0,(VLOOKUP($B25,Inputs!$B$25:$D$44,3,0)*(VLOOKUP(Financials!$B25,Inputs!$B$3:$D$21,3,0)*(1+Inputs!$L$10)^Financials!CR$3)*CR$8))</f>
        <v>0</v>
      </c>
      <c r="CS25" s="18">
        <f>IF(CS$1&lt;CapEx!$O$7,0,(VLOOKUP($B25,Inputs!$B$25:$D$44,3,0)*(VLOOKUP(Financials!$B25,Inputs!$B$3:$D$21,3,0)*(1+Inputs!$L$10)^Financials!CS$3)*CS$8))</f>
        <v>0</v>
      </c>
      <c r="CT25" s="18">
        <f>IF(CT$1&lt;CapEx!$O$7,0,(VLOOKUP($B25,Inputs!$B$25:$D$44,3,0)*(VLOOKUP(Financials!$B25,Inputs!$B$3:$D$21,3,0)*(1+Inputs!$L$10)^Financials!CT$3)*CT$8))</f>
        <v>0</v>
      </c>
      <c r="CU25" s="18">
        <f>IF(CU$1&lt;CapEx!$O$7,0,(VLOOKUP($B25,Inputs!$B$25:$D$44,3,0)*(VLOOKUP(Financials!$B25,Inputs!$B$3:$D$21,3,0)*(1+Inputs!$L$10)^Financials!CU$3)*CU$8))</f>
        <v>0</v>
      </c>
      <c r="CV25" s="18">
        <f>IF(CV$1&lt;CapEx!$O$7,0,(VLOOKUP($B25,Inputs!$B$25:$D$44,3,0)*(VLOOKUP(Financials!$B25,Inputs!$B$3:$D$21,3,0)*(1+Inputs!$L$10)^Financials!CV$3)*CV$8))</f>
        <v>0</v>
      </c>
      <c r="CW25" s="18">
        <f>IF(CW$1&lt;CapEx!$O$7,0,(VLOOKUP($B25,Inputs!$B$25:$D$44,3,0)*(VLOOKUP(Financials!$B25,Inputs!$B$3:$D$21,3,0)*(1+Inputs!$L$10)^Financials!CW$3)*CW$8))</f>
        <v>0</v>
      </c>
      <c r="CX25" s="18">
        <f>IF(CX$1&lt;CapEx!$O$7,0,(VLOOKUP($B25,Inputs!$B$25:$D$44,3,0)*(VLOOKUP(Financials!$B25,Inputs!$B$3:$D$21,3,0)*(1+Inputs!$L$10)^Financials!CX$3)*CX$8))</f>
        <v>0</v>
      </c>
      <c r="CY25" s="18">
        <f>IF(CY$1&lt;CapEx!$O$7,0,(VLOOKUP($B25,Inputs!$B$25:$D$44,3,0)*(VLOOKUP(Financials!$B25,Inputs!$B$3:$D$21,3,0)*(1+Inputs!$L$10)^Financials!CY$3)*CY$8))</f>
        <v>0</v>
      </c>
      <c r="CZ25" s="18">
        <f>IF(CZ$1&lt;CapEx!$O$7,0,(VLOOKUP($B25,Inputs!$B$25:$D$44,3,0)*(VLOOKUP(Financials!$B25,Inputs!$B$3:$D$21,3,0)*(1+Inputs!$L$10)^Financials!CZ$3)*CZ$8))</f>
        <v>0</v>
      </c>
      <c r="DA25" s="18">
        <f>IF(DA$1&lt;CapEx!$O$7,0,(VLOOKUP($B25,Inputs!$B$25:$D$44,3,0)*(VLOOKUP(Financials!$B25,Inputs!$B$3:$D$21,3,0)*(1+Inputs!$L$10)^Financials!DA$3)*DA$8))</f>
        <v>0</v>
      </c>
      <c r="DB25" s="18">
        <f>IF(DB$1&lt;CapEx!$O$7,0,(VLOOKUP($B25,Inputs!$B$25:$D$44,3,0)*(VLOOKUP(Financials!$B25,Inputs!$B$3:$D$21,3,0)*(1+Inputs!$L$10)^Financials!DB$3)*DB$8))</f>
        <v>0</v>
      </c>
      <c r="DC25" s="18">
        <f>IF(DC$1&lt;CapEx!$O$7,0,(VLOOKUP($B25,Inputs!$B$25:$D$44,3,0)*(VLOOKUP(Financials!$B25,Inputs!$B$3:$D$21,3,0)*(1+Inputs!$L$10)^Financials!DC$3)*DC$8))</f>
        <v>0</v>
      </c>
      <c r="DD25" s="18">
        <f>IF(DD$1&lt;CapEx!$O$7,0,(VLOOKUP($B25,Inputs!$B$25:$D$44,3,0)*(VLOOKUP(Financials!$B25,Inputs!$B$3:$D$21,3,0)*(1+Inputs!$L$10)^Financials!DD$3)*DD$8))</f>
        <v>0</v>
      </c>
      <c r="DE25" s="18">
        <f>IF(DE$1&lt;CapEx!$O$7,0,(VLOOKUP($B25,Inputs!$B$25:$D$44,3,0)*(VLOOKUP(Financials!$B25,Inputs!$B$3:$D$21,3,0)*(1+Inputs!$L$10)^Financials!DE$3)*DE$8))</f>
        <v>0</v>
      </c>
      <c r="DF25" s="18">
        <f>IF(DF$1&lt;CapEx!$O$7,0,(VLOOKUP($B25,Inputs!$B$25:$D$44,3,0)*(VLOOKUP(Financials!$B25,Inputs!$B$3:$D$21,3,0)*(1+Inputs!$L$10)^Financials!DF$3)*DF$8))</f>
        <v>0</v>
      </c>
      <c r="DG25" s="18">
        <f>IF(DG$1&lt;CapEx!$O$7,0,(VLOOKUP($B25,Inputs!$B$25:$D$44,3,0)*(VLOOKUP(Financials!$B25,Inputs!$B$3:$D$21,3,0)*(1+Inputs!$L$10)^Financials!DG$3)*DG$8))</f>
        <v>0</v>
      </c>
      <c r="DH25" s="18">
        <f>IF(DH$1&lt;CapEx!$O$7,0,(VLOOKUP($B25,Inputs!$B$25:$D$44,3,0)*(VLOOKUP(Financials!$B25,Inputs!$B$3:$D$21,3,0)*(1+Inputs!$L$10)^Financials!DH$3)*DH$8))</f>
        <v>0</v>
      </c>
      <c r="DI25" s="18">
        <f>IF(DI$1&lt;CapEx!$O$7,0,(VLOOKUP($B25,Inputs!$B$25:$D$44,3,0)*(VLOOKUP(Financials!$B25,Inputs!$B$3:$D$21,3,0)*(1+Inputs!$L$10)^Financials!DI$3)*DI$8))</f>
        <v>0</v>
      </c>
      <c r="DJ25" s="18">
        <f>IF(DJ$1&lt;CapEx!$O$7,0,(VLOOKUP($B25,Inputs!$B$25:$D$44,3,0)*(VLOOKUP(Financials!$B25,Inputs!$B$3:$D$21,3,0)*(1+Inputs!$L$10)^Financials!DJ$3)*DJ$8))</f>
        <v>0</v>
      </c>
      <c r="DK25" s="18">
        <f>IF(DK$1&lt;CapEx!$O$7,0,(VLOOKUP($B25,Inputs!$B$25:$D$44,3,0)*(VLOOKUP(Financials!$B25,Inputs!$B$3:$D$21,3,0)*(1+Inputs!$L$10)^Financials!DK$3)*DK$8))</f>
        <v>0</v>
      </c>
      <c r="DL25" s="18">
        <f>IF(DL$1&lt;CapEx!$O$7,0,(VLOOKUP($B25,Inputs!$B$25:$D$44,3,0)*(VLOOKUP(Financials!$B25,Inputs!$B$3:$D$21,3,0)*(1+Inputs!$L$10)^Financials!DL$3)*DL$8))</f>
        <v>0</v>
      </c>
      <c r="DM25" s="18">
        <f>IF(DM$1&lt;CapEx!$O$7,0,(VLOOKUP($B25,Inputs!$B$25:$D$44,3,0)*(VLOOKUP(Financials!$B25,Inputs!$B$3:$D$21,3,0)*(1+Inputs!$L$10)^Financials!DM$3)*DM$8))</f>
        <v>0</v>
      </c>
      <c r="DN25" s="18">
        <f>IF(DN$1&lt;CapEx!$O$7,0,(VLOOKUP($B25,Inputs!$B$25:$D$44,3,0)*(VLOOKUP(Financials!$B25,Inputs!$B$3:$D$21,3,0)*(1+Inputs!$L$10)^Financials!DN$3)*DN$8))</f>
        <v>0</v>
      </c>
      <c r="DO25" s="18">
        <f>IF(DO$1&lt;CapEx!$O$7,0,(VLOOKUP($B25,Inputs!$B$25:$D$44,3,0)*(VLOOKUP(Financials!$B25,Inputs!$B$3:$D$21,3,0)*(1+Inputs!$L$10)^Financials!DO$3)*DO$8))</f>
        <v>0</v>
      </c>
      <c r="DP25" s="18">
        <f>IF(DP$1&lt;CapEx!$O$7,0,(VLOOKUP($B25,Inputs!$B$25:$D$44,3,0)*(VLOOKUP(Financials!$B25,Inputs!$B$3:$D$21,3,0)*(1+Inputs!$L$10)^Financials!DP$3)*DP$8))</f>
        <v>0</v>
      </c>
      <c r="DQ25" s="18">
        <f>IF(DQ$1&lt;CapEx!$O$7,0,(VLOOKUP($B25,Inputs!$B$25:$D$44,3,0)*(VLOOKUP(Financials!$B25,Inputs!$B$3:$D$21,3,0)*(1+Inputs!$L$10)^Financials!DQ$3)*DQ$8))</f>
        <v>0</v>
      </c>
      <c r="DR25" s="18">
        <f>IF(DR$1&lt;CapEx!$O$7,0,(VLOOKUP($B25,Inputs!$B$25:$D$44,3,0)*(VLOOKUP(Financials!$B25,Inputs!$B$3:$D$21,3,0)*(1+Inputs!$L$10)^Financials!DR$3)*DR$8))</f>
        <v>0</v>
      </c>
      <c r="DS25" s="18">
        <f>IF(DS$1&lt;CapEx!$O$7,0,(VLOOKUP($B25,Inputs!$B$25:$D$44,3,0)*(VLOOKUP(Financials!$B25,Inputs!$B$3:$D$21,3,0)*(1+Inputs!$L$10)^Financials!DS$3)*DS$8))</f>
        <v>0</v>
      </c>
      <c r="DT25" s="18">
        <f>IF(DT$1&lt;CapEx!$O$7,0,(VLOOKUP($B25,Inputs!$B$25:$D$44,3,0)*(VLOOKUP(Financials!$B25,Inputs!$B$3:$D$21,3,0)*(1+Inputs!$L$10)^Financials!DT$3)*DT$8))</f>
        <v>0</v>
      </c>
      <c r="DU25" s="18">
        <f>IF(DU$1&lt;CapEx!$O$7,0,(VLOOKUP($B25,Inputs!$B$25:$D$44,3,0)*(VLOOKUP(Financials!$B25,Inputs!$B$3:$D$21,3,0)*(1+Inputs!$L$10)^Financials!DU$3)*DU$8))</f>
        <v>0</v>
      </c>
      <c r="DV25" s="18">
        <f>IF(DV$1&lt;CapEx!$O$7,0,(VLOOKUP($B25,Inputs!$B$25:$D$44,3,0)*(VLOOKUP(Financials!$B25,Inputs!$B$3:$D$21,3,0)*(1+Inputs!$L$10)^Financials!DV$3)*DV$8))</f>
        <v>0</v>
      </c>
      <c r="DW25" s="18">
        <f>IF(DW$1&lt;CapEx!$O$7,0,(VLOOKUP($B25,Inputs!$B$25:$D$44,3,0)*(VLOOKUP(Financials!$B25,Inputs!$B$3:$D$21,3,0)*(1+Inputs!$L$10)^Financials!DW$3)*DW$8))</f>
        <v>0</v>
      </c>
      <c r="DX25" s="18">
        <f>IF(DX$1&lt;CapEx!$O$7,0,(VLOOKUP($B25,Inputs!$B$25:$D$44,3,0)*(VLOOKUP(Financials!$B25,Inputs!$B$3:$D$21,3,0)*(1+Inputs!$L$10)^Financials!DX$3)*DX$8))</f>
        <v>0</v>
      </c>
      <c r="DY25" s="18">
        <f>IF(DY$1&lt;CapEx!$O$7,0,(VLOOKUP($B25,Inputs!$B$25:$D$44,3,0)*(VLOOKUP(Financials!$B25,Inputs!$B$3:$D$21,3,0)*(1+Inputs!$L$10)^Financials!DY$3)*DY$8))</f>
        <v>0</v>
      </c>
      <c r="DZ25" s="18">
        <f>IF(DZ$1&lt;CapEx!$O$7,0,(VLOOKUP($B25,Inputs!$B$25:$D$44,3,0)*(VLOOKUP(Financials!$B25,Inputs!$B$3:$D$21,3,0)*(1+Inputs!$L$10)^Financials!DZ$3)*DZ$8))</f>
        <v>0</v>
      </c>
      <c r="EA25" s="18">
        <f>IF(EA$1&lt;CapEx!$O$7,0,(VLOOKUP($B25,Inputs!$B$25:$D$44,3,0)*(VLOOKUP(Financials!$B25,Inputs!$B$3:$D$21,3,0)*(1+Inputs!$L$10)^Financials!EA$3)*EA$8))</f>
        <v>0</v>
      </c>
      <c r="EB25" s="18">
        <f>IF(EB$1&lt;CapEx!$O$7,0,(VLOOKUP($B25,Inputs!$B$25:$D$44,3,0)*(VLOOKUP(Financials!$B25,Inputs!$B$3:$D$21,3,0)*(1+Inputs!$L$10)^Financials!EB$3)*EB$8))</f>
        <v>0</v>
      </c>
      <c r="EC25" s="18">
        <f>IF(EC$1&lt;CapEx!$O$7,0,(VLOOKUP($B25,Inputs!$B$25:$D$44,3,0)*(VLOOKUP(Financials!$B25,Inputs!$B$3:$D$21,3,0)*(1+Inputs!$L$10)^Financials!EC$3)*EC$8))</f>
        <v>0</v>
      </c>
      <c r="ED25" s="18">
        <f>IF(ED$1&lt;CapEx!$O$7,0,(VLOOKUP($B25,Inputs!$B$25:$D$44,3,0)*(VLOOKUP(Financials!$B25,Inputs!$B$3:$D$21,3,0)*(1+Inputs!$L$10)^Financials!ED$3)*ED$8))</f>
        <v>0</v>
      </c>
      <c r="EE25" s="18">
        <f>IF(EE$1&lt;CapEx!$O$7,0,(VLOOKUP($B25,Inputs!$B$25:$D$44,3,0)*(VLOOKUP(Financials!$B25,Inputs!$B$3:$D$21,3,0)*(1+Inputs!$L$10)^Financials!EE$3)*EE$8))</f>
        <v>0</v>
      </c>
      <c r="EF25" s="18">
        <f>IF(EF$1&lt;CapEx!$O$7,0,(VLOOKUP($B25,Inputs!$B$25:$D$44,3,0)*(VLOOKUP(Financials!$B25,Inputs!$B$3:$D$21,3,0)*(1+Inputs!$L$10)^Financials!EF$3)*EF$8))</f>
        <v>0</v>
      </c>
      <c r="EG25" s="18">
        <f>IF(EG$1&lt;CapEx!$O$7,0,(VLOOKUP($B25,Inputs!$B$25:$D$44,3,0)*(VLOOKUP(Financials!$B25,Inputs!$B$3:$D$21,3,0)*(1+Inputs!$L$10)^Financials!EG$3)*EG$8))</f>
        <v>0</v>
      </c>
      <c r="EH25" s="18">
        <f>IF(EH$1&lt;CapEx!$O$7,0,(VLOOKUP($B25,Inputs!$B$25:$D$44,3,0)*(VLOOKUP(Financials!$B25,Inputs!$B$3:$D$21,3,0)*(1+Inputs!$L$10)^Financials!EH$3)*EH$8))</f>
        <v>0</v>
      </c>
      <c r="EI25" s="18">
        <f>IF(EI$1&lt;CapEx!$O$7,0,(VLOOKUP($B25,Inputs!$B$25:$D$44,3,0)*(VLOOKUP(Financials!$B25,Inputs!$B$3:$D$21,3,0)*(1+Inputs!$L$10)^Financials!EI$3)*EI$8))</f>
        <v>0</v>
      </c>
      <c r="EJ25" s="18">
        <f>IF(EJ$1&lt;CapEx!$O$7,0,(VLOOKUP($B25,Inputs!$B$25:$D$44,3,0)*(VLOOKUP(Financials!$B25,Inputs!$B$3:$D$21,3,0)*(1+Inputs!$L$10)^Financials!EJ$3)*EJ$8))</f>
        <v>0</v>
      </c>
      <c r="EK25" s="18">
        <f>IF(EK$1&lt;CapEx!$O$7,0,(VLOOKUP($B25,Inputs!$B$25:$D$44,3,0)*(VLOOKUP(Financials!$B25,Inputs!$B$3:$D$21,3,0)*(1+Inputs!$L$10)^Financials!EK$3)*EK$8))</f>
        <v>0</v>
      </c>
      <c r="EL25" s="18">
        <f>IF(EL$1&lt;CapEx!$O$7,0,(VLOOKUP($B25,Inputs!$B$25:$D$44,3,0)*(VLOOKUP(Financials!$B25,Inputs!$B$3:$D$21,3,0)*(1+Inputs!$L$10)^Financials!EL$3)*EL$8))</f>
        <v>0</v>
      </c>
      <c r="EM25" s="18">
        <f>IF(EM$1&lt;CapEx!$O$7,0,(VLOOKUP($B25,Inputs!$B$25:$D$44,3,0)*(VLOOKUP(Financials!$B25,Inputs!$B$3:$D$21,3,0)*(1+Inputs!$L$10)^Financials!EM$3)*EM$8))</f>
        <v>0</v>
      </c>
      <c r="EN25" s="18">
        <f>IF(EN$1&lt;CapEx!$O$7,0,(VLOOKUP($B25,Inputs!$B$25:$D$44,3,0)*(VLOOKUP(Financials!$B25,Inputs!$B$3:$D$21,3,0)*(1+Inputs!$L$10)^Financials!EN$3)*EN$8))</f>
        <v>0</v>
      </c>
      <c r="EO25" s="18">
        <f>IF(EO$1&lt;CapEx!$O$7,0,(VLOOKUP($B25,Inputs!$B$25:$D$44,3,0)*(VLOOKUP(Financials!$B25,Inputs!$B$3:$D$21,3,0)*(1+Inputs!$L$10)^Financials!EO$3)*EO$8))</f>
        <v>0</v>
      </c>
      <c r="EP25" s="18">
        <f>IF(EP$1&lt;CapEx!$O$7,0,(VLOOKUP($B25,Inputs!$B$25:$D$44,3,0)*(VLOOKUP(Financials!$B25,Inputs!$B$3:$D$21,3,0)*(1+Inputs!$L$10)^Financials!EP$3)*EP$8))</f>
        <v>0</v>
      </c>
      <c r="EQ25" s="18">
        <f>IF(EQ$1&lt;CapEx!$O$7,0,(VLOOKUP($B25,Inputs!$B$25:$D$44,3,0)*(VLOOKUP(Financials!$B25,Inputs!$B$3:$D$21,3,0)*(1+Inputs!$L$10)^Financials!EQ$3)*EQ$8))</f>
        <v>0</v>
      </c>
      <c r="ER25" s="18">
        <f>IF(ER$1&lt;CapEx!$O$7,0,(VLOOKUP($B25,Inputs!$B$25:$D$44,3,0)*(VLOOKUP(Financials!$B25,Inputs!$B$3:$D$21,3,0)*(1+Inputs!$L$10)^Financials!ER$3)*ER$8))</f>
        <v>0</v>
      </c>
      <c r="ES25" s="18">
        <f>IF(ES$1&lt;CapEx!$O$7,0,(VLOOKUP($B25,Inputs!$B$25:$D$44,3,0)*(VLOOKUP(Financials!$B25,Inputs!$B$3:$D$21,3,0)*(1+Inputs!$L$10)^Financials!ES$3)*ES$8))</f>
        <v>0</v>
      </c>
      <c r="ET25" s="18">
        <f>IF(ET$1&lt;CapEx!$O$7,0,(VLOOKUP($B25,Inputs!$B$25:$D$44,3,0)*(VLOOKUP(Financials!$B25,Inputs!$B$3:$D$21,3,0)*(1+Inputs!$L$10)^Financials!ET$3)*ET$8))</f>
        <v>0</v>
      </c>
      <c r="EU25" s="18">
        <f>IF(EU$1&lt;CapEx!$O$7,0,(VLOOKUP($B25,Inputs!$B$25:$D$44,3,0)*(VLOOKUP(Financials!$B25,Inputs!$B$3:$D$21,3,0)*(1+Inputs!$L$10)^Financials!EU$3)*EU$8))</f>
        <v>0</v>
      </c>
      <c r="EV25" s="18">
        <f>IF(EV$1&lt;CapEx!$O$7,0,(VLOOKUP($B25,Inputs!$B$25:$D$44,3,0)*(VLOOKUP(Financials!$B25,Inputs!$B$3:$D$21,3,0)*(1+Inputs!$L$10)^Financials!EV$3)*EV$8))</f>
        <v>0</v>
      </c>
      <c r="EW25" s="18">
        <f>IF(EW$1&lt;CapEx!$O$7,0,(VLOOKUP($B25,Inputs!$B$25:$D$44,3,0)*(VLOOKUP(Financials!$B25,Inputs!$B$3:$D$21,3,0)*(1+Inputs!$L$10)^Financials!EW$3)*EW$8))</f>
        <v>0</v>
      </c>
      <c r="EX25" s="18">
        <f>IF(EX$1&lt;CapEx!$O$7,0,(VLOOKUP($B25,Inputs!$B$25:$D$44,3,0)*(VLOOKUP(Financials!$B25,Inputs!$B$3:$D$21,3,0)*(1+Inputs!$L$10)^Financials!EX$3)*EX$8))</f>
        <v>0</v>
      </c>
      <c r="EY25" s="18">
        <f>IF(EY$1&lt;CapEx!$O$7,0,(VLOOKUP($B25,Inputs!$B$25:$D$44,3,0)*(VLOOKUP(Financials!$B25,Inputs!$B$3:$D$21,3,0)*(1+Inputs!$L$10)^Financials!EY$3)*EY$8))</f>
        <v>0</v>
      </c>
      <c r="EZ25" s="18">
        <f>IF(EZ$1&lt;CapEx!$O$7,0,(VLOOKUP($B25,Inputs!$B$25:$D$44,3,0)*(VLOOKUP(Financials!$B25,Inputs!$B$3:$D$21,3,0)*(1+Inputs!$L$10)^Financials!EZ$3)*EZ$8))</f>
        <v>0</v>
      </c>
      <c r="FA25" s="18">
        <f>IF(FA$1&lt;CapEx!$O$7,0,(VLOOKUP($B25,Inputs!$B$25:$D$44,3,0)*(VLOOKUP(Financials!$B25,Inputs!$B$3:$D$21,3,0)*(1+Inputs!$L$10)^Financials!FA$3)*FA$8))</f>
        <v>0</v>
      </c>
      <c r="FB25" s="18">
        <f>IF(FB$1&lt;CapEx!$O$7,0,(VLOOKUP($B25,Inputs!$B$25:$D$44,3,0)*(VLOOKUP(Financials!$B25,Inputs!$B$3:$D$21,3,0)*(1+Inputs!$L$10)^Financials!FB$3)*FB$8))</f>
        <v>0</v>
      </c>
      <c r="FC25" s="18">
        <f>IF(FC$1&lt;CapEx!$O$7,0,(VLOOKUP($B25,Inputs!$B$25:$D$44,3,0)*(VLOOKUP(Financials!$B25,Inputs!$B$3:$D$21,3,0)*(1+Inputs!$L$10)^Financials!FC$3)*FC$8))</f>
        <v>0</v>
      </c>
      <c r="FD25" s="18">
        <f>IF(FD$1&lt;CapEx!$O$7,0,(VLOOKUP($B25,Inputs!$B$25:$D$44,3,0)*(VLOOKUP(Financials!$B25,Inputs!$B$3:$D$21,3,0)*(1+Inputs!$L$10)^Financials!FD$3)*FD$8))</f>
        <v>0</v>
      </c>
      <c r="FE25" s="18">
        <f>IF(FE$1&lt;CapEx!$O$7,0,(VLOOKUP($B25,Inputs!$B$25:$D$44,3,0)*(VLOOKUP(Financials!$B25,Inputs!$B$3:$D$21,3,0)*(1+Inputs!$L$10)^Financials!FE$3)*FE$8))</f>
        <v>0</v>
      </c>
      <c r="FF25" s="18">
        <f>IF(FF$1&lt;CapEx!$O$7,0,(VLOOKUP($B25,Inputs!$B$25:$D$44,3,0)*(VLOOKUP(Financials!$B25,Inputs!$B$3:$D$21,3,0)*(1+Inputs!$L$10)^Financials!FF$3)*FF$8))</f>
        <v>0</v>
      </c>
      <c r="FG25" s="18">
        <f>IF(FG$1&lt;CapEx!$O$7,0,(VLOOKUP($B25,Inputs!$B$25:$D$44,3,0)*(VLOOKUP(Financials!$B25,Inputs!$B$3:$D$21,3,0)*(1+Inputs!$L$10)^Financials!FG$3)*FG$8))</f>
        <v>0</v>
      </c>
      <c r="FH25" s="18">
        <f>IF(FH$1&lt;CapEx!$O$7,0,(VLOOKUP($B25,Inputs!$B$25:$D$44,3,0)*(VLOOKUP(Financials!$B25,Inputs!$B$3:$D$21,3,0)*(1+Inputs!$L$10)^Financials!FH$3)*FH$8))</f>
        <v>0</v>
      </c>
      <c r="FI25" s="18">
        <f>IF(FI$1&lt;CapEx!$O$7,0,(VLOOKUP($B25,Inputs!$B$25:$D$44,3,0)*(VLOOKUP(Financials!$B25,Inputs!$B$3:$D$21,3,0)*(1+Inputs!$L$10)^Financials!FI$3)*FI$8))</f>
        <v>0</v>
      </c>
      <c r="FJ25" s="18">
        <f>IF(FJ$1&lt;CapEx!$O$7,0,(VLOOKUP($B25,Inputs!$B$25:$D$44,3,0)*(VLOOKUP(Financials!$B25,Inputs!$B$3:$D$21,3,0)*(1+Inputs!$L$10)^Financials!FJ$3)*FJ$8))</f>
        <v>0</v>
      </c>
      <c r="FK25" s="18">
        <f>IF(FK$1&lt;CapEx!$O$7,0,(VLOOKUP($B25,Inputs!$B$25:$D$44,3,0)*(VLOOKUP(Financials!$B25,Inputs!$B$3:$D$21,3,0)*(1+Inputs!$L$10)^Financials!FK$3)*FK$8))</f>
        <v>0</v>
      </c>
      <c r="FL25" s="18">
        <f>IF(FL$1&lt;CapEx!$O$7,0,(VLOOKUP($B25,Inputs!$B$25:$D$44,3,0)*(VLOOKUP(Financials!$B25,Inputs!$B$3:$D$21,3,0)*(1+Inputs!$L$10)^Financials!FL$3)*FL$8))</f>
        <v>0</v>
      </c>
      <c r="FM25" s="18">
        <f>IF(FM$1&lt;CapEx!$O$7,0,(VLOOKUP($B25,Inputs!$B$25:$D$44,3,0)*(VLOOKUP(Financials!$B25,Inputs!$B$3:$D$21,3,0)*(1+Inputs!$L$10)^Financials!FM$3)*FM$8))</f>
        <v>0</v>
      </c>
      <c r="FN25" s="18">
        <f>IF(FN$1&lt;CapEx!$O$7,0,(VLOOKUP($B25,Inputs!$B$25:$D$44,3,0)*(VLOOKUP(Financials!$B25,Inputs!$B$3:$D$21,3,0)*(1+Inputs!$L$10)^Financials!FN$3)*FN$8))</f>
        <v>0</v>
      </c>
      <c r="FO25" s="18">
        <f>IF(FO$1&lt;CapEx!$O$7,0,(VLOOKUP($B25,Inputs!$B$25:$D$44,3,0)*(VLOOKUP(Financials!$B25,Inputs!$B$3:$D$21,3,0)*(1+Inputs!$L$10)^Financials!FO$3)*FO$8))</f>
        <v>0</v>
      </c>
      <c r="FP25" s="18">
        <f>IF(FP$1&lt;CapEx!$O$7,0,(VLOOKUP($B25,Inputs!$B$25:$D$44,3,0)*(VLOOKUP(Financials!$B25,Inputs!$B$3:$D$21,3,0)*(1+Inputs!$L$10)^Financials!FP$3)*FP$8))</f>
        <v>0</v>
      </c>
      <c r="FQ25" s="18">
        <f>IF(FQ$1&lt;CapEx!$O$7,0,(VLOOKUP($B25,Inputs!$B$25:$D$44,3,0)*(VLOOKUP(Financials!$B25,Inputs!$B$3:$D$21,3,0)*(1+Inputs!$L$10)^Financials!FQ$3)*FQ$8))</f>
        <v>0</v>
      </c>
      <c r="FR25" s="18">
        <f>IF(FR$1&lt;CapEx!$O$7,0,(VLOOKUP($B25,Inputs!$B$25:$D$44,3,0)*(VLOOKUP(Financials!$B25,Inputs!$B$3:$D$21,3,0)*(1+Inputs!$L$10)^Financials!FR$3)*FR$8))</f>
        <v>0</v>
      </c>
      <c r="FS25" s="18">
        <f>IF(FS$1&lt;CapEx!$O$7,0,(VLOOKUP($B25,Inputs!$B$25:$D$44,3,0)*(VLOOKUP(Financials!$B25,Inputs!$B$3:$D$21,3,0)*(1+Inputs!$L$10)^Financials!FS$3)*FS$8))</f>
        <v>0</v>
      </c>
      <c r="FT25" s="18">
        <f>IF(FT$1&lt;CapEx!$O$7,0,(VLOOKUP($B25,Inputs!$B$25:$D$44,3,0)*(VLOOKUP(Financials!$B25,Inputs!$B$3:$D$21,3,0)*(1+Inputs!$L$10)^Financials!FT$3)*FT$8))</f>
        <v>0</v>
      </c>
      <c r="FU25" s="18">
        <f>IF(FU$1&lt;CapEx!$O$7,0,(VLOOKUP($B25,Inputs!$B$25:$D$44,3,0)*(VLOOKUP(Financials!$B25,Inputs!$B$3:$D$21,3,0)*(1+Inputs!$L$10)^Financials!FU$3)*FU$8))</f>
        <v>0</v>
      </c>
      <c r="FV25" s="18">
        <f>IF(FV$1&lt;CapEx!$O$7,0,(VLOOKUP($B25,Inputs!$B$25:$D$44,3,0)*(VLOOKUP(Financials!$B25,Inputs!$B$3:$D$21,3,0)*(1+Inputs!$L$10)^Financials!FV$3)*FV$8))</f>
        <v>0</v>
      </c>
      <c r="FW25" s="18">
        <f>IF(FW$1&lt;CapEx!$O$7,0,(VLOOKUP($B25,Inputs!$B$25:$D$44,3,0)*(VLOOKUP(Financials!$B25,Inputs!$B$3:$D$21,3,0)*(1+Inputs!$L$10)^Financials!FW$3)*FW$8))</f>
        <v>0</v>
      </c>
      <c r="FX25" s="18">
        <f>IF(FX$1&lt;CapEx!$O$7,0,(VLOOKUP($B25,Inputs!$B$25:$D$44,3,0)*(VLOOKUP(Financials!$B25,Inputs!$B$3:$D$21,3,0)*(1+Inputs!$L$10)^Financials!FX$3)*FX$8))</f>
        <v>0</v>
      </c>
      <c r="FY25" s="18">
        <f>IF(FY$1&lt;CapEx!$O$7,0,(VLOOKUP($B25,Inputs!$B$25:$D$44,3,0)*(VLOOKUP(Financials!$B25,Inputs!$B$3:$D$21,3,0)*(1+Inputs!$L$10)^Financials!FY$3)*FY$8))</f>
        <v>0</v>
      </c>
      <c r="FZ25" s="18">
        <f>IF(FZ$1&lt;CapEx!$O$7,0,(VLOOKUP($B25,Inputs!$B$25:$D$44,3,0)*(VLOOKUP(Financials!$B25,Inputs!$B$3:$D$21,3,0)*(1+Inputs!$L$10)^Financials!FZ$3)*FZ$8))</f>
        <v>0</v>
      </c>
      <c r="GA25" s="18">
        <f>IF(GA$1&lt;CapEx!$O$7,0,(VLOOKUP($B25,Inputs!$B$25:$D$44,3,0)*(VLOOKUP(Financials!$B25,Inputs!$B$3:$D$21,3,0)*(1+Inputs!$L$10)^Financials!GA$3)*GA$8))</f>
        <v>0</v>
      </c>
      <c r="GB25" s="18">
        <f>IF(GB$1&lt;CapEx!$O$7,0,(VLOOKUP($B25,Inputs!$B$25:$D$44,3,0)*(VLOOKUP(Financials!$B25,Inputs!$B$3:$D$21,3,0)*(1+Inputs!$L$10)^Financials!GB$3)*GB$8))</f>
        <v>0</v>
      </c>
      <c r="GC25" s="18">
        <f>IF(GC$1&lt;CapEx!$O$7,0,(VLOOKUP($B25,Inputs!$B$25:$D$44,3,0)*(VLOOKUP(Financials!$B25,Inputs!$B$3:$D$21,3,0)*(1+Inputs!$L$10)^Financials!GC$3)*GC$8))</f>
        <v>0</v>
      </c>
      <c r="GD25" s="18">
        <f>IF(GD$1&lt;CapEx!$O$7,0,(VLOOKUP($B25,Inputs!$B$25:$D$44,3,0)*(VLOOKUP(Financials!$B25,Inputs!$B$3:$D$21,3,0)*(1+Inputs!$L$10)^Financials!GD$3)*GD$8))</f>
        <v>0</v>
      </c>
      <c r="GE25" s="18">
        <f>IF(GE$1&lt;CapEx!$O$7,0,(VLOOKUP($B25,Inputs!$B$25:$D$44,3,0)*(VLOOKUP(Financials!$B25,Inputs!$B$3:$D$21,3,0)*(1+Inputs!$L$10)^Financials!GE$3)*GE$8))</f>
        <v>0</v>
      </c>
      <c r="GF25" s="18">
        <f>IF(GF$1&lt;CapEx!$O$7,0,(VLOOKUP($B25,Inputs!$B$25:$D$44,3,0)*(VLOOKUP(Financials!$B25,Inputs!$B$3:$D$21,3,0)*(1+Inputs!$L$10)^Financials!GF$3)*GF$8))</f>
        <v>0</v>
      </c>
      <c r="GG25" s="18">
        <f>IF(GG$1&lt;CapEx!$O$7,0,(VLOOKUP($B25,Inputs!$B$25:$D$44,3,0)*(VLOOKUP(Financials!$B25,Inputs!$B$3:$D$21,3,0)*(1+Inputs!$L$10)^Financials!GG$3)*GG$8))</f>
        <v>0</v>
      </c>
      <c r="GH25" s="18">
        <f>IF(GH$1&lt;CapEx!$O$7,0,(VLOOKUP($B25,Inputs!$B$25:$D$44,3,0)*(VLOOKUP(Financials!$B25,Inputs!$B$3:$D$21,3,0)*(1+Inputs!$L$10)^Financials!GH$3)*GH$8))</f>
        <v>0</v>
      </c>
      <c r="GI25" s="18">
        <f>IF(GI$1&lt;CapEx!$O$7,0,(VLOOKUP($B25,Inputs!$B$25:$D$44,3,0)*(VLOOKUP(Financials!$B25,Inputs!$B$3:$D$21,3,0)*(1+Inputs!$L$10)^Financials!GI$3)*GI$8))</f>
        <v>0</v>
      </c>
      <c r="GJ25" s="18">
        <f>IF(GJ$1&lt;CapEx!$O$7,0,(VLOOKUP($B25,Inputs!$B$25:$D$44,3,0)*(VLOOKUP(Financials!$B25,Inputs!$B$3:$D$21,3,0)*(1+Inputs!$L$10)^Financials!GJ$3)*GJ$8))</f>
        <v>0</v>
      </c>
      <c r="GK25" s="18">
        <f>IF(GK$1&lt;CapEx!$O$7,0,(VLOOKUP($B25,Inputs!$B$25:$D$44,3,0)*(VLOOKUP(Financials!$B25,Inputs!$B$3:$D$21,3,0)*(1+Inputs!$L$10)^Financials!GK$3)*GK$8))</f>
        <v>0</v>
      </c>
      <c r="GL25" s="18">
        <f>IF(GL$1&lt;CapEx!$O$7,0,(VLOOKUP($B25,Inputs!$B$25:$D$44,3,0)*(VLOOKUP(Financials!$B25,Inputs!$B$3:$D$21,3,0)*(1+Inputs!$L$10)^Financials!GL$3)*GL$8))</f>
        <v>0</v>
      </c>
      <c r="GM25" s="18">
        <f>IF(GM$1&lt;CapEx!$O$7,0,(VLOOKUP($B25,Inputs!$B$25:$D$44,3,0)*(VLOOKUP(Financials!$B25,Inputs!$B$3:$D$21,3,0)*(1+Inputs!$L$10)^Financials!GM$3)*GM$8))</f>
        <v>0</v>
      </c>
      <c r="GN25" s="18">
        <f>IF(GN$1&lt;CapEx!$O$7,0,(VLOOKUP($B25,Inputs!$B$25:$D$44,3,0)*(VLOOKUP(Financials!$B25,Inputs!$B$3:$D$21,3,0)*(1+Inputs!$L$10)^Financials!GN$3)*GN$8))</f>
        <v>0</v>
      </c>
      <c r="GO25" s="18">
        <f>IF(GO$1&lt;CapEx!$O$7,0,(VLOOKUP($B25,Inputs!$B$25:$D$44,3,0)*(VLOOKUP(Financials!$B25,Inputs!$B$3:$D$21,3,0)*(1+Inputs!$L$10)^Financials!GO$3)*GO$8))</f>
        <v>0</v>
      </c>
      <c r="GP25" s="18">
        <f>IF(GP$1&lt;CapEx!$O$7,0,(VLOOKUP($B25,Inputs!$B$25:$D$44,3,0)*(VLOOKUP(Financials!$B25,Inputs!$B$3:$D$21,3,0)*(1+Inputs!$L$10)^Financials!GP$3)*GP$8))</f>
        <v>0</v>
      </c>
      <c r="GQ25" s="18">
        <f>IF(GQ$1&lt;CapEx!$O$7,0,(VLOOKUP($B25,Inputs!$B$25:$D$44,3,0)*(VLOOKUP(Financials!$B25,Inputs!$B$3:$D$21,3,0)*(1+Inputs!$L$10)^Financials!GQ$3)*GQ$8))</f>
        <v>0</v>
      </c>
      <c r="GR25" s="18">
        <f>IF(GR$1&lt;CapEx!$O$7,0,(VLOOKUP($B25,Inputs!$B$25:$D$44,3,0)*(VLOOKUP(Financials!$B25,Inputs!$B$3:$D$21,3,0)*(1+Inputs!$L$10)^Financials!GR$3)*GR$8))</f>
        <v>0</v>
      </c>
      <c r="GS25" s="18">
        <f>IF(GS$1&lt;CapEx!$O$7,0,(VLOOKUP($B25,Inputs!$B$25:$D$44,3,0)*(VLOOKUP(Financials!$B25,Inputs!$B$3:$D$21,3,0)*(1+Inputs!$L$10)^Financials!GS$3)*GS$8))</f>
        <v>0</v>
      </c>
      <c r="GT25" s="18">
        <f>IF(GT$1&lt;CapEx!$O$7,0,(VLOOKUP($B25,Inputs!$B$25:$D$44,3,0)*(VLOOKUP(Financials!$B25,Inputs!$B$3:$D$21,3,0)*(1+Inputs!$L$10)^Financials!GT$3)*GT$8))</f>
        <v>0</v>
      </c>
      <c r="GU25" s="18">
        <f>IF(GU$1&lt;CapEx!$O$7,0,(VLOOKUP($B25,Inputs!$B$25:$D$44,3,0)*(VLOOKUP(Financials!$B25,Inputs!$B$3:$D$21,3,0)*(1+Inputs!$L$10)^Financials!GU$3)*GU$8))</f>
        <v>0</v>
      </c>
      <c r="GV25" s="18">
        <f>IF(GV$1&lt;CapEx!$O$7,0,(VLOOKUP($B25,Inputs!$B$25:$D$44,3,0)*(VLOOKUP(Financials!$B25,Inputs!$B$3:$D$21,3,0)*(1+Inputs!$L$10)^Financials!GV$3)*GV$8))</f>
        <v>0</v>
      </c>
      <c r="GW25" s="18">
        <f>IF(GW$1&lt;CapEx!$O$7,0,(VLOOKUP($B25,Inputs!$B$25:$D$44,3,0)*(VLOOKUP(Financials!$B25,Inputs!$B$3:$D$21,3,0)*(1+Inputs!$L$10)^Financials!GW$3)*GW$8))</f>
        <v>0</v>
      </c>
      <c r="GX25" s="18">
        <f>IF(GX$1&lt;CapEx!$O$7,0,(VLOOKUP($B25,Inputs!$B$25:$D$44,3,0)*(VLOOKUP(Financials!$B25,Inputs!$B$3:$D$21,3,0)*(1+Inputs!$L$10)^Financials!GX$3)*GX$8))</f>
        <v>0</v>
      </c>
      <c r="GY25" s="18">
        <f>IF(GY$1&lt;CapEx!$O$7,0,(VLOOKUP($B25,Inputs!$B$25:$D$44,3,0)*(VLOOKUP(Financials!$B25,Inputs!$B$3:$D$21,3,0)*(1+Inputs!$L$10)^Financials!GY$3)*GY$8))</f>
        <v>0</v>
      </c>
      <c r="GZ25" s="18">
        <f>IF(GZ$1&lt;CapEx!$O$7,0,(VLOOKUP($B25,Inputs!$B$25:$D$44,3,0)*(VLOOKUP(Financials!$B25,Inputs!$B$3:$D$21,3,0)*(1+Inputs!$L$10)^Financials!GZ$3)*GZ$8))</f>
        <v>0</v>
      </c>
      <c r="HA25" s="18">
        <f>IF(HA$1&lt;CapEx!$O$7,0,(VLOOKUP($B25,Inputs!$B$25:$D$44,3,0)*(VLOOKUP(Financials!$B25,Inputs!$B$3:$D$21,3,0)*(1+Inputs!$L$10)^Financials!HA$3)*HA$8))</f>
        <v>0</v>
      </c>
      <c r="HB25" s="18">
        <f>IF(HB$1&lt;CapEx!$O$7,0,(VLOOKUP($B25,Inputs!$B$25:$D$44,3,0)*(VLOOKUP(Financials!$B25,Inputs!$B$3:$D$21,3,0)*(1+Inputs!$L$10)^Financials!HB$3)*HB$8))</f>
        <v>0</v>
      </c>
      <c r="HC25" s="18">
        <f>IF(HC$1&lt;CapEx!$O$7,0,(VLOOKUP($B25,Inputs!$B$25:$D$44,3,0)*(VLOOKUP(Financials!$B25,Inputs!$B$3:$D$21,3,0)*(1+Inputs!$L$10)^Financials!HC$3)*HC$8))</f>
        <v>0</v>
      </c>
      <c r="HD25" s="18">
        <f>IF(HD$1&lt;CapEx!$O$7,0,(VLOOKUP($B25,Inputs!$B$25:$D$44,3,0)*(VLOOKUP(Financials!$B25,Inputs!$B$3:$D$21,3,0)*(1+Inputs!$L$10)^Financials!HD$3)*HD$8))</f>
        <v>0</v>
      </c>
      <c r="HE25" s="18">
        <f>IF(HE$1&lt;CapEx!$O$7,0,(VLOOKUP($B25,Inputs!$B$25:$D$44,3,0)*(VLOOKUP(Financials!$B25,Inputs!$B$3:$D$21,3,0)*(1+Inputs!$L$10)^Financials!HE$3)*HE$8))</f>
        <v>0</v>
      </c>
      <c r="HF25" s="18">
        <f>IF(HF$1&lt;CapEx!$O$7,0,(VLOOKUP($B25,Inputs!$B$25:$D$44,3,0)*(VLOOKUP(Financials!$B25,Inputs!$B$3:$D$21,3,0)*(1+Inputs!$L$10)^Financials!HF$3)*HF$8))</f>
        <v>0</v>
      </c>
      <c r="HG25" s="18">
        <f>IF(HG$1&lt;CapEx!$O$7,0,(VLOOKUP($B25,Inputs!$B$25:$D$44,3,0)*(VLOOKUP(Financials!$B25,Inputs!$B$3:$D$21,3,0)*(1+Inputs!$L$10)^Financials!HG$3)*HG$8))</f>
        <v>0</v>
      </c>
      <c r="HH25" s="18">
        <f>IF(HH$1&lt;CapEx!$O$7,0,(VLOOKUP($B25,Inputs!$B$25:$D$44,3,0)*(VLOOKUP(Financials!$B25,Inputs!$B$3:$D$21,3,0)*(1+Inputs!$L$10)^Financials!HH$3)*HH$8))</f>
        <v>0</v>
      </c>
      <c r="HI25" s="18">
        <f>IF(HI$1&lt;CapEx!$O$7,0,(VLOOKUP($B25,Inputs!$B$25:$D$44,3,0)*(VLOOKUP(Financials!$B25,Inputs!$B$3:$D$21,3,0)*(1+Inputs!$L$10)^Financials!HI$3)*HI$8))</f>
        <v>0</v>
      </c>
      <c r="HJ25" s="18">
        <f>IF(HJ$1&lt;CapEx!$O$7,0,(VLOOKUP($B25,Inputs!$B$25:$D$44,3,0)*(VLOOKUP(Financials!$B25,Inputs!$B$3:$D$21,3,0)*(1+Inputs!$L$10)^Financials!HJ$3)*HJ$8))</f>
        <v>0</v>
      </c>
      <c r="HK25" s="18">
        <f>IF(HK$1&lt;CapEx!$O$7,0,(VLOOKUP($B25,Inputs!$B$25:$D$44,3,0)*(VLOOKUP(Financials!$B25,Inputs!$B$3:$D$21,3,0)*(1+Inputs!$L$10)^Financials!HK$3)*HK$8))</f>
        <v>0</v>
      </c>
      <c r="HL25" s="18">
        <f>IF(HL$1&lt;CapEx!$O$7,0,(VLOOKUP($B25,Inputs!$B$25:$D$44,3,0)*(VLOOKUP(Financials!$B25,Inputs!$B$3:$D$21,3,0)*(1+Inputs!$L$10)^Financials!HL$3)*HL$8))</f>
        <v>0</v>
      </c>
      <c r="HM25" s="18">
        <f>IF(HM$1&lt;CapEx!$O$7,0,(VLOOKUP($B25,Inputs!$B$25:$D$44,3,0)*(VLOOKUP(Financials!$B25,Inputs!$B$3:$D$21,3,0)*(1+Inputs!$L$10)^Financials!HM$3)*HM$8))</f>
        <v>0</v>
      </c>
      <c r="HN25" s="18">
        <f>IF(HN$1&lt;CapEx!$O$7,0,(VLOOKUP($B25,Inputs!$B$25:$D$44,3,0)*(VLOOKUP(Financials!$B25,Inputs!$B$3:$D$21,3,0)*(1+Inputs!$L$10)^Financials!HN$3)*HN$8))</f>
        <v>0</v>
      </c>
      <c r="HO25" s="18">
        <f>IF(HO$1&lt;CapEx!$O$7,0,(VLOOKUP($B25,Inputs!$B$25:$D$44,3,0)*(VLOOKUP(Financials!$B25,Inputs!$B$3:$D$21,3,0)*(1+Inputs!$L$10)^Financials!HO$3)*HO$8))</f>
        <v>0</v>
      </c>
      <c r="HP25" s="18">
        <f>IF(HP$1&lt;CapEx!$O$7,0,(VLOOKUP($B25,Inputs!$B$25:$D$44,3,0)*(VLOOKUP(Financials!$B25,Inputs!$B$3:$D$21,3,0)*(1+Inputs!$L$10)^Financials!HP$3)*HP$8))</f>
        <v>0</v>
      </c>
      <c r="HQ25" s="18">
        <f>IF(HQ$1&lt;CapEx!$O$7,0,(VLOOKUP($B25,Inputs!$B$25:$D$44,3,0)*(VLOOKUP(Financials!$B25,Inputs!$B$3:$D$21,3,0)*(1+Inputs!$L$10)^Financials!HQ$3)*HQ$8))</f>
        <v>0</v>
      </c>
      <c r="HR25" s="18">
        <f>IF(HR$1&lt;CapEx!$O$7,0,(VLOOKUP($B25,Inputs!$B$25:$D$44,3,0)*(VLOOKUP(Financials!$B25,Inputs!$B$3:$D$21,3,0)*(1+Inputs!$L$10)^Financials!HR$3)*HR$8))</f>
        <v>0</v>
      </c>
      <c r="HS25" s="18">
        <f>IF(HS$1&lt;CapEx!$O$7,0,(VLOOKUP($B25,Inputs!$B$25:$D$44,3,0)*(VLOOKUP(Financials!$B25,Inputs!$B$3:$D$21,3,0)*(1+Inputs!$L$10)^Financials!HS$3)*HS$8))</f>
        <v>0</v>
      </c>
      <c r="HT25" s="18">
        <f>IF(HT$1&lt;CapEx!$O$7,0,(VLOOKUP($B25,Inputs!$B$25:$D$44,3,0)*(VLOOKUP(Financials!$B25,Inputs!$B$3:$D$21,3,0)*(1+Inputs!$L$10)^Financials!HT$3)*HT$8))</f>
        <v>0</v>
      </c>
      <c r="HU25" s="18">
        <f>IF(HU$1&lt;CapEx!$O$7,0,(VLOOKUP($B25,Inputs!$B$25:$D$44,3,0)*(VLOOKUP(Financials!$B25,Inputs!$B$3:$D$21,3,0)*(1+Inputs!$L$10)^Financials!HU$3)*HU$8))</f>
        <v>0</v>
      </c>
      <c r="HV25" s="18">
        <f>IF(HV$1&lt;CapEx!$O$7,0,(VLOOKUP($B25,Inputs!$B$25:$D$44,3,0)*(VLOOKUP(Financials!$B25,Inputs!$B$3:$D$21,3,0)*(1+Inputs!$L$10)^Financials!HV$3)*HV$8))</f>
        <v>0</v>
      </c>
      <c r="HW25" s="18">
        <f>IF(HW$1&lt;CapEx!$O$7,0,(VLOOKUP($B25,Inputs!$B$25:$D$44,3,0)*(VLOOKUP(Financials!$B25,Inputs!$B$3:$D$21,3,0)*(1+Inputs!$L$10)^Financials!HW$3)*HW$8))</f>
        <v>0</v>
      </c>
      <c r="HX25" s="18">
        <f>IF(HX$1&lt;CapEx!$O$7,0,(VLOOKUP($B25,Inputs!$B$25:$D$44,3,0)*(VLOOKUP(Financials!$B25,Inputs!$B$3:$D$21,3,0)*(1+Inputs!$L$10)^Financials!HX$3)*HX$8))</f>
        <v>0</v>
      </c>
      <c r="HY25" s="18">
        <f>IF(HY$1&lt;CapEx!$O$7,0,(VLOOKUP($B25,Inputs!$B$25:$D$44,3,0)*(VLOOKUP(Financials!$B25,Inputs!$B$3:$D$21,3,0)*(1+Inputs!$L$10)^Financials!HY$3)*HY$8))</f>
        <v>0</v>
      </c>
      <c r="HZ25" s="18">
        <f>IF(HZ$1&lt;CapEx!$O$7,0,(VLOOKUP($B25,Inputs!$B$25:$D$44,3,0)*(VLOOKUP(Financials!$B25,Inputs!$B$3:$D$21,3,0)*(1+Inputs!$L$10)^Financials!HZ$3)*HZ$8))</f>
        <v>0</v>
      </c>
      <c r="IA25" s="18">
        <f>IF(IA$1&lt;CapEx!$O$7,0,(VLOOKUP($B25,Inputs!$B$25:$D$44,3,0)*(VLOOKUP(Financials!$B25,Inputs!$B$3:$D$21,3,0)*(1+Inputs!$L$10)^Financials!IA$3)*IA$8))</f>
        <v>0</v>
      </c>
      <c r="IB25" s="18">
        <f>IF(IB$1&lt;CapEx!$O$7,0,(VLOOKUP($B25,Inputs!$B$25:$D$44,3,0)*(VLOOKUP(Financials!$B25,Inputs!$B$3:$D$21,3,0)*(1+Inputs!$L$10)^Financials!IB$3)*IB$8))</f>
        <v>0</v>
      </c>
      <c r="IC25" s="18">
        <f>IF(IC$1&lt;CapEx!$O$7,0,(VLOOKUP($B25,Inputs!$B$25:$D$44,3,0)*(VLOOKUP(Financials!$B25,Inputs!$B$3:$D$21,3,0)*(1+Inputs!$L$10)^Financials!IC$3)*IC$8))</f>
        <v>0</v>
      </c>
      <c r="ID25" s="18">
        <f>IF(ID$1&lt;CapEx!$O$7,0,(VLOOKUP($B25,Inputs!$B$25:$D$44,3,0)*(VLOOKUP(Financials!$B25,Inputs!$B$3:$D$21,3,0)*(1+Inputs!$L$10)^Financials!ID$3)*ID$8))</f>
        <v>0</v>
      </c>
      <c r="IE25" s="18">
        <f>IF(IE$1&lt;CapEx!$O$7,0,(VLOOKUP($B25,Inputs!$B$25:$D$44,3,0)*(VLOOKUP(Financials!$B25,Inputs!$B$3:$D$21,3,0)*(1+Inputs!$L$10)^Financials!IE$3)*IE$8))</f>
        <v>0</v>
      </c>
      <c r="IF25" s="18">
        <f>IF(IF$1&lt;CapEx!$O$7,0,(VLOOKUP($B25,Inputs!$B$25:$D$44,3,0)*(VLOOKUP(Financials!$B25,Inputs!$B$3:$D$21,3,0)*(1+Inputs!$L$10)^Financials!IF$3)*IF$8))</f>
        <v>0</v>
      </c>
      <c r="IG25" s="18">
        <f>IF(IG$1&lt;CapEx!$O$7,0,(VLOOKUP($B25,Inputs!$B$25:$D$44,3,0)*(VLOOKUP(Financials!$B25,Inputs!$B$3:$D$21,3,0)*(1+Inputs!$L$10)^Financials!IG$3)*IG$8))</f>
        <v>0</v>
      </c>
      <c r="IH25" s="18">
        <f>IF(IH$1&lt;CapEx!$O$7,0,(VLOOKUP($B25,Inputs!$B$25:$D$44,3,0)*(VLOOKUP(Financials!$B25,Inputs!$B$3:$D$21,3,0)*(1+Inputs!$L$10)^Financials!IH$3)*IH$8))</f>
        <v>0</v>
      </c>
      <c r="II25" s="18">
        <f>IF(II$1&lt;CapEx!$O$7,0,(VLOOKUP($B25,Inputs!$B$25:$D$44,3,0)*(VLOOKUP(Financials!$B25,Inputs!$B$3:$D$21,3,0)*(1+Inputs!$L$10)^Financials!II$3)*II$8))</f>
        <v>0</v>
      </c>
      <c r="IJ25" s="18">
        <f>IF(IJ$1&lt;CapEx!$O$7,0,(VLOOKUP($B25,Inputs!$B$25:$D$44,3,0)*(VLOOKUP(Financials!$B25,Inputs!$B$3:$D$21,3,0)*(1+Inputs!$L$10)^Financials!IJ$3)*IJ$8))</f>
        <v>0</v>
      </c>
      <c r="IK25" s="18">
        <f>IF(IK$1&lt;CapEx!$O$7,0,(VLOOKUP($B25,Inputs!$B$25:$D$44,3,0)*(VLOOKUP(Financials!$B25,Inputs!$B$3:$D$21,3,0)*(1+Inputs!$L$10)^Financials!IK$3)*IK$8))</f>
        <v>0</v>
      </c>
      <c r="IL25" s="18">
        <f>IF(IL$1&lt;CapEx!$O$7,0,(VLOOKUP($B25,Inputs!$B$25:$D$44,3,0)*(VLOOKUP(Financials!$B25,Inputs!$B$3:$D$21,3,0)*(1+Inputs!$L$10)^Financials!IL$3)*IL$8))</f>
        <v>0</v>
      </c>
      <c r="IM25" s="18">
        <f>IF(IM$1&lt;CapEx!$O$7,0,(VLOOKUP($B25,Inputs!$B$25:$D$44,3,0)*(VLOOKUP(Financials!$B25,Inputs!$B$3:$D$21,3,0)*(1+Inputs!$L$10)^Financials!IM$3)*IM$8))</f>
        <v>0</v>
      </c>
      <c r="IN25" s="18">
        <f>IF(IN$1&lt;CapEx!$O$7,0,(VLOOKUP($B25,Inputs!$B$25:$D$44,3,0)*(VLOOKUP(Financials!$B25,Inputs!$B$3:$D$21,3,0)*(1+Inputs!$L$10)^Financials!IN$3)*IN$8))</f>
        <v>0</v>
      </c>
      <c r="IO25" s="18">
        <f>IF(IO$1&lt;CapEx!$O$7,0,(VLOOKUP($B25,Inputs!$B$25:$D$44,3,0)*(VLOOKUP(Financials!$B25,Inputs!$B$3:$D$21,3,0)*(1+Inputs!$L$10)^Financials!IO$3)*IO$8))</f>
        <v>0</v>
      </c>
      <c r="IP25" s="18">
        <f>IF(IP$1&lt;CapEx!$O$7,0,(VLOOKUP($B25,Inputs!$B$25:$D$44,3,0)*(VLOOKUP(Financials!$B25,Inputs!$B$3:$D$21,3,0)*(1+Inputs!$L$10)^Financials!IP$3)*IP$8))</f>
        <v>0</v>
      </c>
      <c r="IQ25" s="18">
        <f>IF(IQ$1&lt;CapEx!$O$7,0,(VLOOKUP($B25,Inputs!$B$25:$D$44,3,0)*(VLOOKUP(Financials!$B25,Inputs!$B$3:$D$21,3,0)*(1+Inputs!$L$10)^Financials!IQ$3)*IQ$8))</f>
        <v>0</v>
      </c>
      <c r="IR25" s="18">
        <f>IF(IR$1&lt;CapEx!$O$7,0,(VLOOKUP($B25,Inputs!$B$25:$D$44,3,0)*(VLOOKUP(Financials!$B25,Inputs!$B$3:$D$21,3,0)*(1+Inputs!$L$10)^Financials!IR$3)*IR$8))</f>
        <v>0</v>
      </c>
      <c r="IS25" s="18">
        <f>IF(IS$1&lt;CapEx!$O$7,0,(VLOOKUP($B25,Inputs!$B$25:$D$44,3,0)*(VLOOKUP(Financials!$B25,Inputs!$B$3:$D$21,3,0)*(1+Inputs!$L$10)^Financials!IS$3)*IS$8))</f>
        <v>0</v>
      </c>
      <c r="IT25" s="18">
        <f>IF(IT$1&lt;CapEx!$O$7,0,(VLOOKUP($B25,Inputs!$B$25:$D$44,3,0)*(VLOOKUP(Financials!$B25,Inputs!$B$3:$D$21,3,0)*(1+Inputs!$L$10)^Financials!IT$3)*IT$8))</f>
        <v>0</v>
      </c>
      <c r="IU25" s="18">
        <f>IF(IU$1&lt;CapEx!$O$7,0,(VLOOKUP($B25,Inputs!$B$25:$D$44,3,0)*(VLOOKUP(Financials!$B25,Inputs!$B$3:$D$21,3,0)*(1+Inputs!$L$10)^Financials!IU$3)*IU$8))</f>
        <v>0</v>
      </c>
      <c r="IV25" s="18">
        <f>IF(IV$1&lt;CapEx!$O$7,0,(VLOOKUP($B25,Inputs!$B$25:$D$44,3,0)*(VLOOKUP(Financials!$B25,Inputs!$B$3:$D$21,3,0)*(1+Inputs!$L$10)^Financials!IV$3)*IV$8))</f>
        <v>0</v>
      </c>
      <c r="IW25" s="18">
        <f>IF(IW$1&lt;CapEx!$O$7,0,(VLOOKUP($B25,Inputs!$B$25:$D$44,3,0)*(VLOOKUP(Financials!$B25,Inputs!$B$3:$D$21,3,0)*(1+Inputs!$L$10)^Financials!IW$3)*IW$8))</f>
        <v>0</v>
      </c>
      <c r="IX25" s="18">
        <f>IF(IX$1&lt;CapEx!$O$7,0,(VLOOKUP($B25,Inputs!$B$25:$D$44,3,0)*(VLOOKUP(Financials!$B25,Inputs!$B$3:$D$21,3,0)*(1+Inputs!$L$10)^Financials!IX$3)*IX$8))</f>
        <v>0</v>
      </c>
      <c r="IY25" s="18">
        <f>IF(IY$1&lt;CapEx!$O$7,0,(VLOOKUP($B25,Inputs!$B$25:$D$44,3,0)*(VLOOKUP(Financials!$B25,Inputs!$B$3:$D$21,3,0)*(1+Inputs!$L$10)^Financials!IY$3)*IY$8))</f>
        <v>0</v>
      </c>
      <c r="IZ25" s="18">
        <f>IF(IZ$1&lt;CapEx!$O$7,0,(VLOOKUP($B25,Inputs!$B$25:$D$44,3,0)*(VLOOKUP(Financials!$B25,Inputs!$B$3:$D$21,3,0)*(1+Inputs!$L$10)^Financials!IZ$3)*IZ$8))</f>
        <v>0</v>
      </c>
      <c r="JA25" s="18">
        <f>IF(JA$1&lt;CapEx!$O$7,0,(VLOOKUP($B25,Inputs!$B$25:$D$44,3,0)*(VLOOKUP(Financials!$B25,Inputs!$B$3:$D$21,3,0)*(1+Inputs!$L$10)^Financials!JA$3)*JA$8))</f>
        <v>0</v>
      </c>
      <c r="JB25" s="18">
        <f>IF(JB$1&lt;CapEx!$O$7,0,(VLOOKUP($B25,Inputs!$B$25:$D$44,3,0)*(VLOOKUP(Financials!$B25,Inputs!$B$3:$D$21,3,0)*(1+Inputs!$L$10)^Financials!JB$3)*JB$8))</f>
        <v>0</v>
      </c>
      <c r="JC25" s="18">
        <f>IF(JC$1&lt;CapEx!$O$7,0,(VLOOKUP($B25,Inputs!$B$25:$D$44,3,0)*(VLOOKUP(Financials!$B25,Inputs!$B$3:$D$21,3,0)*(1+Inputs!$L$10)^Financials!JC$3)*JC$8))</f>
        <v>0</v>
      </c>
      <c r="JD25" s="18">
        <f>IF(JD$1&lt;CapEx!$O$7,0,(VLOOKUP($B25,Inputs!$B$25:$D$44,3,0)*(VLOOKUP(Financials!$B25,Inputs!$B$3:$D$21,3,0)*(1+Inputs!$L$10)^Financials!JD$3)*JD$8))</f>
        <v>0</v>
      </c>
      <c r="JE25" s="18">
        <f>IF(JE$1&lt;CapEx!$O$7,0,(VLOOKUP($B25,Inputs!$B$25:$D$44,3,0)*(VLOOKUP(Financials!$B25,Inputs!$B$3:$D$21,3,0)*(1+Inputs!$L$10)^Financials!JE$3)*JE$8))</f>
        <v>0</v>
      </c>
      <c r="JF25" s="18">
        <f>IF(JF$1&lt;CapEx!$O$7,0,(VLOOKUP($B25,Inputs!$B$25:$D$44,3,0)*(VLOOKUP(Financials!$B25,Inputs!$B$3:$D$21,3,0)*(1+Inputs!$L$10)^Financials!JF$3)*JF$8))</f>
        <v>0</v>
      </c>
      <c r="JG25" s="18">
        <f>IF(JG$1&lt;CapEx!$O$7,0,(VLOOKUP($B25,Inputs!$B$25:$D$44,3,0)*(VLOOKUP(Financials!$B25,Inputs!$B$3:$D$21,3,0)*(1+Inputs!$L$10)^Financials!JG$3)*JG$8))</f>
        <v>0</v>
      </c>
      <c r="JH25" s="18">
        <f>IF(JH$1&lt;CapEx!$O$7,0,(VLOOKUP($B25,Inputs!$B$25:$D$44,3,0)*(VLOOKUP(Financials!$B25,Inputs!$B$3:$D$21,3,0)*(1+Inputs!$L$10)^Financials!JH$3)*JH$8))</f>
        <v>0</v>
      </c>
      <c r="JI25" s="18">
        <f>IF(JI$1&lt;CapEx!$O$7,0,(VLOOKUP($B25,Inputs!$B$25:$D$44,3,0)*(VLOOKUP(Financials!$B25,Inputs!$B$3:$D$21,3,0)*(1+Inputs!$L$10)^Financials!JI$3)*JI$8))</f>
        <v>0</v>
      </c>
      <c r="JJ25" s="18">
        <f>IF(JJ$1&lt;CapEx!$O$7,0,(VLOOKUP($B25,Inputs!$B$25:$D$44,3,0)*(VLOOKUP(Financials!$B25,Inputs!$B$3:$D$21,3,0)*(1+Inputs!$L$10)^Financials!JJ$3)*JJ$8))</f>
        <v>0</v>
      </c>
      <c r="JK25" s="18">
        <f>IF(JK$1&lt;CapEx!$O$7,0,(VLOOKUP($B25,Inputs!$B$25:$D$44,3,0)*(VLOOKUP(Financials!$B25,Inputs!$B$3:$D$21,3,0)*(1+Inputs!$L$10)^Financials!JK$3)*JK$8))</f>
        <v>0</v>
      </c>
      <c r="JL25" s="18">
        <f>IF(JL$1&lt;CapEx!$O$7,0,(VLOOKUP($B25,Inputs!$B$25:$D$44,3,0)*(VLOOKUP(Financials!$B25,Inputs!$B$3:$D$21,3,0)*(1+Inputs!$L$10)^Financials!JL$3)*JL$8))</f>
        <v>0</v>
      </c>
      <c r="JM25" s="18">
        <f>IF(JM$1&lt;CapEx!$O$7,0,(VLOOKUP($B25,Inputs!$B$25:$D$44,3,0)*(VLOOKUP(Financials!$B25,Inputs!$B$3:$D$21,3,0)*(1+Inputs!$L$10)^Financials!JM$3)*JM$8))</f>
        <v>0</v>
      </c>
      <c r="JN25" s="18">
        <f>IF(JN$1&lt;CapEx!$O$7,0,(VLOOKUP($B25,Inputs!$B$25:$D$44,3,0)*(VLOOKUP(Financials!$B25,Inputs!$B$3:$D$21,3,0)*(1+Inputs!$L$10)^Financials!JN$3)*JN$8))</f>
        <v>0</v>
      </c>
      <c r="JO25" s="18">
        <f>IF(JO$1&lt;CapEx!$O$7,0,(VLOOKUP($B25,Inputs!$B$25:$D$44,3,0)*(VLOOKUP(Financials!$B25,Inputs!$B$3:$D$21,3,0)*(1+Inputs!$L$10)^Financials!JO$3)*JO$8))</f>
        <v>0</v>
      </c>
      <c r="JP25" s="18">
        <f>IF(JP$1&lt;CapEx!$O$7,0,(VLOOKUP($B25,Inputs!$B$25:$D$44,3,0)*(VLOOKUP(Financials!$B25,Inputs!$B$3:$D$21,3,0)*(1+Inputs!$L$10)^Financials!JP$3)*JP$8))</f>
        <v>0</v>
      </c>
      <c r="JQ25" s="18">
        <f>IF(JQ$1&lt;CapEx!$O$7,0,(VLOOKUP($B25,Inputs!$B$25:$D$44,3,0)*(VLOOKUP(Financials!$B25,Inputs!$B$3:$D$21,3,0)*(1+Inputs!$L$10)^Financials!JQ$3)*JQ$8))</f>
        <v>0</v>
      </c>
      <c r="JR25" s="18">
        <f>IF(JR$1&lt;CapEx!$O$7,0,(VLOOKUP($B25,Inputs!$B$25:$D$44,3,0)*(VLOOKUP(Financials!$B25,Inputs!$B$3:$D$21,3,0)*(1+Inputs!$L$10)^Financials!JR$3)*JR$8))</f>
        <v>0</v>
      </c>
    </row>
    <row r="26" spans="2:278" x14ac:dyDescent="0.2">
      <c r="B26" s="22" t="str">
        <f>Inputs!B19</f>
        <v>Lube oil</v>
      </c>
      <c r="C26" s="18">
        <f>IF(C$1&lt;CapEx!$O$7,0,(VLOOKUP($B26,Inputs!$B$25:$D$44,3,0)*(VLOOKUP(Financials!$B26,Inputs!$B$3:$D$21,3,0)*(1+Inputs!$L$10)^Financials!C$3)*C$8))</f>
        <v>0</v>
      </c>
      <c r="D26" s="18">
        <f>IF(D$1&lt;CapEx!$O$7,0,(VLOOKUP($B26,Inputs!$B$25:$D$44,3,0)*(VLOOKUP(Financials!$B26,Inputs!$B$3:$D$21,3,0)*(1+Inputs!$L$10)^Financials!D$3)*D$8))</f>
        <v>0</v>
      </c>
      <c r="E26" s="18">
        <f>IF(E$1&lt;CapEx!$O$7,0,(VLOOKUP($B26,Inputs!$B$25:$D$44,3,0)*(VLOOKUP(Financials!$B26,Inputs!$B$3:$D$21,3,0)*(1+Inputs!$L$10)^Financials!E$3)*E$8))</f>
        <v>0</v>
      </c>
      <c r="F26" s="18">
        <f>IF(F$1&lt;CapEx!$O$7,0,(VLOOKUP($B26,Inputs!$B$25:$D$44,3,0)*(VLOOKUP(Financials!$B26,Inputs!$B$3:$D$21,3,0)*(1+Inputs!$L$10)^Financials!F$3)*F$8))</f>
        <v>0</v>
      </c>
      <c r="G26" s="18">
        <f>IF(G$1&lt;CapEx!$O$7,0,(VLOOKUP($B26,Inputs!$B$25:$D$44,3,0)*(VLOOKUP(Financials!$B26,Inputs!$B$3:$D$21,3,0)*(1+Inputs!$L$10)^Financials!G$3)*G$8))</f>
        <v>0</v>
      </c>
      <c r="H26" s="18">
        <f>IF(H$1&lt;CapEx!$O$7,0,(VLOOKUP($B26,Inputs!$B$25:$D$44,3,0)*(VLOOKUP(Financials!$B26,Inputs!$B$3:$D$21,3,0)*(1+Inputs!$L$10)^Financials!H$3)*H$8))</f>
        <v>0</v>
      </c>
      <c r="I26" s="18">
        <f>IF(I$1&lt;CapEx!$O$7,0,(VLOOKUP($B26,Inputs!$B$25:$D$44,3,0)*(VLOOKUP(Financials!$B26,Inputs!$B$3:$D$21,3,0)*(1+Inputs!$L$10)^Financials!I$3)*I$8))</f>
        <v>0</v>
      </c>
      <c r="J26" s="18">
        <f>IF(J$1&lt;CapEx!$O$7,0,(VLOOKUP($B26,Inputs!$B$25:$D$44,3,0)*(VLOOKUP(Financials!$B26,Inputs!$B$3:$D$21,3,0)*(1+Inputs!$L$10)^Financials!J$3)*J$8))</f>
        <v>0</v>
      </c>
      <c r="K26" s="18">
        <f>IF(K$1&lt;CapEx!$O$7,0,(VLOOKUP($B26,Inputs!$B$25:$D$44,3,0)*(VLOOKUP(Financials!$B26,Inputs!$B$3:$D$21,3,0)*(1+Inputs!$L$10)^Financials!K$3)*K$8))</f>
        <v>0</v>
      </c>
      <c r="L26" s="18">
        <f>IF(L$1&lt;CapEx!$O$7,0,(VLOOKUP($B26,Inputs!$B$25:$D$44,3,0)*(VLOOKUP(Financials!$B26,Inputs!$B$3:$D$21,3,0)*(1+Inputs!$L$10)^Financials!L$3)*L$8))</f>
        <v>0</v>
      </c>
      <c r="M26" s="18">
        <f>IF(M$1&lt;CapEx!$O$7,0,(VLOOKUP($B26,Inputs!$B$25:$D$44,3,0)*(VLOOKUP(Financials!$B26,Inputs!$B$3:$D$21,3,0)*(1+Inputs!$L$10)^Financials!M$3)*M$8))</f>
        <v>0</v>
      </c>
      <c r="N26" s="18">
        <f>IF(N$1&lt;CapEx!$O$7,0,(VLOOKUP($B26,Inputs!$B$25:$D$44,3,0)*(VLOOKUP(Financials!$B26,Inputs!$B$3:$D$21,3,0)*(1+Inputs!$L$10)^Financials!N$3)*N$8))</f>
        <v>0</v>
      </c>
      <c r="O26" s="18">
        <f>IF(O$1&lt;CapEx!$O$7,0,(VLOOKUP($B26,Inputs!$B$25:$D$44,3,0)*(VLOOKUP(Financials!$B26,Inputs!$B$3:$D$21,3,0)*(1+Inputs!$L$10)^Financials!O$3)*O$8))</f>
        <v>0</v>
      </c>
      <c r="P26" s="18">
        <f>IF(P$1&lt;CapEx!$O$7,0,(VLOOKUP($B26,Inputs!$B$25:$D$44,3,0)*(VLOOKUP(Financials!$B26,Inputs!$B$3:$D$21,3,0)*(1+Inputs!$L$10)^Financials!P$3)*P$8))</f>
        <v>0</v>
      </c>
      <c r="Q26" s="18">
        <f>IF(Q$1&lt;CapEx!$O$7,0,(VLOOKUP($B26,Inputs!$B$25:$D$44,3,0)*(VLOOKUP(Financials!$B26,Inputs!$B$3:$D$21,3,0)*(1+Inputs!$L$10)^Financials!Q$3)*Q$8))</f>
        <v>0</v>
      </c>
      <c r="R26" s="18">
        <f>IF(R$1&lt;CapEx!$O$7,0,(VLOOKUP($B26,Inputs!$B$25:$D$44,3,0)*(VLOOKUP(Financials!$B26,Inputs!$B$3:$D$21,3,0)*(1+Inputs!$L$10)^Financials!R$3)*R$8))</f>
        <v>0</v>
      </c>
      <c r="S26" s="18">
        <f>IF(S$1&lt;CapEx!$O$7,0,(VLOOKUP($B26,Inputs!$B$25:$D$44,3,0)*(VLOOKUP(Financials!$B26,Inputs!$B$3:$D$21,3,0)*(1+Inputs!$L$10)^Financials!S$3)*S$8))</f>
        <v>0</v>
      </c>
      <c r="T26" s="18">
        <f>IF(T$1&lt;CapEx!$O$7,0,(VLOOKUP($B26,Inputs!$B$25:$D$44,3,0)*(VLOOKUP(Financials!$B26,Inputs!$B$3:$D$21,3,0)*(1+Inputs!$L$10)^Financials!T$3)*T$8))</f>
        <v>0</v>
      </c>
      <c r="U26" s="18">
        <f>IF(U$1&lt;CapEx!$O$7,0,(VLOOKUP($B26,Inputs!$B$25:$D$44,3,0)*(VLOOKUP(Financials!$B26,Inputs!$B$3:$D$21,3,0)*(1+Inputs!$L$10)^Financials!U$3)*U$8))</f>
        <v>0</v>
      </c>
      <c r="V26" s="18">
        <f>IF(V$1&lt;CapEx!$O$7,0,(VLOOKUP($B26,Inputs!$B$25:$D$44,3,0)*(VLOOKUP(Financials!$B26,Inputs!$B$3:$D$21,3,0)*(1+Inputs!$L$10)^Financials!V$3)*V$8))</f>
        <v>0</v>
      </c>
      <c r="W26" s="18">
        <f>IF(W$1&lt;CapEx!$O$7,0,(VLOOKUP($B26,Inputs!$B$25:$D$44,3,0)*(VLOOKUP(Financials!$B26,Inputs!$B$3:$D$21,3,0)*(1+Inputs!$L$10)^Financials!W$3)*W$8))</f>
        <v>0</v>
      </c>
      <c r="X26" s="18">
        <f>IF(X$1&lt;CapEx!$O$7,0,(VLOOKUP($B26,Inputs!$B$25:$D$44,3,0)*(VLOOKUP(Financials!$B26,Inputs!$B$3:$D$21,3,0)*(1+Inputs!$L$10)^Financials!X$3)*X$8))</f>
        <v>0</v>
      </c>
      <c r="Y26" s="18">
        <f>IF(Y$1&lt;CapEx!$O$7,0,(VLOOKUP($B26,Inputs!$B$25:$D$44,3,0)*(VLOOKUP(Financials!$B26,Inputs!$B$3:$D$21,3,0)*(1+Inputs!$L$10)^Financials!Y$3)*Y$8))</f>
        <v>0</v>
      </c>
      <c r="Z26" s="18">
        <f>IF(Z$1&lt;CapEx!$O$7,0,(VLOOKUP($B26,Inputs!$B$25:$D$44,3,0)*(VLOOKUP(Financials!$B26,Inputs!$B$3:$D$21,3,0)*(1+Inputs!$L$10)^Financials!Z$3)*Z$8))</f>
        <v>0</v>
      </c>
      <c r="AA26" s="18">
        <f>IF(AA$1&lt;CapEx!$O$7,0,(VLOOKUP($B26,Inputs!$B$25:$D$44,3,0)*(VLOOKUP(Financials!$B26,Inputs!$B$3:$D$21,3,0)*(1+Inputs!$L$10)^Financials!AA$3)*AA$8))</f>
        <v>0</v>
      </c>
      <c r="AB26" s="18">
        <f>IF(AB$1&lt;CapEx!$O$7,0,(VLOOKUP($B26,Inputs!$B$25:$D$44,3,0)*(VLOOKUP(Financials!$B26,Inputs!$B$3:$D$21,3,0)*(1+Inputs!$L$10)^Financials!AB$3)*AB$8))</f>
        <v>0</v>
      </c>
      <c r="AC26" s="18">
        <f>IF(AC$1&lt;CapEx!$O$7,0,(VLOOKUP($B26,Inputs!$B$25:$D$44,3,0)*(VLOOKUP(Financials!$B26,Inputs!$B$3:$D$21,3,0)*(1+Inputs!$L$10)^Financials!AC$3)*AC$8))</f>
        <v>0</v>
      </c>
      <c r="AD26" s="18">
        <f>IF(AD$1&lt;CapEx!$O$7,0,(VLOOKUP($B26,Inputs!$B$25:$D$44,3,0)*(VLOOKUP(Financials!$B26,Inputs!$B$3:$D$21,3,0)*(1+Inputs!$L$10)^Financials!AD$3)*AD$8))</f>
        <v>0</v>
      </c>
      <c r="AE26" s="18">
        <f>IF(AE$1&lt;CapEx!$O$7,0,(VLOOKUP($B26,Inputs!$B$25:$D$44,3,0)*(VLOOKUP(Financials!$B26,Inputs!$B$3:$D$21,3,0)*(1+Inputs!$L$10)^Financials!AE$3)*AE$8))</f>
        <v>0</v>
      </c>
      <c r="AF26" s="18">
        <f>IF(AF$1&lt;CapEx!$O$7,0,(VLOOKUP($B26,Inputs!$B$25:$D$44,3,0)*(VLOOKUP(Financials!$B26,Inputs!$B$3:$D$21,3,0)*(1+Inputs!$L$10)^Financials!AF$3)*AF$8))</f>
        <v>0</v>
      </c>
      <c r="AG26" s="18">
        <f>IF(AG$1&lt;CapEx!$O$7,0,(VLOOKUP($B26,Inputs!$B$25:$D$44,3,0)*(VLOOKUP(Financials!$B26,Inputs!$B$3:$D$21,3,0)*(1+Inputs!$L$10)^Financials!AG$3)*AG$8))</f>
        <v>0</v>
      </c>
      <c r="AH26" s="18">
        <f>IF(AH$1&lt;CapEx!$O$7,0,(VLOOKUP($B26,Inputs!$B$25:$D$44,3,0)*(VLOOKUP(Financials!$B26,Inputs!$B$3:$D$21,3,0)*(1+Inputs!$L$10)^Financials!AH$3)*AH$8))</f>
        <v>0</v>
      </c>
      <c r="AI26" s="18">
        <f>IF(AI$1&lt;CapEx!$O$7,0,(VLOOKUP($B26,Inputs!$B$25:$D$44,3,0)*(VLOOKUP(Financials!$B26,Inputs!$B$3:$D$21,3,0)*(1+Inputs!$L$10)^Financials!AI$3)*AI$8))</f>
        <v>0</v>
      </c>
      <c r="AJ26" s="18">
        <f>IF(AJ$1&lt;CapEx!$O$7,0,(VLOOKUP($B26,Inputs!$B$25:$D$44,3,0)*(VLOOKUP(Financials!$B26,Inputs!$B$3:$D$21,3,0)*(1+Inputs!$L$10)^Financials!AJ$3)*AJ$8))</f>
        <v>0</v>
      </c>
      <c r="AK26" s="18">
        <f>IF(AK$1&lt;CapEx!$O$7,0,(VLOOKUP($B26,Inputs!$B$25:$D$44,3,0)*(VLOOKUP(Financials!$B26,Inputs!$B$3:$D$21,3,0)*(1+Inputs!$L$10)^Financials!AK$3)*AK$8))</f>
        <v>0</v>
      </c>
      <c r="AL26" s="18">
        <f>IF(AL$1&lt;CapEx!$O$7,0,(VLOOKUP($B26,Inputs!$B$25:$D$44,3,0)*(VLOOKUP(Financials!$B26,Inputs!$B$3:$D$21,3,0)*(1+Inputs!$L$10)^Financials!AL$3)*AL$8))</f>
        <v>0</v>
      </c>
      <c r="AM26" s="18">
        <f>IF(AM$1&lt;CapEx!$O$7,0,(VLOOKUP($B26,Inputs!$B$25:$D$44,3,0)*(VLOOKUP(Financials!$B26,Inputs!$B$3:$D$21,3,0)*(1+Inputs!$L$10)^Financials!AM$3)*AM$8))</f>
        <v>0</v>
      </c>
      <c r="AN26" s="18">
        <f>IF(AN$1&lt;CapEx!$O$7,0,(VLOOKUP($B26,Inputs!$B$25:$D$44,3,0)*(VLOOKUP(Financials!$B26,Inputs!$B$3:$D$21,3,0)*(1+Inputs!$L$10)^Financials!AN$3)*AN$8))</f>
        <v>0</v>
      </c>
      <c r="AO26" s="18">
        <f>IF(AO$1&lt;CapEx!$O$7,0,(VLOOKUP($B26,Inputs!$B$25:$D$44,3,0)*(VLOOKUP(Financials!$B26,Inputs!$B$3:$D$21,3,0)*(1+Inputs!$L$10)^Financials!AO$3)*AO$8))</f>
        <v>0</v>
      </c>
      <c r="AP26" s="18">
        <f>IF(AP$1&lt;CapEx!$O$7,0,(VLOOKUP($B26,Inputs!$B$25:$D$44,3,0)*(VLOOKUP(Financials!$B26,Inputs!$B$3:$D$21,3,0)*(1+Inputs!$L$10)^Financials!AP$3)*AP$8))</f>
        <v>0</v>
      </c>
      <c r="AQ26" s="18">
        <f>IF(AQ$1&lt;CapEx!$O$7,0,(VLOOKUP($B26,Inputs!$B$25:$D$44,3,0)*(VLOOKUP(Financials!$B26,Inputs!$B$3:$D$21,3,0)*(1+Inputs!$L$10)^Financials!AQ$3)*AQ$8))</f>
        <v>0</v>
      </c>
      <c r="AR26" s="18">
        <f>IF(AR$1&lt;CapEx!$O$7,0,(VLOOKUP($B26,Inputs!$B$25:$D$44,3,0)*(VLOOKUP(Financials!$B26,Inputs!$B$3:$D$21,3,0)*(1+Inputs!$L$10)^Financials!AR$3)*AR$8))</f>
        <v>0</v>
      </c>
      <c r="AS26" s="18">
        <f>IF(AS$1&lt;CapEx!$O$7,0,(VLOOKUP($B26,Inputs!$B$25:$D$44,3,0)*(VLOOKUP(Financials!$B26,Inputs!$B$3:$D$21,3,0)*(1+Inputs!$L$10)^Financials!AS$3)*AS$8))</f>
        <v>0</v>
      </c>
      <c r="AT26" s="18">
        <f>IF(AT$1&lt;CapEx!$O$7,0,(VLOOKUP($B26,Inputs!$B$25:$D$44,3,0)*(VLOOKUP(Financials!$B26,Inputs!$B$3:$D$21,3,0)*(1+Inputs!$L$10)^Financials!AT$3)*AT$8))</f>
        <v>0</v>
      </c>
      <c r="AU26" s="18">
        <f>IF(AU$1&lt;CapEx!$O$7,0,(VLOOKUP($B26,Inputs!$B$25:$D$44,3,0)*(VLOOKUP(Financials!$B26,Inputs!$B$3:$D$21,3,0)*(1+Inputs!$L$10)^Financials!AU$3)*AU$8))</f>
        <v>0</v>
      </c>
      <c r="AV26" s="18">
        <f>IF(AV$1&lt;CapEx!$O$7,0,(VLOOKUP($B26,Inputs!$B$25:$D$44,3,0)*(VLOOKUP(Financials!$B26,Inputs!$B$3:$D$21,3,0)*(1+Inputs!$L$10)^Financials!AV$3)*AV$8))</f>
        <v>0</v>
      </c>
      <c r="AW26" s="18">
        <f>IF(AW$1&lt;CapEx!$O$7,0,(VLOOKUP($B26,Inputs!$B$25:$D$44,3,0)*(VLOOKUP(Financials!$B26,Inputs!$B$3:$D$21,3,0)*(1+Inputs!$L$10)^Financials!AW$3)*AW$8))</f>
        <v>0</v>
      </c>
      <c r="AX26" s="18">
        <f>IF(AX$1&lt;CapEx!$O$7,0,(VLOOKUP($B26,Inputs!$B$25:$D$44,3,0)*(VLOOKUP(Financials!$B26,Inputs!$B$3:$D$21,3,0)*(1+Inputs!$L$10)^Financials!AX$3)*AX$8))</f>
        <v>0</v>
      </c>
      <c r="AY26" s="18">
        <f>IF(AY$1&lt;CapEx!$O$7,0,(VLOOKUP($B26,Inputs!$B$25:$D$44,3,0)*(VLOOKUP(Financials!$B26,Inputs!$B$3:$D$21,3,0)*(1+Inputs!$L$10)^Financials!AY$3)*AY$8))</f>
        <v>0</v>
      </c>
      <c r="AZ26" s="18">
        <f>IF(AZ$1&lt;CapEx!$O$7,0,(VLOOKUP($B26,Inputs!$B$25:$D$44,3,0)*(VLOOKUP(Financials!$B26,Inputs!$B$3:$D$21,3,0)*(1+Inputs!$L$10)^Financials!AZ$3)*AZ$8))</f>
        <v>0</v>
      </c>
      <c r="BA26" s="18">
        <f>IF(BA$1&lt;CapEx!$O$7,0,(VLOOKUP($B26,Inputs!$B$25:$D$44,3,0)*(VLOOKUP(Financials!$B26,Inputs!$B$3:$D$21,3,0)*(1+Inputs!$L$10)^Financials!BA$3)*BA$8))</f>
        <v>0</v>
      </c>
      <c r="BB26" s="18">
        <f>IF(BB$1&lt;CapEx!$O$7,0,(VLOOKUP($B26,Inputs!$B$25:$D$44,3,0)*(VLOOKUP(Financials!$B26,Inputs!$B$3:$D$21,3,0)*(1+Inputs!$L$10)^Financials!BB$3)*BB$8))</f>
        <v>0</v>
      </c>
      <c r="BC26" s="18">
        <f>IF(BC$1&lt;CapEx!$O$7,0,(VLOOKUP($B26,Inputs!$B$25:$D$44,3,0)*(VLOOKUP(Financials!$B26,Inputs!$B$3:$D$21,3,0)*(1+Inputs!$L$10)^Financials!BC$3)*BC$8))</f>
        <v>0</v>
      </c>
      <c r="BD26" s="18">
        <f>IF(BD$1&lt;CapEx!$O$7,0,(VLOOKUP($B26,Inputs!$B$25:$D$44,3,0)*(VLOOKUP(Financials!$B26,Inputs!$B$3:$D$21,3,0)*(1+Inputs!$L$10)^Financials!BD$3)*BD$8))</f>
        <v>0</v>
      </c>
      <c r="BE26" s="18">
        <f>IF(BE$1&lt;CapEx!$O$7,0,(VLOOKUP($B26,Inputs!$B$25:$D$44,3,0)*(VLOOKUP(Financials!$B26,Inputs!$B$3:$D$21,3,0)*(1+Inputs!$L$10)^Financials!BE$3)*BE$8))</f>
        <v>0</v>
      </c>
      <c r="BF26" s="18">
        <f>IF(BF$1&lt;CapEx!$O$7,0,(VLOOKUP($B26,Inputs!$B$25:$D$44,3,0)*(VLOOKUP(Financials!$B26,Inputs!$B$3:$D$21,3,0)*(1+Inputs!$L$10)^Financials!BF$3)*BF$8))</f>
        <v>0</v>
      </c>
      <c r="BG26" s="18">
        <f>IF(BG$1&lt;CapEx!$O$7,0,(VLOOKUP($B26,Inputs!$B$25:$D$44,3,0)*(VLOOKUP(Financials!$B26,Inputs!$B$3:$D$21,3,0)*(1+Inputs!$L$10)^Financials!BG$3)*BG$8))</f>
        <v>0</v>
      </c>
      <c r="BH26" s="18">
        <f>IF(BH$1&lt;CapEx!$O$7,0,(VLOOKUP($B26,Inputs!$B$25:$D$44,3,0)*(VLOOKUP(Financials!$B26,Inputs!$B$3:$D$21,3,0)*(1+Inputs!$L$10)^Financials!BH$3)*BH$8))</f>
        <v>0</v>
      </c>
      <c r="BI26" s="18">
        <f>IF(BI$1&lt;CapEx!$O$7,0,(VLOOKUP($B26,Inputs!$B$25:$D$44,3,0)*(VLOOKUP(Financials!$B26,Inputs!$B$3:$D$21,3,0)*(1+Inputs!$L$10)^Financials!BI$3)*BI$8))</f>
        <v>0</v>
      </c>
      <c r="BJ26" s="18">
        <f>IF(BJ$1&lt;CapEx!$O$7,0,(VLOOKUP($B26,Inputs!$B$25:$D$44,3,0)*(VLOOKUP(Financials!$B26,Inputs!$B$3:$D$21,3,0)*(1+Inputs!$L$10)^Financials!BJ$3)*BJ$8))</f>
        <v>0</v>
      </c>
      <c r="BK26" s="18">
        <f>IF(BK$1&lt;CapEx!$O$7,0,(VLOOKUP($B26,Inputs!$B$25:$D$44,3,0)*(VLOOKUP(Financials!$B26,Inputs!$B$3:$D$21,3,0)*(1+Inputs!$L$10)^Financials!BK$3)*BK$8))</f>
        <v>0</v>
      </c>
      <c r="BL26" s="18">
        <f>IF(BL$1&lt;CapEx!$O$7,0,(VLOOKUP($B26,Inputs!$B$25:$D$44,3,0)*(VLOOKUP(Financials!$B26,Inputs!$B$3:$D$21,3,0)*(1+Inputs!$L$10)^Financials!BL$3)*BL$8))</f>
        <v>0</v>
      </c>
      <c r="BM26" s="18">
        <f>IF(BM$1&lt;CapEx!$O$7,0,(VLOOKUP($B26,Inputs!$B$25:$D$44,3,0)*(VLOOKUP(Financials!$B26,Inputs!$B$3:$D$21,3,0)*(1+Inputs!$L$10)^Financials!BM$3)*BM$8))</f>
        <v>0</v>
      </c>
      <c r="BN26" s="18">
        <f>IF(BN$1&lt;CapEx!$O$7,0,(VLOOKUP($B26,Inputs!$B$25:$D$44,3,0)*(VLOOKUP(Financials!$B26,Inputs!$B$3:$D$21,3,0)*(1+Inputs!$L$10)^Financials!BN$3)*BN$8))</f>
        <v>0</v>
      </c>
      <c r="BO26" s="18">
        <f>IF(BO$1&lt;CapEx!$O$7,0,(VLOOKUP($B26,Inputs!$B$25:$D$44,3,0)*(VLOOKUP(Financials!$B26,Inputs!$B$3:$D$21,3,0)*(1+Inputs!$L$10)^Financials!BO$3)*BO$8))</f>
        <v>0</v>
      </c>
      <c r="BP26" s="18">
        <f>IF(BP$1&lt;CapEx!$O$7,0,(VLOOKUP($B26,Inputs!$B$25:$D$44,3,0)*(VLOOKUP(Financials!$B26,Inputs!$B$3:$D$21,3,0)*(1+Inputs!$L$10)^Financials!BP$3)*BP$8))</f>
        <v>0</v>
      </c>
      <c r="BQ26" s="18">
        <f>IF(BQ$1&lt;CapEx!$O$7,0,(VLOOKUP($B26,Inputs!$B$25:$D$44,3,0)*(VLOOKUP(Financials!$B26,Inputs!$B$3:$D$21,3,0)*(1+Inputs!$L$10)^Financials!BQ$3)*BQ$8))</f>
        <v>0</v>
      </c>
      <c r="BR26" s="18">
        <f>IF(BR$1&lt;CapEx!$O$7,0,(VLOOKUP($B26,Inputs!$B$25:$D$44,3,0)*(VLOOKUP(Financials!$B26,Inputs!$B$3:$D$21,3,0)*(1+Inputs!$L$10)^Financials!BR$3)*BR$8))</f>
        <v>0</v>
      </c>
      <c r="BS26" s="18">
        <f>IF(BS$1&lt;CapEx!$O$7,0,(VLOOKUP($B26,Inputs!$B$25:$D$44,3,0)*(VLOOKUP(Financials!$B26,Inputs!$B$3:$D$21,3,0)*(1+Inputs!$L$10)^Financials!BS$3)*BS$8))</f>
        <v>0</v>
      </c>
      <c r="BT26" s="18">
        <f>IF(BT$1&lt;CapEx!$O$7,0,(VLOOKUP($B26,Inputs!$B$25:$D$44,3,0)*(VLOOKUP(Financials!$B26,Inputs!$B$3:$D$21,3,0)*(1+Inputs!$L$10)^Financials!BT$3)*BT$8))</f>
        <v>0</v>
      </c>
      <c r="BU26" s="18">
        <f>IF(BU$1&lt;CapEx!$O$7,0,(VLOOKUP($B26,Inputs!$B$25:$D$44,3,0)*(VLOOKUP(Financials!$B26,Inputs!$B$3:$D$21,3,0)*(1+Inputs!$L$10)^Financials!BU$3)*BU$8))</f>
        <v>0</v>
      </c>
      <c r="BV26" s="18">
        <f>IF(BV$1&lt;CapEx!$O$7,0,(VLOOKUP($B26,Inputs!$B$25:$D$44,3,0)*(VLOOKUP(Financials!$B26,Inputs!$B$3:$D$21,3,0)*(1+Inputs!$L$10)^Financials!BV$3)*BV$8))</f>
        <v>0</v>
      </c>
      <c r="BW26" s="18">
        <f>IF(BW$1&lt;CapEx!$O$7,0,(VLOOKUP($B26,Inputs!$B$25:$D$44,3,0)*(VLOOKUP(Financials!$B26,Inputs!$B$3:$D$21,3,0)*(1+Inputs!$L$10)^Financials!BW$3)*BW$8))</f>
        <v>0</v>
      </c>
      <c r="BX26" s="18">
        <f>IF(BX$1&lt;CapEx!$O$7,0,(VLOOKUP($B26,Inputs!$B$25:$D$44,3,0)*(VLOOKUP(Financials!$B26,Inputs!$B$3:$D$21,3,0)*(1+Inputs!$L$10)^Financials!BX$3)*BX$8))</f>
        <v>0</v>
      </c>
      <c r="BY26" s="18">
        <f>IF(BY$1&lt;CapEx!$O$7,0,(VLOOKUP($B26,Inputs!$B$25:$D$44,3,0)*(VLOOKUP(Financials!$B26,Inputs!$B$3:$D$21,3,0)*(1+Inputs!$L$10)^Financials!BY$3)*BY$8))</f>
        <v>0</v>
      </c>
      <c r="BZ26" s="18">
        <f>IF(BZ$1&lt;CapEx!$O$7,0,(VLOOKUP($B26,Inputs!$B$25:$D$44,3,0)*(VLOOKUP(Financials!$B26,Inputs!$B$3:$D$21,3,0)*(1+Inputs!$L$10)^Financials!BZ$3)*BZ$8))</f>
        <v>0</v>
      </c>
      <c r="CA26" s="18">
        <f>IF(CA$1&lt;CapEx!$O$7,0,(VLOOKUP($B26,Inputs!$B$25:$D$44,3,0)*(VLOOKUP(Financials!$B26,Inputs!$B$3:$D$21,3,0)*(1+Inputs!$L$10)^Financials!CA$3)*CA$8))</f>
        <v>0</v>
      </c>
      <c r="CB26" s="18">
        <f>IF(CB$1&lt;CapEx!$O$7,0,(VLOOKUP($B26,Inputs!$B$25:$D$44,3,0)*(VLOOKUP(Financials!$B26,Inputs!$B$3:$D$21,3,0)*(1+Inputs!$L$10)^Financials!CB$3)*CB$8))</f>
        <v>0</v>
      </c>
      <c r="CC26" s="18">
        <f>IF(CC$1&lt;CapEx!$O$7,0,(VLOOKUP($B26,Inputs!$B$25:$D$44,3,0)*(VLOOKUP(Financials!$B26,Inputs!$B$3:$D$21,3,0)*(1+Inputs!$L$10)^Financials!CC$3)*CC$8))</f>
        <v>0</v>
      </c>
      <c r="CD26" s="18">
        <f>IF(CD$1&lt;CapEx!$O$7,0,(VLOOKUP($B26,Inputs!$B$25:$D$44,3,0)*(VLOOKUP(Financials!$B26,Inputs!$B$3:$D$21,3,0)*(1+Inputs!$L$10)^Financials!CD$3)*CD$8))</f>
        <v>0</v>
      </c>
      <c r="CE26" s="18">
        <f>IF(CE$1&lt;CapEx!$O$7,0,(VLOOKUP($B26,Inputs!$B$25:$D$44,3,0)*(VLOOKUP(Financials!$B26,Inputs!$B$3:$D$21,3,0)*(1+Inputs!$L$10)^Financials!CE$3)*CE$8))</f>
        <v>0</v>
      </c>
      <c r="CF26" s="18">
        <f>IF(CF$1&lt;CapEx!$O$7,0,(VLOOKUP($B26,Inputs!$B$25:$D$44,3,0)*(VLOOKUP(Financials!$B26,Inputs!$B$3:$D$21,3,0)*(1+Inputs!$L$10)^Financials!CF$3)*CF$8))</f>
        <v>0</v>
      </c>
      <c r="CG26" s="18">
        <f>IF(CG$1&lt;CapEx!$O$7,0,(VLOOKUP($B26,Inputs!$B$25:$D$44,3,0)*(VLOOKUP(Financials!$B26,Inputs!$B$3:$D$21,3,0)*(1+Inputs!$L$10)^Financials!CG$3)*CG$8))</f>
        <v>0</v>
      </c>
      <c r="CH26" s="18">
        <f>IF(CH$1&lt;CapEx!$O$7,0,(VLOOKUP($B26,Inputs!$B$25:$D$44,3,0)*(VLOOKUP(Financials!$B26,Inputs!$B$3:$D$21,3,0)*(1+Inputs!$L$10)^Financials!CH$3)*CH$8))</f>
        <v>0</v>
      </c>
      <c r="CI26" s="18">
        <f>IF(CI$1&lt;CapEx!$O$7,0,(VLOOKUP($B26,Inputs!$B$25:$D$44,3,0)*(VLOOKUP(Financials!$B26,Inputs!$B$3:$D$21,3,0)*(1+Inputs!$L$10)^Financials!CI$3)*CI$8))</f>
        <v>0</v>
      </c>
      <c r="CJ26" s="18">
        <f>IF(CJ$1&lt;CapEx!$O$7,0,(VLOOKUP($B26,Inputs!$B$25:$D$44,3,0)*(VLOOKUP(Financials!$B26,Inputs!$B$3:$D$21,3,0)*(1+Inputs!$L$10)^Financials!CJ$3)*CJ$8))</f>
        <v>0</v>
      </c>
      <c r="CK26" s="18">
        <f>IF(CK$1&lt;CapEx!$O$7,0,(VLOOKUP($B26,Inputs!$B$25:$D$44,3,0)*(VLOOKUP(Financials!$B26,Inputs!$B$3:$D$21,3,0)*(1+Inputs!$L$10)^Financials!CK$3)*CK$8))</f>
        <v>0</v>
      </c>
      <c r="CL26" s="18">
        <f>IF(CL$1&lt;CapEx!$O$7,0,(VLOOKUP($B26,Inputs!$B$25:$D$44,3,0)*(VLOOKUP(Financials!$B26,Inputs!$B$3:$D$21,3,0)*(1+Inputs!$L$10)^Financials!CL$3)*CL$8))</f>
        <v>0</v>
      </c>
      <c r="CM26" s="18">
        <f>IF(CM$1&lt;CapEx!$O$7,0,(VLOOKUP($B26,Inputs!$B$25:$D$44,3,0)*(VLOOKUP(Financials!$B26,Inputs!$B$3:$D$21,3,0)*(1+Inputs!$L$10)^Financials!CM$3)*CM$8))</f>
        <v>0</v>
      </c>
      <c r="CN26" s="18">
        <f>IF(CN$1&lt;CapEx!$O$7,0,(VLOOKUP($B26,Inputs!$B$25:$D$44,3,0)*(VLOOKUP(Financials!$B26,Inputs!$B$3:$D$21,3,0)*(1+Inputs!$L$10)^Financials!CN$3)*CN$8))</f>
        <v>0</v>
      </c>
      <c r="CO26" s="18">
        <f>IF(CO$1&lt;CapEx!$O$7,0,(VLOOKUP($B26,Inputs!$B$25:$D$44,3,0)*(VLOOKUP(Financials!$B26,Inputs!$B$3:$D$21,3,0)*(1+Inputs!$L$10)^Financials!CO$3)*CO$8))</f>
        <v>0</v>
      </c>
      <c r="CP26" s="18">
        <f>IF(CP$1&lt;CapEx!$O$7,0,(VLOOKUP($B26,Inputs!$B$25:$D$44,3,0)*(VLOOKUP(Financials!$B26,Inputs!$B$3:$D$21,3,0)*(1+Inputs!$L$10)^Financials!CP$3)*CP$8))</f>
        <v>0</v>
      </c>
      <c r="CQ26" s="18">
        <f>IF(CQ$1&lt;CapEx!$O$7,0,(VLOOKUP($B26,Inputs!$B$25:$D$44,3,0)*(VLOOKUP(Financials!$B26,Inputs!$B$3:$D$21,3,0)*(1+Inputs!$L$10)^Financials!CQ$3)*CQ$8))</f>
        <v>0</v>
      </c>
      <c r="CR26" s="18">
        <f>IF(CR$1&lt;CapEx!$O$7,0,(VLOOKUP($B26,Inputs!$B$25:$D$44,3,0)*(VLOOKUP(Financials!$B26,Inputs!$B$3:$D$21,3,0)*(1+Inputs!$L$10)^Financials!CR$3)*CR$8))</f>
        <v>0</v>
      </c>
      <c r="CS26" s="18">
        <f>IF(CS$1&lt;CapEx!$O$7,0,(VLOOKUP($B26,Inputs!$B$25:$D$44,3,0)*(VLOOKUP(Financials!$B26,Inputs!$B$3:$D$21,3,0)*(1+Inputs!$L$10)^Financials!CS$3)*CS$8))</f>
        <v>0</v>
      </c>
      <c r="CT26" s="18">
        <f>IF(CT$1&lt;CapEx!$O$7,0,(VLOOKUP($B26,Inputs!$B$25:$D$44,3,0)*(VLOOKUP(Financials!$B26,Inputs!$B$3:$D$21,3,0)*(1+Inputs!$L$10)^Financials!CT$3)*CT$8))</f>
        <v>0</v>
      </c>
      <c r="CU26" s="18">
        <f>IF(CU$1&lt;CapEx!$O$7,0,(VLOOKUP($B26,Inputs!$B$25:$D$44,3,0)*(VLOOKUP(Financials!$B26,Inputs!$B$3:$D$21,3,0)*(1+Inputs!$L$10)^Financials!CU$3)*CU$8))</f>
        <v>0</v>
      </c>
      <c r="CV26" s="18">
        <f>IF(CV$1&lt;CapEx!$O$7,0,(VLOOKUP($B26,Inputs!$B$25:$D$44,3,0)*(VLOOKUP(Financials!$B26,Inputs!$B$3:$D$21,3,0)*(1+Inputs!$L$10)^Financials!CV$3)*CV$8))</f>
        <v>0</v>
      </c>
      <c r="CW26" s="18">
        <f>IF(CW$1&lt;CapEx!$O$7,0,(VLOOKUP($B26,Inputs!$B$25:$D$44,3,0)*(VLOOKUP(Financials!$B26,Inputs!$B$3:$D$21,3,0)*(1+Inputs!$L$10)^Financials!CW$3)*CW$8))</f>
        <v>0</v>
      </c>
      <c r="CX26" s="18">
        <f>IF(CX$1&lt;CapEx!$O$7,0,(VLOOKUP($B26,Inputs!$B$25:$D$44,3,0)*(VLOOKUP(Financials!$B26,Inputs!$B$3:$D$21,3,0)*(1+Inputs!$L$10)^Financials!CX$3)*CX$8))</f>
        <v>0</v>
      </c>
      <c r="CY26" s="18">
        <f>IF(CY$1&lt;CapEx!$O$7,0,(VLOOKUP($B26,Inputs!$B$25:$D$44,3,0)*(VLOOKUP(Financials!$B26,Inputs!$B$3:$D$21,3,0)*(1+Inputs!$L$10)^Financials!CY$3)*CY$8))</f>
        <v>0</v>
      </c>
      <c r="CZ26" s="18">
        <f>IF(CZ$1&lt;CapEx!$O$7,0,(VLOOKUP($B26,Inputs!$B$25:$D$44,3,0)*(VLOOKUP(Financials!$B26,Inputs!$B$3:$D$21,3,0)*(1+Inputs!$L$10)^Financials!CZ$3)*CZ$8))</f>
        <v>0</v>
      </c>
      <c r="DA26" s="18">
        <f>IF(DA$1&lt;CapEx!$O$7,0,(VLOOKUP($B26,Inputs!$B$25:$D$44,3,0)*(VLOOKUP(Financials!$B26,Inputs!$B$3:$D$21,3,0)*(1+Inputs!$L$10)^Financials!DA$3)*DA$8))</f>
        <v>0</v>
      </c>
      <c r="DB26" s="18">
        <f>IF(DB$1&lt;CapEx!$O$7,0,(VLOOKUP($B26,Inputs!$B$25:$D$44,3,0)*(VLOOKUP(Financials!$B26,Inputs!$B$3:$D$21,3,0)*(1+Inputs!$L$10)^Financials!DB$3)*DB$8))</f>
        <v>0</v>
      </c>
      <c r="DC26" s="18">
        <f>IF(DC$1&lt;CapEx!$O$7,0,(VLOOKUP($B26,Inputs!$B$25:$D$44,3,0)*(VLOOKUP(Financials!$B26,Inputs!$B$3:$D$21,3,0)*(1+Inputs!$L$10)^Financials!DC$3)*DC$8))</f>
        <v>0</v>
      </c>
      <c r="DD26" s="18">
        <f>IF(DD$1&lt;CapEx!$O$7,0,(VLOOKUP($B26,Inputs!$B$25:$D$44,3,0)*(VLOOKUP(Financials!$B26,Inputs!$B$3:$D$21,3,0)*(1+Inputs!$L$10)^Financials!DD$3)*DD$8))</f>
        <v>0</v>
      </c>
      <c r="DE26" s="18">
        <f>IF(DE$1&lt;CapEx!$O$7,0,(VLOOKUP($B26,Inputs!$B$25:$D$44,3,0)*(VLOOKUP(Financials!$B26,Inputs!$B$3:$D$21,3,0)*(1+Inputs!$L$10)^Financials!DE$3)*DE$8))</f>
        <v>0</v>
      </c>
      <c r="DF26" s="18">
        <f>IF(DF$1&lt;CapEx!$O$7,0,(VLOOKUP($B26,Inputs!$B$25:$D$44,3,0)*(VLOOKUP(Financials!$B26,Inputs!$B$3:$D$21,3,0)*(1+Inputs!$L$10)^Financials!DF$3)*DF$8))</f>
        <v>0</v>
      </c>
      <c r="DG26" s="18">
        <f>IF(DG$1&lt;CapEx!$O$7,0,(VLOOKUP($B26,Inputs!$B$25:$D$44,3,0)*(VLOOKUP(Financials!$B26,Inputs!$B$3:$D$21,3,0)*(1+Inputs!$L$10)^Financials!DG$3)*DG$8))</f>
        <v>0</v>
      </c>
      <c r="DH26" s="18">
        <f>IF(DH$1&lt;CapEx!$O$7,0,(VLOOKUP($B26,Inputs!$B$25:$D$44,3,0)*(VLOOKUP(Financials!$B26,Inputs!$B$3:$D$21,3,0)*(1+Inputs!$L$10)^Financials!DH$3)*DH$8))</f>
        <v>0</v>
      </c>
      <c r="DI26" s="18">
        <f>IF(DI$1&lt;CapEx!$O$7,0,(VLOOKUP($B26,Inputs!$B$25:$D$44,3,0)*(VLOOKUP(Financials!$B26,Inputs!$B$3:$D$21,3,0)*(1+Inputs!$L$10)^Financials!DI$3)*DI$8))</f>
        <v>0</v>
      </c>
      <c r="DJ26" s="18">
        <f>IF(DJ$1&lt;CapEx!$O$7,0,(VLOOKUP($B26,Inputs!$B$25:$D$44,3,0)*(VLOOKUP(Financials!$B26,Inputs!$B$3:$D$21,3,0)*(1+Inputs!$L$10)^Financials!DJ$3)*DJ$8))</f>
        <v>0</v>
      </c>
      <c r="DK26" s="18">
        <f>IF(DK$1&lt;CapEx!$O$7,0,(VLOOKUP($B26,Inputs!$B$25:$D$44,3,0)*(VLOOKUP(Financials!$B26,Inputs!$B$3:$D$21,3,0)*(1+Inputs!$L$10)^Financials!DK$3)*DK$8))</f>
        <v>0</v>
      </c>
      <c r="DL26" s="18">
        <f>IF(DL$1&lt;CapEx!$O$7,0,(VLOOKUP($B26,Inputs!$B$25:$D$44,3,0)*(VLOOKUP(Financials!$B26,Inputs!$B$3:$D$21,3,0)*(1+Inputs!$L$10)^Financials!DL$3)*DL$8))</f>
        <v>0</v>
      </c>
      <c r="DM26" s="18">
        <f>IF(DM$1&lt;CapEx!$O$7,0,(VLOOKUP($B26,Inputs!$B$25:$D$44,3,0)*(VLOOKUP(Financials!$B26,Inputs!$B$3:$D$21,3,0)*(1+Inputs!$L$10)^Financials!DM$3)*DM$8))</f>
        <v>0</v>
      </c>
      <c r="DN26" s="18">
        <f>IF(DN$1&lt;CapEx!$O$7,0,(VLOOKUP($B26,Inputs!$B$25:$D$44,3,0)*(VLOOKUP(Financials!$B26,Inputs!$B$3:$D$21,3,0)*(1+Inputs!$L$10)^Financials!DN$3)*DN$8))</f>
        <v>0</v>
      </c>
      <c r="DO26" s="18">
        <f>IF(DO$1&lt;CapEx!$O$7,0,(VLOOKUP($B26,Inputs!$B$25:$D$44,3,0)*(VLOOKUP(Financials!$B26,Inputs!$B$3:$D$21,3,0)*(1+Inputs!$L$10)^Financials!DO$3)*DO$8))</f>
        <v>0</v>
      </c>
      <c r="DP26" s="18">
        <f>IF(DP$1&lt;CapEx!$O$7,0,(VLOOKUP($B26,Inputs!$B$25:$D$44,3,0)*(VLOOKUP(Financials!$B26,Inputs!$B$3:$D$21,3,0)*(1+Inputs!$L$10)^Financials!DP$3)*DP$8))</f>
        <v>0</v>
      </c>
      <c r="DQ26" s="18">
        <f>IF(DQ$1&lt;CapEx!$O$7,0,(VLOOKUP($B26,Inputs!$B$25:$D$44,3,0)*(VLOOKUP(Financials!$B26,Inputs!$B$3:$D$21,3,0)*(1+Inputs!$L$10)^Financials!DQ$3)*DQ$8))</f>
        <v>0</v>
      </c>
      <c r="DR26" s="18">
        <f>IF(DR$1&lt;CapEx!$O$7,0,(VLOOKUP($B26,Inputs!$B$25:$D$44,3,0)*(VLOOKUP(Financials!$B26,Inputs!$B$3:$D$21,3,0)*(1+Inputs!$L$10)^Financials!DR$3)*DR$8))</f>
        <v>0</v>
      </c>
      <c r="DS26" s="18">
        <f>IF(DS$1&lt;CapEx!$O$7,0,(VLOOKUP($B26,Inputs!$B$25:$D$44,3,0)*(VLOOKUP(Financials!$B26,Inputs!$B$3:$D$21,3,0)*(1+Inputs!$L$10)^Financials!DS$3)*DS$8))</f>
        <v>0</v>
      </c>
      <c r="DT26" s="18">
        <f>IF(DT$1&lt;CapEx!$O$7,0,(VLOOKUP($B26,Inputs!$B$25:$D$44,3,0)*(VLOOKUP(Financials!$B26,Inputs!$B$3:$D$21,3,0)*(1+Inputs!$L$10)^Financials!DT$3)*DT$8))</f>
        <v>0</v>
      </c>
      <c r="DU26" s="18">
        <f>IF(DU$1&lt;CapEx!$O$7,0,(VLOOKUP($B26,Inputs!$B$25:$D$44,3,0)*(VLOOKUP(Financials!$B26,Inputs!$B$3:$D$21,3,0)*(1+Inputs!$L$10)^Financials!DU$3)*DU$8))</f>
        <v>0</v>
      </c>
      <c r="DV26" s="18">
        <f>IF(DV$1&lt;CapEx!$O$7,0,(VLOOKUP($B26,Inputs!$B$25:$D$44,3,0)*(VLOOKUP(Financials!$B26,Inputs!$B$3:$D$21,3,0)*(1+Inputs!$L$10)^Financials!DV$3)*DV$8))</f>
        <v>0</v>
      </c>
      <c r="DW26" s="18">
        <f>IF(DW$1&lt;CapEx!$O$7,0,(VLOOKUP($B26,Inputs!$B$25:$D$44,3,0)*(VLOOKUP(Financials!$B26,Inputs!$B$3:$D$21,3,0)*(1+Inputs!$L$10)^Financials!DW$3)*DW$8))</f>
        <v>0</v>
      </c>
      <c r="DX26" s="18">
        <f>IF(DX$1&lt;CapEx!$O$7,0,(VLOOKUP($B26,Inputs!$B$25:$D$44,3,0)*(VLOOKUP(Financials!$B26,Inputs!$B$3:$D$21,3,0)*(1+Inputs!$L$10)^Financials!DX$3)*DX$8))</f>
        <v>0</v>
      </c>
      <c r="DY26" s="18">
        <f>IF(DY$1&lt;CapEx!$O$7,0,(VLOOKUP($B26,Inputs!$B$25:$D$44,3,0)*(VLOOKUP(Financials!$B26,Inputs!$B$3:$D$21,3,0)*(1+Inputs!$L$10)^Financials!DY$3)*DY$8))</f>
        <v>0</v>
      </c>
      <c r="DZ26" s="18">
        <f>IF(DZ$1&lt;CapEx!$O$7,0,(VLOOKUP($B26,Inputs!$B$25:$D$44,3,0)*(VLOOKUP(Financials!$B26,Inputs!$B$3:$D$21,3,0)*(1+Inputs!$L$10)^Financials!DZ$3)*DZ$8))</f>
        <v>0</v>
      </c>
      <c r="EA26" s="18">
        <f>IF(EA$1&lt;CapEx!$O$7,0,(VLOOKUP($B26,Inputs!$B$25:$D$44,3,0)*(VLOOKUP(Financials!$B26,Inputs!$B$3:$D$21,3,0)*(1+Inputs!$L$10)^Financials!EA$3)*EA$8))</f>
        <v>0</v>
      </c>
      <c r="EB26" s="18">
        <f>IF(EB$1&lt;CapEx!$O$7,0,(VLOOKUP($B26,Inputs!$B$25:$D$44,3,0)*(VLOOKUP(Financials!$B26,Inputs!$B$3:$D$21,3,0)*(1+Inputs!$L$10)^Financials!EB$3)*EB$8))</f>
        <v>0</v>
      </c>
      <c r="EC26" s="18">
        <f>IF(EC$1&lt;CapEx!$O$7,0,(VLOOKUP($B26,Inputs!$B$25:$D$44,3,0)*(VLOOKUP(Financials!$B26,Inputs!$B$3:$D$21,3,0)*(1+Inputs!$L$10)^Financials!EC$3)*EC$8))</f>
        <v>0</v>
      </c>
      <c r="ED26" s="18">
        <f>IF(ED$1&lt;CapEx!$O$7,0,(VLOOKUP($B26,Inputs!$B$25:$D$44,3,0)*(VLOOKUP(Financials!$B26,Inputs!$B$3:$D$21,3,0)*(1+Inputs!$L$10)^Financials!ED$3)*ED$8))</f>
        <v>0</v>
      </c>
      <c r="EE26" s="18">
        <f>IF(EE$1&lt;CapEx!$O$7,0,(VLOOKUP($B26,Inputs!$B$25:$D$44,3,0)*(VLOOKUP(Financials!$B26,Inputs!$B$3:$D$21,3,0)*(1+Inputs!$L$10)^Financials!EE$3)*EE$8))</f>
        <v>0</v>
      </c>
      <c r="EF26" s="18">
        <f>IF(EF$1&lt;CapEx!$O$7,0,(VLOOKUP($B26,Inputs!$B$25:$D$44,3,0)*(VLOOKUP(Financials!$B26,Inputs!$B$3:$D$21,3,0)*(1+Inputs!$L$10)^Financials!EF$3)*EF$8))</f>
        <v>0</v>
      </c>
      <c r="EG26" s="18">
        <f>IF(EG$1&lt;CapEx!$O$7,0,(VLOOKUP($B26,Inputs!$B$25:$D$44,3,0)*(VLOOKUP(Financials!$B26,Inputs!$B$3:$D$21,3,0)*(1+Inputs!$L$10)^Financials!EG$3)*EG$8))</f>
        <v>0</v>
      </c>
      <c r="EH26" s="18">
        <f>IF(EH$1&lt;CapEx!$O$7,0,(VLOOKUP($B26,Inputs!$B$25:$D$44,3,0)*(VLOOKUP(Financials!$B26,Inputs!$B$3:$D$21,3,0)*(1+Inputs!$L$10)^Financials!EH$3)*EH$8))</f>
        <v>0</v>
      </c>
      <c r="EI26" s="18">
        <f>IF(EI$1&lt;CapEx!$O$7,0,(VLOOKUP($B26,Inputs!$B$25:$D$44,3,0)*(VLOOKUP(Financials!$B26,Inputs!$B$3:$D$21,3,0)*(1+Inputs!$L$10)^Financials!EI$3)*EI$8))</f>
        <v>0</v>
      </c>
      <c r="EJ26" s="18">
        <f>IF(EJ$1&lt;CapEx!$O$7,0,(VLOOKUP($B26,Inputs!$B$25:$D$44,3,0)*(VLOOKUP(Financials!$B26,Inputs!$B$3:$D$21,3,0)*(1+Inputs!$L$10)^Financials!EJ$3)*EJ$8))</f>
        <v>0</v>
      </c>
      <c r="EK26" s="18">
        <f>IF(EK$1&lt;CapEx!$O$7,0,(VLOOKUP($B26,Inputs!$B$25:$D$44,3,0)*(VLOOKUP(Financials!$B26,Inputs!$B$3:$D$21,3,0)*(1+Inputs!$L$10)^Financials!EK$3)*EK$8))</f>
        <v>0</v>
      </c>
      <c r="EL26" s="18">
        <f>IF(EL$1&lt;CapEx!$O$7,0,(VLOOKUP($B26,Inputs!$B$25:$D$44,3,0)*(VLOOKUP(Financials!$B26,Inputs!$B$3:$D$21,3,0)*(1+Inputs!$L$10)^Financials!EL$3)*EL$8))</f>
        <v>0</v>
      </c>
      <c r="EM26" s="18">
        <f>IF(EM$1&lt;CapEx!$O$7,0,(VLOOKUP($B26,Inputs!$B$25:$D$44,3,0)*(VLOOKUP(Financials!$B26,Inputs!$B$3:$D$21,3,0)*(1+Inputs!$L$10)^Financials!EM$3)*EM$8))</f>
        <v>0</v>
      </c>
      <c r="EN26" s="18">
        <f>IF(EN$1&lt;CapEx!$O$7,0,(VLOOKUP($B26,Inputs!$B$25:$D$44,3,0)*(VLOOKUP(Financials!$B26,Inputs!$B$3:$D$21,3,0)*(1+Inputs!$L$10)^Financials!EN$3)*EN$8))</f>
        <v>0</v>
      </c>
      <c r="EO26" s="18">
        <f>IF(EO$1&lt;CapEx!$O$7,0,(VLOOKUP($B26,Inputs!$B$25:$D$44,3,0)*(VLOOKUP(Financials!$B26,Inputs!$B$3:$D$21,3,0)*(1+Inputs!$L$10)^Financials!EO$3)*EO$8))</f>
        <v>0</v>
      </c>
      <c r="EP26" s="18">
        <f>IF(EP$1&lt;CapEx!$O$7,0,(VLOOKUP($B26,Inputs!$B$25:$D$44,3,0)*(VLOOKUP(Financials!$B26,Inputs!$B$3:$D$21,3,0)*(1+Inputs!$L$10)^Financials!EP$3)*EP$8))</f>
        <v>0</v>
      </c>
      <c r="EQ26" s="18">
        <f>IF(EQ$1&lt;CapEx!$O$7,0,(VLOOKUP($B26,Inputs!$B$25:$D$44,3,0)*(VLOOKUP(Financials!$B26,Inputs!$B$3:$D$21,3,0)*(1+Inputs!$L$10)^Financials!EQ$3)*EQ$8))</f>
        <v>0</v>
      </c>
      <c r="ER26" s="18">
        <f>IF(ER$1&lt;CapEx!$O$7,0,(VLOOKUP($B26,Inputs!$B$25:$D$44,3,0)*(VLOOKUP(Financials!$B26,Inputs!$B$3:$D$21,3,0)*(1+Inputs!$L$10)^Financials!ER$3)*ER$8))</f>
        <v>0</v>
      </c>
      <c r="ES26" s="18">
        <f>IF(ES$1&lt;CapEx!$O$7,0,(VLOOKUP($B26,Inputs!$B$25:$D$44,3,0)*(VLOOKUP(Financials!$B26,Inputs!$B$3:$D$21,3,0)*(1+Inputs!$L$10)^Financials!ES$3)*ES$8))</f>
        <v>0</v>
      </c>
      <c r="ET26" s="18">
        <f>IF(ET$1&lt;CapEx!$O$7,0,(VLOOKUP($B26,Inputs!$B$25:$D$44,3,0)*(VLOOKUP(Financials!$B26,Inputs!$B$3:$D$21,3,0)*(1+Inputs!$L$10)^Financials!ET$3)*ET$8))</f>
        <v>0</v>
      </c>
      <c r="EU26" s="18">
        <f>IF(EU$1&lt;CapEx!$O$7,0,(VLOOKUP($B26,Inputs!$B$25:$D$44,3,0)*(VLOOKUP(Financials!$B26,Inputs!$B$3:$D$21,3,0)*(1+Inputs!$L$10)^Financials!EU$3)*EU$8))</f>
        <v>0</v>
      </c>
      <c r="EV26" s="18">
        <f>IF(EV$1&lt;CapEx!$O$7,0,(VLOOKUP($B26,Inputs!$B$25:$D$44,3,0)*(VLOOKUP(Financials!$B26,Inputs!$B$3:$D$21,3,0)*(1+Inputs!$L$10)^Financials!EV$3)*EV$8))</f>
        <v>0</v>
      </c>
      <c r="EW26" s="18">
        <f>IF(EW$1&lt;CapEx!$O$7,0,(VLOOKUP($B26,Inputs!$B$25:$D$44,3,0)*(VLOOKUP(Financials!$B26,Inputs!$B$3:$D$21,3,0)*(1+Inputs!$L$10)^Financials!EW$3)*EW$8))</f>
        <v>0</v>
      </c>
      <c r="EX26" s="18">
        <f>IF(EX$1&lt;CapEx!$O$7,0,(VLOOKUP($B26,Inputs!$B$25:$D$44,3,0)*(VLOOKUP(Financials!$B26,Inputs!$B$3:$D$21,3,0)*(1+Inputs!$L$10)^Financials!EX$3)*EX$8))</f>
        <v>0</v>
      </c>
      <c r="EY26" s="18">
        <f>IF(EY$1&lt;CapEx!$O$7,0,(VLOOKUP($B26,Inputs!$B$25:$D$44,3,0)*(VLOOKUP(Financials!$B26,Inputs!$B$3:$D$21,3,0)*(1+Inputs!$L$10)^Financials!EY$3)*EY$8))</f>
        <v>0</v>
      </c>
      <c r="EZ26" s="18">
        <f>IF(EZ$1&lt;CapEx!$O$7,0,(VLOOKUP($B26,Inputs!$B$25:$D$44,3,0)*(VLOOKUP(Financials!$B26,Inputs!$B$3:$D$21,3,0)*(1+Inputs!$L$10)^Financials!EZ$3)*EZ$8))</f>
        <v>0</v>
      </c>
      <c r="FA26" s="18">
        <f>IF(FA$1&lt;CapEx!$O$7,0,(VLOOKUP($B26,Inputs!$B$25:$D$44,3,0)*(VLOOKUP(Financials!$B26,Inputs!$B$3:$D$21,3,0)*(1+Inputs!$L$10)^Financials!FA$3)*FA$8))</f>
        <v>0</v>
      </c>
      <c r="FB26" s="18">
        <f>IF(FB$1&lt;CapEx!$O$7,0,(VLOOKUP($B26,Inputs!$B$25:$D$44,3,0)*(VLOOKUP(Financials!$B26,Inputs!$B$3:$D$21,3,0)*(1+Inputs!$L$10)^Financials!FB$3)*FB$8))</f>
        <v>0</v>
      </c>
      <c r="FC26" s="18">
        <f>IF(FC$1&lt;CapEx!$O$7,0,(VLOOKUP($B26,Inputs!$B$25:$D$44,3,0)*(VLOOKUP(Financials!$B26,Inputs!$B$3:$D$21,3,0)*(1+Inputs!$L$10)^Financials!FC$3)*FC$8))</f>
        <v>0</v>
      </c>
      <c r="FD26" s="18">
        <f>IF(FD$1&lt;CapEx!$O$7,0,(VLOOKUP($B26,Inputs!$B$25:$D$44,3,0)*(VLOOKUP(Financials!$B26,Inputs!$B$3:$D$21,3,0)*(1+Inputs!$L$10)^Financials!FD$3)*FD$8))</f>
        <v>0</v>
      </c>
      <c r="FE26" s="18">
        <f>IF(FE$1&lt;CapEx!$O$7,0,(VLOOKUP($B26,Inputs!$B$25:$D$44,3,0)*(VLOOKUP(Financials!$B26,Inputs!$B$3:$D$21,3,0)*(1+Inputs!$L$10)^Financials!FE$3)*FE$8))</f>
        <v>0</v>
      </c>
      <c r="FF26" s="18">
        <f>IF(FF$1&lt;CapEx!$O$7,0,(VLOOKUP($B26,Inputs!$B$25:$D$44,3,0)*(VLOOKUP(Financials!$B26,Inputs!$B$3:$D$21,3,0)*(1+Inputs!$L$10)^Financials!FF$3)*FF$8))</f>
        <v>0</v>
      </c>
      <c r="FG26" s="18">
        <f>IF(FG$1&lt;CapEx!$O$7,0,(VLOOKUP($B26,Inputs!$B$25:$D$44,3,0)*(VLOOKUP(Financials!$B26,Inputs!$B$3:$D$21,3,0)*(1+Inputs!$L$10)^Financials!FG$3)*FG$8))</f>
        <v>0</v>
      </c>
      <c r="FH26" s="18">
        <f>IF(FH$1&lt;CapEx!$O$7,0,(VLOOKUP($B26,Inputs!$B$25:$D$44,3,0)*(VLOOKUP(Financials!$B26,Inputs!$B$3:$D$21,3,0)*(1+Inputs!$L$10)^Financials!FH$3)*FH$8))</f>
        <v>0</v>
      </c>
      <c r="FI26" s="18">
        <f>IF(FI$1&lt;CapEx!$O$7,0,(VLOOKUP($B26,Inputs!$B$25:$D$44,3,0)*(VLOOKUP(Financials!$B26,Inputs!$B$3:$D$21,3,0)*(1+Inputs!$L$10)^Financials!FI$3)*FI$8))</f>
        <v>0</v>
      </c>
      <c r="FJ26" s="18">
        <f>IF(FJ$1&lt;CapEx!$O$7,0,(VLOOKUP($B26,Inputs!$B$25:$D$44,3,0)*(VLOOKUP(Financials!$B26,Inputs!$B$3:$D$21,3,0)*(1+Inputs!$L$10)^Financials!FJ$3)*FJ$8))</f>
        <v>0</v>
      </c>
      <c r="FK26" s="18">
        <f>IF(FK$1&lt;CapEx!$O$7,0,(VLOOKUP($B26,Inputs!$B$25:$D$44,3,0)*(VLOOKUP(Financials!$B26,Inputs!$B$3:$D$21,3,0)*(1+Inputs!$L$10)^Financials!FK$3)*FK$8))</f>
        <v>0</v>
      </c>
      <c r="FL26" s="18">
        <f>IF(FL$1&lt;CapEx!$O$7,0,(VLOOKUP($B26,Inputs!$B$25:$D$44,3,0)*(VLOOKUP(Financials!$B26,Inputs!$B$3:$D$21,3,0)*(1+Inputs!$L$10)^Financials!FL$3)*FL$8))</f>
        <v>0</v>
      </c>
      <c r="FM26" s="18">
        <f>IF(FM$1&lt;CapEx!$O$7,0,(VLOOKUP($B26,Inputs!$B$25:$D$44,3,0)*(VLOOKUP(Financials!$B26,Inputs!$B$3:$D$21,3,0)*(1+Inputs!$L$10)^Financials!FM$3)*FM$8))</f>
        <v>0</v>
      </c>
      <c r="FN26" s="18">
        <f>IF(FN$1&lt;CapEx!$O$7,0,(VLOOKUP($B26,Inputs!$B$25:$D$44,3,0)*(VLOOKUP(Financials!$B26,Inputs!$B$3:$D$21,3,0)*(1+Inputs!$L$10)^Financials!FN$3)*FN$8))</f>
        <v>0</v>
      </c>
      <c r="FO26" s="18">
        <f>IF(FO$1&lt;CapEx!$O$7,0,(VLOOKUP($B26,Inputs!$B$25:$D$44,3,0)*(VLOOKUP(Financials!$B26,Inputs!$B$3:$D$21,3,0)*(1+Inputs!$L$10)^Financials!FO$3)*FO$8))</f>
        <v>0</v>
      </c>
      <c r="FP26" s="18">
        <f>IF(FP$1&lt;CapEx!$O$7,0,(VLOOKUP($B26,Inputs!$B$25:$D$44,3,0)*(VLOOKUP(Financials!$B26,Inputs!$B$3:$D$21,3,0)*(1+Inputs!$L$10)^Financials!FP$3)*FP$8))</f>
        <v>0</v>
      </c>
      <c r="FQ26" s="18">
        <f>IF(FQ$1&lt;CapEx!$O$7,0,(VLOOKUP($B26,Inputs!$B$25:$D$44,3,0)*(VLOOKUP(Financials!$B26,Inputs!$B$3:$D$21,3,0)*(1+Inputs!$L$10)^Financials!FQ$3)*FQ$8))</f>
        <v>0</v>
      </c>
      <c r="FR26" s="18">
        <f>IF(FR$1&lt;CapEx!$O$7,0,(VLOOKUP($B26,Inputs!$B$25:$D$44,3,0)*(VLOOKUP(Financials!$B26,Inputs!$B$3:$D$21,3,0)*(1+Inputs!$L$10)^Financials!FR$3)*FR$8))</f>
        <v>0</v>
      </c>
      <c r="FS26" s="18">
        <f>IF(FS$1&lt;CapEx!$O$7,0,(VLOOKUP($B26,Inputs!$B$25:$D$44,3,0)*(VLOOKUP(Financials!$B26,Inputs!$B$3:$D$21,3,0)*(1+Inputs!$L$10)^Financials!FS$3)*FS$8))</f>
        <v>0</v>
      </c>
      <c r="FT26" s="18">
        <f>IF(FT$1&lt;CapEx!$O$7,0,(VLOOKUP($B26,Inputs!$B$25:$D$44,3,0)*(VLOOKUP(Financials!$B26,Inputs!$B$3:$D$21,3,0)*(1+Inputs!$L$10)^Financials!FT$3)*FT$8))</f>
        <v>0</v>
      </c>
      <c r="FU26" s="18">
        <f>IF(FU$1&lt;CapEx!$O$7,0,(VLOOKUP($B26,Inputs!$B$25:$D$44,3,0)*(VLOOKUP(Financials!$B26,Inputs!$B$3:$D$21,3,0)*(1+Inputs!$L$10)^Financials!FU$3)*FU$8))</f>
        <v>0</v>
      </c>
      <c r="FV26" s="18">
        <f>IF(FV$1&lt;CapEx!$O$7,0,(VLOOKUP($B26,Inputs!$B$25:$D$44,3,0)*(VLOOKUP(Financials!$B26,Inputs!$B$3:$D$21,3,0)*(1+Inputs!$L$10)^Financials!FV$3)*FV$8))</f>
        <v>0</v>
      </c>
      <c r="FW26" s="18">
        <f>IF(FW$1&lt;CapEx!$O$7,0,(VLOOKUP($B26,Inputs!$B$25:$D$44,3,0)*(VLOOKUP(Financials!$B26,Inputs!$B$3:$D$21,3,0)*(1+Inputs!$L$10)^Financials!FW$3)*FW$8))</f>
        <v>0</v>
      </c>
      <c r="FX26" s="18">
        <f>IF(FX$1&lt;CapEx!$O$7,0,(VLOOKUP($B26,Inputs!$B$25:$D$44,3,0)*(VLOOKUP(Financials!$B26,Inputs!$B$3:$D$21,3,0)*(1+Inputs!$L$10)^Financials!FX$3)*FX$8))</f>
        <v>0</v>
      </c>
      <c r="FY26" s="18">
        <f>IF(FY$1&lt;CapEx!$O$7,0,(VLOOKUP($B26,Inputs!$B$25:$D$44,3,0)*(VLOOKUP(Financials!$B26,Inputs!$B$3:$D$21,3,0)*(1+Inputs!$L$10)^Financials!FY$3)*FY$8))</f>
        <v>0</v>
      </c>
      <c r="FZ26" s="18">
        <f>IF(FZ$1&lt;CapEx!$O$7,0,(VLOOKUP($B26,Inputs!$B$25:$D$44,3,0)*(VLOOKUP(Financials!$B26,Inputs!$B$3:$D$21,3,0)*(1+Inputs!$L$10)^Financials!FZ$3)*FZ$8))</f>
        <v>0</v>
      </c>
      <c r="GA26" s="18">
        <f>IF(GA$1&lt;CapEx!$O$7,0,(VLOOKUP($B26,Inputs!$B$25:$D$44,3,0)*(VLOOKUP(Financials!$B26,Inputs!$B$3:$D$21,3,0)*(1+Inputs!$L$10)^Financials!GA$3)*GA$8))</f>
        <v>0</v>
      </c>
      <c r="GB26" s="18">
        <f>IF(GB$1&lt;CapEx!$O$7,0,(VLOOKUP($B26,Inputs!$B$25:$D$44,3,0)*(VLOOKUP(Financials!$B26,Inputs!$B$3:$D$21,3,0)*(1+Inputs!$L$10)^Financials!GB$3)*GB$8))</f>
        <v>0</v>
      </c>
      <c r="GC26" s="18">
        <f>IF(GC$1&lt;CapEx!$O$7,0,(VLOOKUP($B26,Inputs!$B$25:$D$44,3,0)*(VLOOKUP(Financials!$B26,Inputs!$B$3:$D$21,3,0)*(1+Inputs!$L$10)^Financials!GC$3)*GC$8))</f>
        <v>0</v>
      </c>
      <c r="GD26" s="18">
        <f>IF(GD$1&lt;CapEx!$O$7,0,(VLOOKUP($B26,Inputs!$B$25:$D$44,3,0)*(VLOOKUP(Financials!$B26,Inputs!$B$3:$D$21,3,0)*(1+Inputs!$L$10)^Financials!GD$3)*GD$8))</f>
        <v>0</v>
      </c>
      <c r="GE26" s="18">
        <f>IF(GE$1&lt;CapEx!$O$7,0,(VLOOKUP($B26,Inputs!$B$25:$D$44,3,0)*(VLOOKUP(Financials!$B26,Inputs!$B$3:$D$21,3,0)*(1+Inputs!$L$10)^Financials!GE$3)*GE$8))</f>
        <v>0</v>
      </c>
      <c r="GF26" s="18">
        <f>IF(GF$1&lt;CapEx!$O$7,0,(VLOOKUP($B26,Inputs!$B$25:$D$44,3,0)*(VLOOKUP(Financials!$B26,Inputs!$B$3:$D$21,3,0)*(1+Inputs!$L$10)^Financials!GF$3)*GF$8))</f>
        <v>0</v>
      </c>
      <c r="GG26" s="18">
        <f>IF(GG$1&lt;CapEx!$O$7,0,(VLOOKUP($B26,Inputs!$B$25:$D$44,3,0)*(VLOOKUP(Financials!$B26,Inputs!$B$3:$D$21,3,0)*(1+Inputs!$L$10)^Financials!GG$3)*GG$8))</f>
        <v>0</v>
      </c>
      <c r="GH26" s="18">
        <f>IF(GH$1&lt;CapEx!$O$7,0,(VLOOKUP($B26,Inputs!$B$25:$D$44,3,0)*(VLOOKUP(Financials!$B26,Inputs!$B$3:$D$21,3,0)*(1+Inputs!$L$10)^Financials!GH$3)*GH$8))</f>
        <v>0</v>
      </c>
      <c r="GI26" s="18">
        <f>IF(GI$1&lt;CapEx!$O$7,0,(VLOOKUP($B26,Inputs!$B$25:$D$44,3,0)*(VLOOKUP(Financials!$B26,Inputs!$B$3:$D$21,3,0)*(1+Inputs!$L$10)^Financials!GI$3)*GI$8))</f>
        <v>0</v>
      </c>
      <c r="GJ26" s="18">
        <f>IF(GJ$1&lt;CapEx!$O$7,0,(VLOOKUP($B26,Inputs!$B$25:$D$44,3,0)*(VLOOKUP(Financials!$B26,Inputs!$B$3:$D$21,3,0)*(1+Inputs!$L$10)^Financials!GJ$3)*GJ$8))</f>
        <v>0</v>
      </c>
      <c r="GK26" s="18">
        <f>IF(GK$1&lt;CapEx!$O$7,0,(VLOOKUP($B26,Inputs!$B$25:$D$44,3,0)*(VLOOKUP(Financials!$B26,Inputs!$B$3:$D$21,3,0)*(1+Inputs!$L$10)^Financials!GK$3)*GK$8))</f>
        <v>0</v>
      </c>
      <c r="GL26" s="18">
        <f>IF(GL$1&lt;CapEx!$O$7,0,(VLOOKUP($B26,Inputs!$B$25:$D$44,3,0)*(VLOOKUP(Financials!$B26,Inputs!$B$3:$D$21,3,0)*(1+Inputs!$L$10)^Financials!GL$3)*GL$8))</f>
        <v>0</v>
      </c>
      <c r="GM26" s="18">
        <f>IF(GM$1&lt;CapEx!$O$7,0,(VLOOKUP($B26,Inputs!$B$25:$D$44,3,0)*(VLOOKUP(Financials!$B26,Inputs!$B$3:$D$21,3,0)*(1+Inputs!$L$10)^Financials!GM$3)*GM$8))</f>
        <v>0</v>
      </c>
      <c r="GN26" s="18">
        <f>IF(GN$1&lt;CapEx!$O$7,0,(VLOOKUP($B26,Inputs!$B$25:$D$44,3,0)*(VLOOKUP(Financials!$B26,Inputs!$B$3:$D$21,3,0)*(1+Inputs!$L$10)^Financials!GN$3)*GN$8))</f>
        <v>0</v>
      </c>
      <c r="GO26" s="18">
        <f>IF(GO$1&lt;CapEx!$O$7,0,(VLOOKUP($B26,Inputs!$B$25:$D$44,3,0)*(VLOOKUP(Financials!$B26,Inputs!$B$3:$D$21,3,0)*(1+Inputs!$L$10)^Financials!GO$3)*GO$8))</f>
        <v>0</v>
      </c>
      <c r="GP26" s="18">
        <f>IF(GP$1&lt;CapEx!$O$7,0,(VLOOKUP($B26,Inputs!$B$25:$D$44,3,0)*(VLOOKUP(Financials!$B26,Inputs!$B$3:$D$21,3,0)*(1+Inputs!$L$10)^Financials!GP$3)*GP$8))</f>
        <v>0</v>
      </c>
      <c r="GQ26" s="18">
        <f>IF(GQ$1&lt;CapEx!$O$7,0,(VLOOKUP($B26,Inputs!$B$25:$D$44,3,0)*(VLOOKUP(Financials!$B26,Inputs!$B$3:$D$21,3,0)*(1+Inputs!$L$10)^Financials!GQ$3)*GQ$8))</f>
        <v>0</v>
      </c>
      <c r="GR26" s="18">
        <f>IF(GR$1&lt;CapEx!$O$7,0,(VLOOKUP($B26,Inputs!$B$25:$D$44,3,0)*(VLOOKUP(Financials!$B26,Inputs!$B$3:$D$21,3,0)*(1+Inputs!$L$10)^Financials!GR$3)*GR$8))</f>
        <v>0</v>
      </c>
      <c r="GS26" s="18">
        <f>IF(GS$1&lt;CapEx!$O$7,0,(VLOOKUP($B26,Inputs!$B$25:$D$44,3,0)*(VLOOKUP(Financials!$B26,Inputs!$B$3:$D$21,3,0)*(1+Inputs!$L$10)^Financials!GS$3)*GS$8))</f>
        <v>0</v>
      </c>
      <c r="GT26" s="18">
        <f>IF(GT$1&lt;CapEx!$O$7,0,(VLOOKUP($B26,Inputs!$B$25:$D$44,3,0)*(VLOOKUP(Financials!$B26,Inputs!$B$3:$D$21,3,0)*(1+Inputs!$L$10)^Financials!GT$3)*GT$8))</f>
        <v>0</v>
      </c>
      <c r="GU26" s="18">
        <f>IF(GU$1&lt;CapEx!$O$7,0,(VLOOKUP($B26,Inputs!$B$25:$D$44,3,0)*(VLOOKUP(Financials!$B26,Inputs!$B$3:$D$21,3,0)*(1+Inputs!$L$10)^Financials!GU$3)*GU$8))</f>
        <v>0</v>
      </c>
      <c r="GV26" s="18">
        <f>IF(GV$1&lt;CapEx!$O$7,0,(VLOOKUP($B26,Inputs!$B$25:$D$44,3,0)*(VLOOKUP(Financials!$B26,Inputs!$B$3:$D$21,3,0)*(1+Inputs!$L$10)^Financials!GV$3)*GV$8))</f>
        <v>0</v>
      </c>
      <c r="GW26" s="18">
        <f>IF(GW$1&lt;CapEx!$O$7,0,(VLOOKUP($B26,Inputs!$B$25:$D$44,3,0)*(VLOOKUP(Financials!$B26,Inputs!$B$3:$D$21,3,0)*(1+Inputs!$L$10)^Financials!GW$3)*GW$8))</f>
        <v>0</v>
      </c>
      <c r="GX26" s="18">
        <f>IF(GX$1&lt;CapEx!$O$7,0,(VLOOKUP($B26,Inputs!$B$25:$D$44,3,0)*(VLOOKUP(Financials!$B26,Inputs!$B$3:$D$21,3,0)*(1+Inputs!$L$10)^Financials!GX$3)*GX$8))</f>
        <v>0</v>
      </c>
      <c r="GY26" s="18">
        <f>IF(GY$1&lt;CapEx!$O$7,0,(VLOOKUP($B26,Inputs!$B$25:$D$44,3,0)*(VLOOKUP(Financials!$B26,Inputs!$B$3:$D$21,3,0)*(1+Inputs!$L$10)^Financials!GY$3)*GY$8))</f>
        <v>0</v>
      </c>
      <c r="GZ26" s="18">
        <f>IF(GZ$1&lt;CapEx!$O$7,0,(VLOOKUP($B26,Inputs!$B$25:$D$44,3,0)*(VLOOKUP(Financials!$B26,Inputs!$B$3:$D$21,3,0)*(1+Inputs!$L$10)^Financials!GZ$3)*GZ$8))</f>
        <v>0</v>
      </c>
      <c r="HA26" s="18">
        <f>IF(HA$1&lt;CapEx!$O$7,0,(VLOOKUP($B26,Inputs!$B$25:$D$44,3,0)*(VLOOKUP(Financials!$B26,Inputs!$B$3:$D$21,3,0)*(1+Inputs!$L$10)^Financials!HA$3)*HA$8))</f>
        <v>0</v>
      </c>
      <c r="HB26" s="18">
        <f>IF(HB$1&lt;CapEx!$O$7,0,(VLOOKUP($B26,Inputs!$B$25:$D$44,3,0)*(VLOOKUP(Financials!$B26,Inputs!$B$3:$D$21,3,0)*(1+Inputs!$L$10)^Financials!HB$3)*HB$8))</f>
        <v>0</v>
      </c>
      <c r="HC26" s="18">
        <f>IF(HC$1&lt;CapEx!$O$7,0,(VLOOKUP($B26,Inputs!$B$25:$D$44,3,0)*(VLOOKUP(Financials!$B26,Inputs!$B$3:$D$21,3,0)*(1+Inputs!$L$10)^Financials!HC$3)*HC$8))</f>
        <v>0</v>
      </c>
      <c r="HD26" s="18">
        <f>IF(HD$1&lt;CapEx!$O$7,0,(VLOOKUP($B26,Inputs!$B$25:$D$44,3,0)*(VLOOKUP(Financials!$B26,Inputs!$B$3:$D$21,3,0)*(1+Inputs!$L$10)^Financials!HD$3)*HD$8))</f>
        <v>0</v>
      </c>
      <c r="HE26" s="18">
        <f>IF(HE$1&lt;CapEx!$O$7,0,(VLOOKUP($B26,Inputs!$B$25:$D$44,3,0)*(VLOOKUP(Financials!$B26,Inputs!$B$3:$D$21,3,0)*(1+Inputs!$L$10)^Financials!HE$3)*HE$8))</f>
        <v>0</v>
      </c>
      <c r="HF26" s="18">
        <f>IF(HF$1&lt;CapEx!$O$7,0,(VLOOKUP($B26,Inputs!$B$25:$D$44,3,0)*(VLOOKUP(Financials!$B26,Inputs!$B$3:$D$21,3,0)*(1+Inputs!$L$10)^Financials!HF$3)*HF$8))</f>
        <v>0</v>
      </c>
      <c r="HG26" s="18">
        <f>IF(HG$1&lt;CapEx!$O$7,0,(VLOOKUP($B26,Inputs!$B$25:$D$44,3,0)*(VLOOKUP(Financials!$B26,Inputs!$B$3:$D$21,3,0)*(1+Inputs!$L$10)^Financials!HG$3)*HG$8))</f>
        <v>0</v>
      </c>
      <c r="HH26" s="18">
        <f>IF(HH$1&lt;CapEx!$O$7,0,(VLOOKUP($B26,Inputs!$B$25:$D$44,3,0)*(VLOOKUP(Financials!$B26,Inputs!$B$3:$D$21,3,0)*(1+Inputs!$L$10)^Financials!HH$3)*HH$8))</f>
        <v>0</v>
      </c>
      <c r="HI26" s="18">
        <f>IF(HI$1&lt;CapEx!$O$7,0,(VLOOKUP($B26,Inputs!$B$25:$D$44,3,0)*(VLOOKUP(Financials!$B26,Inputs!$B$3:$D$21,3,0)*(1+Inputs!$L$10)^Financials!HI$3)*HI$8))</f>
        <v>0</v>
      </c>
      <c r="HJ26" s="18">
        <f>IF(HJ$1&lt;CapEx!$O$7,0,(VLOOKUP($B26,Inputs!$B$25:$D$44,3,0)*(VLOOKUP(Financials!$B26,Inputs!$B$3:$D$21,3,0)*(1+Inputs!$L$10)^Financials!HJ$3)*HJ$8))</f>
        <v>0</v>
      </c>
      <c r="HK26" s="18">
        <f>IF(HK$1&lt;CapEx!$O$7,0,(VLOOKUP($B26,Inputs!$B$25:$D$44,3,0)*(VLOOKUP(Financials!$B26,Inputs!$B$3:$D$21,3,0)*(1+Inputs!$L$10)^Financials!HK$3)*HK$8))</f>
        <v>0</v>
      </c>
      <c r="HL26" s="18">
        <f>IF(HL$1&lt;CapEx!$O$7,0,(VLOOKUP($B26,Inputs!$B$25:$D$44,3,0)*(VLOOKUP(Financials!$B26,Inputs!$B$3:$D$21,3,0)*(1+Inputs!$L$10)^Financials!HL$3)*HL$8))</f>
        <v>0</v>
      </c>
      <c r="HM26" s="18">
        <f>IF(HM$1&lt;CapEx!$O$7,0,(VLOOKUP($B26,Inputs!$B$25:$D$44,3,0)*(VLOOKUP(Financials!$B26,Inputs!$B$3:$D$21,3,0)*(1+Inputs!$L$10)^Financials!HM$3)*HM$8))</f>
        <v>0</v>
      </c>
      <c r="HN26" s="18">
        <f>IF(HN$1&lt;CapEx!$O$7,0,(VLOOKUP($B26,Inputs!$B$25:$D$44,3,0)*(VLOOKUP(Financials!$B26,Inputs!$B$3:$D$21,3,0)*(1+Inputs!$L$10)^Financials!HN$3)*HN$8))</f>
        <v>0</v>
      </c>
      <c r="HO26" s="18">
        <f>IF(HO$1&lt;CapEx!$O$7,0,(VLOOKUP($B26,Inputs!$B$25:$D$44,3,0)*(VLOOKUP(Financials!$B26,Inputs!$B$3:$D$21,3,0)*(1+Inputs!$L$10)^Financials!HO$3)*HO$8))</f>
        <v>0</v>
      </c>
      <c r="HP26" s="18">
        <f>IF(HP$1&lt;CapEx!$O$7,0,(VLOOKUP($B26,Inputs!$B$25:$D$44,3,0)*(VLOOKUP(Financials!$B26,Inputs!$B$3:$D$21,3,0)*(1+Inputs!$L$10)^Financials!HP$3)*HP$8))</f>
        <v>0</v>
      </c>
      <c r="HQ26" s="18">
        <f>IF(HQ$1&lt;CapEx!$O$7,0,(VLOOKUP($B26,Inputs!$B$25:$D$44,3,0)*(VLOOKUP(Financials!$B26,Inputs!$B$3:$D$21,3,0)*(1+Inputs!$L$10)^Financials!HQ$3)*HQ$8))</f>
        <v>0</v>
      </c>
      <c r="HR26" s="18">
        <f>IF(HR$1&lt;CapEx!$O$7,0,(VLOOKUP($B26,Inputs!$B$25:$D$44,3,0)*(VLOOKUP(Financials!$B26,Inputs!$B$3:$D$21,3,0)*(1+Inputs!$L$10)^Financials!HR$3)*HR$8))</f>
        <v>0</v>
      </c>
      <c r="HS26" s="18">
        <f>IF(HS$1&lt;CapEx!$O$7,0,(VLOOKUP($B26,Inputs!$B$25:$D$44,3,0)*(VLOOKUP(Financials!$B26,Inputs!$B$3:$D$21,3,0)*(1+Inputs!$L$10)^Financials!HS$3)*HS$8))</f>
        <v>0</v>
      </c>
      <c r="HT26" s="18">
        <f>IF(HT$1&lt;CapEx!$O$7,0,(VLOOKUP($B26,Inputs!$B$25:$D$44,3,0)*(VLOOKUP(Financials!$B26,Inputs!$B$3:$D$21,3,0)*(1+Inputs!$L$10)^Financials!HT$3)*HT$8))</f>
        <v>0</v>
      </c>
      <c r="HU26" s="18">
        <f>IF(HU$1&lt;CapEx!$O$7,0,(VLOOKUP($B26,Inputs!$B$25:$D$44,3,0)*(VLOOKUP(Financials!$B26,Inputs!$B$3:$D$21,3,0)*(1+Inputs!$L$10)^Financials!HU$3)*HU$8))</f>
        <v>0</v>
      </c>
      <c r="HV26" s="18">
        <f>IF(HV$1&lt;CapEx!$O$7,0,(VLOOKUP($B26,Inputs!$B$25:$D$44,3,0)*(VLOOKUP(Financials!$B26,Inputs!$B$3:$D$21,3,0)*(1+Inputs!$L$10)^Financials!HV$3)*HV$8))</f>
        <v>0</v>
      </c>
      <c r="HW26" s="18">
        <f>IF(HW$1&lt;CapEx!$O$7,0,(VLOOKUP($B26,Inputs!$B$25:$D$44,3,0)*(VLOOKUP(Financials!$B26,Inputs!$B$3:$D$21,3,0)*(1+Inputs!$L$10)^Financials!HW$3)*HW$8))</f>
        <v>0</v>
      </c>
      <c r="HX26" s="18">
        <f>IF(HX$1&lt;CapEx!$O$7,0,(VLOOKUP($B26,Inputs!$B$25:$D$44,3,0)*(VLOOKUP(Financials!$B26,Inputs!$B$3:$D$21,3,0)*(1+Inputs!$L$10)^Financials!HX$3)*HX$8))</f>
        <v>0</v>
      </c>
      <c r="HY26" s="18">
        <f>IF(HY$1&lt;CapEx!$O$7,0,(VLOOKUP($B26,Inputs!$B$25:$D$44,3,0)*(VLOOKUP(Financials!$B26,Inputs!$B$3:$D$21,3,0)*(1+Inputs!$L$10)^Financials!HY$3)*HY$8))</f>
        <v>0</v>
      </c>
      <c r="HZ26" s="18">
        <f>IF(HZ$1&lt;CapEx!$O$7,0,(VLOOKUP($B26,Inputs!$B$25:$D$44,3,0)*(VLOOKUP(Financials!$B26,Inputs!$B$3:$D$21,3,0)*(1+Inputs!$L$10)^Financials!HZ$3)*HZ$8))</f>
        <v>0</v>
      </c>
      <c r="IA26" s="18">
        <f>IF(IA$1&lt;CapEx!$O$7,0,(VLOOKUP($B26,Inputs!$B$25:$D$44,3,0)*(VLOOKUP(Financials!$B26,Inputs!$B$3:$D$21,3,0)*(1+Inputs!$L$10)^Financials!IA$3)*IA$8))</f>
        <v>0</v>
      </c>
      <c r="IB26" s="18">
        <f>IF(IB$1&lt;CapEx!$O$7,0,(VLOOKUP($B26,Inputs!$B$25:$D$44,3,0)*(VLOOKUP(Financials!$B26,Inputs!$B$3:$D$21,3,0)*(1+Inputs!$L$10)^Financials!IB$3)*IB$8))</f>
        <v>0</v>
      </c>
      <c r="IC26" s="18">
        <f>IF(IC$1&lt;CapEx!$O$7,0,(VLOOKUP($B26,Inputs!$B$25:$D$44,3,0)*(VLOOKUP(Financials!$B26,Inputs!$B$3:$D$21,3,0)*(1+Inputs!$L$10)^Financials!IC$3)*IC$8))</f>
        <v>0</v>
      </c>
      <c r="ID26" s="18">
        <f>IF(ID$1&lt;CapEx!$O$7,0,(VLOOKUP($B26,Inputs!$B$25:$D$44,3,0)*(VLOOKUP(Financials!$B26,Inputs!$B$3:$D$21,3,0)*(1+Inputs!$L$10)^Financials!ID$3)*ID$8))</f>
        <v>0</v>
      </c>
      <c r="IE26" s="18">
        <f>IF(IE$1&lt;CapEx!$O$7,0,(VLOOKUP($B26,Inputs!$B$25:$D$44,3,0)*(VLOOKUP(Financials!$B26,Inputs!$B$3:$D$21,3,0)*(1+Inputs!$L$10)^Financials!IE$3)*IE$8))</f>
        <v>0</v>
      </c>
      <c r="IF26" s="18">
        <f>IF(IF$1&lt;CapEx!$O$7,0,(VLOOKUP($B26,Inputs!$B$25:$D$44,3,0)*(VLOOKUP(Financials!$B26,Inputs!$B$3:$D$21,3,0)*(1+Inputs!$L$10)^Financials!IF$3)*IF$8))</f>
        <v>0</v>
      </c>
      <c r="IG26" s="18">
        <f>IF(IG$1&lt;CapEx!$O$7,0,(VLOOKUP($B26,Inputs!$B$25:$D$44,3,0)*(VLOOKUP(Financials!$B26,Inputs!$B$3:$D$21,3,0)*(1+Inputs!$L$10)^Financials!IG$3)*IG$8))</f>
        <v>0</v>
      </c>
      <c r="IH26" s="18">
        <f>IF(IH$1&lt;CapEx!$O$7,0,(VLOOKUP($B26,Inputs!$B$25:$D$44,3,0)*(VLOOKUP(Financials!$B26,Inputs!$B$3:$D$21,3,0)*(1+Inputs!$L$10)^Financials!IH$3)*IH$8))</f>
        <v>0</v>
      </c>
      <c r="II26" s="18">
        <f>IF(II$1&lt;CapEx!$O$7,0,(VLOOKUP($B26,Inputs!$B$25:$D$44,3,0)*(VLOOKUP(Financials!$B26,Inputs!$B$3:$D$21,3,0)*(1+Inputs!$L$10)^Financials!II$3)*II$8))</f>
        <v>0</v>
      </c>
      <c r="IJ26" s="18">
        <f>IF(IJ$1&lt;CapEx!$O$7,0,(VLOOKUP($B26,Inputs!$B$25:$D$44,3,0)*(VLOOKUP(Financials!$B26,Inputs!$B$3:$D$21,3,0)*(1+Inputs!$L$10)^Financials!IJ$3)*IJ$8))</f>
        <v>0</v>
      </c>
      <c r="IK26" s="18">
        <f>IF(IK$1&lt;CapEx!$O$7,0,(VLOOKUP($B26,Inputs!$B$25:$D$44,3,0)*(VLOOKUP(Financials!$B26,Inputs!$B$3:$D$21,3,0)*(1+Inputs!$L$10)^Financials!IK$3)*IK$8))</f>
        <v>0</v>
      </c>
      <c r="IL26" s="18">
        <f>IF(IL$1&lt;CapEx!$O$7,0,(VLOOKUP($B26,Inputs!$B$25:$D$44,3,0)*(VLOOKUP(Financials!$B26,Inputs!$B$3:$D$21,3,0)*(1+Inputs!$L$10)^Financials!IL$3)*IL$8))</f>
        <v>0</v>
      </c>
      <c r="IM26" s="18">
        <f>IF(IM$1&lt;CapEx!$O$7,0,(VLOOKUP($B26,Inputs!$B$25:$D$44,3,0)*(VLOOKUP(Financials!$B26,Inputs!$B$3:$D$21,3,0)*(1+Inputs!$L$10)^Financials!IM$3)*IM$8))</f>
        <v>0</v>
      </c>
      <c r="IN26" s="18">
        <f>IF(IN$1&lt;CapEx!$O$7,0,(VLOOKUP($B26,Inputs!$B$25:$D$44,3,0)*(VLOOKUP(Financials!$B26,Inputs!$B$3:$D$21,3,0)*(1+Inputs!$L$10)^Financials!IN$3)*IN$8))</f>
        <v>0</v>
      </c>
      <c r="IO26" s="18">
        <f>IF(IO$1&lt;CapEx!$O$7,0,(VLOOKUP($B26,Inputs!$B$25:$D$44,3,0)*(VLOOKUP(Financials!$B26,Inputs!$B$3:$D$21,3,0)*(1+Inputs!$L$10)^Financials!IO$3)*IO$8))</f>
        <v>0</v>
      </c>
      <c r="IP26" s="18">
        <f>IF(IP$1&lt;CapEx!$O$7,0,(VLOOKUP($B26,Inputs!$B$25:$D$44,3,0)*(VLOOKUP(Financials!$B26,Inputs!$B$3:$D$21,3,0)*(1+Inputs!$L$10)^Financials!IP$3)*IP$8))</f>
        <v>0</v>
      </c>
      <c r="IQ26" s="18">
        <f>IF(IQ$1&lt;CapEx!$O$7,0,(VLOOKUP($B26,Inputs!$B$25:$D$44,3,0)*(VLOOKUP(Financials!$B26,Inputs!$B$3:$D$21,3,0)*(1+Inputs!$L$10)^Financials!IQ$3)*IQ$8))</f>
        <v>0</v>
      </c>
      <c r="IR26" s="18">
        <f>IF(IR$1&lt;CapEx!$O$7,0,(VLOOKUP($B26,Inputs!$B$25:$D$44,3,0)*(VLOOKUP(Financials!$B26,Inputs!$B$3:$D$21,3,0)*(1+Inputs!$L$10)^Financials!IR$3)*IR$8))</f>
        <v>0</v>
      </c>
      <c r="IS26" s="18">
        <f>IF(IS$1&lt;CapEx!$O$7,0,(VLOOKUP($B26,Inputs!$B$25:$D$44,3,0)*(VLOOKUP(Financials!$B26,Inputs!$B$3:$D$21,3,0)*(1+Inputs!$L$10)^Financials!IS$3)*IS$8))</f>
        <v>0</v>
      </c>
      <c r="IT26" s="18">
        <f>IF(IT$1&lt;CapEx!$O$7,0,(VLOOKUP($B26,Inputs!$B$25:$D$44,3,0)*(VLOOKUP(Financials!$B26,Inputs!$B$3:$D$21,3,0)*(1+Inputs!$L$10)^Financials!IT$3)*IT$8))</f>
        <v>0</v>
      </c>
      <c r="IU26" s="18">
        <f>IF(IU$1&lt;CapEx!$O$7,0,(VLOOKUP($B26,Inputs!$B$25:$D$44,3,0)*(VLOOKUP(Financials!$B26,Inputs!$B$3:$D$21,3,0)*(1+Inputs!$L$10)^Financials!IU$3)*IU$8))</f>
        <v>0</v>
      </c>
      <c r="IV26" s="18">
        <f>IF(IV$1&lt;CapEx!$O$7,0,(VLOOKUP($B26,Inputs!$B$25:$D$44,3,0)*(VLOOKUP(Financials!$B26,Inputs!$B$3:$D$21,3,0)*(1+Inputs!$L$10)^Financials!IV$3)*IV$8))</f>
        <v>0</v>
      </c>
      <c r="IW26" s="18">
        <f>IF(IW$1&lt;CapEx!$O$7,0,(VLOOKUP($B26,Inputs!$B$25:$D$44,3,0)*(VLOOKUP(Financials!$B26,Inputs!$B$3:$D$21,3,0)*(1+Inputs!$L$10)^Financials!IW$3)*IW$8))</f>
        <v>0</v>
      </c>
      <c r="IX26" s="18">
        <f>IF(IX$1&lt;CapEx!$O$7,0,(VLOOKUP($B26,Inputs!$B$25:$D$44,3,0)*(VLOOKUP(Financials!$B26,Inputs!$B$3:$D$21,3,0)*(1+Inputs!$L$10)^Financials!IX$3)*IX$8))</f>
        <v>0</v>
      </c>
      <c r="IY26" s="18">
        <f>IF(IY$1&lt;CapEx!$O$7,0,(VLOOKUP($B26,Inputs!$B$25:$D$44,3,0)*(VLOOKUP(Financials!$B26,Inputs!$B$3:$D$21,3,0)*(1+Inputs!$L$10)^Financials!IY$3)*IY$8))</f>
        <v>0</v>
      </c>
      <c r="IZ26" s="18">
        <f>IF(IZ$1&lt;CapEx!$O$7,0,(VLOOKUP($B26,Inputs!$B$25:$D$44,3,0)*(VLOOKUP(Financials!$B26,Inputs!$B$3:$D$21,3,0)*(1+Inputs!$L$10)^Financials!IZ$3)*IZ$8))</f>
        <v>0</v>
      </c>
      <c r="JA26" s="18">
        <f>IF(JA$1&lt;CapEx!$O$7,0,(VLOOKUP($B26,Inputs!$B$25:$D$44,3,0)*(VLOOKUP(Financials!$B26,Inputs!$B$3:$D$21,3,0)*(1+Inputs!$L$10)^Financials!JA$3)*JA$8))</f>
        <v>0</v>
      </c>
      <c r="JB26" s="18">
        <f>IF(JB$1&lt;CapEx!$O$7,0,(VLOOKUP($B26,Inputs!$B$25:$D$44,3,0)*(VLOOKUP(Financials!$B26,Inputs!$B$3:$D$21,3,0)*(1+Inputs!$L$10)^Financials!JB$3)*JB$8))</f>
        <v>0</v>
      </c>
      <c r="JC26" s="18">
        <f>IF(JC$1&lt;CapEx!$O$7,0,(VLOOKUP($B26,Inputs!$B$25:$D$44,3,0)*(VLOOKUP(Financials!$B26,Inputs!$B$3:$D$21,3,0)*(1+Inputs!$L$10)^Financials!JC$3)*JC$8))</f>
        <v>0</v>
      </c>
      <c r="JD26" s="18">
        <f>IF(JD$1&lt;CapEx!$O$7,0,(VLOOKUP($B26,Inputs!$B$25:$D$44,3,0)*(VLOOKUP(Financials!$B26,Inputs!$B$3:$D$21,3,0)*(1+Inputs!$L$10)^Financials!JD$3)*JD$8))</f>
        <v>0</v>
      </c>
      <c r="JE26" s="18">
        <f>IF(JE$1&lt;CapEx!$O$7,0,(VLOOKUP($B26,Inputs!$B$25:$D$44,3,0)*(VLOOKUP(Financials!$B26,Inputs!$B$3:$D$21,3,0)*(1+Inputs!$L$10)^Financials!JE$3)*JE$8))</f>
        <v>0</v>
      </c>
      <c r="JF26" s="18">
        <f>IF(JF$1&lt;CapEx!$O$7,0,(VLOOKUP($B26,Inputs!$B$25:$D$44,3,0)*(VLOOKUP(Financials!$B26,Inputs!$B$3:$D$21,3,0)*(1+Inputs!$L$10)^Financials!JF$3)*JF$8))</f>
        <v>0</v>
      </c>
      <c r="JG26" s="18">
        <f>IF(JG$1&lt;CapEx!$O$7,0,(VLOOKUP($B26,Inputs!$B$25:$D$44,3,0)*(VLOOKUP(Financials!$B26,Inputs!$B$3:$D$21,3,0)*(1+Inputs!$L$10)^Financials!JG$3)*JG$8))</f>
        <v>0</v>
      </c>
      <c r="JH26" s="18">
        <f>IF(JH$1&lt;CapEx!$O$7,0,(VLOOKUP($B26,Inputs!$B$25:$D$44,3,0)*(VLOOKUP(Financials!$B26,Inputs!$B$3:$D$21,3,0)*(1+Inputs!$L$10)^Financials!JH$3)*JH$8))</f>
        <v>0</v>
      </c>
      <c r="JI26" s="18">
        <f>IF(JI$1&lt;CapEx!$O$7,0,(VLOOKUP($B26,Inputs!$B$25:$D$44,3,0)*(VLOOKUP(Financials!$B26,Inputs!$B$3:$D$21,3,0)*(1+Inputs!$L$10)^Financials!JI$3)*JI$8))</f>
        <v>0</v>
      </c>
      <c r="JJ26" s="18">
        <f>IF(JJ$1&lt;CapEx!$O$7,0,(VLOOKUP($B26,Inputs!$B$25:$D$44,3,0)*(VLOOKUP(Financials!$B26,Inputs!$B$3:$D$21,3,0)*(1+Inputs!$L$10)^Financials!JJ$3)*JJ$8))</f>
        <v>0</v>
      </c>
      <c r="JK26" s="18">
        <f>IF(JK$1&lt;CapEx!$O$7,0,(VLOOKUP($B26,Inputs!$B$25:$D$44,3,0)*(VLOOKUP(Financials!$B26,Inputs!$B$3:$D$21,3,0)*(1+Inputs!$L$10)^Financials!JK$3)*JK$8))</f>
        <v>0</v>
      </c>
      <c r="JL26" s="18">
        <f>IF(JL$1&lt;CapEx!$O$7,0,(VLOOKUP($B26,Inputs!$B$25:$D$44,3,0)*(VLOOKUP(Financials!$B26,Inputs!$B$3:$D$21,3,0)*(1+Inputs!$L$10)^Financials!JL$3)*JL$8))</f>
        <v>0</v>
      </c>
      <c r="JM26" s="18">
        <f>IF(JM$1&lt;CapEx!$O$7,0,(VLOOKUP($B26,Inputs!$B$25:$D$44,3,0)*(VLOOKUP(Financials!$B26,Inputs!$B$3:$D$21,3,0)*(1+Inputs!$L$10)^Financials!JM$3)*JM$8))</f>
        <v>0</v>
      </c>
      <c r="JN26" s="18">
        <f>IF(JN$1&lt;CapEx!$O$7,0,(VLOOKUP($B26,Inputs!$B$25:$D$44,3,0)*(VLOOKUP(Financials!$B26,Inputs!$B$3:$D$21,3,0)*(1+Inputs!$L$10)^Financials!JN$3)*JN$8))</f>
        <v>0</v>
      </c>
      <c r="JO26" s="18">
        <f>IF(JO$1&lt;CapEx!$O$7,0,(VLOOKUP($B26,Inputs!$B$25:$D$44,3,0)*(VLOOKUP(Financials!$B26,Inputs!$B$3:$D$21,3,0)*(1+Inputs!$L$10)^Financials!JO$3)*JO$8))</f>
        <v>0</v>
      </c>
      <c r="JP26" s="18">
        <f>IF(JP$1&lt;CapEx!$O$7,0,(VLOOKUP($B26,Inputs!$B$25:$D$44,3,0)*(VLOOKUP(Financials!$B26,Inputs!$B$3:$D$21,3,0)*(1+Inputs!$L$10)^Financials!JP$3)*JP$8))</f>
        <v>0</v>
      </c>
      <c r="JQ26" s="18">
        <f>IF(JQ$1&lt;CapEx!$O$7,0,(VLOOKUP($B26,Inputs!$B$25:$D$44,3,0)*(VLOOKUP(Financials!$B26,Inputs!$B$3:$D$21,3,0)*(1+Inputs!$L$10)^Financials!JQ$3)*JQ$8))</f>
        <v>0</v>
      </c>
      <c r="JR26" s="18">
        <f>IF(JR$1&lt;CapEx!$O$7,0,(VLOOKUP($B26,Inputs!$B$25:$D$44,3,0)*(VLOOKUP(Financials!$B26,Inputs!$B$3:$D$21,3,0)*(1+Inputs!$L$10)^Financials!JR$3)*JR$8))</f>
        <v>0</v>
      </c>
    </row>
    <row r="27" spans="2:278" x14ac:dyDescent="0.2">
      <c r="B27" s="22" t="str">
        <f>Inputs!B20</f>
        <v>Petroleum Coke</v>
      </c>
      <c r="C27" s="18">
        <f>IF(C$1&lt;CapEx!$O$7,0,(VLOOKUP($B27,Inputs!$B$25:$D$44,3,0)*(VLOOKUP(Financials!$B27,Inputs!$B$3:$D$21,3,0)*(1+Inputs!$L$10)^Financials!C$3)*C$8))</f>
        <v>0</v>
      </c>
      <c r="D27" s="18">
        <f>IF(D$1&lt;CapEx!$O$7,0,(VLOOKUP($B27,Inputs!$B$25:$D$44,3,0)*(VLOOKUP(Financials!$B27,Inputs!$B$3:$D$21,3,0)*(1+Inputs!$L$10)^Financials!D$3)*D$8))</f>
        <v>0</v>
      </c>
      <c r="E27" s="18">
        <f>IF(E$1&lt;CapEx!$O$7,0,(VLOOKUP($B27,Inputs!$B$25:$D$44,3,0)*(VLOOKUP(Financials!$B27,Inputs!$B$3:$D$21,3,0)*(1+Inputs!$L$10)^Financials!E$3)*E$8))</f>
        <v>0</v>
      </c>
      <c r="F27" s="18">
        <f>IF(F$1&lt;CapEx!$O$7,0,(VLOOKUP($B27,Inputs!$B$25:$D$44,3,0)*(VLOOKUP(Financials!$B27,Inputs!$B$3:$D$21,3,0)*(1+Inputs!$L$10)^Financials!F$3)*F$8))</f>
        <v>0</v>
      </c>
      <c r="G27" s="18">
        <f>IF(G$1&lt;CapEx!$O$7,0,(VLOOKUP($B27,Inputs!$B$25:$D$44,3,0)*(VLOOKUP(Financials!$B27,Inputs!$B$3:$D$21,3,0)*(1+Inputs!$L$10)^Financials!G$3)*G$8))</f>
        <v>0</v>
      </c>
      <c r="H27" s="18">
        <f>IF(H$1&lt;CapEx!$O$7,0,(VLOOKUP($B27,Inputs!$B$25:$D$44,3,0)*(VLOOKUP(Financials!$B27,Inputs!$B$3:$D$21,3,0)*(1+Inputs!$L$10)^Financials!H$3)*H$8))</f>
        <v>0</v>
      </c>
      <c r="I27" s="18">
        <f>IF(I$1&lt;CapEx!$O$7,0,(VLOOKUP($B27,Inputs!$B$25:$D$44,3,0)*(VLOOKUP(Financials!$B27,Inputs!$B$3:$D$21,3,0)*(1+Inputs!$L$10)^Financials!I$3)*I$8))</f>
        <v>0</v>
      </c>
      <c r="J27" s="18">
        <f>IF(J$1&lt;CapEx!$O$7,0,(VLOOKUP($B27,Inputs!$B$25:$D$44,3,0)*(VLOOKUP(Financials!$B27,Inputs!$B$3:$D$21,3,0)*(1+Inputs!$L$10)^Financials!J$3)*J$8))</f>
        <v>0</v>
      </c>
      <c r="K27" s="18">
        <f>IF(K$1&lt;CapEx!$O$7,0,(VLOOKUP($B27,Inputs!$B$25:$D$44,3,0)*(VLOOKUP(Financials!$B27,Inputs!$B$3:$D$21,3,0)*(1+Inputs!$L$10)^Financials!K$3)*K$8))</f>
        <v>0</v>
      </c>
      <c r="L27" s="18">
        <f>IF(L$1&lt;CapEx!$O$7,0,(VLOOKUP($B27,Inputs!$B$25:$D$44,3,0)*(VLOOKUP(Financials!$B27,Inputs!$B$3:$D$21,3,0)*(1+Inputs!$L$10)^Financials!L$3)*L$8))</f>
        <v>0</v>
      </c>
      <c r="M27" s="18">
        <f>IF(M$1&lt;CapEx!$O$7,0,(VLOOKUP($B27,Inputs!$B$25:$D$44,3,0)*(VLOOKUP(Financials!$B27,Inputs!$B$3:$D$21,3,0)*(1+Inputs!$L$10)^Financials!M$3)*M$8))</f>
        <v>0</v>
      </c>
      <c r="N27" s="18">
        <f>IF(N$1&lt;CapEx!$O$7,0,(VLOOKUP($B27,Inputs!$B$25:$D$44,3,0)*(VLOOKUP(Financials!$B27,Inputs!$B$3:$D$21,3,0)*(1+Inputs!$L$10)^Financials!N$3)*N$8))</f>
        <v>0</v>
      </c>
      <c r="O27" s="18">
        <f>IF(O$1&lt;CapEx!$O$7,0,(VLOOKUP($B27,Inputs!$B$25:$D$44,3,0)*(VLOOKUP(Financials!$B27,Inputs!$B$3:$D$21,3,0)*(1+Inputs!$L$10)^Financials!O$3)*O$8))</f>
        <v>0</v>
      </c>
      <c r="P27" s="18">
        <f>IF(P$1&lt;CapEx!$O$7,0,(VLOOKUP($B27,Inputs!$B$25:$D$44,3,0)*(VLOOKUP(Financials!$B27,Inputs!$B$3:$D$21,3,0)*(1+Inputs!$L$10)^Financials!P$3)*P$8))</f>
        <v>0</v>
      </c>
      <c r="Q27" s="18">
        <f>IF(Q$1&lt;CapEx!$O$7,0,(VLOOKUP($B27,Inputs!$B$25:$D$44,3,0)*(VLOOKUP(Financials!$B27,Inputs!$B$3:$D$21,3,0)*(1+Inputs!$L$10)^Financials!Q$3)*Q$8))</f>
        <v>0</v>
      </c>
      <c r="R27" s="18">
        <f>IF(R$1&lt;CapEx!$O$7,0,(VLOOKUP($B27,Inputs!$B$25:$D$44,3,0)*(VLOOKUP(Financials!$B27,Inputs!$B$3:$D$21,3,0)*(1+Inputs!$L$10)^Financials!R$3)*R$8))</f>
        <v>0</v>
      </c>
      <c r="S27" s="18">
        <f>IF(S$1&lt;CapEx!$O$7,0,(VLOOKUP($B27,Inputs!$B$25:$D$44,3,0)*(VLOOKUP(Financials!$B27,Inputs!$B$3:$D$21,3,0)*(1+Inputs!$L$10)^Financials!S$3)*S$8))</f>
        <v>0</v>
      </c>
      <c r="T27" s="18">
        <f>IF(T$1&lt;CapEx!$O$7,0,(VLOOKUP($B27,Inputs!$B$25:$D$44,3,0)*(VLOOKUP(Financials!$B27,Inputs!$B$3:$D$21,3,0)*(1+Inputs!$L$10)^Financials!T$3)*T$8))</f>
        <v>0</v>
      </c>
      <c r="U27" s="18">
        <f>IF(U$1&lt;CapEx!$O$7,0,(VLOOKUP($B27,Inputs!$B$25:$D$44,3,0)*(VLOOKUP(Financials!$B27,Inputs!$B$3:$D$21,3,0)*(1+Inputs!$L$10)^Financials!U$3)*U$8))</f>
        <v>0</v>
      </c>
      <c r="V27" s="18">
        <f>IF(V$1&lt;CapEx!$O$7,0,(VLOOKUP($B27,Inputs!$B$25:$D$44,3,0)*(VLOOKUP(Financials!$B27,Inputs!$B$3:$D$21,3,0)*(1+Inputs!$L$10)^Financials!V$3)*V$8))</f>
        <v>0</v>
      </c>
      <c r="W27" s="18">
        <f>IF(W$1&lt;CapEx!$O$7,0,(VLOOKUP($B27,Inputs!$B$25:$D$44,3,0)*(VLOOKUP(Financials!$B27,Inputs!$B$3:$D$21,3,0)*(1+Inputs!$L$10)^Financials!W$3)*W$8))</f>
        <v>0</v>
      </c>
      <c r="X27" s="18">
        <f>IF(X$1&lt;CapEx!$O$7,0,(VLOOKUP($B27,Inputs!$B$25:$D$44,3,0)*(VLOOKUP(Financials!$B27,Inputs!$B$3:$D$21,3,0)*(1+Inputs!$L$10)^Financials!X$3)*X$8))</f>
        <v>0</v>
      </c>
      <c r="Y27" s="18">
        <f>IF(Y$1&lt;CapEx!$O$7,0,(VLOOKUP($B27,Inputs!$B$25:$D$44,3,0)*(VLOOKUP(Financials!$B27,Inputs!$B$3:$D$21,3,0)*(1+Inputs!$L$10)^Financials!Y$3)*Y$8))</f>
        <v>0</v>
      </c>
      <c r="Z27" s="18">
        <f>IF(Z$1&lt;CapEx!$O$7,0,(VLOOKUP($B27,Inputs!$B$25:$D$44,3,0)*(VLOOKUP(Financials!$B27,Inputs!$B$3:$D$21,3,0)*(1+Inputs!$L$10)^Financials!Z$3)*Z$8))</f>
        <v>0</v>
      </c>
      <c r="AA27" s="18">
        <f>IF(AA$1&lt;CapEx!$O$7,0,(VLOOKUP($B27,Inputs!$B$25:$D$44,3,0)*(VLOOKUP(Financials!$B27,Inputs!$B$3:$D$21,3,0)*(1+Inputs!$L$10)^Financials!AA$3)*AA$8))</f>
        <v>0</v>
      </c>
      <c r="AB27" s="18">
        <f>IF(AB$1&lt;CapEx!$O$7,0,(VLOOKUP($B27,Inputs!$B$25:$D$44,3,0)*(VLOOKUP(Financials!$B27,Inputs!$B$3:$D$21,3,0)*(1+Inputs!$L$10)^Financials!AB$3)*AB$8))</f>
        <v>0</v>
      </c>
      <c r="AC27" s="18">
        <f>IF(AC$1&lt;CapEx!$O$7,0,(VLOOKUP($B27,Inputs!$B$25:$D$44,3,0)*(VLOOKUP(Financials!$B27,Inputs!$B$3:$D$21,3,0)*(1+Inputs!$L$10)^Financials!AC$3)*AC$8))</f>
        <v>0</v>
      </c>
      <c r="AD27" s="18">
        <f>IF(AD$1&lt;CapEx!$O$7,0,(VLOOKUP($B27,Inputs!$B$25:$D$44,3,0)*(VLOOKUP(Financials!$B27,Inputs!$B$3:$D$21,3,0)*(1+Inputs!$L$10)^Financials!AD$3)*AD$8))</f>
        <v>0</v>
      </c>
      <c r="AE27" s="18">
        <f>IF(AE$1&lt;CapEx!$O$7,0,(VLOOKUP($B27,Inputs!$B$25:$D$44,3,0)*(VLOOKUP(Financials!$B27,Inputs!$B$3:$D$21,3,0)*(1+Inputs!$L$10)^Financials!AE$3)*AE$8))</f>
        <v>0</v>
      </c>
      <c r="AF27" s="18">
        <f>IF(AF$1&lt;CapEx!$O$7,0,(VLOOKUP($B27,Inputs!$B$25:$D$44,3,0)*(VLOOKUP(Financials!$B27,Inputs!$B$3:$D$21,3,0)*(1+Inputs!$L$10)^Financials!AF$3)*AF$8))</f>
        <v>0</v>
      </c>
      <c r="AG27" s="18">
        <f>IF(AG$1&lt;CapEx!$O$7,0,(VLOOKUP($B27,Inputs!$B$25:$D$44,3,0)*(VLOOKUP(Financials!$B27,Inputs!$B$3:$D$21,3,0)*(1+Inputs!$L$10)^Financials!AG$3)*AG$8))</f>
        <v>0</v>
      </c>
      <c r="AH27" s="18">
        <f>IF(AH$1&lt;CapEx!$O$7,0,(VLOOKUP($B27,Inputs!$B$25:$D$44,3,0)*(VLOOKUP(Financials!$B27,Inputs!$B$3:$D$21,3,0)*(1+Inputs!$L$10)^Financials!AH$3)*AH$8))</f>
        <v>0</v>
      </c>
      <c r="AI27" s="18">
        <f>IF(AI$1&lt;CapEx!$O$7,0,(VLOOKUP($B27,Inputs!$B$25:$D$44,3,0)*(VLOOKUP(Financials!$B27,Inputs!$B$3:$D$21,3,0)*(1+Inputs!$L$10)^Financials!AI$3)*AI$8))</f>
        <v>0</v>
      </c>
      <c r="AJ27" s="18">
        <f>IF(AJ$1&lt;CapEx!$O$7,0,(VLOOKUP($B27,Inputs!$B$25:$D$44,3,0)*(VLOOKUP(Financials!$B27,Inputs!$B$3:$D$21,3,0)*(1+Inputs!$L$10)^Financials!AJ$3)*AJ$8))</f>
        <v>0</v>
      </c>
      <c r="AK27" s="18">
        <f>IF(AK$1&lt;CapEx!$O$7,0,(VLOOKUP($B27,Inputs!$B$25:$D$44,3,0)*(VLOOKUP(Financials!$B27,Inputs!$B$3:$D$21,3,0)*(1+Inputs!$L$10)^Financials!AK$3)*AK$8))</f>
        <v>0</v>
      </c>
      <c r="AL27" s="18">
        <f>IF(AL$1&lt;CapEx!$O$7,0,(VLOOKUP($B27,Inputs!$B$25:$D$44,3,0)*(VLOOKUP(Financials!$B27,Inputs!$B$3:$D$21,3,0)*(1+Inputs!$L$10)^Financials!AL$3)*AL$8))</f>
        <v>0</v>
      </c>
      <c r="AM27" s="18">
        <f>IF(AM$1&lt;CapEx!$O$7,0,(VLOOKUP($B27,Inputs!$B$25:$D$44,3,0)*(VLOOKUP(Financials!$B27,Inputs!$B$3:$D$21,3,0)*(1+Inputs!$L$10)^Financials!AM$3)*AM$8))</f>
        <v>0</v>
      </c>
      <c r="AN27" s="18">
        <f>IF(AN$1&lt;CapEx!$O$7,0,(VLOOKUP($B27,Inputs!$B$25:$D$44,3,0)*(VLOOKUP(Financials!$B27,Inputs!$B$3:$D$21,3,0)*(1+Inputs!$L$10)^Financials!AN$3)*AN$8))</f>
        <v>0</v>
      </c>
      <c r="AO27" s="18">
        <f>IF(AO$1&lt;CapEx!$O$7,0,(VLOOKUP($B27,Inputs!$B$25:$D$44,3,0)*(VLOOKUP(Financials!$B27,Inputs!$B$3:$D$21,3,0)*(1+Inputs!$L$10)^Financials!AO$3)*AO$8))</f>
        <v>0</v>
      </c>
      <c r="AP27" s="18">
        <f>IF(AP$1&lt;CapEx!$O$7,0,(VLOOKUP($B27,Inputs!$B$25:$D$44,3,0)*(VLOOKUP(Financials!$B27,Inputs!$B$3:$D$21,3,0)*(1+Inputs!$L$10)^Financials!AP$3)*AP$8))</f>
        <v>0</v>
      </c>
      <c r="AQ27" s="18">
        <f>IF(AQ$1&lt;CapEx!$O$7,0,(VLOOKUP($B27,Inputs!$B$25:$D$44,3,0)*(VLOOKUP(Financials!$B27,Inputs!$B$3:$D$21,3,0)*(1+Inputs!$L$10)^Financials!AQ$3)*AQ$8))</f>
        <v>0</v>
      </c>
      <c r="AR27" s="18">
        <f>IF(AR$1&lt;CapEx!$O$7,0,(VLOOKUP($B27,Inputs!$B$25:$D$44,3,0)*(VLOOKUP(Financials!$B27,Inputs!$B$3:$D$21,3,0)*(1+Inputs!$L$10)^Financials!AR$3)*AR$8))</f>
        <v>0</v>
      </c>
      <c r="AS27" s="18">
        <f>IF(AS$1&lt;CapEx!$O$7,0,(VLOOKUP($B27,Inputs!$B$25:$D$44,3,0)*(VLOOKUP(Financials!$B27,Inputs!$B$3:$D$21,3,0)*(1+Inputs!$L$10)^Financials!AS$3)*AS$8))</f>
        <v>0</v>
      </c>
      <c r="AT27" s="18">
        <f>IF(AT$1&lt;CapEx!$O$7,0,(VLOOKUP($B27,Inputs!$B$25:$D$44,3,0)*(VLOOKUP(Financials!$B27,Inputs!$B$3:$D$21,3,0)*(1+Inputs!$L$10)^Financials!AT$3)*AT$8))</f>
        <v>0</v>
      </c>
      <c r="AU27" s="18">
        <f>IF(AU$1&lt;CapEx!$O$7,0,(VLOOKUP($B27,Inputs!$B$25:$D$44,3,0)*(VLOOKUP(Financials!$B27,Inputs!$B$3:$D$21,3,0)*(1+Inputs!$L$10)^Financials!AU$3)*AU$8))</f>
        <v>0</v>
      </c>
      <c r="AV27" s="18">
        <f>IF(AV$1&lt;CapEx!$O$7,0,(VLOOKUP($B27,Inputs!$B$25:$D$44,3,0)*(VLOOKUP(Financials!$B27,Inputs!$B$3:$D$21,3,0)*(1+Inputs!$L$10)^Financials!AV$3)*AV$8))</f>
        <v>0</v>
      </c>
      <c r="AW27" s="18">
        <f>IF(AW$1&lt;CapEx!$O$7,0,(VLOOKUP($B27,Inputs!$B$25:$D$44,3,0)*(VLOOKUP(Financials!$B27,Inputs!$B$3:$D$21,3,0)*(1+Inputs!$L$10)^Financials!AW$3)*AW$8))</f>
        <v>0</v>
      </c>
      <c r="AX27" s="18">
        <f>IF(AX$1&lt;CapEx!$O$7,0,(VLOOKUP($B27,Inputs!$B$25:$D$44,3,0)*(VLOOKUP(Financials!$B27,Inputs!$B$3:$D$21,3,0)*(1+Inputs!$L$10)^Financials!AX$3)*AX$8))</f>
        <v>0</v>
      </c>
      <c r="AY27" s="18">
        <f>IF(AY$1&lt;CapEx!$O$7,0,(VLOOKUP($B27,Inputs!$B$25:$D$44,3,0)*(VLOOKUP(Financials!$B27,Inputs!$B$3:$D$21,3,0)*(1+Inputs!$L$10)^Financials!AY$3)*AY$8))</f>
        <v>0</v>
      </c>
      <c r="AZ27" s="18">
        <f>IF(AZ$1&lt;CapEx!$O$7,0,(VLOOKUP($B27,Inputs!$B$25:$D$44,3,0)*(VLOOKUP(Financials!$B27,Inputs!$B$3:$D$21,3,0)*(1+Inputs!$L$10)^Financials!AZ$3)*AZ$8))</f>
        <v>0</v>
      </c>
      <c r="BA27" s="18">
        <f>IF(BA$1&lt;CapEx!$O$7,0,(VLOOKUP($B27,Inputs!$B$25:$D$44,3,0)*(VLOOKUP(Financials!$B27,Inputs!$B$3:$D$21,3,0)*(1+Inputs!$L$10)^Financials!BA$3)*BA$8))</f>
        <v>0</v>
      </c>
      <c r="BB27" s="18">
        <f>IF(BB$1&lt;CapEx!$O$7,0,(VLOOKUP($B27,Inputs!$B$25:$D$44,3,0)*(VLOOKUP(Financials!$B27,Inputs!$B$3:$D$21,3,0)*(1+Inputs!$L$10)^Financials!BB$3)*BB$8))</f>
        <v>0</v>
      </c>
      <c r="BC27" s="18">
        <f>IF(BC$1&lt;CapEx!$O$7,0,(VLOOKUP($B27,Inputs!$B$25:$D$44,3,0)*(VLOOKUP(Financials!$B27,Inputs!$B$3:$D$21,3,0)*(1+Inputs!$L$10)^Financials!BC$3)*BC$8))</f>
        <v>0</v>
      </c>
      <c r="BD27" s="18">
        <f>IF(BD$1&lt;CapEx!$O$7,0,(VLOOKUP($B27,Inputs!$B$25:$D$44,3,0)*(VLOOKUP(Financials!$B27,Inputs!$B$3:$D$21,3,0)*(1+Inputs!$L$10)^Financials!BD$3)*BD$8))</f>
        <v>0</v>
      </c>
      <c r="BE27" s="18">
        <f>IF(BE$1&lt;CapEx!$O$7,0,(VLOOKUP($B27,Inputs!$B$25:$D$44,3,0)*(VLOOKUP(Financials!$B27,Inputs!$B$3:$D$21,3,0)*(1+Inputs!$L$10)^Financials!BE$3)*BE$8))</f>
        <v>0</v>
      </c>
      <c r="BF27" s="18">
        <f>IF(BF$1&lt;CapEx!$O$7,0,(VLOOKUP($B27,Inputs!$B$25:$D$44,3,0)*(VLOOKUP(Financials!$B27,Inputs!$B$3:$D$21,3,0)*(1+Inputs!$L$10)^Financials!BF$3)*BF$8))</f>
        <v>0</v>
      </c>
      <c r="BG27" s="18">
        <f>IF(BG$1&lt;CapEx!$O$7,0,(VLOOKUP($B27,Inputs!$B$25:$D$44,3,0)*(VLOOKUP(Financials!$B27,Inputs!$B$3:$D$21,3,0)*(1+Inputs!$L$10)^Financials!BG$3)*BG$8))</f>
        <v>0</v>
      </c>
      <c r="BH27" s="18">
        <f>IF(BH$1&lt;CapEx!$O$7,0,(VLOOKUP($B27,Inputs!$B$25:$D$44,3,0)*(VLOOKUP(Financials!$B27,Inputs!$B$3:$D$21,3,0)*(1+Inputs!$L$10)^Financials!BH$3)*BH$8))</f>
        <v>0</v>
      </c>
      <c r="BI27" s="18">
        <f>IF(BI$1&lt;CapEx!$O$7,0,(VLOOKUP($B27,Inputs!$B$25:$D$44,3,0)*(VLOOKUP(Financials!$B27,Inputs!$B$3:$D$21,3,0)*(1+Inputs!$L$10)^Financials!BI$3)*BI$8))</f>
        <v>0</v>
      </c>
      <c r="BJ27" s="18">
        <f>IF(BJ$1&lt;CapEx!$O$7,0,(VLOOKUP($B27,Inputs!$B$25:$D$44,3,0)*(VLOOKUP(Financials!$B27,Inputs!$B$3:$D$21,3,0)*(1+Inputs!$L$10)^Financials!BJ$3)*BJ$8))</f>
        <v>0</v>
      </c>
      <c r="BK27" s="18">
        <f>IF(BK$1&lt;CapEx!$O$7,0,(VLOOKUP($B27,Inputs!$B$25:$D$44,3,0)*(VLOOKUP(Financials!$B27,Inputs!$B$3:$D$21,3,0)*(1+Inputs!$L$10)^Financials!BK$3)*BK$8))</f>
        <v>0</v>
      </c>
      <c r="BL27" s="18">
        <f>IF(BL$1&lt;CapEx!$O$7,0,(VLOOKUP($B27,Inputs!$B$25:$D$44,3,0)*(VLOOKUP(Financials!$B27,Inputs!$B$3:$D$21,3,0)*(1+Inputs!$L$10)^Financials!BL$3)*BL$8))</f>
        <v>0</v>
      </c>
      <c r="BM27" s="18">
        <f>IF(BM$1&lt;CapEx!$O$7,0,(VLOOKUP($B27,Inputs!$B$25:$D$44,3,0)*(VLOOKUP(Financials!$B27,Inputs!$B$3:$D$21,3,0)*(1+Inputs!$L$10)^Financials!BM$3)*BM$8))</f>
        <v>0</v>
      </c>
      <c r="BN27" s="18">
        <f>IF(BN$1&lt;CapEx!$O$7,0,(VLOOKUP($B27,Inputs!$B$25:$D$44,3,0)*(VLOOKUP(Financials!$B27,Inputs!$B$3:$D$21,3,0)*(1+Inputs!$L$10)^Financials!BN$3)*BN$8))</f>
        <v>0</v>
      </c>
      <c r="BO27" s="18">
        <f>IF(BO$1&lt;CapEx!$O$7,0,(VLOOKUP($B27,Inputs!$B$25:$D$44,3,0)*(VLOOKUP(Financials!$B27,Inputs!$B$3:$D$21,3,0)*(1+Inputs!$L$10)^Financials!BO$3)*BO$8))</f>
        <v>0</v>
      </c>
      <c r="BP27" s="18">
        <f>IF(BP$1&lt;CapEx!$O$7,0,(VLOOKUP($B27,Inputs!$B$25:$D$44,3,0)*(VLOOKUP(Financials!$B27,Inputs!$B$3:$D$21,3,0)*(1+Inputs!$L$10)^Financials!BP$3)*BP$8))</f>
        <v>0</v>
      </c>
      <c r="BQ27" s="18">
        <f>IF(BQ$1&lt;CapEx!$O$7,0,(VLOOKUP($B27,Inputs!$B$25:$D$44,3,0)*(VLOOKUP(Financials!$B27,Inputs!$B$3:$D$21,3,0)*(1+Inputs!$L$10)^Financials!BQ$3)*BQ$8))</f>
        <v>0</v>
      </c>
      <c r="BR27" s="18">
        <f>IF(BR$1&lt;CapEx!$O$7,0,(VLOOKUP($B27,Inputs!$B$25:$D$44,3,0)*(VLOOKUP(Financials!$B27,Inputs!$B$3:$D$21,3,0)*(1+Inputs!$L$10)^Financials!BR$3)*BR$8))</f>
        <v>0</v>
      </c>
      <c r="BS27" s="18">
        <f>IF(BS$1&lt;CapEx!$O$7,0,(VLOOKUP($B27,Inputs!$B$25:$D$44,3,0)*(VLOOKUP(Financials!$B27,Inputs!$B$3:$D$21,3,0)*(1+Inputs!$L$10)^Financials!BS$3)*BS$8))</f>
        <v>0</v>
      </c>
      <c r="BT27" s="18">
        <f>IF(BT$1&lt;CapEx!$O$7,0,(VLOOKUP($B27,Inputs!$B$25:$D$44,3,0)*(VLOOKUP(Financials!$B27,Inputs!$B$3:$D$21,3,0)*(1+Inputs!$L$10)^Financials!BT$3)*BT$8))</f>
        <v>0</v>
      </c>
      <c r="BU27" s="18">
        <f>IF(BU$1&lt;CapEx!$O$7,0,(VLOOKUP($B27,Inputs!$B$25:$D$44,3,0)*(VLOOKUP(Financials!$B27,Inputs!$B$3:$D$21,3,0)*(1+Inputs!$L$10)^Financials!BU$3)*BU$8))</f>
        <v>0</v>
      </c>
      <c r="BV27" s="18">
        <f>IF(BV$1&lt;CapEx!$O$7,0,(VLOOKUP($B27,Inputs!$B$25:$D$44,3,0)*(VLOOKUP(Financials!$B27,Inputs!$B$3:$D$21,3,0)*(1+Inputs!$L$10)^Financials!BV$3)*BV$8))</f>
        <v>0</v>
      </c>
      <c r="BW27" s="18">
        <f>IF(BW$1&lt;CapEx!$O$7,0,(VLOOKUP($B27,Inputs!$B$25:$D$44,3,0)*(VLOOKUP(Financials!$B27,Inputs!$B$3:$D$21,3,0)*(1+Inputs!$L$10)^Financials!BW$3)*BW$8))</f>
        <v>0</v>
      </c>
      <c r="BX27" s="18">
        <f>IF(BX$1&lt;CapEx!$O$7,0,(VLOOKUP($B27,Inputs!$B$25:$D$44,3,0)*(VLOOKUP(Financials!$B27,Inputs!$B$3:$D$21,3,0)*(1+Inputs!$L$10)^Financials!BX$3)*BX$8))</f>
        <v>0</v>
      </c>
      <c r="BY27" s="18">
        <f>IF(BY$1&lt;CapEx!$O$7,0,(VLOOKUP($B27,Inputs!$B$25:$D$44,3,0)*(VLOOKUP(Financials!$B27,Inputs!$B$3:$D$21,3,0)*(1+Inputs!$L$10)^Financials!BY$3)*BY$8))</f>
        <v>0</v>
      </c>
      <c r="BZ27" s="18">
        <f>IF(BZ$1&lt;CapEx!$O$7,0,(VLOOKUP($B27,Inputs!$B$25:$D$44,3,0)*(VLOOKUP(Financials!$B27,Inputs!$B$3:$D$21,3,0)*(1+Inputs!$L$10)^Financials!BZ$3)*BZ$8))</f>
        <v>0</v>
      </c>
      <c r="CA27" s="18">
        <f>IF(CA$1&lt;CapEx!$O$7,0,(VLOOKUP($B27,Inputs!$B$25:$D$44,3,0)*(VLOOKUP(Financials!$B27,Inputs!$B$3:$D$21,3,0)*(1+Inputs!$L$10)^Financials!CA$3)*CA$8))</f>
        <v>0</v>
      </c>
      <c r="CB27" s="18">
        <f>IF(CB$1&lt;CapEx!$O$7,0,(VLOOKUP($B27,Inputs!$B$25:$D$44,3,0)*(VLOOKUP(Financials!$B27,Inputs!$B$3:$D$21,3,0)*(1+Inputs!$L$10)^Financials!CB$3)*CB$8))</f>
        <v>0</v>
      </c>
      <c r="CC27" s="18">
        <f>IF(CC$1&lt;CapEx!$O$7,0,(VLOOKUP($B27,Inputs!$B$25:$D$44,3,0)*(VLOOKUP(Financials!$B27,Inputs!$B$3:$D$21,3,0)*(1+Inputs!$L$10)^Financials!CC$3)*CC$8))</f>
        <v>0</v>
      </c>
      <c r="CD27" s="18">
        <f>IF(CD$1&lt;CapEx!$O$7,0,(VLOOKUP($B27,Inputs!$B$25:$D$44,3,0)*(VLOOKUP(Financials!$B27,Inputs!$B$3:$D$21,3,0)*(1+Inputs!$L$10)^Financials!CD$3)*CD$8))</f>
        <v>0</v>
      </c>
      <c r="CE27" s="18">
        <f>IF(CE$1&lt;CapEx!$O$7,0,(VLOOKUP($B27,Inputs!$B$25:$D$44,3,0)*(VLOOKUP(Financials!$B27,Inputs!$B$3:$D$21,3,0)*(1+Inputs!$L$10)^Financials!CE$3)*CE$8))</f>
        <v>0</v>
      </c>
      <c r="CF27" s="18">
        <f>IF(CF$1&lt;CapEx!$O$7,0,(VLOOKUP($B27,Inputs!$B$25:$D$44,3,0)*(VLOOKUP(Financials!$B27,Inputs!$B$3:$D$21,3,0)*(1+Inputs!$L$10)^Financials!CF$3)*CF$8))</f>
        <v>0</v>
      </c>
      <c r="CG27" s="18">
        <f>IF(CG$1&lt;CapEx!$O$7,0,(VLOOKUP($B27,Inputs!$B$25:$D$44,3,0)*(VLOOKUP(Financials!$B27,Inputs!$B$3:$D$21,3,0)*(1+Inputs!$L$10)^Financials!CG$3)*CG$8))</f>
        <v>0</v>
      </c>
      <c r="CH27" s="18">
        <f>IF(CH$1&lt;CapEx!$O$7,0,(VLOOKUP($B27,Inputs!$B$25:$D$44,3,0)*(VLOOKUP(Financials!$B27,Inputs!$B$3:$D$21,3,0)*(1+Inputs!$L$10)^Financials!CH$3)*CH$8))</f>
        <v>0</v>
      </c>
      <c r="CI27" s="18">
        <f>IF(CI$1&lt;CapEx!$O$7,0,(VLOOKUP($B27,Inputs!$B$25:$D$44,3,0)*(VLOOKUP(Financials!$B27,Inputs!$B$3:$D$21,3,0)*(1+Inputs!$L$10)^Financials!CI$3)*CI$8))</f>
        <v>0</v>
      </c>
      <c r="CJ27" s="18">
        <f>IF(CJ$1&lt;CapEx!$O$7,0,(VLOOKUP($B27,Inputs!$B$25:$D$44,3,0)*(VLOOKUP(Financials!$B27,Inputs!$B$3:$D$21,3,0)*(1+Inputs!$L$10)^Financials!CJ$3)*CJ$8))</f>
        <v>0</v>
      </c>
      <c r="CK27" s="18">
        <f>IF(CK$1&lt;CapEx!$O$7,0,(VLOOKUP($B27,Inputs!$B$25:$D$44,3,0)*(VLOOKUP(Financials!$B27,Inputs!$B$3:$D$21,3,0)*(1+Inputs!$L$10)^Financials!CK$3)*CK$8))</f>
        <v>0</v>
      </c>
      <c r="CL27" s="18">
        <f>IF(CL$1&lt;CapEx!$O$7,0,(VLOOKUP($B27,Inputs!$B$25:$D$44,3,0)*(VLOOKUP(Financials!$B27,Inputs!$B$3:$D$21,3,0)*(1+Inputs!$L$10)^Financials!CL$3)*CL$8))</f>
        <v>0</v>
      </c>
      <c r="CM27" s="18">
        <f>IF(CM$1&lt;CapEx!$O$7,0,(VLOOKUP($B27,Inputs!$B$25:$D$44,3,0)*(VLOOKUP(Financials!$B27,Inputs!$B$3:$D$21,3,0)*(1+Inputs!$L$10)^Financials!CM$3)*CM$8))</f>
        <v>0</v>
      </c>
      <c r="CN27" s="18">
        <f>IF(CN$1&lt;CapEx!$O$7,0,(VLOOKUP($B27,Inputs!$B$25:$D$44,3,0)*(VLOOKUP(Financials!$B27,Inputs!$B$3:$D$21,3,0)*(1+Inputs!$L$10)^Financials!CN$3)*CN$8))</f>
        <v>0</v>
      </c>
      <c r="CO27" s="18">
        <f>IF(CO$1&lt;CapEx!$O$7,0,(VLOOKUP($B27,Inputs!$B$25:$D$44,3,0)*(VLOOKUP(Financials!$B27,Inputs!$B$3:$D$21,3,0)*(1+Inputs!$L$10)^Financials!CO$3)*CO$8))</f>
        <v>0</v>
      </c>
      <c r="CP27" s="18">
        <f>IF(CP$1&lt;CapEx!$O$7,0,(VLOOKUP($B27,Inputs!$B$25:$D$44,3,0)*(VLOOKUP(Financials!$B27,Inputs!$B$3:$D$21,3,0)*(1+Inputs!$L$10)^Financials!CP$3)*CP$8))</f>
        <v>0</v>
      </c>
      <c r="CQ27" s="18">
        <f>IF(CQ$1&lt;CapEx!$O$7,0,(VLOOKUP($B27,Inputs!$B$25:$D$44,3,0)*(VLOOKUP(Financials!$B27,Inputs!$B$3:$D$21,3,0)*(1+Inputs!$L$10)^Financials!CQ$3)*CQ$8))</f>
        <v>0</v>
      </c>
      <c r="CR27" s="18">
        <f>IF(CR$1&lt;CapEx!$O$7,0,(VLOOKUP($B27,Inputs!$B$25:$D$44,3,0)*(VLOOKUP(Financials!$B27,Inputs!$B$3:$D$21,3,0)*(1+Inputs!$L$10)^Financials!CR$3)*CR$8))</f>
        <v>0</v>
      </c>
      <c r="CS27" s="18">
        <f>IF(CS$1&lt;CapEx!$O$7,0,(VLOOKUP($B27,Inputs!$B$25:$D$44,3,0)*(VLOOKUP(Financials!$B27,Inputs!$B$3:$D$21,3,0)*(1+Inputs!$L$10)^Financials!CS$3)*CS$8))</f>
        <v>0</v>
      </c>
      <c r="CT27" s="18">
        <f>IF(CT$1&lt;CapEx!$O$7,0,(VLOOKUP($B27,Inputs!$B$25:$D$44,3,0)*(VLOOKUP(Financials!$B27,Inputs!$B$3:$D$21,3,0)*(1+Inputs!$L$10)^Financials!CT$3)*CT$8))</f>
        <v>0</v>
      </c>
      <c r="CU27" s="18">
        <f>IF(CU$1&lt;CapEx!$O$7,0,(VLOOKUP($B27,Inputs!$B$25:$D$44,3,0)*(VLOOKUP(Financials!$B27,Inputs!$B$3:$D$21,3,0)*(1+Inputs!$L$10)^Financials!CU$3)*CU$8))</f>
        <v>0</v>
      </c>
      <c r="CV27" s="18">
        <f>IF(CV$1&lt;CapEx!$O$7,0,(VLOOKUP($B27,Inputs!$B$25:$D$44,3,0)*(VLOOKUP(Financials!$B27,Inputs!$B$3:$D$21,3,0)*(1+Inputs!$L$10)^Financials!CV$3)*CV$8))</f>
        <v>0</v>
      </c>
      <c r="CW27" s="18">
        <f>IF(CW$1&lt;CapEx!$O$7,0,(VLOOKUP($B27,Inputs!$B$25:$D$44,3,0)*(VLOOKUP(Financials!$B27,Inputs!$B$3:$D$21,3,0)*(1+Inputs!$L$10)^Financials!CW$3)*CW$8))</f>
        <v>0</v>
      </c>
      <c r="CX27" s="18">
        <f>IF(CX$1&lt;CapEx!$O$7,0,(VLOOKUP($B27,Inputs!$B$25:$D$44,3,0)*(VLOOKUP(Financials!$B27,Inputs!$B$3:$D$21,3,0)*(1+Inputs!$L$10)^Financials!CX$3)*CX$8))</f>
        <v>0</v>
      </c>
      <c r="CY27" s="18">
        <f>IF(CY$1&lt;CapEx!$O$7,0,(VLOOKUP($B27,Inputs!$B$25:$D$44,3,0)*(VLOOKUP(Financials!$B27,Inputs!$B$3:$D$21,3,0)*(1+Inputs!$L$10)^Financials!CY$3)*CY$8))</f>
        <v>0</v>
      </c>
      <c r="CZ27" s="18">
        <f>IF(CZ$1&lt;CapEx!$O$7,0,(VLOOKUP($B27,Inputs!$B$25:$D$44,3,0)*(VLOOKUP(Financials!$B27,Inputs!$B$3:$D$21,3,0)*(1+Inputs!$L$10)^Financials!CZ$3)*CZ$8))</f>
        <v>0</v>
      </c>
      <c r="DA27" s="18">
        <f>IF(DA$1&lt;CapEx!$O$7,0,(VLOOKUP($B27,Inputs!$B$25:$D$44,3,0)*(VLOOKUP(Financials!$B27,Inputs!$B$3:$D$21,3,0)*(1+Inputs!$L$10)^Financials!DA$3)*DA$8))</f>
        <v>0</v>
      </c>
      <c r="DB27" s="18">
        <f>IF(DB$1&lt;CapEx!$O$7,0,(VLOOKUP($B27,Inputs!$B$25:$D$44,3,0)*(VLOOKUP(Financials!$B27,Inputs!$B$3:$D$21,3,0)*(1+Inputs!$L$10)^Financials!DB$3)*DB$8))</f>
        <v>0</v>
      </c>
      <c r="DC27" s="18">
        <f>IF(DC$1&lt;CapEx!$O$7,0,(VLOOKUP($B27,Inputs!$B$25:$D$44,3,0)*(VLOOKUP(Financials!$B27,Inputs!$B$3:$D$21,3,0)*(1+Inputs!$L$10)^Financials!DC$3)*DC$8))</f>
        <v>0</v>
      </c>
      <c r="DD27" s="18">
        <f>IF(DD$1&lt;CapEx!$O$7,0,(VLOOKUP($B27,Inputs!$B$25:$D$44,3,0)*(VLOOKUP(Financials!$B27,Inputs!$B$3:$D$21,3,0)*(1+Inputs!$L$10)^Financials!DD$3)*DD$8))</f>
        <v>0</v>
      </c>
      <c r="DE27" s="18">
        <f>IF(DE$1&lt;CapEx!$O$7,0,(VLOOKUP($B27,Inputs!$B$25:$D$44,3,0)*(VLOOKUP(Financials!$B27,Inputs!$B$3:$D$21,3,0)*(1+Inputs!$L$10)^Financials!DE$3)*DE$8))</f>
        <v>0</v>
      </c>
      <c r="DF27" s="18">
        <f>IF(DF$1&lt;CapEx!$O$7,0,(VLOOKUP($B27,Inputs!$B$25:$D$44,3,0)*(VLOOKUP(Financials!$B27,Inputs!$B$3:$D$21,3,0)*(1+Inputs!$L$10)^Financials!DF$3)*DF$8))</f>
        <v>0</v>
      </c>
      <c r="DG27" s="18">
        <f>IF(DG$1&lt;CapEx!$O$7,0,(VLOOKUP($B27,Inputs!$B$25:$D$44,3,0)*(VLOOKUP(Financials!$B27,Inputs!$B$3:$D$21,3,0)*(1+Inputs!$L$10)^Financials!DG$3)*DG$8))</f>
        <v>0</v>
      </c>
      <c r="DH27" s="18">
        <f>IF(DH$1&lt;CapEx!$O$7,0,(VLOOKUP($B27,Inputs!$B$25:$D$44,3,0)*(VLOOKUP(Financials!$B27,Inputs!$B$3:$D$21,3,0)*(1+Inputs!$L$10)^Financials!DH$3)*DH$8))</f>
        <v>0</v>
      </c>
      <c r="DI27" s="18">
        <f>IF(DI$1&lt;CapEx!$O$7,0,(VLOOKUP($B27,Inputs!$B$25:$D$44,3,0)*(VLOOKUP(Financials!$B27,Inputs!$B$3:$D$21,3,0)*(1+Inputs!$L$10)^Financials!DI$3)*DI$8))</f>
        <v>0</v>
      </c>
      <c r="DJ27" s="18">
        <f>IF(DJ$1&lt;CapEx!$O$7,0,(VLOOKUP($B27,Inputs!$B$25:$D$44,3,0)*(VLOOKUP(Financials!$B27,Inputs!$B$3:$D$21,3,0)*(1+Inputs!$L$10)^Financials!DJ$3)*DJ$8))</f>
        <v>0</v>
      </c>
      <c r="DK27" s="18">
        <f>IF(DK$1&lt;CapEx!$O$7,0,(VLOOKUP($B27,Inputs!$B$25:$D$44,3,0)*(VLOOKUP(Financials!$B27,Inputs!$B$3:$D$21,3,0)*(1+Inputs!$L$10)^Financials!DK$3)*DK$8))</f>
        <v>0</v>
      </c>
      <c r="DL27" s="18">
        <f>IF(DL$1&lt;CapEx!$O$7,0,(VLOOKUP($B27,Inputs!$B$25:$D$44,3,0)*(VLOOKUP(Financials!$B27,Inputs!$B$3:$D$21,3,0)*(1+Inputs!$L$10)^Financials!DL$3)*DL$8))</f>
        <v>0</v>
      </c>
      <c r="DM27" s="18">
        <f>IF(DM$1&lt;CapEx!$O$7,0,(VLOOKUP($B27,Inputs!$B$25:$D$44,3,0)*(VLOOKUP(Financials!$B27,Inputs!$B$3:$D$21,3,0)*(1+Inputs!$L$10)^Financials!DM$3)*DM$8))</f>
        <v>0</v>
      </c>
      <c r="DN27" s="18">
        <f>IF(DN$1&lt;CapEx!$O$7,0,(VLOOKUP($B27,Inputs!$B$25:$D$44,3,0)*(VLOOKUP(Financials!$B27,Inputs!$B$3:$D$21,3,0)*(1+Inputs!$L$10)^Financials!DN$3)*DN$8))</f>
        <v>0</v>
      </c>
      <c r="DO27" s="18">
        <f>IF(DO$1&lt;CapEx!$O$7,0,(VLOOKUP($B27,Inputs!$B$25:$D$44,3,0)*(VLOOKUP(Financials!$B27,Inputs!$B$3:$D$21,3,0)*(1+Inputs!$L$10)^Financials!DO$3)*DO$8))</f>
        <v>0</v>
      </c>
      <c r="DP27" s="18">
        <f>IF(DP$1&lt;CapEx!$O$7,0,(VLOOKUP($B27,Inputs!$B$25:$D$44,3,0)*(VLOOKUP(Financials!$B27,Inputs!$B$3:$D$21,3,0)*(1+Inputs!$L$10)^Financials!DP$3)*DP$8))</f>
        <v>0</v>
      </c>
      <c r="DQ27" s="18">
        <f>IF(DQ$1&lt;CapEx!$O$7,0,(VLOOKUP($B27,Inputs!$B$25:$D$44,3,0)*(VLOOKUP(Financials!$B27,Inputs!$B$3:$D$21,3,0)*(1+Inputs!$L$10)^Financials!DQ$3)*DQ$8))</f>
        <v>0</v>
      </c>
      <c r="DR27" s="18">
        <f>IF(DR$1&lt;CapEx!$O$7,0,(VLOOKUP($B27,Inputs!$B$25:$D$44,3,0)*(VLOOKUP(Financials!$B27,Inputs!$B$3:$D$21,3,0)*(1+Inputs!$L$10)^Financials!DR$3)*DR$8))</f>
        <v>0</v>
      </c>
      <c r="DS27" s="18">
        <f>IF(DS$1&lt;CapEx!$O$7,0,(VLOOKUP($B27,Inputs!$B$25:$D$44,3,0)*(VLOOKUP(Financials!$B27,Inputs!$B$3:$D$21,3,0)*(1+Inputs!$L$10)^Financials!DS$3)*DS$8))</f>
        <v>0</v>
      </c>
      <c r="DT27" s="18">
        <f>IF(DT$1&lt;CapEx!$O$7,0,(VLOOKUP($B27,Inputs!$B$25:$D$44,3,0)*(VLOOKUP(Financials!$B27,Inputs!$B$3:$D$21,3,0)*(1+Inputs!$L$10)^Financials!DT$3)*DT$8))</f>
        <v>0</v>
      </c>
      <c r="DU27" s="18">
        <f>IF(DU$1&lt;CapEx!$O$7,0,(VLOOKUP($B27,Inputs!$B$25:$D$44,3,0)*(VLOOKUP(Financials!$B27,Inputs!$B$3:$D$21,3,0)*(1+Inputs!$L$10)^Financials!DU$3)*DU$8))</f>
        <v>0</v>
      </c>
      <c r="DV27" s="18">
        <f>IF(DV$1&lt;CapEx!$O$7,0,(VLOOKUP($B27,Inputs!$B$25:$D$44,3,0)*(VLOOKUP(Financials!$B27,Inputs!$B$3:$D$21,3,0)*(1+Inputs!$L$10)^Financials!DV$3)*DV$8))</f>
        <v>0</v>
      </c>
      <c r="DW27" s="18">
        <f>IF(DW$1&lt;CapEx!$O$7,0,(VLOOKUP($B27,Inputs!$B$25:$D$44,3,0)*(VLOOKUP(Financials!$B27,Inputs!$B$3:$D$21,3,0)*(1+Inputs!$L$10)^Financials!DW$3)*DW$8))</f>
        <v>0</v>
      </c>
      <c r="DX27" s="18">
        <f>IF(DX$1&lt;CapEx!$O$7,0,(VLOOKUP($B27,Inputs!$B$25:$D$44,3,0)*(VLOOKUP(Financials!$B27,Inputs!$B$3:$D$21,3,0)*(1+Inputs!$L$10)^Financials!DX$3)*DX$8))</f>
        <v>0</v>
      </c>
      <c r="DY27" s="18">
        <f>IF(DY$1&lt;CapEx!$O$7,0,(VLOOKUP($B27,Inputs!$B$25:$D$44,3,0)*(VLOOKUP(Financials!$B27,Inputs!$B$3:$D$21,3,0)*(1+Inputs!$L$10)^Financials!DY$3)*DY$8))</f>
        <v>0</v>
      </c>
      <c r="DZ27" s="18">
        <f>IF(DZ$1&lt;CapEx!$O$7,0,(VLOOKUP($B27,Inputs!$B$25:$D$44,3,0)*(VLOOKUP(Financials!$B27,Inputs!$B$3:$D$21,3,0)*(1+Inputs!$L$10)^Financials!DZ$3)*DZ$8))</f>
        <v>0</v>
      </c>
      <c r="EA27" s="18">
        <f>IF(EA$1&lt;CapEx!$O$7,0,(VLOOKUP($B27,Inputs!$B$25:$D$44,3,0)*(VLOOKUP(Financials!$B27,Inputs!$B$3:$D$21,3,0)*(1+Inputs!$L$10)^Financials!EA$3)*EA$8))</f>
        <v>0</v>
      </c>
      <c r="EB27" s="18">
        <f>IF(EB$1&lt;CapEx!$O$7,0,(VLOOKUP($B27,Inputs!$B$25:$D$44,3,0)*(VLOOKUP(Financials!$B27,Inputs!$B$3:$D$21,3,0)*(1+Inputs!$L$10)^Financials!EB$3)*EB$8))</f>
        <v>0</v>
      </c>
      <c r="EC27" s="18">
        <f>IF(EC$1&lt;CapEx!$O$7,0,(VLOOKUP($B27,Inputs!$B$25:$D$44,3,0)*(VLOOKUP(Financials!$B27,Inputs!$B$3:$D$21,3,0)*(1+Inputs!$L$10)^Financials!EC$3)*EC$8))</f>
        <v>0</v>
      </c>
      <c r="ED27" s="18">
        <f>IF(ED$1&lt;CapEx!$O$7,0,(VLOOKUP($B27,Inputs!$B$25:$D$44,3,0)*(VLOOKUP(Financials!$B27,Inputs!$B$3:$D$21,3,0)*(1+Inputs!$L$10)^Financials!ED$3)*ED$8))</f>
        <v>0</v>
      </c>
      <c r="EE27" s="18">
        <f>IF(EE$1&lt;CapEx!$O$7,0,(VLOOKUP($B27,Inputs!$B$25:$D$44,3,0)*(VLOOKUP(Financials!$B27,Inputs!$B$3:$D$21,3,0)*(1+Inputs!$L$10)^Financials!EE$3)*EE$8))</f>
        <v>0</v>
      </c>
      <c r="EF27" s="18">
        <f>IF(EF$1&lt;CapEx!$O$7,0,(VLOOKUP($B27,Inputs!$B$25:$D$44,3,0)*(VLOOKUP(Financials!$B27,Inputs!$B$3:$D$21,3,0)*(1+Inputs!$L$10)^Financials!EF$3)*EF$8))</f>
        <v>0</v>
      </c>
      <c r="EG27" s="18">
        <f>IF(EG$1&lt;CapEx!$O$7,0,(VLOOKUP($B27,Inputs!$B$25:$D$44,3,0)*(VLOOKUP(Financials!$B27,Inputs!$B$3:$D$21,3,0)*(1+Inputs!$L$10)^Financials!EG$3)*EG$8))</f>
        <v>0</v>
      </c>
      <c r="EH27" s="18">
        <f>IF(EH$1&lt;CapEx!$O$7,0,(VLOOKUP($B27,Inputs!$B$25:$D$44,3,0)*(VLOOKUP(Financials!$B27,Inputs!$B$3:$D$21,3,0)*(1+Inputs!$L$10)^Financials!EH$3)*EH$8))</f>
        <v>0</v>
      </c>
      <c r="EI27" s="18">
        <f>IF(EI$1&lt;CapEx!$O$7,0,(VLOOKUP($B27,Inputs!$B$25:$D$44,3,0)*(VLOOKUP(Financials!$B27,Inputs!$B$3:$D$21,3,0)*(1+Inputs!$L$10)^Financials!EI$3)*EI$8))</f>
        <v>0</v>
      </c>
      <c r="EJ27" s="18">
        <f>IF(EJ$1&lt;CapEx!$O$7,0,(VLOOKUP($B27,Inputs!$B$25:$D$44,3,0)*(VLOOKUP(Financials!$B27,Inputs!$B$3:$D$21,3,0)*(1+Inputs!$L$10)^Financials!EJ$3)*EJ$8))</f>
        <v>0</v>
      </c>
      <c r="EK27" s="18">
        <f>IF(EK$1&lt;CapEx!$O$7,0,(VLOOKUP($B27,Inputs!$B$25:$D$44,3,0)*(VLOOKUP(Financials!$B27,Inputs!$B$3:$D$21,3,0)*(1+Inputs!$L$10)^Financials!EK$3)*EK$8))</f>
        <v>0</v>
      </c>
      <c r="EL27" s="18">
        <f>IF(EL$1&lt;CapEx!$O$7,0,(VLOOKUP($B27,Inputs!$B$25:$D$44,3,0)*(VLOOKUP(Financials!$B27,Inputs!$B$3:$D$21,3,0)*(1+Inputs!$L$10)^Financials!EL$3)*EL$8))</f>
        <v>0</v>
      </c>
      <c r="EM27" s="18">
        <f>IF(EM$1&lt;CapEx!$O$7,0,(VLOOKUP($B27,Inputs!$B$25:$D$44,3,0)*(VLOOKUP(Financials!$B27,Inputs!$B$3:$D$21,3,0)*(1+Inputs!$L$10)^Financials!EM$3)*EM$8))</f>
        <v>0</v>
      </c>
      <c r="EN27" s="18">
        <f>IF(EN$1&lt;CapEx!$O$7,0,(VLOOKUP($B27,Inputs!$B$25:$D$44,3,0)*(VLOOKUP(Financials!$B27,Inputs!$B$3:$D$21,3,0)*(1+Inputs!$L$10)^Financials!EN$3)*EN$8))</f>
        <v>0</v>
      </c>
      <c r="EO27" s="18">
        <f>IF(EO$1&lt;CapEx!$O$7,0,(VLOOKUP($B27,Inputs!$B$25:$D$44,3,0)*(VLOOKUP(Financials!$B27,Inputs!$B$3:$D$21,3,0)*(1+Inputs!$L$10)^Financials!EO$3)*EO$8))</f>
        <v>0</v>
      </c>
      <c r="EP27" s="18">
        <f>IF(EP$1&lt;CapEx!$O$7,0,(VLOOKUP($B27,Inputs!$B$25:$D$44,3,0)*(VLOOKUP(Financials!$B27,Inputs!$B$3:$D$21,3,0)*(1+Inputs!$L$10)^Financials!EP$3)*EP$8))</f>
        <v>0</v>
      </c>
      <c r="EQ27" s="18">
        <f>IF(EQ$1&lt;CapEx!$O$7,0,(VLOOKUP($B27,Inputs!$B$25:$D$44,3,0)*(VLOOKUP(Financials!$B27,Inputs!$B$3:$D$21,3,0)*(1+Inputs!$L$10)^Financials!EQ$3)*EQ$8))</f>
        <v>0</v>
      </c>
      <c r="ER27" s="18">
        <f>IF(ER$1&lt;CapEx!$O$7,0,(VLOOKUP($B27,Inputs!$B$25:$D$44,3,0)*(VLOOKUP(Financials!$B27,Inputs!$B$3:$D$21,3,0)*(1+Inputs!$L$10)^Financials!ER$3)*ER$8))</f>
        <v>0</v>
      </c>
      <c r="ES27" s="18">
        <f>IF(ES$1&lt;CapEx!$O$7,0,(VLOOKUP($B27,Inputs!$B$25:$D$44,3,0)*(VLOOKUP(Financials!$B27,Inputs!$B$3:$D$21,3,0)*(1+Inputs!$L$10)^Financials!ES$3)*ES$8))</f>
        <v>0</v>
      </c>
      <c r="ET27" s="18">
        <f>IF(ET$1&lt;CapEx!$O$7,0,(VLOOKUP($B27,Inputs!$B$25:$D$44,3,0)*(VLOOKUP(Financials!$B27,Inputs!$B$3:$D$21,3,0)*(1+Inputs!$L$10)^Financials!ET$3)*ET$8))</f>
        <v>0</v>
      </c>
      <c r="EU27" s="18">
        <f>IF(EU$1&lt;CapEx!$O$7,0,(VLOOKUP($B27,Inputs!$B$25:$D$44,3,0)*(VLOOKUP(Financials!$B27,Inputs!$B$3:$D$21,3,0)*(1+Inputs!$L$10)^Financials!EU$3)*EU$8))</f>
        <v>0</v>
      </c>
      <c r="EV27" s="18">
        <f>IF(EV$1&lt;CapEx!$O$7,0,(VLOOKUP($B27,Inputs!$B$25:$D$44,3,0)*(VLOOKUP(Financials!$B27,Inputs!$B$3:$D$21,3,0)*(1+Inputs!$L$10)^Financials!EV$3)*EV$8))</f>
        <v>0</v>
      </c>
      <c r="EW27" s="18">
        <f>IF(EW$1&lt;CapEx!$O$7,0,(VLOOKUP($B27,Inputs!$B$25:$D$44,3,0)*(VLOOKUP(Financials!$B27,Inputs!$B$3:$D$21,3,0)*(1+Inputs!$L$10)^Financials!EW$3)*EW$8))</f>
        <v>0</v>
      </c>
      <c r="EX27" s="18">
        <f>IF(EX$1&lt;CapEx!$O$7,0,(VLOOKUP($B27,Inputs!$B$25:$D$44,3,0)*(VLOOKUP(Financials!$B27,Inputs!$B$3:$D$21,3,0)*(1+Inputs!$L$10)^Financials!EX$3)*EX$8))</f>
        <v>0</v>
      </c>
      <c r="EY27" s="18">
        <f>IF(EY$1&lt;CapEx!$O$7,0,(VLOOKUP($B27,Inputs!$B$25:$D$44,3,0)*(VLOOKUP(Financials!$B27,Inputs!$B$3:$D$21,3,0)*(1+Inputs!$L$10)^Financials!EY$3)*EY$8))</f>
        <v>0</v>
      </c>
      <c r="EZ27" s="18">
        <f>IF(EZ$1&lt;CapEx!$O$7,0,(VLOOKUP($B27,Inputs!$B$25:$D$44,3,0)*(VLOOKUP(Financials!$B27,Inputs!$B$3:$D$21,3,0)*(1+Inputs!$L$10)^Financials!EZ$3)*EZ$8))</f>
        <v>0</v>
      </c>
      <c r="FA27" s="18">
        <f>IF(FA$1&lt;CapEx!$O$7,0,(VLOOKUP($B27,Inputs!$B$25:$D$44,3,0)*(VLOOKUP(Financials!$B27,Inputs!$B$3:$D$21,3,0)*(1+Inputs!$L$10)^Financials!FA$3)*FA$8))</f>
        <v>0</v>
      </c>
      <c r="FB27" s="18">
        <f>IF(FB$1&lt;CapEx!$O$7,0,(VLOOKUP($B27,Inputs!$B$25:$D$44,3,0)*(VLOOKUP(Financials!$B27,Inputs!$B$3:$D$21,3,0)*(1+Inputs!$L$10)^Financials!FB$3)*FB$8))</f>
        <v>0</v>
      </c>
      <c r="FC27" s="18">
        <f>IF(FC$1&lt;CapEx!$O$7,0,(VLOOKUP($B27,Inputs!$B$25:$D$44,3,0)*(VLOOKUP(Financials!$B27,Inputs!$B$3:$D$21,3,0)*(1+Inputs!$L$10)^Financials!FC$3)*FC$8))</f>
        <v>0</v>
      </c>
      <c r="FD27" s="18">
        <f>IF(FD$1&lt;CapEx!$O$7,0,(VLOOKUP($B27,Inputs!$B$25:$D$44,3,0)*(VLOOKUP(Financials!$B27,Inputs!$B$3:$D$21,3,0)*(1+Inputs!$L$10)^Financials!FD$3)*FD$8))</f>
        <v>0</v>
      </c>
      <c r="FE27" s="18">
        <f>IF(FE$1&lt;CapEx!$O$7,0,(VLOOKUP($B27,Inputs!$B$25:$D$44,3,0)*(VLOOKUP(Financials!$B27,Inputs!$B$3:$D$21,3,0)*(1+Inputs!$L$10)^Financials!FE$3)*FE$8))</f>
        <v>0</v>
      </c>
      <c r="FF27" s="18">
        <f>IF(FF$1&lt;CapEx!$O$7,0,(VLOOKUP($B27,Inputs!$B$25:$D$44,3,0)*(VLOOKUP(Financials!$B27,Inputs!$B$3:$D$21,3,0)*(1+Inputs!$L$10)^Financials!FF$3)*FF$8))</f>
        <v>0</v>
      </c>
      <c r="FG27" s="18">
        <f>IF(FG$1&lt;CapEx!$O$7,0,(VLOOKUP($B27,Inputs!$B$25:$D$44,3,0)*(VLOOKUP(Financials!$B27,Inputs!$B$3:$D$21,3,0)*(1+Inputs!$L$10)^Financials!FG$3)*FG$8))</f>
        <v>0</v>
      </c>
      <c r="FH27" s="18">
        <f>IF(FH$1&lt;CapEx!$O$7,0,(VLOOKUP($B27,Inputs!$B$25:$D$44,3,0)*(VLOOKUP(Financials!$B27,Inputs!$B$3:$D$21,3,0)*(1+Inputs!$L$10)^Financials!FH$3)*FH$8))</f>
        <v>0</v>
      </c>
      <c r="FI27" s="18">
        <f>IF(FI$1&lt;CapEx!$O$7,0,(VLOOKUP($B27,Inputs!$B$25:$D$44,3,0)*(VLOOKUP(Financials!$B27,Inputs!$B$3:$D$21,3,0)*(1+Inputs!$L$10)^Financials!FI$3)*FI$8))</f>
        <v>0</v>
      </c>
      <c r="FJ27" s="18">
        <f>IF(FJ$1&lt;CapEx!$O$7,0,(VLOOKUP($B27,Inputs!$B$25:$D$44,3,0)*(VLOOKUP(Financials!$B27,Inputs!$B$3:$D$21,3,0)*(1+Inputs!$L$10)^Financials!FJ$3)*FJ$8))</f>
        <v>0</v>
      </c>
      <c r="FK27" s="18">
        <f>IF(FK$1&lt;CapEx!$O$7,0,(VLOOKUP($B27,Inputs!$B$25:$D$44,3,0)*(VLOOKUP(Financials!$B27,Inputs!$B$3:$D$21,3,0)*(1+Inputs!$L$10)^Financials!FK$3)*FK$8))</f>
        <v>0</v>
      </c>
      <c r="FL27" s="18">
        <f>IF(FL$1&lt;CapEx!$O$7,0,(VLOOKUP($B27,Inputs!$B$25:$D$44,3,0)*(VLOOKUP(Financials!$B27,Inputs!$B$3:$D$21,3,0)*(1+Inputs!$L$10)^Financials!FL$3)*FL$8))</f>
        <v>0</v>
      </c>
      <c r="FM27" s="18">
        <f>IF(FM$1&lt;CapEx!$O$7,0,(VLOOKUP($B27,Inputs!$B$25:$D$44,3,0)*(VLOOKUP(Financials!$B27,Inputs!$B$3:$D$21,3,0)*(1+Inputs!$L$10)^Financials!FM$3)*FM$8))</f>
        <v>0</v>
      </c>
      <c r="FN27" s="18">
        <f>IF(FN$1&lt;CapEx!$O$7,0,(VLOOKUP($B27,Inputs!$B$25:$D$44,3,0)*(VLOOKUP(Financials!$B27,Inputs!$B$3:$D$21,3,0)*(1+Inputs!$L$10)^Financials!FN$3)*FN$8))</f>
        <v>0</v>
      </c>
      <c r="FO27" s="18">
        <f>IF(FO$1&lt;CapEx!$O$7,0,(VLOOKUP($B27,Inputs!$B$25:$D$44,3,0)*(VLOOKUP(Financials!$B27,Inputs!$B$3:$D$21,3,0)*(1+Inputs!$L$10)^Financials!FO$3)*FO$8))</f>
        <v>0</v>
      </c>
      <c r="FP27" s="18">
        <f>IF(FP$1&lt;CapEx!$O$7,0,(VLOOKUP($B27,Inputs!$B$25:$D$44,3,0)*(VLOOKUP(Financials!$B27,Inputs!$B$3:$D$21,3,0)*(1+Inputs!$L$10)^Financials!FP$3)*FP$8))</f>
        <v>0</v>
      </c>
      <c r="FQ27" s="18">
        <f>IF(FQ$1&lt;CapEx!$O$7,0,(VLOOKUP($B27,Inputs!$B$25:$D$44,3,0)*(VLOOKUP(Financials!$B27,Inputs!$B$3:$D$21,3,0)*(1+Inputs!$L$10)^Financials!FQ$3)*FQ$8))</f>
        <v>0</v>
      </c>
      <c r="FR27" s="18">
        <f>IF(FR$1&lt;CapEx!$O$7,0,(VLOOKUP($B27,Inputs!$B$25:$D$44,3,0)*(VLOOKUP(Financials!$B27,Inputs!$B$3:$D$21,3,0)*(1+Inputs!$L$10)^Financials!FR$3)*FR$8))</f>
        <v>0</v>
      </c>
      <c r="FS27" s="18">
        <f>IF(FS$1&lt;CapEx!$O$7,0,(VLOOKUP($B27,Inputs!$B$25:$D$44,3,0)*(VLOOKUP(Financials!$B27,Inputs!$B$3:$D$21,3,0)*(1+Inputs!$L$10)^Financials!FS$3)*FS$8))</f>
        <v>0</v>
      </c>
      <c r="FT27" s="18">
        <f>IF(FT$1&lt;CapEx!$O$7,0,(VLOOKUP($B27,Inputs!$B$25:$D$44,3,0)*(VLOOKUP(Financials!$B27,Inputs!$B$3:$D$21,3,0)*(1+Inputs!$L$10)^Financials!FT$3)*FT$8))</f>
        <v>0</v>
      </c>
      <c r="FU27" s="18">
        <f>IF(FU$1&lt;CapEx!$O$7,0,(VLOOKUP($B27,Inputs!$B$25:$D$44,3,0)*(VLOOKUP(Financials!$B27,Inputs!$B$3:$D$21,3,0)*(1+Inputs!$L$10)^Financials!FU$3)*FU$8))</f>
        <v>0</v>
      </c>
      <c r="FV27" s="18">
        <f>IF(FV$1&lt;CapEx!$O$7,0,(VLOOKUP($B27,Inputs!$B$25:$D$44,3,0)*(VLOOKUP(Financials!$B27,Inputs!$B$3:$D$21,3,0)*(1+Inputs!$L$10)^Financials!FV$3)*FV$8))</f>
        <v>0</v>
      </c>
      <c r="FW27" s="18">
        <f>IF(FW$1&lt;CapEx!$O$7,0,(VLOOKUP($B27,Inputs!$B$25:$D$44,3,0)*(VLOOKUP(Financials!$B27,Inputs!$B$3:$D$21,3,0)*(1+Inputs!$L$10)^Financials!FW$3)*FW$8))</f>
        <v>0</v>
      </c>
      <c r="FX27" s="18">
        <f>IF(FX$1&lt;CapEx!$O$7,0,(VLOOKUP($B27,Inputs!$B$25:$D$44,3,0)*(VLOOKUP(Financials!$B27,Inputs!$B$3:$D$21,3,0)*(1+Inputs!$L$10)^Financials!FX$3)*FX$8))</f>
        <v>0</v>
      </c>
      <c r="FY27" s="18">
        <f>IF(FY$1&lt;CapEx!$O$7,0,(VLOOKUP($B27,Inputs!$B$25:$D$44,3,0)*(VLOOKUP(Financials!$B27,Inputs!$B$3:$D$21,3,0)*(1+Inputs!$L$10)^Financials!FY$3)*FY$8))</f>
        <v>0</v>
      </c>
      <c r="FZ27" s="18">
        <f>IF(FZ$1&lt;CapEx!$O$7,0,(VLOOKUP($B27,Inputs!$B$25:$D$44,3,0)*(VLOOKUP(Financials!$B27,Inputs!$B$3:$D$21,3,0)*(1+Inputs!$L$10)^Financials!FZ$3)*FZ$8))</f>
        <v>0</v>
      </c>
      <c r="GA27" s="18">
        <f>IF(GA$1&lt;CapEx!$O$7,0,(VLOOKUP($B27,Inputs!$B$25:$D$44,3,0)*(VLOOKUP(Financials!$B27,Inputs!$B$3:$D$21,3,0)*(1+Inputs!$L$10)^Financials!GA$3)*GA$8))</f>
        <v>0</v>
      </c>
      <c r="GB27" s="18">
        <f>IF(GB$1&lt;CapEx!$O$7,0,(VLOOKUP($B27,Inputs!$B$25:$D$44,3,0)*(VLOOKUP(Financials!$B27,Inputs!$B$3:$D$21,3,0)*(1+Inputs!$L$10)^Financials!GB$3)*GB$8))</f>
        <v>0</v>
      </c>
      <c r="GC27" s="18">
        <f>IF(GC$1&lt;CapEx!$O$7,0,(VLOOKUP($B27,Inputs!$B$25:$D$44,3,0)*(VLOOKUP(Financials!$B27,Inputs!$B$3:$D$21,3,0)*(1+Inputs!$L$10)^Financials!GC$3)*GC$8))</f>
        <v>0</v>
      </c>
      <c r="GD27" s="18">
        <f>IF(GD$1&lt;CapEx!$O$7,0,(VLOOKUP($B27,Inputs!$B$25:$D$44,3,0)*(VLOOKUP(Financials!$B27,Inputs!$B$3:$D$21,3,0)*(1+Inputs!$L$10)^Financials!GD$3)*GD$8))</f>
        <v>0</v>
      </c>
      <c r="GE27" s="18">
        <f>IF(GE$1&lt;CapEx!$O$7,0,(VLOOKUP($B27,Inputs!$B$25:$D$44,3,0)*(VLOOKUP(Financials!$B27,Inputs!$B$3:$D$21,3,0)*(1+Inputs!$L$10)^Financials!GE$3)*GE$8))</f>
        <v>0</v>
      </c>
      <c r="GF27" s="18">
        <f>IF(GF$1&lt;CapEx!$O$7,0,(VLOOKUP($B27,Inputs!$B$25:$D$44,3,0)*(VLOOKUP(Financials!$B27,Inputs!$B$3:$D$21,3,0)*(1+Inputs!$L$10)^Financials!GF$3)*GF$8))</f>
        <v>0</v>
      </c>
      <c r="GG27" s="18">
        <f>IF(GG$1&lt;CapEx!$O$7,0,(VLOOKUP($B27,Inputs!$B$25:$D$44,3,0)*(VLOOKUP(Financials!$B27,Inputs!$B$3:$D$21,3,0)*(1+Inputs!$L$10)^Financials!GG$3)*GG$8))</f>
        <v>0</v>
      </c>
      <c r="GH27" s="18">
        <f>IF(GH$1&lt;CapEx!$O$7,0,(VLOOKUP($B27,Inputs!$B$25:$D$44,3,0)*(VLOOKUP(Financials!$B27,Inputs!$B$3:$D$21,3,0)*(1+Inputs!$L$10)^Financials!GH$3)*GH$8))</f>
        <v>0</v>
      </c>
      <c r="GI27" s="18">
        <f>IF(GI$1&lt;CapEx!$O$7,0,(VLOOKUP($B27,Inputs!$B$25:$D$44,3,0)*(VLOOKUP(Financials!$B27,Inputs!$B$3:$D$21,3,0)*(1+Inputs!$L$10)^Financials!GI$3)*GI$8))</f>
        <v>0</v>
      </c>
      <c r="GJ27" s="18">
        <f>IF(GJ$1&lt;CapEx!$O$7,0,(VLOOKUP($B27,Inputs!$B$25:$D$44,3,0)*(VLOOKUP(Financials!$B27,Inputs!$B$3:$D$21,3,0)*(1+Inputs!$L$10)^Financials!GJ$3)*GJ$8))</f>
        <v>0</v>
      </c>
      <c r="GK27" s="18">
        <f>IF(GK$1&lt;CapEx!$O$7,0,(VLOOKUP($B27,Inputs!$B$25:$D$44,3,0)*(VLOOKUP(Financials!$B27,Inputs!$B$3:$D$21,3,0)*(1+Inputs!$L$10)^Financials!GK$3)*GK$8))</f>
        <v>0</v>
      </c>
      <c r="GL27" s="18">
        <f>IF(GL$1&lt;CapEx!$O$7,0,(VLOOKUP($B27,Inputs!$B$25:$D$44,3,0)*(VLOOKUP(Financials!$B27,Inputs!$B$3:$D$21,3,0)*(1+Inputs!$L$10)^Financials!GL$3)*GL$8))</f>
        <v>0</v>
      </c>
      <c r="GM27" s="18">
        <f>IF(GM$1&lt;CapEx!$O$7,0,(VLOOKUP($B27,Inputs!$B$25:$D$44,3,0)*(VLOOKUP(Financials!$B27,Inputs!$B$3:$D$21,3,0)*(1+Inputs!$L$10)^Financials!GM$3)*GM$8))</f>
        <v>0</v>
      </c>
      <c r="GN27" s="18">
        <f>IF(GN$1&lt;CapEx!$O$7,0,(VLOOKUP($B27,Inputs!$B$25:$D$44,3,0)*(VLOOKUP(Financials!$B27,Inputs!$B$3:$D$21,3,0)*(1+Inputs!$L$10)^Financials!GN$3)*GN$8))</f>
        <v>0</v>
      </c>
      <c r="GO27" s="18">
        <f>IF(GO$1&lt;CapEx!$O$7,0,(VLOOKUP($B27,Inputs!$B$25:$D$44,3,0)*(VLOOKUP(Financials!$B27,Inputs!$B$3:$D$21,3,0)*(1+Inputs!$L$10)^Financials!GO$3)*GO$8))</f>
        <v>0</v>
      </c>
      <c r="GP27" s="18">
        <f>IF(GP$1&lt;CapEx!$O$7,0,(VLOOKUP($B27,Inputs!$B$25:$D$44,3,0)*(VLOOKUP(Financials!$B27,Inputs!$B$3:$D$21,3,0)*(1+Inputs!$L$10)^Financials!GP$3)*GP$8))</f>
        <v>0</v>
      </c>
      <c r="GQ27" s="18">
        <f>IF(GQ$1&lt;CapEx!$O$7,0,(VLOOKUP($B27,Inputs!$B$25:$D$44,3,0)*(VLOOKUP(Financials!$B27,Inputs!$B$3:$D$21,3,0)*(1+Inputs!$L$10)^Financials!GQ$3)*GQ$8))</f>
        <v>0</v>
      </c>
      <c r="GR27" s="18">
        <f>IF(GR$1&lt;CapEx!$O$7,0,(VLOOKUP($B27,Inputs!$B$25:$D$44,3,0)*(VLOOKUP(Financials!$B27,Inputs!$B$3:$D$21,3,0)*(1+Inputs!$L$10)^Financials!GR$3)*GR$8))</f>
        <v>0</v>
      </c>
      <c r="GS27" s="18">
        <f>IF(GS$1&lt;CapEx!$O$7,0,(VLOOKUP($B27,Inputs!$B$25:$D$44,3,0)*(VLOOKUP(Financials!$B27,Inputs!$B$3:$D$21,3,0)*(1+Inputs!$L$10)^Financials!GS$3)*GS$8))</f>
        <v>0</v>
      </c>
      <c r="GT27" s="18">
        <f>IF(GT$1&lt;CapEx!$O$7,0,(VLOOKUP($B27,Inputs!$B$25:$D$44,3,0)*(VLOOKUP(Financials!$B27,Inputs!$B$3:$D$21,3,0)*(1+Inputs!$L$10)^Financials!GT$3)*GT$8))</f>
        <v>0</v>
      </c>
      <c r="GU27" s="18">
        <f>IF(GU$1&lt;CapEx!$O$7,0,(VLOOKUP($B27,Inputs!$B$25:$D$44,3,0)*(VLOOKUP(Financials!$B27,Inputs!$B$3:$D$21,3,0)*(1+Inputs!$L$10)^Financials!GU$3)*GU$8))</f>
        <v>0</v>
      </c>
      <c r="GV27" s="18">
        <f>IF(GV$1&lt;CapEx!$O$7,0,(VLOOKUP($B27,Inputs!$B$25:$D$44,3,0)*(VLOOKUP(Financials!$B27,Inputs!$B$3:$D$21,3,0)*(1+Inputs!$L$10)^Financials!GV$3)*GV$8))</f>
        <v>0</v>
      </c>
      <c r="GW27" s="18">
        <f>IF(GW$1&lt;CapEx!$O$7,0,(VLOOKUP($B27,Inputs!$B$25:$D$44,3,0)*(VLOOKUP(Financials!$B27,Inputs!$B$3:$D$21,3,0)*(1+Inputs!$L$10)^Financials!GW$3)*GW$8))</f>
        <v>0</v>
      </c>
      <c r="GX27" s="18">
        <f>IF(GX$1&lt;CapEx!$O$7,0,(VLOOKUP($B27,Inputs!$B$25:$D$44,3,0)*(VLOOKUP(Financials!$B27,Inputs!$B$3:$D$21,3,0)*(1+Inputs!$L$10)^Financials!GX$3)*GX$8))</f>
        <v>0</v>
      </c>
      <c r="GY27" s="18">
        <f>IF(GY$1&lt;CapEx!$O$7,0,(VLOOKUP($B27,Inputs!$B$25:$D$44,3,0)*(VLOOKUP(Financials!$B27,Inputs!$B$3:$D$21,3,0)*(1+Inputs!$L$10)^Financials!GY$3)*GY$8))</f>
        <v>0</v>
      </c>
      <c r="GZ27" s="18">
        <f>IF(GZ$1&lt;CapEx!$O$7,0,(VLOOKUP($B27,Inputs!$B$25:$D$44,3,0)*(VLOOKUP(Financials!$B27,Inputs!$B$3:$D$21,3,0)*(1+Inputs!$L$10)^Financials!GZ$3)*GZ$8))</f>
        <v>0</v>
      </c>
      <c r="HA27" s="18">
        <f>IF(HA$1&lt;CapEx!$O$7,0,(VLOOKUP($B27,Inputs!$B$25:$D$44,3,0)*(VLOOKUP(Financials!$B27,Inputs!$B$3:$D$21,3,0)*(1+Inputs!$L$10)^Financials!HA$3)*HA$8))</f>
        <v>0</v>
      </c>
      <c r="HB27" s="18">
        <f>IF(HB$1&lt;CapEx!$O$7,0,(VLOOKUP($B27,Inputs!$B$25:$D$44,3,0)*(VLOOKUP(Financials!$B27,Inputs!$B$3:$D$21,3,0)*(1+Inputs!$L$10)^Financials!HB$3)*HB$8))</f>
        <v>0</v>
      </c>
      <c r="HC27" s="18">
        <f>IF(HC$1&lt;CapEx!$O$7,0,(VLOOKUP($B27,Inputs!$B$25:$D$44,3,0)*(VLOOKUP(Financials!$B27,Inputs!$B$3:$D$21,3,0)*(1+Inputs!$L$10)^Financials!HC$3)*HC$8))</f>
        <v>0</v>
      </c>
      <c r="HD27" s="18">
        <f>IF(HD$1&lt;CapEx!$O$7,0,(VLOOKUP($B27,Inputs!$B$25:$D$44,3,0)*(VLOOKUP(Financials!$B27,Inputs!$B$3:$D$21,3,0)*(1+Inputs!$L$10)^Financials!HD$3)*HD$8))</f>
        <v>0</v>
      </c>
      <c r="HE27" s="18">
        <f>IF(HE$1&lt;CapEx!$O$7,0,(VLOOKUP($B27,Inputs!$B$25:$D$44,3,0)*(VLOOKUP(Financials!$B27,Inputs!$B$3:$D$21,3,0)*(1+Inputs!$L$10)^Financials!HE$3)*HE$8))</f>
        <v>0</v>
      </c>
      <c r="HF27" s="18">
        <f>IF(HF$1&lt;CapEx!$O$7,0,(VLOOKUP($B27,Inputs!$B$25:$D$44,3,0)*(VLOOKUP(Financials!$B27,Inputs!$B$3:$D$21,3,0)*(1+Inputs!$L$10)^Financials!HF$3)*HF$8))</f>
        <v>0</v>
      </c>
      <c r="HG27" s="18">
        <f>IF(HG$1&lt;CapEx!$O$7,0,(VLOOKUP($B27,Inputs!$B$25:$D$44,3,0)*(VLOOKUP(Financials!$B27,Inputs!$B$3:$D$21,3,0)*(1+Inputs!$L$10)^Financials!HG$3)*HG$8))</f>
        <v>0</v>
      </c>
      <c r="HH27" s="18">
        <f>IF(HH$1&lt;CapEx!$O$7,0,(VLOOKUP($B27,Inputs!$B$25:$D$44,3,0)*(VLOOKUP(Financials!$B27,Inputs!$B$3:$D$21,3,0)*(1+Inputs!$L$10)^Financials!HH$3)*HH$8))</f>
        <v>0</v>
      </c>
      <c r="HI27" s="18">
        <f>IF(HI$1&lt;CapEx!$O$7,0,(VLOOKUP($B27,Inputs!$B$25:$D$44,3,0)*(VLOOKUP(Financials!$B27,Inputs!$B$3:$D$21,3,0)*(1+Inputs!$L$10)^Financials!HI$3)*HI$8))</f>
        <v>0</v>
      </c>
      <c r="HJ27" s="18">
        <f>IF(HJ$1&lt;CapEx!$O$7,0,(VLOOKUP($B27,Inputs!$B$25:$D$44,3,0)*(VLOOKUP(Financials!$B27,Inputs!$B$3:$D$21,3,0)*(1+Inputs!$L$10)^Financials!HJ$3)*HJ$8))</f>
        <v>0</v>
      </c>
      <c r="HK27" s="18">
        <f>IF(HK$1&lt;CapEx!$O$7,0,(VLOOKUP($B27,Inputs!$B$25:$D$44,3,0)*(VLOOKUP(Financials!$B27,Inputs!$B$3:$D$21,3,0)*(1+Inputs!$L$10)^Financials!HK$3)*HK$8))</f>
        <v>0</v>
      </c>
      <c r="HL27" s="18">
        <f>IF(HL$1&lt;CapEx!$O$7,0,(VLOOKUP($B27,Inputs!$B$25:$D$44,3,0)*(VLOOKUP(Financials!$B27,Inputs!$B$3:$D$21,3,0)*(1+Inputs!$L$10)^Financials!HL$3)*HL$8))</f>
        <v>0</v>
      </c>
      <c r="HM27" s="18">
        <f>IF(HM$1&lt;CapEx!$O$7,0,(VLOOKUP($B27,Inputs!$B$25:$D$44,3,0)*(VLOOKUP(Financials!$B27,Inputs!$B$3:$D$21,3,0)*(1+Inputs!$L$10)^Financials!HM$3)*HM$8))</f>
        <v>0</v>
      </c>
      <c r="HN27" s="18">
        <f>IF(HN$1&lt;CapEx!$O$7,0,(VLOOKUP($B27,Inputs!$B$25:$D$44,3,0)*(VLOOKUP(Financials!$B27,Inputs!$B$3:$D$21,3,0)*(1+Inputs!$L$10)^Financials!HN$3)*HN$8))</f>
        <v>0</v>
      </c>
      <c r="HO27" s="18">
        <f>IF(HO$1&lt;CapEx!$O$7,0,(VLOOKUP($B27,Inputs!$B$25:$D$44,3,0)*(VLOOKUP(Financials!$B27,Inputs!$B$3:$D$21,3,0)*(1+Inputs!$L$10)^Financials!HO$3)*HO$8))</f>
        <v>0</v>
      </c>
      <c r="HP27" s="18">
        <f>IF(HP$1&lt;CapEx!$O$7,0,(VLOOKUP($B27,Inputs!$B$25:$D$44,3,0)*(VLOOKUP(Financials!$B27,Inputs!$B$3:$D$21,3,0)*(1+Inputs!$L$10)^Financials!HP$3)*HP$8))</f>
        <v>0</v>
      </c>
      <c r="HQ27" s="18">
        <f>IF(HQ$1&lt;CapEx!$O$7,0,(VLOOKUP($B27,Inputs!$B$25:$D$44,3,0)*(VLOOKUP(Financials!$B27,Inputs!$B$3:$D$21,3,0)*(1+Inputs!$L$10)^Financials!HQ$3)*HQ$8))</f>
        <v>0</v>
      </c>
      <c r="HR27" s="18">
        <f>IF(HR$1&lt;CapEx!$O$7,0,(VLOOKUP($B27,Inputs!$B$25:$D$44,3,0)*(VLOOKUP(Financials!$B27,Inputs!$B$3:$D$21,3,0)*(1+Inputs!$L$10)^Financials!HR$3)*HR$8))</f>
        <v>0</v>
      </c>
      <c r="HS27" s="18">
        <f>IF(HS$1&lt;CapEx!$O$7,0,(VLOOKUP($B27,Inputs!$B$25:$D$44,3,0)*(VLOOKUP(Financials!$B27,Inputs!$B$3:$D$21,3,0)*(1+Inputs!$L$10)^Financials!HS$3)*HS$8))</f>
        <v>0</v>
      </c>
      <c r="HT27" s="18">
        <f>IF(HT$1&lt;CapEx!$O$7,0,(VLOOKUP($B27,Inputs!$B$25:$D$44,3,0)*(VLOOKUP(Financials!$B27,Inputs!$B$3:$D$21,3,0)*(1+Inputs!$L$10)^Financials!HT$3)*HT$8))</f>
        <v>0</v>
      </c>
      <c r="HU27" s="18">
        <f>IF(HU$1&lt;CapEx!$O$7,0,(VLOOKUP($B27,Inputs!$B$25:$D$44,3,0)*(VLOOKUP(Financials!$B27,Inputs!$B$3:$D$21,3,0)*(1+Inputs!$L$10)^Financials!HU$3)*HU$8))</f>
        <v>0</v>
      </c>
      <c r="HV27" s="18">
        <f>IF(HV$1&lt;CapEx!$O$7,0,(VLOOKUP($B27,Inputs!$B$25:$D$44,3,0)*(VLOOKUP(Financials!$B27,Inputs!$B$3:$D$21,3,0)*(1+Inputs!$L$10)^Financials!HV$3)*HV$8))</f>
        <v>0</v>
      </c>
      <c r="HW27" s="18">
        <f>IF(HW$1&lt;CapEx!$O$7,0,(VLOOKUP($B27,Inputs!$B$25:$D$44,3,0)*(VLOOKUP(Financials!$B27,Inputs!$B$3:$D$21,3,0)*(1+Inputs!$L$10)^Financials!HW$3)*HW$8))</f>
        <v>0</v>
      </c>
      <c r="HX27" s="18">
        <f>IF(HX$1&lt;CapEx!$O$7,0,(VLOOKUP($B27,Inputs!$B$25:$D$44,3,0)*(VLOOKUP(Financials!$B27,Inputs!$B$3:$D$21,3,0)*(1+Inputs!$L$10)^Financials!HX$3)*HX$8))</f>
        <v>0</v>
      </c>
      <c r="HY27" s="18">
        <f>IF(HY$1&lt;CapEx!$O$7,0,(VLOOKUP($B27,Inputs!$B$25:$D$44,3,0)*(VLOOKUP(Financials!$B27,Inputs!$B$3:$D$21,3,0)*(1+Inputs!$L$10)^Financials!HY$3)*HY$8))</f>
        <v>0</v>
      </c>
      <c r="HZ27" s="18">
        <f>IF(HZ$1&lt;CapEx!$O$7,0,(VLOOKUP($B27,Inputs!$B$25:$D$44,3,0)*(VLOOKUP(Financials!$B27,Inputs!$B$3:$D$21,3,0)*(1+Inputs!$L$10)^Financials!HZ$3)*HZ$8))</f>
        <v>0</v>
      </c>
      <c r="IA27" s="18">
        <f>IF(IA$1&lt;CapEx!$O$7,0,(VLOOKUP($B27,Inputs!$B$25:$D$44,3,0)*(VLOOKUP(Financials!$B27,Inputs!$B$3:$D$21,3,0)*(1+Inputs!$L$10)^Financials!IA$3)*IA$8))</f>
        <v>0</v>
      </c>
      <c r="IB27" s="18">
        <f>IF(IB$1&lt;CapEx!$O$7,0,(VLOOKUP($B27,Inputs!$B$25:$D$44,3,0)*(VLOOKUP(Financials!$B27,Inputs!$B$3:$D$21,3,0)*(1+Inputs!$L$10)^Financials!IB$3)*IB$8))</f>
        <v>0</v>
      </c>
      <c r="IC27" s="18">
        <f>IF(IC$1&lt;CapEx!$O$7,0,(VLOOKUP($B27,Inputs!$B$25:$D$44,3,0)*(VLOOKUP(Financials!$B27,Inputs!$B$3:$D$21,3,0)*(1+Inputs!$L$10)^Financials!IC$3)*IC$8))</f>
        <v>0</v>
      </c>
      <c r="ID27" s="18">
        <f>IF(ID$1&lt;CapEx!$O$7,0,(VLOOKUP($B27,Inputs!$B$25:$D$44,3,0)*(VLOOKUP(Financials!$B27,Inputs!$B$3:$D$21,3,0)*(1+Inputs!$L$10)^Financials!ID$3)*ID$8))</f>
        <v>0</v>
      </c>
      <c r="IE27" s="18">
        <f>IF(IE$1&lt;CapEx!$O$7,0,(VLOOKUP($B27,Inputs!$B$25:$D$44,3,0)*(VLOOKUP(Financials!$B27,Inputs!$B$3:$D$21,3,0)*(1+Inputs!$L$10)^Financials!IE$3)*IE$8))</f>
        <v>0</v>
      </c>
      <c r="IF27" s="18">
        <f>IF(IF$1&lt;CapEx!$O$7,0,(VLOOKUP($B27,Inputs!$B$25:$D$44,3,0)*(VLOOKUP(Financials!$B27,Inputs!$B$3:$D$21,3,0)*(1+Inputs!$L$10)^Financials!IF$3)*IF$8))</f>
        <v>0</v>
      </c>
      <c r="IG27" s="18">
        <f>IF(IG$1&lt;CapEx!$O$7,0,(VLOOKUP($B27,Inputs!$B$25:$D$44,3,0)*(VLOOKUP(Financials!$B27,Inputs!$B$3:$D$21,3,0)*(1+Inputs!$L$10)^Financials!IG$3)*IG$8))</f>
        <v>0</v>
      </c>
      <c r="IH27" s="18">
        <f>IF(IH$1&lt;CapEx!$O$7,0,(VLOOKUP($B27,Inputs!$B$25:$D$44,3,0)*(VLOOKUP(Financials!$B27,Inputs!$B$3:$D$21,3,0)*(1+Inputs!$L$10)^Financials!IH$3)*IH$8))</f>
        <v>0</v>
      </c>
      <c r="II27" s="18">
        <f>IF(II$1&lt;CapEx!$O$7,0,(VLOOKUP($B27,Inputs!$B$25:$D$44,3,0)*(VLOOKUP(Financials!$B27,Inputs!$B$3:$D$21,3,0)*(1+Inputs!$L$10)^Financials!II$3)*II$8))</f>
        <v>0</v>
      </c>
      <c r="IJ27" s="18">
        <f>IF(IJ$1&lt;CapEx!$O$7,0,(VLOOKUP($B27,Inputs!$B$25:$D$44,3,0)*(VLOOKUP(Financials!$B27,Inputs!$B$3:$D$21,3,0)*(1+Inputs!$L$10)^Financials!IJ$3)*IJ$8))</f>
        <v>0</v>
      </c>
      <c r="IK27" s="18">
        <f>IF(IK$1&lt;CapEx!$O$7,0,(VLOOKUP($B27,Inputs!$B$25:$D$44,3,0)*(VLOOKUP(Financials!$B27,Inputs!$B$3:$D$21,3,0)*(1+Inputs!$L$10)^Financials!IK$3)*IK$8))</f>
        <v>0</v>
      </c>
      <c r="IL27" s="18">
        <f>IF(IL$1&lt;CapEx!$O$7,0,(VLOOKUP($B27,Inputs!$B$25:$D$44,3,0)*(VLOOKUP(Financials!$B27,Inputs!$B$3:$D$21,3,0)*(1+Inputs!$L$10)^Financials!IL$3)*IL$8))</f>
        <v>0</v>
      </c>
      <c r="IM27" s="18">
        <f>IF(IM$1&lt;CapEx!$O$7,0,(VLOOKUP($B27,Inputs!$B$25:$D$44,3,0)*(VLOOKUP(Financials!$B27,Inputs!$B$3:$D$21,3,0)*(1+Inputs!$L$10)^Financials!IM$3)*IM$8))</f>
        <v>0</v>
      </c>
      <c r="IN27" s="18">
        <f>IF(IN$1&lt;CapEx!$O$7,0,(VLOOKUP($B27,Inputs!$B$25:$D$44,3,0)*(VLOOKUP(Financials!$B27,Inputs!$B$3:$D$21,3,0)*(1+Inputs!$L$10)^Financials!IN$3)*IN$8))</f>
        <v>0</v>
      </c>
      <c r="IO27" s="18">
        <f>IF(IO$1&lt;CapEx!$O$7,0,(VLOOKUP($B27,Inputs!$B$25:$D$44,3,0)*(VLOOKUP(Financials!$B27,Inputs!$B$3:$D$21,3,0)*(1+Inputs!$L$10)^Financials!IO$3)*IO$8))</f>
        <v>0</v>
      </c>
      <c r="IP27" s="18">
        <f>IF(IP$1&lt;CapEx!$O$7,0,(VLOOKUP($B27,Inputs!$B$25:$D$44,3,0)*(VLOOKUP(Financials!$B27,Inputs!$B$3:$D$21,3,0)*(1+Inputs!$L$10)^Financials!IP$3)*IP$8))</f>
        <v>0</v>
      </c>
      <c r="IQ27" s="18">
        <f>IF(IQ$1&lt;CapEx!$O$7,0,(VLOOKUP($B27,Inputs!$B$25:$D$44,3,0)*(VLOOKUP(Financials!$B27,Inputs!$B$3:$D$21,3,0)*(1+Inputs!$L$10)^Financials!IQ$3)*IQ$8))</f>
        <v>0</v>
      </c>
      <c r="IR27" s="18">
        <f>IF(IR$1&lt;CapEx!$O$7,0,(VLOOKUP($B27,Inputs!$B$25:$D$44,3,0)*(VLOOKUP(Financials!$B27,Inputs!$B$3:$D$21,3,0)*(1+Inputs!$L$10)^Financials!IR$3)*IR$8))</f>
        <v>0</v>
      </c>
      <c r="IS27" s="18">
        <f>IF(IS$1&lt;CapEx!$O$7,0,(VLOOKUP($B27,Inputs!$B$25:$D$44,3,0)*(VLOOKUP(Financials!$B27,Inputs!$B$3:$D$21,3,0)*(1+Inputs!$L$10)^Financials!IS$3)*IS$8))</f>
        <v>0</v>
      </c>
      <c r="IT27" s="18">
        <f>IF(IT$1&lt;CapEx!$O$7,0,(VLOOKUP($B27,Inputs!$B$25:$D$44,3,0)*(VLOOKUP(Financials!$B27,Inputs!$B$3:$D$21,3,0)*(1+Inputs!$L$10)^Financials!IT$3)*IT$8))</f>
        <v>0</v>
      </c>
      <c r="IU27" s="18">
        <f>IF(IU$1&lt;CapEx!$O$7,0,(VLOOKUP($B27,Inputs!$B$25:$D$44,3,0)*(VLOOKUP(Financials!$B27,Inputs!$B$3:$D$21,3,0)*(1+Inputs!$L$10)^Financials!IU$3)*IU$8))</f>
        <v>0</v>
      </c>
      <c r="IV27" s="18">
        <f>IF(IV$1&lt;CapEx!$O$7,0,(VLOOKUP($B27,Inputs!$B$25:$D$44,3,0)*(VLOOKUP(Financials!$B27,Inputs!$B$3:$D$21,3,0)*(1+Inputs!$L$10)^Financials!IV$3)*IV$8))</f>
        <v>0</v>
      </c>
      <c r="IW27" s="18">
        <f>IF(IW$1&lt;CapEx!$O$7,0,(VLOOKUP($B27,Inputs!$B$25:$D$44,3,0)*(VLOOKUP(Financials!$B27,Inputs!$B$3:$D$21,3,0)*(1+Inputs!$L$10)^Financials!IW$3)*IW$8))</f>
        <v>0</v>
      </c>
      <c r="IX27" s="18">
        <f>IF(IX$1&lt;CapEx!$O$7,0,(VLOOKUP($B27,Inputs!$B$25:$D$44,3,0)*(VLOOKUP(Financials!$B27,Inputs!$B$3:$D$21,3,0)*(1+Inputs!$L$10)^Financials!IX$3)*IX$8))</f>
        <v>0</v>
      </c>
      <c r="IY27" s="18">
        <f>IF(IY$1&lt;CapEx!$O$7,0,(VLOOKUP($B27,Inputs!$B$25:$D$44,3,0)*(VLOOKUP(Financials!$B27,Inputs!$B$3:$D$21,3,0)*(1+Inputs!$L$10)^Financials!IY$3)*IY$8))</f>
        <v>0</v>
      </c>
      <c r="IZ27" s="18">
        <f>IF(IZ$1&lt;CapEx!$O$7,0,(VLOOKUP($B27,Inputs!$B$25:$D$44,3,0)*(VLOOKUP(Financials!$B27,Inputs!$B$3:$D$21,3,0)*(1+Inputs!$L$10)^Financials!IZ$3)*IZ$8))</f>
        <v>0</v>
      </c>
      <c r="JA27" s="18">
        <f>IF(JA$1&lt;CapEx!$O$7,0,(VLOOKUP($B27,Inputs!$B$25:$D$44,3,0)*(VLOOKUP(Financials!$B27,Inputs!$B$3:$D$21,3,0)*(1+Inputs!$L$10)^Financials!JA$3)*JA$8))</f>
        <v>0</v>
      </c>
      <c r="JB27" s="18">
        <f>IF(JB$1&lt;CapEx!$O$7,0,(VLOOKUP($B27,Inputs!$B$25:$D$44,3,0)*(VLOOKUP(Financials!$B27,Inputs!$B$3:$D$21,3,0)*(1+Inputs!$L$10)^Financials!JB$3)*JB$8))</f>
        <v>0</v>
      </c>
      <c r="JC27" s="18">
        <f>IF(JC$1&lt;CapEx!$O$7,0,(VLOOKUP($B27,Inputs!$B$25:$D$44,3,0)*(VLOOKUP(Financials!$B27,Inputs!$B$3:$D$21,3,0)*(1+Inputs!$L$10)^Financials!JC$3)*JC$8))</f>
        <v>0</v>
      </c>
      <c r="JD27" s="18">
        <f>IF(JD$1&lt;CapEx!$O$7,0,(VLOOKUP($B27,Inputs!$B$25:$D$44,3,0)*(VLOOKUP(Financials!$B27,Inputs!$B$3:$D$21,3,0)*(1+Inputs!$L$10)^Financials!JD$3)*JD$8))</f>
        <v>0</v>
      </c>
      <c r="JE27" s="18">
        <f>IF(JE$1&lt;CapEx!$O$7,0,(VLOOKUP($B27,Inputs!$B$25:$D$44,3,0)*(VLOOKUP(Financials!$B27,Inputs!$B$3:$D$21,3,0)*(1+Inputs!$L$10)^Financials!JE$3)*JE$8))</f>
        <v>0</v>
      </c>
      <c r="JF27" s="18">
        <f>IF(JF$1&lt;CapEx!$O$7,0,(VLOOKUP($B27,Inputs!$B$25:$D$44,3,0)*(VLOOKUP(Financials!$B27,Inputs!$B$3:$D$21,3,0)*(1+Inputs!$L$10)^Financials!JF$3)*JF$8))</f>
        <v>0</v>
      </c>
      <c r="JG27" s="18">
        <f>IF(JG$1&lt;CapEx!$O$7,0,(VLOOKUP($B27,Inputs!$B$25:$D$44,3,0)*(VLOOKUP(Financials!$B27,Inputs!$B$3:$D$21,3,0)*(1+Inputs!$L$10)^Financials!JG$3)*JG$8))</f>
        <v>0</v>
      </c>
      <c r="JH27" s="18">
        <f>IF(JH$1&lt;CapEx!$O$7,0,(VLOOKUP($B27,Inputs!$B$25:$D$44,3,0)*(VLOOKUP(Financials!$B27,Inputs!$B$3:$D$21,3,0)*(1+Inputs!$L$10)^Financials!JH$3)*JH$8))</f>
        <v>0</v>
      </c>
      <c r="JI27" s="18">
        <f>IF(JI$1&lt;CapEx!$O$7,0,(VLOOKUP($B27,Inputs!$B$25:$D$44,3,0)*(VLOOKUP(Financials!$B27,Inputs!$B$3:$D$21,3,0)*(1+Inputs!$L$10)^Financials!JI$3)*JI$8))</f>
        <v>0</v>
      </c>
      <c r="JJ27" s="18">
        <f>IF(JJ$1&lt;CapEx!$O$7,0,(VLOOKUP($B27,Inputs!$B$25:$D$44,3,0)*(VLOOKUP(Financials!$B27,Inputs!$B$3:$D$21,3,0)*(1+Inputs!$L$10)^Financials!JJ$3)*JJ$8))</f>
        <v>0</v>
      </c>
      <c r="JK27" s="18">
        <f>IF(JK$1&lt;CapEx!$O$7,0,(VLOOKUP($B27,Inputs!$B$25:$D$44,3,0)*(VLOOKUP(Financials!$B27,Inputs!$B$3:$D$21,3,0)*(1+Inputs!$L$10)^Financials!JK$3)*JK$8))</f>
        <v>0</v>
      </c>
      <c r="JL27" s="18">
        <f>IF(JL$1&lt;CapEx!$O$7,0,(VLOOKUP($B27,Inputs!$B$25:$D$44,3,0)*(VLOOKUP(Financials!$B27,Inputs!$B$3:$D$21,3,0)*(1+Inputs!$L$10)^Financials!JL$3)*JL$8))</f>
        <v>0</v>
      </c>
      <c r="JM27" s="18">
        <f>IF(JM$1&lt;CapEx!$O$7,0,(VLOOKUP($B27,Inputs!$B$25:$D$44,3,0)*(VLOOKUP(Financials!$B27,Inputs!$B$3:$D$21,3,0)*(1+Inputs!$L$10)^Financials!JM$3)*JM$8))</f>
        <v>0</v>
      </c>
      <c r="JN27" s="18">
        <f>IF(JN$1&lt;CapEx!$O$7,0,(VLOOKUP($B27,Inputs!$B$25:$D$44,3,0)*(VLOOKUP(Financials!$B27,Inputs!$B$3:$D$21,3,0)*(1+Inputs!$L$10)^Financials!JN$3)*JN$8))</f>
        <v>0</v>
      </c>
      <c r="JO27" s="18">
        <f>IF(JO$1&lt;CapEx!$O$7,0,(VLOOKUP($B27,Inputs!$B$25:$D$44,3,0)*(VLOOKUP(Financials!$B27,Inputs!$B$3:$D$21,3,0)*(1+Inputs!$L$10)^Financials!JO$3)*JO$8))</f>
        <v>0</v>
      </c>
      <c r="JP27" s="18">
        <f>IF(JP$1&lt;CapEx!$O$7,0,(VLOOKUP($B27,Inputs!$B$25:$D$44,3,0)*(VLOOKUP(Financials!$B27,Inputs!$B$3:$D$21,3,0)*(1+Inputs!$L$10)^Financials!JP$3)*JP$8))</f>
        <v>0</v>
      </c>
      <c r="JQ27" s="18">
        <f>IF(JQ$1&lt;CapEx!$O$7,0,(VLOOKUP($B27,Inputs!$B$25:$D$44,3,0)*(VLOOKUP(Financials!$B27,Inputs!$B$3:$D$21,3,0)*(1+Inputs!$L$10)^Financials!JQ$3)*JQ$8))</f>
        <v>0</v>
      </c>
      <c r="JR27" s="18">
        <f>IF(JR$1&lt;CapEx!$O$7,0,(VLOOKUP($B27,Inputs!$B$25:$D$44,3,0)*(VLOOKUP(Financials!$B27,Inputs!$B$3:$D$21,3,0)*(1+Inputs!$L$10)^Financials!JR$3)*JR$8))</f>
        <v>0</v>
      </c>
    </row>
    <row r="28" spans="2:278" x14ac:dyDescent="0.2">
      <c r="B28" s="54" t="s">
        <v>73</v>
      </c>
      <c r="C28" s="55">
        <f t="shared" ref="C28:BN28" si="498">SUM(C12:C27)</f>
        <v>0</v>
      </c>
      <c r="D28" s="55">
        <f t="shared" si="498"/>
        <v>0</v>
      </c>
      <c r="E28" s="55">
        <f t="shared" si="498"/>
        <v>0</v>
      </c>
      <c r="F28" s="55">
        <f t="shared" si="498"/>
        <v>0</v>
      </c>
      <c r="G28" s="55">
        <f t="shared" si="498"/>
        <v>0</v>
      </c>
      <c r="H28" s="55">
        <f t="shared" si="498"/>
        <v>0</v>
      </c>
      <c r="I28" s="55">
        <f t="shared" si="498"/>
        <v>0</v>
      </c>
      <c r="J28" s="55">
        <f t="shared" si="498"/>
        <v>0</v>
      </c>
      <c r="K28" s="55">
        <f t="shared" si="498"/>
        <v>0</v>
      </c>
      <c r="L28" s="55">
        <f t="shared" si="498"/>
        <v>0</v>
      </c>
      <c r="M28" s="55">
        <f t="shared" si="498"/>
        <v>0</v>
      </c>
      <c r="N28" s="55">
        <f t="shared" si="498"/>
        <v>0</v>
      </c>
      <c r="O28" s="55">
        <f t="shared" si="498"/>
        <v>0</v>
      </c>
      <c r="P28" s="55">
        <f t="shared" si="498"/>
        <v>0</v>
      </c>
      <c r="Q28" s="55">
        <f t="shared" si="498"/>
        <v>0</v>
      </c>
      <c r="R28" s="55">
        <f t="shared" si="498"/>
        <v>4674611.0745350346</v>
      </c>
      <c r="S28" s="55">
        <f t="shared" si="498"/>
        <v>4838482.1627590135</v>
      </c>
      <c r="T28" s="55">
        <f t="shared" si="498"/>
        <v>4690206.0964809153</v>
      </c>
      <c r="U28" s="55">
        <f t="shared" si="498"/>
        <v>4854623.8768631062</v>
      </c>
      <c r="V28" s="55">
        <f t="shared" si="498"/>
        <v>4862714.916657879</v>
      </c>
      <c r="W28" s="55">
        <f t="shared" si="498"/>
        <v>4713696.2337280409</v>
      </c>
      <c r="X28" s="55">
        <f t="shared" si="498"/>
        <v>4878937.4739215076</v>
      </c>
      <c r="Y28" s="55">
        <f t="shared" si="498"/>
        <v>4729421.6481077839</v>
      </c>
      <c r="Z28" s="55">
        <f t="shared" si="498"/>
        <v>4895214.151438674</v>
      </c>
      <c r="AA28" s="55">
        <f t="shared" si="498"/>
        <v>4903372.8416910712</v>
      </c>
      <c r="AB28" s="55">
        <f t="shared" si="498"/>
        <v>4436234.3107514717</v>
      </c>
      <c r="AC28" s="55">
        <f t="shared" si="498"/>
        <v>4919731.038310159</v>
      </c>
      <c r="AD28" s="55">
        <f t="shared" si="498"/>
        <v>6557944.2995832656</v>
      </c>
      <c r="AE28" s="55">
        <f t="shared" si="498"/>
        <v>6784755.6605527755</v>
      </c>
      <c r="AF28" s="55">
        <f t="shared" si="498"/>
        <v>6573854.0969989616</v>
      </c>
      <c r="AG28" s="55">
        <f t="shared" si="498"/>
        <v>6801223.1847556569</v>
      </c>
      <c r="AH28" s="55">
        <f t="shared" si="498"/>
        <v>6809477.5369754806</v>
      </c>
      <c r="AI28" s="55">
        <f t="shared" si="498"/>
        <v>6597818.3675312931</v>
      </c>
      <c r="AJ28" s="55">
        <f t="shared" si="498"/>
        <v>6826027.5361049809</v>
      </c>
      <c r="AK28" s="55">
        <f t="shared" si="498"/>
        <v>6613861.1892681159</v>
      </c>
      <c r="AL28" s="55">
        <f t="shared" si="498"/>
        <v>6842632.7478704667</v>
      </c>
      <c r="AM28" s="55">
        <f t="shared" si="498"/>
        <v>6850956.1160288155</v>
      </c>
      <c r="AN28" s="55">
        <f t="shared" si="498"/>
        <v>6195490.7735834811</v>
      </c>
      <c r="AO28" s="55">
        <f t="shared" si="498"/>
        <v>6867644.4923067689</v>
      </c>
      <c r="AP28" s="55">
        <f t="shared" si="498"/>
        <v>6654202.7871346883</v>
      </c>
      <c r="AQ28" s="55">
        <f t="shared" si="498"/>
        <v>6884388.5428622514</v>
      </c>
      <c r="AR28" s="55">
        <f t="shared" si="498"/>
        <v>6670433.7135602441</v>
      </c>
      <c r="AS28" s="55">
        <f t="shared" si="498"/>
        <v>6901188.4534308361</v>
      </c>
      <c r="AT28" s="55">
        <f t="shared" si="498"/>
        <v>6909609.4144317852</v>
      </c>
      <c r="AU28" s="55">
        <f t="shared" si="498"/>
        <v>6694881.687452646</v>
      </c>
      <c r="AV28" s="55">
        <f t="shared" si="498"/>
        <v>6926493.4646302434</v>
      </c>
      <c r="AW28" s="55">
        <f t="shared" si="498"/>
        <v>6711248.32320954</v>
      </c>
      <c r="AX28" s="55">
        <f t="shared" si="498"/>
        <v>6943433.8418961726</v>
      </c>
      <c r="AY28" s="55">
        <f t="shared" si="498"/>
        <v>6951925.2118778955</v>
      </c>
      <c r="AZ28" s="55">
        <f t="shared" si="498"/>
        <v>6511370.686778863</v>
      </c>
      <c r="BA28" s="55">
        <f t="shared" si="498"/>
        <v>6968950.432278391</v>
      </c>
      <c r="BB28" s="55">
        <f t="shared" si="498"/>
        <v>6752404.1902362108</v>
      </c>
      <c r="BC28" s="55">
        <f t="shared" si="498"/>
        <v>6986032.4507058337</v>
      </c>
      <c r="BD28" s="55">
        <f t="shared" si="498"/>
        <v>6768962.7274537794</v>
      </c>
      <c r="BE28" s="55">
        <f t="shared" si="498"/>
        <v>7003171.4566447511</v>
      </c>
      <c r="BF28" s="55">
        <f t="shared" si="498"/>
        <v>7011762.3893177249</v>
      </c>
      <c r="BG28" s="55">
        <f t="shared" si="498"/>
        <v>6793904.1679469179</v>
      </c>
      <c r="BH28" s="55">
        <f t="shared" si="498"/>
        <v>7028987.2331907339</v>
      </c>
      <c r="BI28" s="55">
        <f t="shared" si="498"/>
        <v>6810601.1537012402</v>
      </c>
      <c r="BJ28" s="55">
        <f t="shared" si="498"/>
        <v>7046269.5410567755</v>
      </c>
      <c r="BK28" s="55">
        <f t="shared" si="498"/>
        <v>7054932.3038704339</v>
      </c>
      <c r="BL28" s="55">
        <f t="shared" si="498"/>
        <v>6380034.3912715856</v>
      </c>
      <c r="BM28" s="55">
        <f t="shared" si="498"/>
        <v>7072301.1673750477</v>
      </c>
      <c r="BN28" s="55">
        <f t="shared" si="498"/>
        <v>6852587.7253863588</v>
      </c>
      <c r="BO28" s="55">
        <f t="shared" ref="BO28:DZ28" si="499">SUM(BO12:BO27)</f>
        <v>7089727.975338188</v>
      </c>
      <c r="BP28" s="55">
        <f t="shared" si="499"/>
        <v>6869480.4860086916</v>
      </c>
      <c r="BQ28" s="55">
        <f t="shared" si="499"/>
        <v>7107212.9210690055</v>
      </c>
      <c r="BR28" s="55">
        <f t="shared" si="499"/>
        <v>7115977.2561826836</v>
      </c>
      <c r="BS28" s="55">
        <f t="shared" si="499"/>
        <v>6894925.3534079529</v>
      </c>
      <c r="BT28" s="55">
        <f t="shared" si="499"/>
        <v>7133549.7724309834</v>
      </c>
      <c r="BU28" s="55">
        <f t="shared" si="499"/>
        <v>6911959.3570615472</v>
      </c>
      <c r="BV28" s="55">
        <f t="shared" si="499"/>
        <v>7151180.9125459921</v>
      </c>
      <c r="BW28" s="55">
        <f t="shared" si="499"/>
        <v>7160018.5276454659</v>
      </c>
      <c r="BX28" s="55">
        <f t="shared" si="499"/>
        <v>6475109.1748031043</v>
      </c>
      <c r="BY28" s="55">
        <f t="shared" si="499"/>
        <v>7177737.9704688415</v>
      </c>
      <c r="BZ28" s="55">
        <f t="shared" si="499"/>
        <v>6954793.4006434055</v>
      </c>
      <c r="CA28" s="55">
        <f t="shared" si="499"/>
        <v>7195516.5273223026</v>
      </c>
      <c r="CB28" s="55">
        <f t="shared" si="499"/>
        <v>6972027.1307545835</v>
      </c>
      <c r="CC28" s="55">
        <f t="shared" si="499"/>
        <v>7213354.3954168232</v>
      </c>
      <c r="CD28" s="55">
        <f t="shared" si="499"/>
        <v>7222295.632987747</v>
      </c>
      <c r="CE28" s="55">
        <f t="shared" si="499"/>
        <v>6997985.5864076996</v>
      </c>
      <c r="CF28" s="55">
        <f t="shared" si="499"/>
        <v>7240222.839154222</v>
      </c>
      <c r="CG28" s="55">
        <f t="shared" si="499"/>
        <v>7015363.4104497181</v>
      </c>
      <c r="CH28" s="55">
        <f t="shared" si="499"/>
        <v>7258209.8524723807</v>
      </c>
      <c r="CI28" s="55">
        <f t="shared" si="499"/>
        <v>7267225.8491383996</v>
      </c>
      <c r="CJ28" s="55">
        <f t="shared" si="499"/>
        <v>6572102.9815817652</v>
      </c>
      <c r="CK28" s="55">
        <f t="shared" si="499"/>
        <v>7285302.9474981986</v>
      </c>
      <c r="CL28" s="55">
        <f t="shared" si="499"/>
        <v>7059062.0316025093</v>
      </c>
      <c r="CM28" s="55">
        <f t="shared" si="499"/>
        <v>7303440.353066694</v>
      </c>
      <c r="CN28" s="55">
        <f t="shared" si="499"/>
        <v>7076643.6134519689</v>
      </c>
      <c r="CO28" s="55">
        <f t="shared" si="499"/>
        <v>7321638.2670354331</v>
      </c>
      <c r="CP28" s="55">
        <f t="shared" si="499"/>
        <v>7330759.9777257219</v>
      </c>
      <c r="CQ28" s="55">
        <f t="shared" si="499"/>
        <v>7103126.0238069315</v>
      </c>
      <c r="CR28" s="55">
        <f t="shared" si="499"/>
        <v>7349049.0329978382</v>
      </c>
      <c r="CS28" s="55">
        <f t="shared" si="499"/>
        <v>7120854.6080303863</v>
      </c>
      <c r="CT28" s="55">
        <f t="shared" si="499"/>
        <v>7367399.1025904585</v>
      </c>
      <c r="CU28" s="55">
        <f t="shared" si="499"/>
        <v>7376597.0813400056</v>
      </c>
      <c r="CV28" s="55">
        <f t="shared" si="499"/>
        <v>6671054.5458553489</v>
      </c>
      <c r="CW28" s="55">
        <f t="shared" si="499"/>
        <v>7395039.05428279</v>
      </c>
      <c r="CX28" s="55">
        <f t="shared" si="499"/>
        <v>7165435.2576953154</v>
      </c>
      <c r="CY28" s="55">
        <f t="shared" si="499"/>
        <v>7413542.5516964206</v>
      </c>
      <c r="CZ28" s="55">
        <f t="shared" si="499"/>
        <v>7183371.7124462677</v>
      </c>
      <c r="DA28" s="55">
        <f t="shared" si="499"/>
        <v>7432107.778833366</v>
      </c>
      <c r="DB28" s="55">
        <f t="shared" si="499"/>
        <v>7441413.6053766534</v>
      </c>
      <c r="DC28" s="55">
        <f t="shared" si="499"/>
        <v>7210388.6531911371</v>
      </c>
      <c r="DD28" s="55">
        <f t="shared" si="499"/>
        <v>7460071.8134454582</v>
      </c>
      <c r="DE28" s="55">
        <f t="shared" si="499"/>
        <v>7228475.0774642872</v>
      </c>
      <c r="DF28" s="55">
        <f t="shared" si="499"/>
        <v>7478792.2673695171</v>
      </c>
      <c r="DG28" s="55">
        <f t="shared" si="499"/>
        <v>7488175.9013936967</v>
      </c>
      <c r="DH28" s="55">
        <f t="shared" si="499"/>
        <v>6772003.3836974716</v>
      </c>
      <c r="DI28" s="55">
        <f t="shared" si="499"/>
        <v>7506990.1136778258</v>
      </c>
      <c r="DJ28" s="55">
        <f t="shared" si="499"/>
        <v>7273955.5588185675</v>
      </c>
      <c r="DK28" s="55">
        <f t="shared" si="499"/>
        <v>7525867.0922646057</v>
      </c>
      <c r="DL28" s="55">
        <f t="shared" si="499"/>
        <v>7292254.0493518803</v>
      </c>
      <c r="DM28" s="55">
        <f t="shared" si="499"/>
        <v>7544807.046549391</v>
      </c>
      <c r="DN28" s="55">
        <f t="shared" si="499"/>
        <v>7554300.7052055364</v>
      </c>
      <c r="DO28" s="55">
        <f t="shared" si="499"/>
        <v>7319816.3096381687</v>
      </c>
      <c r="DP28" s="55">
        <f t="shared" si="499"/>
        <v>7573335.5171823818</v>
      </c>
      <c r="DQ28" s="55">
        <f t="shared" si="499"/>
        <v>7338267.7967318548</v>
      </c>
      <c r="DR28" s="55">
        <f t="shared" si="499"/>
        <v>7592433.831406964</v>
      </c>
      <c r="DS28" s="55">
        <f t="shared" si="499"/>
        <v>7602006.8680378711</v>
      </c>
      <c r="DT28" s="55">
        <f t="shared" si="499"/>
        <v>6874989.8087882344</v>
      </c>
      <c r="DU28" s="55">
        <f t="shared" si="499"/>
        <v>7621200.8330746125</v>
      </c>
      <c r="DV28" s="55">
        <f t="shared" si="499"/>
        <v>7384666.2722983537</v>
      </c>
      <c r="DW28" s="55">
        <f t="shared" si="499"/>
        <v>7640458.8313113768</v>
      </c>
      <c r="DX28" s="55">
        <f t="shared" si="499"/>
        <v>7403334.1060730256</v>
      </c>
      <c r="DY28" s="55">
        <f t="shared" si="499"/>
        <v>7659781.076370039</v>
      </c>
      <c r="DZ28" s="55">
        <f t="shared" si="499"/>
        <v>7669466.3584092204</v>
      </c>
      <c r="EA28" s="55">
        <f t="shared" ref="EA28:GL28" si="500">SUM(EA12:EA27)</f>
        <v>7431452.6928243199</v>
      </c>
      <c r="EB28" s="55">
        <f t="shared" si="500"/>
        <v>7688885.3758013379</v>
      </c>
      <c r="EC28" s="55">
        <f t="shared" si="500"/>
        <v>7450276.6112963567</v>
      </c>
      <c r="ED28" s="55">
        <f t="shared" si="500"/>
        <v>7708369.1771931425</v>
      </c>
      <c r="EE28" s="55">
        <f t="shared" si="500"/>
        <v>7718135.4394003637</v>
      </c>
      <c r="EF28" s="55">
        <f t="shared" si="500"/>
        <v>6980054.948513397</v>
      </c>
      <c r="EG28" s="55">
        <f t="shared" si="500"/>
        <v>7737716.8222543411</v>
      </c>
      <c r="EH28" s="55">
        <f t="shared" si="500"/>
        <v>7497611.6101967711</v>
      </c>
      <c r="EI28" s="55">
        <f t="shared" si="500"/>
        <v>7757363.5307772337</v>
      </c>
      <c r="EJ28" s="55">
        <f t="shared" si="500"/>
        <v>7516656.2421681527</v>
      </c>
      <c r="EK28" s="55">
        <f t="shared" si="500"/>
        <v>7777075.7829027222</v>
      </c>
      <c r="EL28" s="55">
        <f t="shared" si="500"/>
        <v>7786956.5561194569</v>
      </c>
      <c r="EM28" s="55">
        <f t="shared" si="500"/>
        <v>7545342.3844756968</v>
      </c>
      <c r="EN28" s="55">
        <f t="shared" si="500"/>
        <v>7806767.5338656027</v>
      </c>
      <c r="EO28" s="55">
        <f t="shared" si="500"/>
        <v>7564546.251613494</v>
      </c>
      <c r="EP28" s="55">
        <f t="shared" si="500"/>
        <v>7826644.6032347307</v>
      </c>
      <c r="EQ28" s="55">
        <f t="shared" si="500"/>
        <v>7836607.9911520202</v>
      </c>
      <c r="ER28" s="55">
        <f t="shared" si="500"/>
        <v>7087240.7603884963</v>
      </c>
      <c r="ES28" s="55">
        <f t="shared" si="500"/>
        <v>7856584.6116022598</v>
      </c>
      <c r="ET28" s="55">
        <f t="shared" si="500"/>
        <v>7612836.6769678965</v>
      </c>
      <c r="EU28" s="55">
        <f t="shared" si="500"/>
        <v>7876627.876277945</v>
      </c>
      <c r="EV28" s="55">
        <f t="shared" si="500"/>
        <v>7632265.7125648111</v>
      </c>
      <c r="EW28" s="55">
        <f t="shared" si="500"/>
        <v>7896738.0075116185</v>
      </c>
      <c r="EX28" s="55">
        <f t="shared" si="500"/>
        <v>7906818.2177693704</v>
      </c>
      <c r="EY28" s="55">
        <f t="shared" si="500"/>
        <v>7661530.866171821</v>
      </c>
      <c r="EZ28" s="55">
        <f t="shared" si="500"/>
        <v>7927029.0673367418</v>
      </c>
      <c r="FA28" s="55">
        <f t="shared" si="500"/>
        <v>7681122.3509943876</v>
      </c>
      <c r="FB28" s="55">
        <f t="shared" si="500"/>
        <v>7947307.3425439205</v>
      </c>
      <c r="FC28" s="55">
        <f t="shared" si="500"/>
        <v>7957471.8350267243</v>
      </c>
      <c r="FD28" s="55">
        <f t="shared" si="500"/>
        <v>7196590.0488144951</v>
      </c>
      <c r="FE28" s="55">
        <f t="shared" si="500"/>
        <v>7977851.6706894469</v>
      </c>
      <c r="FF28" s="55">
        <f t="shared" si="500"/>
        <v>7730387.4874701556</v>
      </c>
      <c r="FG28" s="55">
        <f t="shared" si="500"/>
        <v>7998299.4957483662</v>
      </c>
      <c r="FH28" s="55">
        <f t="shared" si="500"/>
        <v>7750208.6856321068</v>
      </c>
      <c r="FI28" s="55">
        <f t="shared" si="500"/>
        <v>8018815.5370236626</v>
      </c>
      <c r="FJ28" s="55">
        <f t="shared" si="500"/>
        <v>8029099.2098305998</v>
      </c>
      <c r="FK28" s="55">
        <f t="shared" si="500"/>
        <v>7780064.5375085957</v>
      </c>
      <c r="FL28" s="55">
        <f t="shared" si="500"/>
        <v>8049718.0023742653</v>
      </c>
      <c r="FM28" s="55">
        <f t="shared" si="500"/>
        <v>7800051.4638291467</v>
      </c>
      <c r="FN28" s="55">
        <f t="shared" si="500"/>
        <v>8070405.5815008339</v>
      </c>
      <c r="FO28" s="55">
        <f t="shared" si="500"/>
        <v>8080775.2377152313</v>
      </c>
      <c r="FP28" s="55">
        <f t="shared" si="500"/>
        <v>7308146.4821716007</v>
      </c>
      <c r="FQ28" s="55">
        <f t="shared" si="500"/>
        <v>8101566.4272297015</v>
      </c>
      <c r="FR28" s="55">
        <f t="shared" si="500"/>
        <v>7850310.9853422381</v>
      </c>
      <c r="FS28" s="55">
        <f t="shared" si="500"/>
        <v>8122426.9784625247</v>
      </c>
      <c r="FT28" s="55">
        <f t="shared" si="500"/>
        <v>7870532.2616179259</v>
      </c>
      <c r="FU28" s="55">
        <f t="shared" si="500"/>
        <v>8143357.122812096</v>
      </c>
      <c r="FV28" s="55">
        <f t="shared" si="500"/>
        <v>8153848.3649286814</v>
      </c>
      <c r="FW28" s="55">
        <f t="shared" si="500"/>
        <v>7900990.7346278634</v>
      </c>
      <c r="FX28" s="55">
        <f t="shared" si="500"/>
        <v>8174883.3345147707</v>
      </c>
      <c r="FY28" s="55">
        <f t="shared" si="500"/>
        <v>7921381.0841782521</v>
      </c>
      <c r="FZ28" s="55">
        <f t="shared" si="500"/>
        <v>8195988.4790966185</v>
      </c>
      <c r="GA28" s="55">
        <f t="shared" si="500"/>
        <v>8206567.4401403433</v>
      </c>
      <c r="GB28" s="55">
        <f t="shared" si="500"/>
        <v>7421954.610258149</v>
      </c>
      <c r="GC28" s="55">
        <f t="shared" si="500"/>
        <v>8227778.2864190144</v>
      </c>
      <c r="GD28" s="55">
        <f t="shared" si="500"/>
        <v>7972655.0617499463</v>
      </c>
      <c r="GE28" s="55">
        <f t="shared" si="500"/>
        <v>8249059.8944376316</v>
      </c>
      <c r="GF28" s="55">
        <f t="shared" si="500"/>
        <v>7993284.4914583135</v>
      </c>
      <c r="GG28" s="55">
        <f t="shared" si="500"/>
        <v>8270412.500265222</v>
      </c>
      <c r="GH28" s="55">
        <f t="shared" si="500"/>
        <v>8281115.5013442291</v>
      </c>
      <c r="GI28" s="55">
        <f t="shared" si="500"/>
        <v>8024357.7491209991</v>
      </c>
      <c r="GJ28" s="55">
        <f t="shared" si="500"/>
        <v>8302575.0482381936</v>
      </c>
      <c r="GK28" s="55">
        <f t="shared" si="500"/>
        <v>8045159.6647391813</v>
      </c>
      <c r="GL28" s="55">
        <f t="shared" si="500"/>
        <v>8324106.1865649913</v>
      </c>
      <c r="GM28" s="55">
        <f t="shared" ref="GM28:IX28" si="501">SUM(GM12:GM27)</f>
        <v>8334898.6771211624</v>
      </c>
      <c r="GN28" s="55">
        <f t="shared" si="501"/>
        <v>7538059.8820814397</v>
      </c>
      <c r="GO28" s="55">
        <f t="shared" si="501"/>
        <v>8356537.6506654285</v>
      </c>
      <c r="GP28" s="55">
        <f t="shared" si="501"/>
        <v>8097468.5745113883</v>
      </c>
      <c r="GQ28" s="55">
        <f t="shared" si="501"/>
        <v>8378248.8142297678</v>
      </c>
      <c r="GR28" s="55">
        <f t="shared" si="501"/>
        <v>8118514.3959664972</v>
      </c>
      <c r="GS28" s="55">
        <f t="shared" si="501"/>
        <v>8400032.4086481109</v>
      </c>
      <c r="GT28" s="55">
        <f t="shared" si="501"/>
        <v>8410951.4429077543</v>
      </c>
      <c r="GU28" s="55">
        <f t="shared" si="501"/>
        <v>8150214.8473140281</v>
      </c>
      <c r="GV28" s="55">
        <f t="shared" si="501"/>
        <v>8432844.1369289905</v>
      </c>
      <c r="GW28" s="55">
        <f t="shared" si="501"/>
        <v>8171436.6361959046</v>
      </c>
      <c r="GX28" s="55">
        <f t="shared" si="501"/>
        <v>8454809.8674100023</v>
      </c>
      <c r="GY28" s="55">
        <f t="shared" si="501"/>
        <v>8465820.1974342503</v>
      </c>
      <c r="GZ28" s="55">
        <f t="shared" si="501"/>
        <v>7656508.6640077112</v>
      </c>
      <c r="HA28" s="55">
        <f t="shared" si="501"/>
        <v>8487895.9397171158</v>
      </c>
      <c r="HB28" s="55">
        <f t="shared" si="501"/>
        <v>8224801.3676082678</v>
      </c>
      <c r="HC28" s="55">
        <f t="shared" si="501"/>
        <v>8510045.329129098</v>
      </c>
      <c r="HD28" s="55">
        <f t="shared" si="501"/>
        <v>8246271.9854092347</v>
      </c>
      <c r="HE28" s="55">
        <f t="shared" si="501"/>
        <v>8532268.611365201</v>
      </c>
      <c r="HF28" s="55">
        <f t="shared" si="501"/>
        <v>8543408.0392960384</v>
      </c>
      <c r="HG28" s="55">
        <f t="shared" si="501"/>
        <v>8278612.2899420271</v>
      </c>
      <c r="HH28" s="55">
        <f t="shared" si="501"/>
        <v>8565742.623240225</v>
      </c>
      <c r="HI28" s="55">
        <f t="shared" si="501"/>
        <v>8300262.4269588925</v>
      </c>
      <c r="HJ28" s="55">
        <f t="shared" si="501"/>
        <v>8588151.7178380731</v>
      </c>
      <c r="HK28" s="55">
        <f t="shared" si="501"/>
        <v>8599384.2842796985</v>
      </c>
      <c r="HL28" s="55">
        <f t="shared" si="501"/>
        <v>7777348.2582784221</v>
      </c>
      <c r="HM28" s="55">
        <f t="shared" si="501"/>
        <v>8621905.6111967359</v>
      </c>
      <c r="HN28" s="55">
        <f t="shared" si="501"/>
        <v>8354704.2910909289</v>
      </c>
      <c r="HO28" s="55">
        <f t="shared" si="501"/>
        <v>8644502.071762735</v>
      </c>
      <c r="HP28" s="55">
        <f t="shared" si="501"/>
        <v>8376608.2794782948</v>
      </c>
      <c r="HQ28" s="55">
        <f t="shared" si="501"/>
        <v>8667173.9166318998</v>
      </c>
      <c r="HR28" s="55">
        <f t="shared" si="501"/>
        <v>8678538.1867381874</v>
      </c>
      <c r="HS28" s="55">
        <f t="shared" si="501"/>
        <v>8409601.3522206247</v>
      </c>
      <c r="HT28" s="55">
        <f t="shared" si="501"/>
        <v>8701323.5798687004</v>
      </c>
      <c r="HU28" s="55">
        <f t="shared" si="501"/>
        <v>8431688.4833035935</v>
      </c>
      <c r="HV28" s="55">
        <f t="shared" si="501"/>
        <v>8724184.9876024127</v>
      </c>
      <c r="HW28" s="55">
        <f t="shared" si="501"/>
        <v>8735644.2761603147</v>
      </c>
      <c r="HX28" s="55">
        <f t="shared" si="501"/>
        <v>7900626.9219003012</v>
      </c>
      <c r="HY28" s="55">
        <f t="shared" si="501"/>
        <v>8758620.1815502625</v>
      </c>
      <c r="HZ28" s="55">
        <f t="shared" si="501"/>
        <v>8487229.2213852368</v>
      </c>
      <c r="IA28" s="55">
        <f t="shared" si="501"/>
        <v>8781672.7371134702</v>
      </c>
      <c r="IB28" s="55">
        <f t="shared" si="501"/>
        <v>8509575.3276650533</v>
      </c>
      <c r="IC28" s="55">
        <f t="shared" si="501"/>
        <v>8804802.1985634323</v>
      </c>
      <c r="ID28" s="55">
        <f t="shared" si="501"/>
        <v>8816395.849139601</v>
      </c>
      <c r="IE28" s="55">
        <f t="shared" si="501"/>
        <v>8543234.3443226442</v>
      </c>
      <c r="IF28" s="55">
        <f t="shared" si="501"/>
        <v>8839641.150749404</v>
      </c>
      <c r="IG28" s="55">
        <f t="shared" si="501"/>
        <v>8565767.2899153735</v>
      </c>
      <c r="IH28" s="55">
        <f t="shared" si="501"/>
        <v>8862964.0012681931</v>
      </c>
      <c r="II28" s="55">
        <f t="shared" si="501"/>
        <v>8874654.5881822035</v>
      </c>
      <c r="IJ28" s="55">
        <f t="shared" si="501"/>
        <v>8026393.8859166661</v>
      </c>
      <c r="IK28" s="55">
        <f t="shared" si="501"/>
        <v>8898094.2474186476</v>
      </c>
      <c r="IL28" s="55">
        <f t="shared" si="501"/>
        <v>8622429.0820092652</v>
      </c>
      <c r="IM28" s="55">
        <f t="shared" si="501"/>
        <v>8921612.1039627101</v>
      </c>
      <c r="IN28" s="55">
        <f t="shared" si="501"/>
        <v>8645226.2300463319</v>
      </c>
      <c r="IO28" s="55">
        <f t="shared" si="501"/>
        <v>8945208.4186892994</v>
      </c>
      <c r="IP28" s="55">
        <f t="shared" si="501"/>
        <v>8957036.0796323474</v>
      </c>
      <c r="IQ28" s="55">
        <f t="shared" si="501"/>
        <v>8679564.6322680283</v>
      </c>
      <c r="IR28" s="55">
        <f t="shared" si="501"/>
        <v>8980750.572677765</v>
      </c>
      <c r="IS28" s="55">
        <f t="shared" si="501"/>
        <v>8702552.3908491544</v>
      </c>
      <c r="IT28" s="55">
        <f t="shared" si="501"/>
        <v>9004544.1799069289</v>
      </c>
      <c r="IU28" s="55">
        <f t="shared" si="501"/>
        <v>9016470.7337853406</v>
      </c>
      <c r="IV28" s="55">
        <f t="shared" si="501"/>
        <v>8154699.3750677193</v>
      </c>
      <c r="IW28" s="55">
        <f t="shared" si="501"/>
        <v>9040383.5074408669</v>
      </c>
      <c r="IX28" s="55">
        <f t="shared" si="501"/>
        <v>8760357.8647082243</v>
      </c>
      <c r="IY28" s="55">
        <f t="shared" ref="IY28:JR28" si="502">SUM(IY12:IY27)</f>
        <v>9064376.0567662809</v>
      </c>
      <c r="IZ28" s="55">
        <f t="shared" si="502"/>
        <v>8783615.1584897954</v>
      </c>
      <c r="JA28" s="55">
        <f t="shared" si="502"/>
        <v>9088448.6479020864</v>
      </c>
      <c r="JB28" s="55">
        <f t="shared" si="502"/>
        <v>9100515.0425604861</v>
      </c>
      <c r="JC28" s="55">
        <f t="shared" si="502"/>
        <v>8818646.6592354681</v>
      </c>
      <c r="JD28" s="55">
        <f t="shared" si="502"/>
        <v>9124708.1973683387</v>
      </c>
      <c r="JE28" s="55">
        <f t="shared" si="502"/>
        <v>8842098.4109121151</v>
      </c>
      <c r="JF28" s="55">
        <f t="shared" si="502"/>
        <v>9148982.0632287655</v>
      </c>
      <c r="JG28" s="55">
        <f t="shared" si="502"/>
        <v>9161149.34691271</v>
      </c>
      <c r="JH28" s="55">
        <f t="shared" si="502"/>
        <v>8285594.6278476864</v>
      </c>
      <c r="JI28" s="55">
        <f t="shared" si="502"/>
        <v>9185544.7844970301</v>
      </c>
      <c r="JJ28" s="55">
        <f t="shared" si="502"/>
        <v>8901070.6510158908</v>
      </c>
      <c r="JK28" s="55">
        <f t="shared" si="502"/>
        <v>9210021.6079717353</v>
      </c>
      <c r="JL28" s="55">
        <f t="shared" si="502"/>
        <v>8924797.3782873414</v>
      </c>
      <c r="JM28" s="55">
        <f t="shared" si="502"/>
        <v>9234580.0888492018</v>
      </c>
      <c r="JN28" s="55">
        <f t="shared" si="502"/>
        <v>9246890.0359091796</v>
      </c>
      <c r="JO28" s="55">
        <f t="shared" si="502"/>
        <v>8960535.9673041217</v>
      </c>
      <c r="JP28" s="55">
        <f t="shared" si="502"/>
        <v>9271571.5139587335</v>
      </c>
      <c r="JQ28" s="55">
        <f t="shared" si="502"/>
        <v>8984461.0774779636</v>
      </c>
      <c r="JR28" s="55">
        <f t="shared" si="502"/>
        <v>9296335.3321614489</v>
      </c>
    </row>
    <row r="29" spans="2:278" x14ac:dyDescent="0.2">
      <c r="I29" s="20"/>
      <c r="U29" s="20"/>
      <c r="AG29" s="20"/>
    </row>
    <row r="30" spans="2:278" x14ac:dyDescent="0.2">
      <c r="B30" s="17" t="s">
        <v>71</v>
      </c>
    </row>
    <row r="31" spans="2:278" x14ac:dyDescent="0.2">
      <c r="B31" s="22" t="str">
        <f>Inputs!B11</f>
        <v>MSW tipping fees</v>
      </c>
      <c r="C31" s="18">
        <f>IF(C$1&lt;CapEx!$O$7,0,(Inputs!$D$35*(VLOOKUP($B31,Inputs!$B$3:$D$14,3,0)*(1+Inputs!$L$5)^Financials!C$3)*C$8))</f>
        <v>0</v>
      </c>
      <c r="D31" s="18">
        <f>IF(D$1&lt;CapEx!$O$7,0,(Inputs!$D$35*(VLOOKUP($B31,Inputs!$B$3:$D$14,3,0)*(1+Inputs!$L$5)^Financials!D$3)*D$8))</f>
        <v>0</v>
      </c>
      <c r="E31" s="18">
        <f>IF(E$1&lt;CapEx!$O$7,0,(Inputs!$D$35*(VLOOKUP($B31,Inputs!$B$3:$D$14,3,0)*(1+Inputs!$L$5)^Financials!E$3)*E$8))</f>
        <v>0</v>
      </c>
      <c r="F31" s="18">
        <f>IF(F$1&lt;CapEx!$O$7,0,(Inputs!$D$35*(VLOOKUP($B31,Inputs!$B$3:$D$14,3,0)*(1+Inputs!$L$5)^Financials!F$3)*F$8))</f>
        <v>0</v>
      </c>
      <c r="G31" s="18">
        <f>IF(G$1&lt;CapEx!$O$7,0,(Inputs!$D$35*(VLOOKUP($B31,Inputs!$B$3:$D$14,3,0)*(1+Inputs!$L$5)^Financials!G$3)*G$8))</f>
        <v>0</v>
      </c>
      <c r="H31" s="18">
        <f>IF(H$1&lt;CapEx!$O$7,0,(Inputs!$D$35*(VLOOKUP($B31,Inputs!$B$3:$D$14,3,0)*(1+Inputs!$L$5)^Financials!H$3)*H$8))</f>
        <v>0</v>
      </c>
      <c r="I31" s="18">
        <f>IF(I$1&lt;CapEx!$O$7,0,(Inputs!$D$35*(VLOOKUP($B31,Inputs!$B$3:$D$14,3,0)*(1+Inputs!$L$5)^Financials!I$3)*I$8))</f>
        <v>0</v>
      </c>
      <c r="J31" s="18">
        <f>IF(J$1&lt;CapEx!$O$7,0,(Inputs!$D$35*(VLOOKUP($B31,Inputs!$B$3:$D$14,3,0)*(1+Inputs!$L$5)^Financials!J$3)*J$8))</f>
        <v>0</v>
      </c>
      <c r="K31" s="18">
        <f>IF(K$1&lt;CapEx!$O$7,0,(Inputs!$D$35*(VLOOKUP($B31,Inputs!$B$3:$D$14,3,0)*(1+Inputs!$L$5)^Financials!K$3)*K$8))</f>
        <v>0</v>
      </c>
      <c r="L31" s="18">
        <f>IF(L$1&lt;CapEx!$O$7,0,(Inputs!$D$35*(VLOOKUP($B31,Inputs!$B$3:$D$14,3,0)*(1+Inputs!$L$5)^Financials!L$3)*L$8))</f>
        <v>0</v>
      </c>
      <c r="M31" s="18">
        <f>IF(M$1&lt;CapEx!$O$7,0,(Inputs!$D$35*(VLOOKUP($B31,Inputs!$B$3:$D$14,3,0)*(1+Inputs!$L$5)^Financials!M$3)*M$8))</f>
        <v>0</v>
      </c>
      <c r="N31" s="18">
        <f>IF(N$1&lt;CapEx!$O$7,0,(Inputs!$D$35*(VLOOKUP($B31,Inputs!$B$3:$D$14,3,0)*(1+Inputs!$L$5)^Financials!N$3)*N$8))</f>
        <v>0</v>
      </c>
      <c r="O31" s="18">
        <f>IF(O$1&lt;CapEx!$O$7,0,(Inputs!$D$35*(VLOOKUP($B31,Inputs!$B$3:$D$14,3,0)*(1+Inputs!$L$5)^Financials!O$3)*O$8))</f>
        <v>0</v>
      </c>
      <c r="P31" s="18">
        <f>IF(P$1&lt;CapEx!$O$7,0,(Inputs!$D$35*(VLOOKUP($B31,Inputs!$B$3:$D$14,3,0)*(1+Inputs!$L$5)^Financials!P$3)*P$8))</f>
        <v>0</v>
      </c>
      <c r="Q31" s="18">
        <f>IF(Q$1&lt;CapEx!$O$7,0,(Inputs!$D$35*(VLOOKUP($B31,Inputs!$B$3:$D$14,3,0)*(1+Inputs!$L$5)^Financials!Q$3)*Q$8))</f>
        <v>0</v>
      </c>
      <c r="R31" s="18">
        <f>IF(R$1&lt;CapEx!$O$7,0,(Inputs!$D$35*(VLOOKUP($B31,Inputs!$B$3:$D$14,3,0)*(1+Inputs!$L$5)^Financials!R$3)*R$8))</f>
        <v>-115500</v>
      </c>
      <c r="S31" s="18">
        <f>IF(S$1&lt;CapEx!$O$7,0,(Inputs!$D$35*(VLOOKUP($B31,Inputs!$B$3:$D$14,3,0)*(1+Inputs!$L$5)^Financials!S$3)*S$8))</f>
        <v>-119350</v>
      </c>
      <c r="T31" s="18">
        <f>IF(T$1&lt;CapEx!$O$7,0,(Inputs!$D$35*(VLOOKUP($B31,Inputs!$B$3:$D$14,3,0)*(1+Inputs!$L$5)^Financials!T$3)*T$8))</f>
        <v>-115500</v>
      </c>
      <c r="U31" s="18">
        <f>IF(U$1&lt;CapEx!$O$7,0,(Inputs!$D$35*(VLOOKUP($B31,Inputs!$B$3:$D$14,3,0)*(1+Inputs!$L$5)^Financials!U$3)*U$8))</f>
        <v>-119350</v>
      </c>
      <c r="V31" s="18">
        <f>IF(V$1&lt;CapEx!$O$7,0,(Inputs!$D$35*(VLOOKUP($B31,Inputs!$B$3:$D$14,3,0)*(1+Inputs!$L$5)^Financials!V$3)*V$8))</f>
        <v>-119350</v>
      </c>
      <c r="W31" s="18">
        <f>IF(W$1&lt;CapEx!$O$7,0,(Inputs!$D$35*(VLOOKUP($B31,Inputs!$B$3:$D$14,3,0)*(1+Inputs!$L$5)^Financials!W$3)*W$8))</f>
        <v>-115500</v>
      </c>
      <c r="X31" s="18">
        <f>IF(X$1&lt;CapEx!$O$7,0,(Inputs!$D$35*(VLOOKUP($B31,Inputs!$B$3:$D$14,3,0)*(1+Inputs!$L$5)^Financials!X$3)*X$8))</f>
        <v>-119350</v>
      </c>
      <c r="Y31" s="18">
        <f>IF(Y$1&lt;CapEx!$O$7,0,(Inputs!$D$35*(VLOOKUP($B31,Inputs!$B$3:$D$14,3,0)*(1+Inputs!$L$5)^Financials!Y$3)*Y$8))</f>
        <v>-115500</v>
      </c>
      <c r="Z31" s="18">
        <f>IF(Z$1&lt;CapEx!$O$7,0,(Inputs!$D$35*(VLOOKUP($B31,Inputs!$B$3:$D$14,3,0)*(1+Inputs!$L$5)^Financials!Z$3)*Z$8))</f>
        <v>-119350</v>
      </c>
      <c r="AA31" s="18">
        <f>IF(AA$1&lt;CapEx!$O$7,0,(Inputs!$D$35*(VLOOKUP($B31,Inputs!$B$3:$D$14,3,0)*(1+Inputs!$L$5)^Financials!AA$3)*AA$8))</f>
        <v>-119350</v>
      </c>
      <c r="AB31" s="18">
        <f>IF(AB$1&lt;CapEx!$O$7,0,(Inputs!$D$35*(VLOOKUP($B31,Inputs!$B$3:$D$14,3,0)*(1+Inputs!$L$5)^Financials!AB$3)*AB$8))</f>
        <v>-107800</v>
      </c>
      <c r="AC31" s="18">
        <f>IF(AC$1&lt;CapEx!$O$7,0,(Inputs!$D$35*(VLOOKUP($B31,Inputs!$B$3:$D$14,3,0)*(1+Inputs!$L$5)^Financials!AC$3)*AC$8))</f>
        <v>-119350</v>
      </c>
      <c r="AD31" s="18">
        <f>IF(AD$1&lt;CapEx!$O$7,0,(Inputs!$D$35*(VLOOKUP($B31,Inputs!$B$3:$D$14,3,0)*(1+Inputs!$L$5)^Financials!AD$3)*AD$8))</f>
        <v>-115500</v>
      </c>
      <c r="AE31" s="18">
        <f>IF(AE$1&lt;CapEx!$O$7,0,(Inputs!$D$35*(VLOOKUP($B31,Inputs!$B$3:$D$14,3,0)*(1+Inputs!$L$5)^Financials!AE$3)*AE$8))</f>
        <v>-119350</v>
      </c>
      <c r="AF31" s="18">
        <f>IF(AF$1&lt;CapEx!$O$7,0,(Inputs!$D$35*(VLOOKUP($B31,Inputs!$B$3:$D$14,3,0)*(1+Inputs!$L$5)^Financials!AF$3)*AF$8))</f>
        <v>-115500</v>
      </c>
      <c r="AG31" s="18">
        <f>IF(AG$1&lt;CapEx!$O$7,0,(Inputs!$D$35*(VLOOKUP($B31,Inputs!$B$3:$D$14,3,0)*(1+Inputs!$L$5)^Financials!AG$3)*AG$8))</f>
        <v>-119350</v>
      </c>
      <c r="AH31" s="18">
        <f>IF(AH$1&lt;CapEx!$O$7,0,(Inputs!$D$35*(VLOOKUP($B31,Inputs!$B$3:$D$14,3,0)*(1+Inputs!$L$5)^Financials!AH$3)*AH$8))</f>
        <v>-119350</v>
      </c>
      <c r="AI31" s="18">
        <f>IF(AI$1&lt;CapEx!$O$7,0,(Inputs!$D$35*(VLOOKUP($B31,Inputs!$B$3:$D$14,3,0)*(1+Inputs!$L$5)^Financials!AI$3)*AI$8))</f>
        <v>-115500</v>
      </c>
      <c r="AJ31" s="18">
        <f>IF(AJ$1&lt;CapEx!$O$7,0,(Inputs!$D$35*(VLOOKUP($B31,Inputs!$B$3:$D$14,3,0)*(1+Inputs!$L$5)^Financials!AJ$3)*AJ$8))</f>
        <v>-119350</v>
      </c>
      <c r="AK31" s="18">
        <f>IF(AK$1&lt;CapEx!$O$7,0,(Inputs!$D$35*(VLOOKUP($B31,Inputs!$B$3:$D$14,3,0)*(1+Inputs!$L$5)^Financials!AK$3)*AK$8))</f>
        <v>-115500</v>
      </c>
      <c r="AL31" s="18">
        <f>IF(AL$1&lt;CapEx!$O$7,0,(Inputs!$D$35*(VLOOKUP($B31,Inputs!$B$3:$D$14,3,0)*(1+Inputs!$L$5)^Financials!AL$3)*AL$8))</f>
        <v>-119350</v>
      </c>
      <c r="AM31" s="18">
        <f>IF(AM$1&lt;CapEx!$O$7,0,(Inputs!$D$35*(VLOOKUP($B31,Inputs!$B$3:$D$14,3,0)*(1+Inputs!$L$5)^Financials!AM$3)*AM$8))</f>
        <v>-119350</v>
      </c>
      <c r="AN31" s="18">
        <f>IF(AN$1&lt;CapEx!$O$7,0,(Inputs!$D$35*(VLOOKUP($B31,Inputs!$B$3:$D$14,3,0)*(1+Inputs!$L$5)^Financials!AN$3)*AN$8))</f>
        <v>-107800</v>
      </c>
      <c r="AO31" s="18">
        <f>IF(AO$1&lt;CapEx!$O$7,0,(Inputs!$D$35*(VLOOKUP($B31,Inputs!$B$3:$D$14,3,0)*(1+Inputs!$L$5)^Financials!AO$3)*AO$8))</f>
        <v>-119350</v>
      </c>
      <c r="AP31" s="18">
        <f>IF(AP$1&lt;CapEx!$O$7,0,(Inputs!$D$35*(VLOOKUP($B31,Inputs!$B$3:$D$14,3,0)*(1+Inputs!$L$5)^Financials!AP$3)*AP$8))</f>
        <v>-115500</v>
      </c>
      <c r="AQ31" s="18">
        <f>IF(AQ$1&lt;CapEx!$O$7,0,(Inputs!$D$35*(VLOOKUP($B31,Inputs!$B$3:$D$14,3,0)*(1+Inputs!$L$5)^Financials!AQ$3)*AQ$8))</f>
        <v>-119350</v>
      </c>
      <c r="AR31" s="18">
        <f>IF(AR$1&lt;CapEx!$O$7,0,(Inputs!$D$35*(VLOOKUP($B31,Inputs!$B$3:$D$14,3,0)*(1+Inputs!$L$5)^Financials!AR$3)*AR$8))</f>
        <v>-115500</v>
      </c>
      <c r="AS31" s="18">
        <f>IF(AS$1&lt;CapEx!$O$7,0,(Inputs!$D$35*(VLOOKUP($B31,Inputs!$B$3:$D$14,3,0)*(1+Inputs!$L$5)^Financials!AS$3)*AS$8))</f>
        <v>-119350</v>
      </c>
      <c r="AT31" s="18">
        <f>IF(AT$1&lt;CapEx!$O$7,0,(Inputs!$D$35*(VLOOKUP($B31,Inputs!$B$3:$D$14,3,0)*(1+Inputs!$L$5)^Financials!AT$3)*AT$8))</f>
        <v>-119350</v>
      </c>
      <c r="AU31" s="18">
        <f>IF(AU$1&lt;CapEx!$O$7,0,(Inputs!$D$35*(VLOOKUP($B31,Inputs!$B$3:$D$14,3,0)*(1+Inputs!$L$5)^Financials!AU$3)*AU$8))</f>
        <v>-115500</v>
      </c>
      <c r="AV31" s="18">
        <f>IF(AV$1&lt;CapEx!$O$7,0,(Inputs!$D$35*(VLOOKUP($B31,Inputs!$B$3:$D$14,3,0)*(1+Inputs!$L$5)^Financials!AV$3)*AV$8))</f>
        <v>-119350</v>
      </c>
      <c r="AW31" s="18">
        <f>IF(AW$1&lt;CapEx!$O$7,0,(Inputs!$D$35*(VLOOKUP($B31,Inputs!$B$3:$D$14,3,0)*(1+Inputs!$L$5)^Financials!AW$3)*AW$8))</f>
        <v>-115500</v>
      </c>
      <c r="AX31" s="18">
        <f>IF(AX$1&lt;CapEx!$O$7,0,(Inputs!$D$35*(VLOOKUP($B31,Inputs!$B$3:$D$14,3,0)*(1+Inputs!$L$5)^Financials!AX$3)*AX$8))</f>
        <v>-119350</v>
      </c>
      <c r="AY31" s="18">
        <f>IF(AY$1&lt;CapEx!$O$7,0,(Inputs!$D$35*(VLOOKUP($B31,Inputs!$B$3:$D$14,3,0)*(1+Inputs!$L$5)^Financials!AY$3)*AY$8))</f>
        <v>-119350</v>
      </c>
      <c r="AZ31" s="18">
        <f>IF(AZ$1&lt;CapEx!$O$7,0,(Inputs!$D$35*(VLOOKUP($B31,Inputs!$B$3:$D$14,3,0)*(1+Inputs!$L$5)^Financials!AZ$3)*AZ$8))</f>
        <v>-111650</v>
      </c>
      <c r="BA31" s="18">
        <f>IF(BA$1&lt;CapEx!$O$7,0,(Inputs!$D$35*(VLOOKUP($B31,Inputs!$B$3:$D$14,3,0)*(1+Inputs!$L$5)^Financials!BA$3)*BA$8))</f>
        <v>-119350</v>
      </c>
      <c r="BB31" s="18">
        <f>IF(BB$1&lt;CapEx!$O$7,0,(Inputs!$D$35*(VLOOKUP($B31,Inputs!$B$3:$D$14,3,0)*(1+Inputs!$L$5)^Financials!BB$3)*BB$8))</f>
        <v>-115500</v>
      </c>
      <c r="BC31" s="18">
        <f>IF(BC$1&lt;CapEx!$O$7,0,(Inputs!$D$35*(VLOOKUP($B31,Inputs!$B$3:$D$14,3,0)*(1+Inputs!$L$5)^Financials!BC$3)*BC$8))</f>
        <v>-119350</v>
      </c>
      <c r="BD31" s="18">
        <f>IF(BD$1&lt;CapEx!$O$7,0,(Inputs!$D$35*(VLOOKUP($B31,Inputs!$B$3:$D$14,3,0)*(1+Inputs!$L$5)^Financials!BD$3)*BD$8))</f>
        <v>-115500</v>
      </c>
      <c r="BE31" s="18">
        <f>IF(BE$1&lt;CapEx!$O$7,0,(Inputs!$D$35*(VLOOKUP($B31,Inputs!$B$3:$D$14,3,0)*(1+Inputs!$L$5)^Financials!BE$3)*BE$8))</f>
        <v>-119350</v>
      </c>
      <c r="BF31" s="18">
        <f>IF(BF$1&lt;CapEx!$O$7,0,(Inputs!$D$35*(VLOOKUP($B31,Inputs!$B$3:$D$14,3,0)*(1+Inputs!$L$5)^Financials!BF$3)*BF$8))</f>
        <v>-119350</v>
      </c>
      <c r="BG31" s="18">
        <f>IF(BG$1&lt;CapEx!$O$7,0,(Inputs!$D$35*(VLOOKUP($B31,Inputs!$B$3:$D$14,3,0)*(1+Inputs!$L$5)^Financials!BG$3)*BG$8))</f>
        <v>-115500</v>
      </c>
      <c r="BH31" s="18">
        <f>IF(BH$1&lt;CapEx!$O$7,0,(Inputs!$D$35*(VLOOKUP($B31,Inputs!$B$3:$D$14,3,0)*(1+Inputs!$L$5)^Financials!BH$3)*BH$8))</f>
        <v>-119350</v>
      </c>
      <c r="BI31" s="18">
        <f>IF(BI$1&lt;CapEx!$O$7,0,(Inputs!$D$35*(VLOOKUP($B31,Inputs!$B$3:$D$14,3,0)*(1+Inputs!$L$5)^Financials!BI$3)*BI$8))</f>
        <v>-115500</v>
      </c>
      <c r="BJ31" s="18">
        <f>IF(BJ$1&lt;CapEx!$O$7,0,(Inputs!$D$35*(VLOOKUP($B31,Inputs!$B$3:$D$14,3,0)*(1+Inputs!$L$5)^Financials!BJ$3)*BJ$8))</f>
        <v>-119350</v>
      </c>
      <c r="BK31" s="18">
        <f>IF(BK$1&lt;CapEx!$O$7,0,(Inputs!$D$35*(VLOOKUP($B31,Inputs!$B$3:$D$14,3,0)*(1+Inputs!$L$5)^Financials!BK$3)*BK$8))</f>
        <v>-119350</v>
      </c>
      <c r="BL31" s="18">
        <f>IF(BL$1&lt;CapEx!$O$7,0,(Inputs!$D$35*(VLOOKUP($B31,Inputs!$B$3:$D$14,3,0)*(1+Inputs!$L$5)^Financials!BL$3)*BL$8))</f>
        <v>-107800</v>
      </c>
      <c r="BM31" s="18">
        <f>IF(BM$1&lt;CapEx!$O$7,0,(Inputs!$D$35*(VLOOKUP($B31,Inputs!$B$3:$D$14,3,0)*(1+Inputs!$L$5)^Financials!BM$3)*BM$8))</f>
        <v>-119350</v>
      </c>
      <c r="BN31" s="18">
        <f>IF(BN$1&lt;CapEx!$O$7,0,(Inputs!$D$35*(VLOOKUP($B31,Inputs!$B$3:$D$14,3,0)*(1+Inputs!$L$5)^Financials!BN$3)*BN$8))</f>
        <v>-115500</v>
      </c>
      <c r="BO31" s="18">
        <f>IF(BO$1&lt;CapEx!$O$7,0,(Inputs!$D$35*(VLOOKUP($B31,Inputs!$B$3:$D$14,3,0)*(1+Inputs!$L$5)^Financials!BO$3)*BO$8))</f>
        <v>-119350</v>
      </c>
      <c r="BP31" s="18">
        <f>IF(BP$1&lt;CapEx!$O$7,0,(Inputs!$D$35*(VLOOKUP($B31,Inputs!$B$3:$D$14,3,0)*(1+Inputs!$L$5)^Financials!BP$3)*BP$8))</f>
        <v>-115500</v>
      </c>
      <c r="BQ31" s="18">
        <f>IF(BQ$1&lt;CapEx!$O$7,0,(Inputs!$D$35*(VLOOKUP($B31,Inputs!$B$3:$D$14,3,0)*(1+Inputs!$L$5)^Financials!BQ$3)*BQ$8))</f>
        <v>-119350</v>
      </c>
      <c r="BR31" s="18">
        <f>IF(BR$1&lt;CapEx!$O$7,0,(Inputs!$D$35*(VLOOKUP($B31,Inputs!$B$3:$D$14,3,0)*(1+Inputs!$L$5)^Financials!BR$3)*BR$8))</f>
        <v>-119350</v>
      </c>
      <c r="BS31" s="18">
        <f>IF(BS$1&lt;CapEx!$O$7,0,(Inputs!$D$35*(VLOOKUP($B31,Inputs!$B$3:$D$14,3,0)*(1+Inputs!$L$5)^Financials!BS$3)*BS$8))</f>
        <v>-115500</v>
      </c>
      <c r="BT31" s="18">
        <f>IF(BT$1&lt;CapEx!$O$7,0,(Inputs!$D$35*(VLOOKUP($B31,Inputs!$B$3:$D$14,3,0)*(1+Inputs!$L$5)^Financials!BT$3)*BT$8))</f>
        <v>-119350</v>
      </c>
      <c r="BU31" s="18">
        <f>IF(BU$1&lt;CapEx!$O$7,0,(Inputs!$D$35*(VLOOKUP($B31,Inputs!$B$3:$D$14,3,0)*(1+Inputs!$L$5)^Financials!BU$3)*BU$8))</f>
        <v>-115500</v>
      </c>
      <c r="BV31" s="18">
        <f>IF(BV$1&lt;CapEx!$O$7,0,(Inputs!$D$35*(VLOOKUP($B31,Inputs!$B$3:$D$14,3,0)*(1+Inputs!$L$5)^Financials!BV$3)*BV$8))</f>
        <v>-119350</v>
      </c>
      <c r="BW31" s="18">
        <f>IF(BW$1&lt;CapEx!$O$7,0,(Inputs!$D$35*(VLOOKUP($B31,Inputs!$B$3:$D$14,3,0)*(1+Inputs!$L$5)^Financials!BW$3)*BW$8))</f>
        <v>-119350</v>
      </c>
      <c r="BX31" s="18">
        <f>IF(BX$1&lt;CapEx!$O$7,0,(Inputs!$D$35*(VLOOKUP($B31,Inputs!$B$3:$D$14,3,0)*(1+Inputs!$L$5)^Financials!BX$3)*BX$8))</f>
        <v>-107800</v>
      </c>
      <c r="BY31" s="18">
        <f>IF(BY$1&lt;CapEx!$O$7,0,(Inputs!$D$35*(VLOOKUP($B31,Inputs!$B$3:$D$14,3,0)*(1+Inputs!$L$5)^Financials!BY$3)*BY$8))</f>
        <v>-119350</v>
      </c>
      <c r="BZ31" s="18">
        <f>IF(BZ$1&lt;CapEx!$O$7,0,(Inputs!$D$35*(VLOOKUP($B31,Inputs!$B$3:$D$14,3,0)*(1+Inputs!$L$5)^Financials!BZ$3)*BZ$8))</f>
        <v>-115500</v>
      </c>
      <c r="CA31" s="18">
        <f>IF(CA$1&lt;CapEx!$O$7,0,(Inputs!$D$35*(VLOOKUP($B31,Inputs!$B$3:$D$14,3,0)*(1+Inputs!$L$5)^Financials!CA$3)*CA$8))</f>
        <v>-119350</v>
      </c>
      <c r="CB31" s="18">
        <f>IF(CB$1&lt;CapEx!$O$7,0,(Inputs!$D$35*(VLOOKUP($B31,Inputs!$B$3:$D$14,3,0)*(1+Inputs!$L$5)^Financials!CB$3)*CB$8))</f>
        <v>-115500</v>
      </c>
      <c r="CC31" s="18">
        <f>IF(CC$1&lt;CapEx!$O$7,0,(Inputs!$D$35*(VLOOKUP($B31,Inputs!$B$3:$D$14,3,0)*(1+Inputs!$L$5)^Financials!CC$3)*CC$8))</f>
        <v>-119350</v>
      </c>
      <c r="CD31" s="18">
        <f>IF(CD$1&lt;CapEx!$O$7,0,(Inputs!$D$35*(VLOOKUP($B31,Inputs!$B$3:$D$14,3,0)*(1+Inputs!$L$5)^Financials!CD$3)*CD$8))</f>
        <v>-119350</v>
      </c>
      <c r="CE31" s="18">
        <f>IF(CE$1&lt;CapEx!$O$7,0,(Inputs!$D$35*(VLOOKUP($B31,Inputs!$B$3:$D$14,3,0)*(1+Inputs!$L$5)^Financials!CE$3)*CE$8))</f>
        <v>-115500</v>
      </c>
      <c r="CF31" s="18">
        <f>IF(CF$1&lt;CapEx!$O$7,0,(Inputs!$D$35*(VLOOKUP($B31,Inputs!$B$3:$D$14,3,0)*(1+Inputs!$L$5)^Financials!CF$3)*CF$8))</f>
        <v>-119350</v>
      </c>
      <c r="CG31" s="18">
        <f>IF(CG$1&lt;CapEx!$O$7,0,(Inputs!$D$35*(VLOOKUP($B31,Inputs!$B$3:$D$14,3,0)*(1+Inputs!$L$5)^Financials!CG$3)*CG$8))</f>
        <v>-115500</v>
      </c>
      <c r="CH31" s="18">
        <f>IF(CH$1&lt;CapEx!$O$7,0,(Inputs!$D$35*(VLOOKUP($B31,Inputs!$B$3:$D$14,3,0)*(1+Inputs!$L$5)^Financials!CH$3)*CH$8))</f>
        <v>-119350</v>
      </c>
      <c r="CI31" s="18">
        <f>IF(CI$1&lt;CapEx!$O$7,0,(Inputs!$D$35*(VLOOKUP($B31,Inputs!$B$3:$D$14,3,0)*(1+Inputs!$L$5)^Financials!CI$3)*CI$8))</f>
        <v>-119350</v>
      </c>
      <c r="CJ31" s="18">
        <f>IF(CJ$1&lt;CapEx!$O$7,0,(Inputs!$D$35*(VLOOKUP($B31,Inputs!$B$3:$D$14,3,0)*(1+Inputs!$L$5)^Financials!CJ$3)*CJ$8))</f>
        <v>-107800</v>
      </c>
      <c r="CK31" s="18">
        <f>IF(CK$1&lt;CapEx!$O$7,0,(Inputs!$D$35*(VLOOKUP($B31,Inputs!$B$3:$D$14,3,0)*(1+Inputs!$L$5)^Financials!CK$3)*CK$8))</f>
        <v>-119350</v>
      </c>
      <c r="CL31" s="18">
        <f>IF(CL$1&lt;CapEx!$O$7,0,(Inputs!$D$35*(VLOOKUP($B31,Inputs!$B$3:$D$14,3,0)*(1+Inputs!$L$5)^Financials!CL$3)*CL$8))</f>
        <v>-115500</v>
      </c>
      <c r="CM31" s="18">
        <f>IF(CM$1&lt;CapEx!$O$7,0,(Inputs!$D$35*(VLOOKUP($B31,Inputs!$B$3:$D$14,3,0)*(1+Inputs!$L$5)^Financials!CM$3)*CM$8))</f>
        <v>-119350</v>
      </c>
      <c r="CN31" s="18">
        <f>IF(CN$1&lt;CapEx!$O$7,0,(Inputs!$D$35*(VLOOKUP($B31,Inputs!$B$3:$D$14,3,0)*(1+Inputs!$L$5)^Financials!CN$3)*CN$8))</f>
        <v>-115500</v>
      </c>
      <c r="CO31" s="18">
        <f>IF(CO$1&lt;CapEx!$O$7,0,(Inputs!$D$35*(VLOOKUP($B31,Inputs!$B$3:$D$14,3,0)*(1+Inputs!$L$5)^Financials!CO$3)*CO$8))</f>
        <v>-119350</v>
      </c>
      <c r="CP31" s="18">
        <f>IF(CP$1&lt;CapEx!$O$7,0,(Inputs!$D$35*(VLOOKUP($B31,Inputs!$B$3:$D$14,3,0)*(1+Inputs!$L$5)^Financials!CP$3)*CP$8))</f>
        <v>-119350</v>
      </c>
      <c r="CQ31" s="18">
        <f>IF(CQ$1&lt;CapEx!$O$7,0,(Inputs!$D$35*(VLOOKUP($B31,Inputs!$B$3:$D$14,3,0)*(1+Inputs!$L$5)^Financials!CQ$3)*CQ$8))</f>
        <v>-115500</v>
      </c>
      <c r="CR31" s="18">
        <f>IF(CR$1&lt;CapEx!$O$7,0,(Inputs!$D$35*(VLOOKUP($B31,Inputs!$B$3:$D$14,3,0)*(1+Inputs!$L$5)^Financials!CR$3)*CR$8))</f>
        <v>-119350</v>
      </c>
      <c r="CS31" s="18">
        <f>IF(CS$1&lt;CapEx!$O$7,0,(Inputs!$D$35*(VLOOKUP($B31,Inputs!$B$3:$D$14,3,0)*(1+Inputs!$L$5)^Financials!CS$3)*CS$8))</f>
        <v>-115500</v>
      </c>
      <c r="CT31" s="18">
        <f>IF(CT$1&lt;CapEx!$O$7,0,(Inputs!$D$35*(VLOOKUP($B31,Inputs!$B$3:$D$14,3,0)*(1+Inputs!$L$5)^Financials!CT$3)*CT$8))</f>
        <v>-119350</v>
      </c>
      <c r="CU31" s="18">
        <f>IF(CU$1&lt;CapEx!$O$7,0,(Inputs!$D$35*(VLOOKUP($B31,Inputs!$B$3:$D$14,3,0)*(1+Inputs!$L$5)^Financials!CU$3)*CU$8))</f>
        <v>-119350</v>
      </c>
      <c r="CV31" s="18">
        <f>IF(CV$1&lt;CapEx!$O$7,0,(Inputs!$D$35*(VLOOKUP($B31,Inputs!$B$3:$D$14,3,0)*(1+Inputs!$L$5)^Financials!CV$3)*CV$8))</f>
        <v>-107800</v>
      </c>
      <c r="CW31" s="18">
        <f>IF(CW$1&lt;CapEx!$O$7,0,(Inputs!$D$35*(VLOOKUP($B31,Inputs!$B$3:$D$14,3,0)*(1+Inputs!$L$5)^Financials!CW$3)*CW$8))</f>
        <v>-119350</v>
      </c>
      <c r="CX31" s="18">
        <f>IF(CX$1&lt;CapEx!$O$7,0,(Inputs!$D$35*(VLOOKUP($B31,Inputs!$B$3:$D$14,3,0)*(1+Inputs!$L$5)^Financials!CX$3)*CX$8))</f>
        <v>-115500</v>
      </c>
      <c r="CY31" s="18">
        <f>IF(CY$1&lt;CapEx!$O$7,0,(Inputs!$D$35*(VLOOKUP($B31,Inputs!$B$3:$D$14,3,0)*(1+Inputs!$L$5)^Financials!CY$3)*CY$8))</f>
        <v>-119350</v>
      </c>
      <c r="CZ31" s="18">
        <f>IF(CZ$1&lt;CapEx!$O$7,0,(Inputs!$D$35*(VLOOKUP($B31,Inputs!$B$3:$D$14,3,0)*(1+Inputs!$L$5)^Financials!CZ$3)*CZ$8))</f>
        <v>-115500</v>
      </c>
      <c r="DA31" s="18">
        <f>IF(DA$1&lt;CapEx!$O$7,0,(Inputs!$D$35*(VLOOKUP($B31,Inputs!$B$3:$D$14,3,0)*(1+Inputs!$L$5)^Financials!DA$3)*DA$8))</f>
        <v>-119350</v>
      </c>
      <c r="DB31" s="18">
        <f>IF(DB$1&lt;CapEx!$O$7,0,(Inputs!$D$35*(VLOOKUP($B31,Inputs!$B$3:$D$14,3,0)*(1+Inputs!$L$5)^Financials!DB$3)*DB$8))</f>
        <v>-119350</v>
      </c>
      <c r="DC31" s="18">
        <f>IF(DC$1&lt;CapEx!$O$7,0,(Inputs!$D$35*(VLOOKUP($B31,Inputs!$B$3:$D$14,3,0)*(1+Inputs!$L$5)^Financials!DC$3)*DC$8))</f>
        <v>-115500</v>
      </c>
      <c r="DD31" s="18">
        <f>IF(DD$1&lt;CapEx!$O$7,0,(Inputs!$D$35*(VLOOKUP($B31,Inputs!$B$3:$D$14,3,0)*(1+Inputs!$L$5)^Financials!DD$3)*DD$8))</f>
        <v>-119350</v>
      </c>
      <c r="DE31" s="18">
        <f>IF(DE$1&lt;CapEx!$O$7,0,(Inputs!$D$35*(VLOOKUP($B31,Inputs!$B$3:$D$14,3,0)*(1+Inputs!$L$5)^Financials!DE$3)*DE$8))</f>
        <v>-115500</v>
      </c>
      <c r="DF31" s="18">
        <f>IF(DF$1&lt;CapEx!$O$7,0,(Inputs!$D$35*(VLOOKUP($B31,Inputs!$B$3:$D$14,3,0)*(1+Inputs!$L$5)^Financials!DF$3)*DF$8))</f>
        <v>-119350</v>
      </c>
      <c r="DG31" s="18">
        <f>IF(DG$1&lt;CapEx!$O$7,0,(Inputs!$D$35*(VLOOKUP($B31,Inputs!$B$3:$D$14,3,0)*(1+Inputs!$L$5)^Financials!DG$3)*DG$8))</f>
        <v>-119350</v>
      </c>
      <c r="DH31" s="18">
        <f>IF(DH$1&lt;CapEx!$O$7,0,(Inputs!$D$35*(VLOOKUP($B31,Inputs!$B$3:$D$14,3,0)*(1+Inputs!$L$5)^Financials!DH$3)*DH$8))</f>
        <v>-107800</v>
      </c>
      <c r="DI31" s="18">
        <f>IF(DI$1&lt;CapEx!$O$7,0,(Inputs!$D$35*(VLOOKUP($B31,Inputs!$B$3:$D$14,3,0)*(1+Inputs!$L$5)^Financials!DI$3)*DI$8))</f>
        <v>-119350</v>
      </c>
      <c r="DJ31" s="18">
        <f>IF(DJ$1&lt;CapEx!$O$7,0,(Inputs!$D$35*(VLOOKUP($B31,Inputs!$B$3:$D$14,3,0)*(1+Inputs!$L$5)^Financials!DJ$3)*DJ$8))</f>
        <v>-115500</v>
      </c>
      <c r="DK31" s="18">
        <f>IF(DK$1&lt;CapEx!$O$7,0,(Inputs!$D$35*(VLOOKUP($B31,Inputs!$B$3:$D$14,3,0)*(1+Inputs!$L$5)^Financials!DK$3)*DK$8))</f>
        <v>-119350</v>
      </c>
      <c r="DL31" s="18">
        <f>IF(DL$1&lt;CapEx!$O$7,0,(Inputs!$D$35*(VLOOKUP($B31,Inputs!$B$3:$D$14,3,0)*(1+Inputs!$L$5)^Financials!DL$3)*DL$8))</f>
        <v>-115500</v>
      </c>
      <c r="DM31" s="18">
        <f>IF(DM$1&lt;CapEx!$O$7,0,(Inputs!$D$35*(VLOOKUP($B31,Inputs!$B$3:$D$14,3,0)*(1+Inputs!$L$5)^Financials!DM$3)*DM$8))</f>
        <v>-119350</v>
      </c>
      <c r="DN31" s="18">
        <f>IF(DN$1&lt;CapEx!$O$7,0,(Inputs!$D$35*(VLOOKUP($B31,Inputs!$B$3:$D$14,3,0)*(1+Inputs!$L$5)^Financials!DN$3)*DN$8))</f>
        <v>-119350</v>
      </c>
      <c r="DO31" s="18">
        <f>IF(DO$1&lt;CapEx!$O$7,0,(Inputs!$D$35*(VLOOKUP($B31,Inputs!$B$3:$D$14,3,0)*(1+Inputs!$L$5)^Financials!DO$3)*DO$8))</f>
        <v>-115500</v>
      </c>
      <c r="DP31" s="18">
        <f>IF(DP$1&lt;CapEx!$O$7,0,(Inputs!$D$35*(VLOOKUP($B31,Inputs!$B$3:$D$14,3,0)*(1+Inputs!$L$5)^Financials!DP$3)*DP$8))</f>
        <v>-119350</v>
      </c>
      <c r="DQ31" s="18">
        <f>IF(DQ$1&lt;CapEx!$O$7,0,(Inputs!$D$35*(VLOOKUP($B31,Inputs!$B$3:$D$14,3,0)*(1+Inputs!$L$5)^Financials!DQ$3)*DQ$8))</f>
        <v>-115500</v>
      </c>
      <c r="DR31" s="18">
        <f>IF(DR$1&lt;CapEx!$O$7,0,(Inputs!$D$35*(VLOOKUP($B31,Inputs!$B$3:$D$14,3,0)*(1+Inputs!$L$5)^Financials!DR$3)*DR$8))</f>
        <v>-119350</v>
      </c>
      <c r="DS31" s="18">
        <f>IF(DS$1&lt;CapEx!$O$7,0,(Inputs!$D$35*(VLOOKUP($B31,Inputs!$B$3:$D$14,3,0)*(1+Inputs!$L$5)^Financials!DS$3)*DS$8))</f>
        <v>-119350</v>
      </c>
      <c r="DT31" s="18">
        <f>IF(DT$1&lt;CapEx!$O$7,0,(Inputs!$D$35*(VLOOKUP($B31,Inputs!$B$3:$D$14,3,0)*(1+Inputs!$L$5)^Financials!DT$3)*DT$8))</f>
        <v>-107800</v>
      </c>
      <c r="DU31" s="18">
        <f>IF(DU$1&lt;CapEx!$O$7,0,(Inputs!$D$35*(VLOOKUP($B31,Inputs!$B$3:$D$14,3,0)*(1+Inputs!$L$5)^Financials!DU$3)*DU$8))</f>
        <v>-119350</v>
      </c>
      <c r="DV31" s="18">
        <f>IF(DV$1&lt;CapEx!$O$7,0,(Inputs!$D$35*(VLOOKUP($B31,Inputs!$B$3:$D$14,3,0)*(1+Inputs!$L$5)^Financials!DV$3)*DV$8))</f>
        <v>-115500</v>
      </c>
      <c r="DW31" s="18">
        <f>IF(DW$1&lt;CapEx!$O$7,0,(Inputs!$D$35*(VLOOKUP($B31,Inputs!$B$3:$D$14,3,0)*(1+Inputs!$L$5)^Financials!DW$3)*DW$8))</f>
        <v>-119350</v>
      </c>
      <c r="DX31" s="18">
        <f>IF(DX$1&lt;CapEx!$O$7,0,(Inputs!$D$35*(VLOOKUP($B31,Inputs!$B$3:$D$14,3,0)*(1+Inputs!$L$5)^Financials!DX$3)*DX$8))</f>
        <v>-115500</v>
      </c>
      <c r="DY31" s="18">
        <f>IF(DY$1&lt;CapEx!$O$7,0,(Inputs!$D$35*(VLOOKUP($B31,Inputs!$B$3:$D$14,3,0)*(1+Inputs!$L$5)^Financials!DY$3)*DY$8))</f>
        <v>-119350</v>
      </c>
      <c r="DZ31" s="18">
        <f>IF(DZ$1&lt;CapEx!$O$7,0,(Inputs!$D$35*(VLOOKUP($B31,Inputs!$B$3:$D$14,3,0)*(1+Inputs!$L$5)^Financials!DZ$3)*DZ$8))</f>
        <v>-119350</v>
      </c>
      <c r="EA31" s="18">
        <f>IF(EA$1&lt;CapEx!$O$7,0,(Inputs!$D$35*(VLOOKUP($B31,Inputs!$B$3:$D$14,3,0)*(1+Inputs!$L$5)^Financials!EA$3)*EA$8))</f>
        <v>-115500</v>
      </c>
      <c r="EB31" s="18">
        <f>IF(EB$1&lt;CapEx!$O$7,0,(Inputs!$D$35*(VLOOKUP($B31,Inputs!$B$3:$D$14,3,0)*(1+Inputs!$L$5)^Financials!EB$3)*EB$8))</f>
        <v>-119350</v>
      </c>
      <c r="EC31" s="18">
        <f>IF(EC$1&lt;CapEx!$O$7,0,(Inputs!$D$35*(VLOOKUP($B31,Inputs!$B$3:$D$14,3,0)*(1+Inputs!$L$5)^Financials!EC$3)*EC$8))</f>
        <v>-115500</v>
      </c>
      <c r="ED31" s="18">
        <f>IF(ED$1&lt;CapEx!$O$7,0,(Inputs!$D$35*(VLOOKUP($B31,Inputs!$B$3:$D$14,3,0)*(1+Inputs!$L$5)^Financials!ED$3)*ED$8))</f>
        <v>-119350</v>
      </c>
      <c r="EE31" s="18">
        <f>IF(EE$1&lt;CapEx!$O$7,0,(Inputs!$D$35*(VLOOKUP($B31,Inputs!$B$3:$D$14,3,0)*(1+Inputs!$L$5)^Financials!EE$3)*EE$8))</f>
        <v>-119350</v>
      </c>
      <c r="EF31" s="18">
        <f>IF(EF$1&lt;CapEx!$O$7,0,(Inputs!$D$35*(VLOOKUP($B31,Inputs!$B$3:$D$14,3,0)*(1+Inputs!$L$5)^Financials!EF$3)*EF$8))</f>
        <v>-107800</v>
      </c>
      <c r="EG31" s="18">
        <f>IF(EG$1&lt;CapEx!$O$7,0,(Inputs!$D$35*(VLOOKUP($B31,Inputs!$B$3:$D$14,3,0)*(1+Inputs!$L$5)^Financials!EG$3)*EG$8))</f>
        <v>-119350</v>
      </c>
      <c r="EH31" s="18">
        <f>IF(EH$1&lt;CapEx!$O$7,0,(Inputs!$D$35*(VLOOKUP($B31,Inputs!$B$3:$D$14,3,0)*(1+Inputs!$L$5)^Financials!EH$3)*EH$8))</f>
        <v>-115500</v>
      </c>
      <c r="EI31" s="18">
        <f>IF(EI$1&lt;CapEx!$O$7,0,(Inputs!$D$35*(VLOOKUP($B31,Inputs!$B$3:$D$14,3,0)*(1+Inputs!$L$5)^Financials!EI$3)*EI$8))</f>
        <v>-119350</v>
      </c>
      <c r="EJ31" s="18">
        <f>IF(EJ$1&lt;CapEx!$O$7,0,(Inputs!$D$35*(VLOOKUP($B31,Inputs!$B$3:$D$14,3,0)*(1+Inputs!$L$5)^Financials!EJ$3)*EJ$8))</f>
        <v>-115500</v>
      </c>
      <c r="EK31" s="18">
        <f>IF(EK$1&lt;CapEx!$O$7,0,(Inputs!$D$35*(VLOOKUP($B31,Inputs!$B$3:$D$14,3,0)*(1+Inputs!$L$5)^Financials!EK$3)*EK$8))</f>
        <v>-119350</v>
      </c>
      <c r="EL31" s="18">
        <f>IF(EL$1&lt;CapEx!$O$7,0,(Inputs!$D$35*(VLOOKUP($B31,Inputs!$B$3:$D$14,3,0)*(1+Inputs!$L$5)^Financials!EL$3)*EL$8))</f>
        <v>-119350</v>
      </c>
      <c r="EM31" s="18">
        <f>IF(EM$1&lt;CapEx!$O$7,0,(Inputs!$D$35*(VLOOKUP($B31,Inputs!$B$3:$D$14,3,0)*(1+Inputs!$L$5)^Financials!EM$3)*EM$8))</f>
        <v>-115500</v>
      </c>
      <c r="EN31" s="18">
        <f>IF(EN$1&lt;CapEx!$O$7,0,(Inputs!$D$35*(VLOOKUP($B31,Inputs!$B$3:$D$14,3,0)*(1+Inputs!$L$5)^Financials!EN$3)*EN$8))</f>
        <v>-119350</v>
      </c>
      <c r="EO31" s="18">
        <f>IF(EO$1&lt;CapEx!$O$7,0,(Inputs!$D$35*(VLOOKUP($B31,Inputs!$B$3:$D$14,3,0)*(1+Inputs!$L$5)^Financials!EO$3)*EO$8))</f>
        <v>-115500</v>
      </c>
      <c r="EP31" s="18">
        <f>IF(EP$1&lt;CapEx!$O$7,0,(Inputs!$D$35*(VLOOKUP($B31,Inputs!$B$3:$D$14,3,0)*(1+Inputs!$L$5)^Financials!EP$3)*EP$8))</f>
        <v>-119350</v>
      </c>
      <c r="EQ31" s="18">
        <f>IF(EQ$1&lt;CapEx!$O$7,0,(Inputs!$D$35*(VLOOKUP($B31,Inputs!$B$3:$D$14,3,0)*(1+Inputs!$L$5)^Financials!EQ$3)*EQ$8))</f>
        <v>-119350</v>
      </c>
      <c r="ER31" s="18">
        <f>IF(ER$1&lt;CapEx!$O$7,0,(Inputs!$D$35*(VLOOKUP($B31,Inputs!$B$3:$D$14,3,0)*(1+Inputs!$L$5)^Financials!ER$3)*ER$8))</f>
        <v>-107800</v>
      </c>
      <c r="ES31" s="18">
        <f>IF(ES$1&lt;CapEx!$O$7,0,(Inputs!$D$35*(VLOOKUP($B31,Inputs!$B$3:$D$14,3,0)*(1+Inputs!$L$5)^Financials!ES$3)*ES$8))</f>
        <v>-119350</v>
      </c>
      <c r="ET31" s="18">
        <f>IF(ET$1&lt;CapEx!$O$7,0,(Inputs!$D$35*(VLOOKUP($B31,Inputs!$B$3:$D$14,3,0)*(1+Inputs!$L$5)^Financials!ET$3)*ET$8))</f>
        <v>-115500</v>
      </c>
      <c r="EU31" s="18">
        <f>IF(EU$1&lt;CapEx!$O$7,0,(Inputs!$D$35*(VLOOKUP($B31,Inputs!$B$3:$D$14,3,0)*(1+Inputs!$L$5)^Financials!EU$3)*EU$8))</f>
        <v>-119350</v>
      </c>
      <c r="EV31" s="18">
        <f>IF(EV$1&lt;CapEx!$O$7,0,(Inputs!$D$35*(VLOOKUP($B31,Inputs!$B$3:$D$14,3,0)*(1+Inputs!$L$5)^Financials!EV$3)*EV$8))</f>
        <v>-115500</v>
      </c>
      <c r="EW31" s="18">
        <f>IF(EW$1&lt;CapEx!$O$7,0,(Inputs!$D$35*(VLOOKUP($B31,Inputs!$B$3:$D$14,3,0)*(1+Inputs!$L$5)^Financials!EW$3)*EW$8))</f>
        <v>-119350</v>
      </c>
      <c r="EX31" s="18">
        <f>IF(EX$1&lt;CapEx!$O$7,0,(Inputs!$D$35*(VLOOKUP($B31,Inputs!$B$3:$D$14,3,0)*(1+Inputs!$L$5)^Financials!EX$3)*EX$8))</f>
        <v>-119350</v>
      </c>
      <c r="EY31" s="18">
        <f>IF(EY$1&lt;CapEx!$O$7,0,(Inputs!$D$35*(VLOOKUP($B31,Inputs!$B$3:$D$14,3,0)*(1+Inputs!$L$5)^Financials!EY$3)*EY$8))</f>
        <v>-115500</v>
      </c>
      <c r="EZ31" s="18">
        <f>IF(EZ$1&lt;CapEx!$O$7,0,(Inputs!$D$35*(VLOOKUP($B31,Inputs!$B$3:$D$14,3,0)*(1+Inputs!$L$5)^Financials!EZ$3)*EZ$8))</f>
        <v>-119350</v>
      </c>
      <c r="FA31" s="18">
        <f>IF(FA$1&lt;CapEx!$O$7,0,(Inputs!$D$35*(VLOOKUP($B31,Inputs!$B$3:$D$14,3,0)*(1+Inputs!$L$5)^Financials!FA$3)*FA$8))</f>
        <v>-115500</v>
      </c>
      <c r="FB31" s="18">
        <f>IF(FB$1&lt;CapEx!$O$7,0,(Inputs!$D$35*(VLOOKUP($B31,Inputs!$B$3:$D$14,3,0)*(1+Inputs!$L$5)^Financials!FB$3)*FB$8))</f>
        <v>-119350</v>
      </c>
      <c r="FC31" s="18">
        <f>IF(FC$1&lt;CapEx!$O$7,0,(Inputs!$D$35*(VLOOKUP($B31,Inputs!$B$3:$D$14,3,0)*(1+Inputs!$L$5)^Financials!FC$3)*FC$8))</f>
        <v>-119350</v>
      </c>
      <c r="FD31" s="18">
        <f>IF(FD$1&lt;CapEx!$O$7,0,(Inputs!$D$35*(VLOOKUP($B31,Inputs!$B$3:$D$14,3,0)*(1+Inputs!$L$5)^Financials!FD$3)*FD$8))</f>
        <v>-107800</v>
      </c>
      <c r="FE31" s="18">
        <f>IF(FE$1&lt;CapEx!$O$7,0,(Inputs!$D$35*(VLOOKUP($B31,Inputs!$B$3:$D$14,3,0)*(1+Inputs!$L$5)^Financials!FE$3)*FE$8))</f>
        <v>-119350</v>
      </c>
      <c r="FF31" s="18">
        <f>IF(FF$1&lt;CapEx!$O$7,0,(Inputs!$D$35*(VLOOKUP($B31,Inputs!$B$3:$D$14,3,0)*(1+Inputs!$L$5)^Financials!FF$3)*FF$8))</f>
        <v>-115500</v>
      </c>
      <c r="FG31" s="18">
        <f>IF(FG$1&lt;CapEx!$O$7,0,(Inputs!$D$35*(VLOOKUP($B31,Inputs!$B$3:$D$14,3,0)*(1+Inputs!$L$5)^Financials!FG$3)*FG$8))</f>
        <v>-119350</v>
      </c>
      <c r="FH31" s="18">
        <f>IF(FH$1&lt;CapEx!$O$7,0,(Inputs!$D$35*(VLOOKUP($B31,Inputs!$B$3:$D$14,3,0)*(1+Inputs!$L$5)^Financials!FH$3)*FH$8))</f>
        <v>-115500</v>
      </c>
      <c r="FI31" s="18">
        <f>IF(FI$1&lt;CapEx!$O$7,0,(Inputs!$D$35*(VLOOKUP($B31,Inputs!$B$3:$D$14,3,0)*(1+Inputs!$L$5)^Financials!FI$3)*FI$8))</f>
        <v>-119350</v>
      </c>
      <c r="FJ31" s="18">
        <f>IF(FJ$1&lt;CapEx!$O$7,0,(Inputs!$D$35*(VLOOKUP($B31,Inputs!$B$3:$D$14,3,0)*(1+Inputs!$L$5)^Financials!FJ$3)*FJ$8))</f>
        <v>-119350</v>
      </c>
      <c r="FK31" s="18">
        <f>IF(FK$1&lt;CapEx!$O$7,0,(Inputs!$D$35*(VLOOKUP($B31,Inputs!$B$3:$D$14,3,0)*(1+Inputs!$L$5)^Financials!FK$3)*FK$8))</f>
        <v>-115500</v>
      </c>
      <c r="FL31" s="18">
        <f>IF(FL$1&lt;CapEx!$O$7,0,(Inputs!$D$35*(VLOOKUP($B31,Inputs!$B$3:$D$14,3,0)*(1+Inputs!$L$5)^Financials!FL$3)*FL$8))</f>
        <v>-119350</v>
      </c>
      <c r="FM31" s="18">
        <f>IF(FM$1&lt;CapEx!$O$7,0,(Inputs!$D$35*(VLOOKUP($B31,Inputs!$B$3:$D$14,3,0)*(1+Inputs!$L$5)^Financials!FM$3)*FM$8))</f>
        <v>-115500</v>
      </c>
      <c r="FN31" s="18">
        <f>IF(FN$1&lt;CapEx!$O$7,0,(Inputs!$D$35*(VLOOKUP($B31,Inputs!$B$3:$D$14,3,0)*(1+Inputs!$L$5)^Financials!FN$3)*FN$8))</f>
        <v>-119350</v>
      </c>
      <c r="FO31" s="18">
        <f>IF(FO$1&lt;CapEx!$O$7,0,(Inputs!$D$35*(VLOOKUP($B31,Inputs!$B$3:$D$14,3,0)*(1+Inputs!$L$5)^Financials!FO$3)*FO$8))</f>
        <v>-119350</v>
      </c>
      <c r="FP31" s="18">
        <f>IF(FP$1&lt;CapEx!$O$7,0,(Inputs!$D$35*(VLOOKUP($B31,Inputs!$B$3:$D$14,3,0)*(1+Inputs!$L$5)^Financials!FP$3)*FP$8))</f>
        <v>-107800</v>
      </c>
      <c r="FQ31" s="18">
        <f>IF(FQ$1&lt;CapEx!$O$7,0,(Inputs!$D$35*(VLOOKUP($B31,Inputs!$B$3:$D$14,3,0)*(1+Inputs!$L$5)^Financials!FQ$3)*FQ$8))</f>
        <v>-119350</v>
      </c>
      <c r="FR31" s="18">
        <f>IF(FR$1&lt;CapEx!$O$7,0,(Inputs!$D$35*(VLOOKUP($B31,Inputs!$B$3:$D$14,3,0)*(1+Inputs!$L$5)^Financials!FR$3)*FR$8))</f>
        <v>-115500</v>
      </c>
      <c r="FS31" s="18">
        <f>IF(FS$1&lt;CapEx!$O$7,0,(Inputs!$D$35*(VLOOKUP($B31,Inputs!$B$3:$D$14,3,0)*(1+Inputs!$L$5)^Financials!FS$3)*FS$8))</f>
        <v>-119350</v>
      </c>
      <c r="FT31" s="18">
        <f>IF(FT$1&lt;CapEx!$O$7,0,(Inputs!$D$35*(VLOOKUP($B31,Inputs!$B$3:$D$14,3,0)*(1+Inputs!$L$5)^Financials!FT$3)*FT$8))</f>
        <v>-115500</v>
      </c>
      <c r="FU31" s="18">
        <f>IF(FU$1&lt;CapEx!$O$7,0,(Inputs!$D$35*(VLOOKUP($B31,Inputs!$B$3:$D$14,3,0)*(1+Inputs!$L$5)^Financials!FU$3)*FU$8))</f>
        <v>-119350</v>
      </c>
      <c r="FV31" s="18">
        <f>IF(FV$1&lt;CapEx!$O$7,0,(Inputs!$D$35*(VLOOKUP($B31,Inputs!$B$3:$D$14,3,0)*(1+Inputs!$L$5)^Financials!FV$3)*FV$8))</f>
        <v>-119350</v>
      </c>
      <c r="FW31" s="18">
        <f>IF(FW$1&lt;CapEx!$O$7,0,(Inputs!$D$35*(VLOOKUP($B31,Inputs!$B$3:$D$14,3,0)*(1+Inputs!$L$5)^Financials!FW$3)*FW$8))</f>
        <v>-115500</v>
      </c>
      <c r="FX31" s="18">
        <f>IF(FX$1&lt;CapEx!$O$7,0,(Inputs!$D$35*(VLOOKUP($B31,Inputs!$B$3:$D$14,3,0)*(1+Inputs!$L$5)^Financials!FX$3)*FX$8))</f>
        <v>-119350</v>
      </c>
      <c r="FY31" s="18">
        <f>IF(FY$1&lt;CapEx!$O$7,0,(Inputs!$D$35*(VLOOKUP($B31,Inputs!$B$3:$D$14,3,0)*(1+Inputs!$L$5)^Financials!FY$3)*FY$8))</f>
        <v>-115500</v>
      </c>
      <c r="FZ31" s="18">
        <f>IF(FZ$1&lt;CapEx!$O$7,0,(Inputs!$D$35*(VLOOKUP($B31,Inputs!$B$3:$D$14,3,0)*(1+Inputs!$L$5)^Financials!FZ$3)*FZ$8))</f>
        <v>-119350</v>
      </c>
      <c r="GA31" s="18">
        <f>IF(GA$1&lt;CapEx!$O$7,0,(Inputs!$D$35*(VLOOKUP($B31,Inputs!$B$3:$D$14,3,0)*(1+Inputs!$L$5)^Financials!GA$3)*GA$8))</f>
        <v>-119350</v>
      </c>
      <c r="GB31" s="18">
        <f>IF(GB$1&lt;CapEx!$O$7,0,(Inputs!$D$35*(VLOOKUP($B31,Inputs!$B$3:$D$14,3,0)*(1+Inputs!$L$5)^Financials!GB$3)*GB$8))</f>
        <v>-107800</v>
      </c>
      <c r="GC31" s="18">
        <f>IF(GC$1&lt;CapEx!$O$7,0,(Inputs!$D$35*(VLOOKUP($B31,Inputs!$B$3:$D$14,3,0)*(1+Inputs!$L$5)^Financials!GC$3)*GC$8))</f>
        <v>-119350</v>
      </c>
      <c r="GD31" s="18">
        <f>IF(GD$1&lt;CapEx!$O$7,0,(Inputs!$D$35*(VLOOKUP($B31,Inputs!$B$3:$D$14,3,0)*(1+Inputs!$L$5)^Financials!GD$3)*GD$8))</f>
        <v>-115500</v>
      </c>
      <c r="GE31" s="18">
        <f>IF(GE$1&lt;CapEx!$O$7,0,(Inputs!$D$35*(VLOOKUP($B31,Inputs!$B$3:$D$14,3,0)*(1+Inputs!$L$5)^Financials!GE$3)*GE$8))</f>
        <v>-119350</v>
      </c>
      <c r="GF31" s="18">
        <f>IF(GF$1&lt;CapEx!$O$7,0,(Inputs!$D$35*(VLOOKUP($B31,Inputs!$B$3:$D$14,3,0)*(1+Inputs!$L$5)^Financials!GF$3)*GF$8))</f>
        <v>-115500</v>
      </c>
      <c r="GG31" s="18">
        <f>IF(GG$1&lt;CapEx!$O$7,0,(Inputs!$D$35*(VLOOKUP($B31,Inputs!$B$3:$D$14,3,0)*(1+Inputs!$L$5)^Financials!GG$3)*GG$8))</f>
        <v>-119350</v>
      </c>
      <c r="GH31" s="18">
        <f>IF(GH$1&lt;CapEx!$O$7,0,(Inputs!$D$35*(VLOOKUP($B31,Inputs!$B$3:$D$14,3,0)*(1+Inputs!$L$5)^Financials!GH$3)*GH$8))</f>
        <v>-119350</v>
      </c>
      <c r="GI31" s="18">
        <f>IF(GI$1&lt;CapEx!$O$7,0,(Inputs!$D$35*(VLOOKUP($B31,Inputs!$B$3:$D$14,3,0)*(1+Inputs!$L$5)^Financials!GI$3)*GI$8))</f>
        <v>-115500</v>
      </c>
      <c r="GJ31" s="18">
        <f>IF(GJ$1&lt;CapEx!$O$7,0,(Inputs!$D$35*(VLOOKUP($B31,Inputs!$B$3:$D$14,3,0)*(1+Inputs!$L$5)^Financials!GJ$3)*GJ$8))</f>
        <v>-119350</v>
      </c>
      <c r="GK31" s="18">
        <f>IF(GK$1&lt;CapEx!$O$7,0,(Inputs!$D$35*(VLOOKUP($B31,Inputs!$B$3:$D$14,3,0)*(1+Inputs!$L$5)^Financials!GK$3)*GK$8))</f>
        <v>-115500</v>
      </c>
      <c r="GL31" s="18">
        <f>IF(GL$1&lt;CapEx!$O$7,0,(Inputs!$D$35*(VLOOKUP($B31,Inputs!$B$3:$D$14,3,0)*(1+Inputs!$L$5)^Financials!GL$3)*GL$8))</f>
        <v>-119350</v>
      </c>
      <c r="GM31" s="18">
        <f>IF(GM$1&lt;CapEx!$O$7,0,(Inputs!$D$35*(VLOOKUP($B31,Inputs!$B$3:$D$14,3,0)*(1+Inputs!$L$5)^Financials!GM$3)*GM$8))</f>
        <v>-119350</v>
      </c>
      <c r="GN31" s="18">
        <f>IF(GN$1&lt;CapEx!$O$7,0,(Inputs!$D$35*(VLOOKUP($B31,Inputs!$B$3:$D$14,3,0)*(1+Inputs!$L$5)^Financials!GN$3)*GN$8))</f>
        <v>-107800</v>
      </c>
      <c r="GO31" s="18">
        <f>IF(GO$1&lt;CapEx!$O$7,0,(Inputs!$D$35*(VLOOKUP($B31,Inputs!$B$3:$D$14,3,0)*(1+Inputs!$L$5)^Financials!GO$3)*GO$8))</f>
        <v>-119350</v>
      </c>
      <c r="GP31" s="18">
        <f>IF(GP$1&lt;CapEx!$O$7,0,(Inputs!$D$35*(VLOOKUP($B31,Inputs!$B$3:$D$14,3,0)*(1+Inputs!$L$5)^Financials!GP$3)*GP$8))</f>
        <v>-115500</v>
      </c>
      <c r="GQ31" s="18">
        <f>IF(GQ$1&lt;CapEx!$O$7,0,(Inputs!$D$35*(VLOOKUP($B31,Inputs!$B$3:$D$14,3,0)*(1+Inputs!$L$5)^Financials!GQ$3)*GQ$8))</f>
        <v>-119350</v>
      </c>
      <c r="GR31" s="18">
        <f>IF(GR$1&lt;CapEx!$O$7,0,(Inputs!$D$35*(VLOOKUP($B31,Inputs!$B$3:$D$14,3,0)*(1+Inputs!$L$5)^Financials!GR$3)*GR$8))</f>
        <v>-115500</v>
      </c>
      <c r="GS31" s="18">
        <f>IF(GS$1&lt;CapEx!$O$7,0,(Inputs!$D$35*(VLOOKUP($B31,Inputs!$B$3:$D$14,3,0)*(1+Inputs!$L$5)^Financials!GS$3)*GS$8))</f>
        <v>-119350</v>
      </c>
      <c r="GT31" s="18">
        <f>IF(GT$1&lt;CapEx!$O$7,0,(Inputs!$D$35*(VLOOKUP($B31,Inputs!$B$3:$D$14,3,0)*(1+Inputs!$L$5)^Financials!GT$3)*GT$8))</f>
        <v>-119350</v>
      </c>
      <c r="GU31" s="18">
        <f>IF(GU$1&lt;CapEx!$O$7,0,(Inputs!$D$35*(VLOOKUP($B31,Inputs!$B$3:$D$14,3,0)*(1+Inputs!$L$5)^Financials!GU$3)*GU$8))</f>
        <v>-115500</v>
      </c>
      <c r="GV31" s="18">
        <f>IF(GV$1&lt;CapEx!$O$7,0,(Inputs!$D$35*(VLOOKUP($B31,Inputs!$B$3:$D$14,3,0)*(1+Inputs!$L$5)^Financials!GV$3)*GV$8))</f>
        <v>-119350</v>
      </c>
      <c r="GW31" s="18">
        <f>IF(GW$1&lt;CapEx!$O$7,0,(Inputs!$D$35*(VLOOKUP($B31,Inputs!$B$3:$D$14,3,0)*(1+Inputs!$L$5)^Financials!GW$3)*GW$8))</f>
        <v>-115500</v>
      </c>
      <c r="GX31" s="18">
        <f>IF(GX$1&lt;CapEx!$O$7,0,(Inputs!$D$35*(VLOOKUP($B31,Inputs!$B$3:$D$14,3,0)*(1+Inputs!$L$5)^Financials!GX$3)*GX$8))</f>
        <v>-119350</v>
      </c>
      <c r="GY31" s="18">
        <f>IF(GY$1&lt;CapEx!$O$7,0,(Inputs!$D$35*(VLOOKUP($B31,Inputs!$B$3:$D$14,3,0)*(1+Inputs!$L$5)^Financials!GY$3)*GY$8))</f>
        <v>-119350</v>
      </c>
      <c r="GZ31" s="18">
        <f>IF(GZ$1&lt;CapEx!$O$7,0,(Inputs!$D$35*(VLOOKUP($B31,Inputs!$B$3:$D$14,3,0)*(1+Inputs!$L$5)^Financials!GZ$3)*GZ$8))</f>
        <v>-107800</v>
      </c>
      <c r="HA31" s="18">
        <f>IF(HA$1&lt;CapEx!$O$7,0,(Inputs!$D$35*(VLOOKUP($B31,Inputs!$B$3:$D$14,3,0)*(1+Inputs!$L$5)^Financials!HA$3)*HA$8))</f>
        <v>-119350</v>
      </c>
      <c r="HB31" s="18">
        <f>IF(HB$1&lt;CapEx!$O$7,0,(Inputs!$D$35*(VLOOKUP($B31,Inputs!$B$3:$D$14,3,0)*(1+Inputs!$L$5)^Financials!HB$3)*HB$8))</f>
        <v>-115500</v>
      </c>
      <c r="HC31" s="18">
        <f>IF(HC$1&lt;CapEx!$O$7,0,(Inputs!$D$35*(VLOOKUP($B31,Inputs!$B$3:$D$14,3,0)*(1+Inputs!$L$5)^Financials!HC$3)*HC$8))</f>
        <v>-119350</v>
      </c>
      <c r="HD31" s="18">
        <f>IF(HD$1&lt;CapEx!$O$7,0,(Inputs!$D$35*(VLOOKUP($B31,Inputs!$B$3:$D$14,3,0)*(1+Inputs!$L$5)^Financials!HD$3)*HD$8))</f>
        <v>-115500</v>
      </c>
      <c r="HE31" s="18">
        <f>IF(HE$1&lt;CapEx!$O$7,0,(Inputs!$D$35*(VLOOKUP($B31,Inputs!$B$3:$D$14,3,0)*(1+Inputs!$L$5)^Financials!HE$3)*HE$8))</f>
        <v>-119350</v>
      </c>
      <c r="HF31" s="18">
        <f>IF(HF$1&lt;CapEx!$O$7,0,(Inputs!$D$35*(VLOOKUP($B31,Inputs!$B$3:$D$14,3,0)*(1+Inputs!$L$5)^Financials!HF$3)*HF$8))</f>
        <v>-119350</v>
      </c>
      <c r="HG31" s="18">
        <f>IF(HG$1&lt;CapEx!$O$7,0,(Inputs!$D$35*(VLOOKUP($B31,Inputs!$B$3:$D$14,3,0)*(1+Inputs!$L$5)^Financials!HG$3)*HG$8))</f>
        <v>-115500</v>
      </c>
      <c r="HH31" s="18">
        <f>IF(HH$1&lt;CapEx!$O$7,0,(Inputs!$D$35*(VLOOKUP($B31,Inputs!$B$3:$D$14,3,0)*(1+Inputs!$L$5)^Financials!HH$3)*HH$8))</f>
        <v>-119350</v>
      </c>
      <c r="HI31" s="18">
        <f>IF(HI$1&lt;CapEx!$O$7,0,(Inputs!$D$35*(VLOOKUP($B31,Inputs!$B$3:$D$14,3,0)*(1+Inputs!$L$5)^Financials!HI$3)*HI$8))</f>
        <v>-115500</v>
      </c>
      <c r="HJ31" s="18">
        <f>IF(HJ$1&lt;CapEx!$O$7,0,(Inputs!$D$35*(VLOOKUP($B31,Inputs!$B$3:$D$14,3,0)*(1+Inputs!$L$5)^Financials!HJ$3)*HJ$8))</f>
        <v>-119350</v>
      </c>
      <c r="HK31" s="18">
        <f>IF(HK$1&lt;CapEx!$O$7,0,(Inputs!$D$35*(VLOOKUP($B31,Inputs!$B$3:$D$14,3,0)*(1+Inputs!$L$5)^Financials!HK$3)*HK$8))</f>
        <v>-119350</v>
      </c>
      <c r="HL31" s="18">
        <f>IF(HL$1&lt;CapEx!$O$7,0,(Inputs!$D$35*(VLOOKUP($B31,Inputs!$B$3:$D$14,3,0)*(1+Inputs!$L$5)^Financials!HL$3)*HL$8))</f>
        <v>-107800</v>
      </c>
      <c r="HM31" s="18">
        <f>IF(HM$1&lt;CapEx!$O$7,0,(Inputs!$D$35*(VLOOKUP($B31,Inputs!$B$3:$D$14,3,0)*(1+Inputs!$L$5)^Financials!HM$3)*HM$8))</f>
        <v>-119350</v>
      </c>
      <c r="HN31" s="18">
        <f>IF(HN$1&lt;CapEx!$O$7,0,(Inputs!$D$35*(VLOOKUP($B31,Inputs!$B$3:$D$14,3,0)*(1+Inputs!$L$5)^Financials!HN$3)*HN$8))</f>
        <v>-115500</v>
      </c>
      <c r="HO31" s="18">
        <f>IF(HO$1&lt;CapEx!$O$7,0,(Inputs!$D$35*(VLOOKUP($B31,Inputs!$B$3:$D$14,3,0)*(1+Inputs!$L$5)^Financials!HO$3)*HO$8))</f>
        <v>-119350</v>
      </c>
      <c r="HP31" s="18">
        <f>IF(HP$1&lt;CapEx!$O$7,0,(Inputs!$D$35*(VLOOKUP($B31,Inputs!$B$3:$D$14,3,0)*(1+Inputs!$L$5)^Financials!HP$3)*HP$8))</f>
        <v>-115500</v>
      </c>
      <c r="HQ31" s="18">
        <f>IF(HQ$1&lt;CapEx!$O$7,0,(Inputs!$D$35*(VLOOKUP($B31,Inputs!$B$3:$D$14,3,0)*(1+Inputs!$L$5)^Financials!HQ$3)*HQ$8))</f>
        <v>-119350</v>
      </c>
      <c r="HR31" s="18">
        <f>IF(HR$1&lt;CapEx!$O$7,0,(Inputs!$D$35*(VLOOKUP($B31,Inputs!$B$3:$D$14,3,0)*(1+Inputs!$L$5)^Financials!HR$3)*HR$8))</f>
        <v>-119350</v>
      </c>
      <c r="HS31" s="18">
        <f>IF(HS$1&lt;CapEx!$O$7,0,(Inputs!$D$35*(VLOOKUP($B31,Inputs!$B$3:$D$14,3,0)*(1+Inputs!$L$5)^Financials!HS$3)*HS$8))</f>
        <v>-115500</v>
      </c>
      <c r="HT31" s="18">
        <f>IF(HT$1&lt;CapEx!$O$7,0,(Inputs!$D$35*(VLOOKUP($B31,Inputs!$B$3:$D$14,3,0)*(1+Inputs!$L$5)^Financials!HT$3)*HT$8))</f>
        <v>-119350</v>
      </c>
      <c r="HU31" s="18">
        <f>IF(HU$1&lt;CapEx!$O$7,0,(Inputs!$D$35*(VLOOKUP($B31,Inputs!$B$3:$D$14,3,0)*(1+Inputs!$L$5)^Financials!HU$3)*HU$8))</f>
        <v>-115500</v>
      </c>
      <c r="HV31" s="18">
        <f>IF(HV$1&lt;CapEx!$O$7,0,(Inputs!$D$35*(VLOOKUP($B31,Inputs!$B$3:$D$14,3,0)*(1+Inputs!$L$5)^Financials!HV$3)*HV$8))</f>
        <v>-119350</v>
      </c>
      <c r="HW31" s="18">
        <f>IF(HW$1&lt;CapEx!$O$7,0,(Inputs!$D$35*(VLOOKUP($B31,Inputs!$B$3:$D$14,3,0)*(1+Inputs!$L$5)^Financials!HW$3)*HW$8))</f>
        <v>-119350</v>
      </c>
      <c r="HX31" s="18">
        <f>IF(HX$1&lt;CapEx!$O$7,0,(Inputs!$D$35*(VLOOKUP($B31,Inputs!$B$3:$D$14,3,0)*(1+Inputs!$L$5)^Financials!HX$3)*HX$8))</f>
        <v>-107800</v>
      </c>
      <c r="HY31" s="18">
        <f>IF(HY$1&lt;CapEx!$O$7,0,(Inputs!$D$35*(VLOOKUP($B31,Inputs!$B$3:$D$14,3,0)*(1+Inputs!$L$5)^Financials!HY$3)*HY$8))</f>
        <v>-119350</v>
      </c>
      <c r="HZ31" s="18">
        <f>IF(HZ$1&lt;CapEx!$O$7,0,(Inputs!$D$35*(VLOOKUP($B31,Inputs!$B$3:$D$14,3,0)*(1+Inputs!$L$5)^Financials!HZ$3)*HZ$8))</f>
        <v>-115500</v>
      </c>
      <c r="IA31" s="18">
        <f>IF(IA$1&lt;CapEx!$O$7,0,(Inputs!$D$35*(VLOOKUP($B31,Inputs!$B$3:$D$14,3,0)*(1+Inputs!$L$5)^Financials!IA$3)*IA$8))</f>
        <v>-119350</v>
      </c>
      <c r="IB31" s="18">
        <f>IF(IB$1&lt;CapEx!$O$7,0,(Inputs!$D$35*(VLOOKUP($B31,Inputs!$B$3:$D$14,3,0)*(1+Inputs!$L$5)^Financials!IB$3)*IB$8))</f>
        <v>-115500</v>
      </c>
      <c r="IC31" s="18">
        <f>IF(IC$1&lt;CapEx!$O$7,0,(Inputs!$D$35*(VLOOKUP($B31,Inputs!$B$3:$D$14,3,0)*(1+Inputs!$L$5)^Financials!IC$3)*IC$8))</f>
        <v>-119350</v>
      </c>
      <c r="ID31" s="18">
        <f>IF(ID$1&lt;CapEx!$O$7,0,(Inputs!$D$35*(VLOOKUP($B31,Inputs!$B$3:$D$14,3,0)*(1+Inputs!$L$5)^Financials!ID$3)*ID$8))</f>
        <v>-119350</v>
      </c>
      <c r="IE31" s="18">
        <f>IF(IE$1&lt;CapEx!$O$7,0,(Inputs!$D$35*(VLOOKUP($B31,Inputs!$B$3:$D$14,3,0)*(1+Inputs!$L$5)^Financials!IE$3)*IE$8))</f>
        <v>-115500</v>
      </c>
      <c r="IF31" s="18">
        <f>IF(IF$1&lt;CapEx!$O$7,0,(Inputs!$D$35*(VLOOKUP($B31,Inputs!$B$3:$D$14,3,0)*(1+Inputs!$L$5)^Financials!IF$3)*IF$8))</f>
        <v>-119350</v>
      </c>
      <c r="IG31" s="18">
        <f>IF(IG$1&lt;CapEx!$O$7,0,(Inputs!$D$35*(VLOOKUP($B31,Inputs!$B$3:$D$14,3,0)*(1+Inputs!$L$5)^Financials!IG$3)*IG$8))</f>
        <v>-115500</v>
      </c>
      <c r="IH31" s="18">
        <f>IF(IH$1&lt;CapEx!$O$7,0,(Inputs!$D$35*(VLOOKUP($B31,Inputs!$B$3:$D$14,3,0)*(1+Inputs!$L$5)^Financials!IH$3)*IH$8))</f>
        <v>-119350</v>
      </c>
      <c r="II31" s="18">
        <f>IF(II$1&lt;CapEx!$O$7,0,(Inputs!$D$35*(VLOOKUP($B31,Inputs!$B$3:$D$14,3,0)*(1+Inputs!$L$5)^Financials!II$3)*II$8))</f>
        <v>-119350</v>
      </c>
      <c r="IJ31" s="18">
        <f>IF(IJ$1&lt;CapEx!$O$7,0,(Inputs!$D$35*(VLOOKUP($B31,Inputs!$B$3:$D$14,3,0)*(1+Inputs!$L$5)^Financials!IJ$3)*IJ$8))</f>
        <v>-107800</v>
      </c>
      <c r="IK31" s="18">
        <f>IF(IK$1&lt;CapEx!$O$7,0,(Inputs!$D$35*(VLOOKUP($B31,Inputs!$B$3:$D$14,3,0)*(1+Inputs!$L$5)^Financials!IK$3)*IK$8))</f>
        <v>-119350</v>
      </c>
      <c r="IL31" s="18">
        <f>IF(IL$1&lt;CapEx!$O$7,0,(Inputs!$D$35*(VLOOKUP($B31,Inputs!$B$3:$D$14,3,0)*(1+Inputs!$L$5)^Financials!IL$3)*IL$8))</f>
        <v>-115500</v>
      </c>
      <c r="IM31" s="18">
        <f>IF(IM$1&lt;CapEx!$O$7,0,(Inputs!$D$35*(VLOOKUP($B31,Inputs!$B$3:$D$14,3,0)*(1+Inputs!$L$5)^Financials!IM$3)*IM$8))</f>
        <v>-119350</v>
      </c>
      <c r="IN31" s="18">
        <f>IF(IN$1&lt;CapEx!$O$7,0,(Inputs!$D$35*(VLOOKUP($B31,Inputs!$B$3:$D$14,3,0)*(1+Inputs!$L$5)^Financials!IN$3)*IN$8))</f>
        <v>-115500</v>
      </c>
      <c r="IO31" s="18">
        <f>IF(IO$1&lt;CapEx!$O$7,0,(Inputs!$D$35*(VLOOKUP($B31,Inputs!$B$3:$D$14,3,0)*(1+Inputs!$L$5)^Financials!IO$3)*IO$8))</f>
        <v>-119350</v>
      </c>
      <c r="IP31" s="18">
        <f>IF(IP$1&lt;CapEx!$O$7,0,(Inputs!$D$35*(VLOOKUP($B31,Inputs!$B$3:$D$14,3,0)*(1+Inputs!$L$5)^Financials!IP$3)*IP$8))</f>
        <v>-119350</v>
      </c>
      <c r="IQ31" s="18">
        <f>IF(IQ$1&lt;CapEx!$O$7,0,(Inputs!$D$35*(VLOOKUP($B31,Inputs!$B$3:$D$14,3,0)*(1+Inputs!$L$5)^Financials!IQ$3)*IQ$8))</f>
        <v>-115500</v>
      </c>
      <c r="IR31" s="18">
        <f>IF(IR$1&lt;CapEx!$O$7,0,(Inputs!$D$35*(VLOOKUP($B31,Inputs!$B$3:$D$14,3,0)*(1+Inputs!$L$5)^Financials!IR$3)*IR$8))</f>
        <v>-119350</v>
      </c>
      <c r="IS31" s="18">
        <f>IF(IS$1&lt;CapEx!$O$7,0,(Inputs!$D$35*(VLOOKUP($B31,Inputs!$B$3:$D$14,3,0)*(1+Inputs!$L$5)^Financials!IS$3)*IS$8))</f>
        <v>-115500</v>
      </c>
      <c r="IT31" s="18">
        <f>IF(IT$1&lt;CapEx!$O$7,0,(Inputs!$D$35*(VLOOKUP($B31,Inputs!$B$3:$D$14,3,0)*(1+Inputs!$L$5)^Financials!IT$3)*IT$8))</f>
        <v>-119350</v>
      </c>
      <c r="IU31" s="18">
        <f>IF(IU$1&lt;CapEx!$O$7,0,(Inputs!$D$35*(VLOOKUP($B31,Inputs!$B$3:$D$14,3,0)*(1+Inputs!$L$5)^Financials!IU$3)*IU$8))</f>
        <v>-119350</v>
      </c>
      <c r="IV31" s="18">
        <f>IF(IV$1&lt;CapEx!$O$7,0,(Inputs!$D$35*(VLOOKUP($B31,Inputs!$B$3:$D$14,3,0)*(1+Inputs!$L$5)^Financials!IV$3)*IV$8))</f>
        <v>-107800</v>
      </c>
      <c r="IW31" s="18">
        <f>IF(IW$1&lt;CapEx!$O$7,0,(Inputs!$D$35*(VLOOKUP($B31,Inputs!$B$3:$D$14,3,0)*(1+Inputs!$L$5)^Financials!IW$3)*IW$8))</f>
        <v>-119350</v>
      </c>
      <c r="IX31" s="18">
        <f>IF(IX$1&lt;CapEx!$O$7,0,(Inputs!$D$35*(VLOOKUP($B31,Inputs!$B$3:$D$14,3,0)*(1+Inputs!$L$5)^Financials!IX$3)*IX$8))</f>
        <v>-115500</v>
      </c>
      <c r="IY31" s="18">
        <f>IF(IY$1&lt;CapEx!$O$7,0,(Inputs!$D$35*(VLOOKUP($B31,Inputs!$B$3:$D$14,3,0)*(1+Inputs!$L$5)^Financials!IY$3)*IY$8))</f>
        <v>-119350</v>
      </c>
      <c r="IZ31" s="18">
        <f>IF(IZ$1&lt;CapEx!$O$7,0,(Inputs!$D$35*(VLOOKUP($B31,Inputs!$B$3:$D$14,3,0)*(1+Inputs!$L$5)^Financials!IZ$3)*IZ$8))</f>
        <v>-115500</v>
      </c>
      <c r="JA31" s="18">
        <f>IF(JA$1&lt;CapEx!$O$7,0,(Inputs!$D$35*(VLOOKUP($B31,Inputs!$B$3:$D$14,3,0)*(1+Inputs!$L$5)^Financials!JA$3)*JA$8))</f>
        <v>-119350</v>
      </c>
      <c r="JB31" s="18">
        <f>IF(JB$1&lt;CapEx!$O$7,0,(Inputs!$D$35*(VLOOKUP($B31,Inputs!$B$3:$D$14,3,0)*(1+Inputs!$L$5)^Financials!JB$3)*JB$8))</f>
        <v>-119350</v>
      </c>
      <c r="JC31" s="18">
        <f>IF(JC$1&lt;CapEx!$O$7,0,(Inputs!$D$35*(VLOOKUP($B31,Inputs!$B$3:$D$14,3,0)*(1+Inputs!$L$5)^Financials!JC$3)*JC$8))</f>
        <v>-115500</v>
      </c>
      <c r="JD31" s="18">
        <f>IF(JD$1&lt;CapEx!$O$7,0,(Inputs!$D$35*(VLOOKUP($B31,Inputs!$B$3:$D$14,3,0)*(1+Inputs!$L$5)^Financials!JD$3)*JD$8))</f>
        <v>-119350</v>
      </c>
      <c r="JE31" s="18">
        <f>IF(JE$1&lt;CapEx!$O$7,0,(Inputs!$D$35*(VLOOKUP($B31,Inputs!$B$3:$D$14,3,0)*(1+Inputs!$L$5)^Financials!JE$3)*JE$8))</f>
        <v>-115500</v>
      </c>
      <c r="JF31" s="18">
        <f>IF(JF$1&lt;CapEx!$O$7,0,(Inputs!$D$35*(VLOOKUP($B31,Inputs!$B$3:$D$14,3,0)*(1+Inputs!$L$5)^Financials!JF$3)*JF$8))</f>
        <v>-119350</v>
      </c>
      <c r="JG31" s="18">
        <f>IF(JG$1&lt;CapEx!$O$7,0,(Inputs!$D$35*(VLOOKUP($B31,Inputs!$B$3:$D$14,3,0)*(1+Inputs!$L$5)^Financials!JG$3)*JG$8))</f>
        <v>-119350</v>
      </c>
      <c r="JH31" s="18">
        <f>IF(JH$1&lt;CapEx!$O$7,0,(Inputs!$D$35*(VLOOKUP($B31,Inputs!$B$3:$D$14,3,0)*(1+Inputs!$L$5)^Financials!JH$3)*JH$8))</f>
        <v>-107800</v>
      </c>
      <c r="JI31" s="18">
        <f>IF(JI$1&lt;CapEx!$O$7,0,(Inputs!$D$35*(VLOOKUP($B31,Inputs!$B$3:$D$14,3,0)*(1+Inputs!$L$5)^Financials!JI$3)*JI$8))</f>
        <v>-119350</v>
      </c>
      <c r="JJ31" s="18">
        <f>IF(JJ$1&lt;CapEx!$O$7,0,(Inputs!$D$35*(VLOOKUP($B31,Inputs!$B$3:$D$14,3,0)*(1+Inputs!$L$5)^Financials!JJ$3)*JJ$8))</f>
        <v>-115500</v>
      </c>
      <c r="JK31" s="18">
        <f>IF(JK$1&lt;CapEx!$O$7,0,(Inputs!$D$35*(VLOOKUP($B31,Inputs!$B$3:$D$14,3,0)*(1+Inputs!$L$5)^Financials!JK$3)*JK$8))</f>
        <v>-119350</v>
      </c>
      <c r="JL31" s="18">
        <f>IF(JL$1&lt;CapEx!$O$7,0,(Inputs!$D$35*(VLOOKUP($B31,Inputs!$B$3:$D$14,3,0)*(1+Inputs!$L$5)^Financials!JL$3)*JL$8))</f>
        <v>-115500</v>
      </c>
      <c r="JM31" s="18">
        <f>IF(JM$1&lt;CapEx!$O$7,0,(Inputs!$D$35*(VLOOKUP($B31,Inputs!$B$3:$D$14,3,0)*(1+Inputs!$L$5)^Financials!JM$3)*JM$8))</f>
        <v>-119350</v>
      </c>
      <c r="JN31" s="18">
        <f>IF(JN$1&lt;CapEx!$O$7,0,(Inputs!$D$35*(VLOOKUP($B31,Inputs!$B$3:$D$14,3,0)*(1+Inputs!$L$5)^Financials!JN$3)*JN$8))</f>
        <v>-119350</v>
      </c>
      <c r="JO31" s="18">
        <f>IF(JO$1&lt;CapEx!$O$7,0,(Inputs!$D$35*(VLOOKUP($B31,Inputs!$B$3:$D$14,3,0)*(1+Inputs!$L$5)^Financials!JO$3)*JO$8))</f>
        <v>-115500</v>
      </c>
      <c r="JP31" s="18">
        <f>IF(JP$1&lt;CapEx!$O$7,0,(Inputs!$D$35*(VLOOKUP($B31,Inputs!$B$3:$D$14,3,0)*(1+Inputs!$L$5)^Financials!JP$3)*JP$8))</f>
        <v>-119350</v>
      </c>
      <c r="JQ31" s="18">
        <f>IF(JQ$1&lt;CapEx!$O$7,0,(Inputs!$D$35*(VLOOKUP($B31,Inputs!$B$3:$D$14,3,0)*(1+Inputs!$L$5)^Financials!JQ$3)*JQ$8))</f>
        <v>-115500</v>
      </c>
      <c r="JR31" s="18">
        <f>IF(JR$1&lt;CapEx!$O$7,0,(Inputs!$D$35*(VLOOKUP($B31,Inputs!$B$3:$D$14,3,0)*(1+Inputs!$L$5)^Financials!JR$3)*JR$8))</f>
        <v>-119350</v>
      </c>
    </row>
    <row r="32" spans="2:278" x14ac:dyDescent="0.2">
      <c r="B32" s="22" t="str">
        <f>Inputs!B12</f>
        <v>Tire tipping fees</v>
      </c>
      <c r="C32" s="18">
        <f>IF(C$1&lt;CapEx!$O$7,0,(Inputs!$D$36*(Inputs!$D$12*(1+Inputs!$L$6)^Financials!C$3)*Financials!C$8))</f>
        <v>0</v>
      </c>
      <c r="D32" s="18">
        <f>IF(D$1&lt;CapEx!$O$7,0,(Inputs!$D$36*(Inputs!$D$12*(1+Inputs!$L$6)^Financials!D$3)*Financials!D$8))</f>
        <v>0</v>
      </c>
      <c r="E32" s="18">
        <f>IF(E$1&lt;CapEx!$O$7,0,(Inputs!$D$36*(Inputs!$D$12*(1+Inputs!$L$6)^Financials!E$3)*Financials!E$8))</f>
        <v>0</v>
      </c>
      <c r="F32" s="18">
        <f>IF(F$1&lt;CapEx!$O$7,0,(Inputs!$D$36*(Inputs!$D$12*(1+Inputs!$L$6)^Financials!F$3)*Financials!F$8))</f>
        <v>0</v>
      </c>
      <c r="G32" s="18">
        <f>IF(G$1&lt;CapEx!$O$7,0,(Inputs!$D$36*(Inputs!$D$12*(1+Inputs!$L$6)^Financials!G$3)*Financials!G$8))</f>
        <v>0</v>
      </c>
      <c r="H32" s="18">
        <f>IF(H$1&lt;CapEx!$O$7,0,(Inputs!$D$36*(Inputs!$D$12*(1+Inputs!$L$6)^Financials!H$3)*Financials!H$8))</f>
        <v>0</v>
      </c>
      <c r="I32" s="18">
        <f>IF(I$1&lt;CapEx!$O$7,0,(Inputs!$D$36*(Inputs!$D$12*(1+Inputs!$L$6)^Financials!I$3)*Financials!I$8))</f>
        <v>0</v>
      </c>
      <c r="J32" s="18">
        <f>IF(J$1&lt;CapEx!$O$7,0,(Inputs!$D$36*(Inputs!$D$12*(1+Inputs!$L$6)^Financials!J$3)*Financials!J$8))</f>
        <v>0</v>
      </c>
      <c r="K32" s="18">
        <f>IF(K$1&lt;CapEx!$O$7,0,(Inputs!$D$36*(Inputs!$D$12*(1+Inputs!$L$6)^Financials!K$3)*Financials!K$8))</f>
        <v>0</v>
      </c>
      <c r="L32" s="18">
        <f>IF(L$1&lt;CapEx!$O$7,0,(Inputs!$D$36*(Inputs!$D$12*(1+Inputs!$L$6)^Financials!L$3)*Financials!L$8))</f>
        <v>0</v>
      </c>
      <c r="M32" s="18">
        <f>IF(M$1&lt;CapEx!$O$7,0,(Inputs!$D$36*(Inputs!$D$12*(1+Inputs!$L$6)^Financials!M$3)*Financials!M$8))</f>
        <v>0</v>
      </c>
      <c r="N32" s="18">
        <f>IF(N$1&lt;CapEx!$O$7,0,(Inputs!$D$36*(Inputs!$D$12*(1+Inputs!$L$6)^Financials!N$3)*Financials!N$8))</f>
        <v>0</v>
      </c>
      <c r="O32" s="18">
        <f>IF(O$1&lt;CapEx!$O$7,0,(Inputs!$D$36*(Inputs!$D$12*(1+Inputs!$L$6)^Financials!O$3)*Financials!O$8))</f>
        <v>0</v>
      </c>
      <c r="P32" s="18">
        <f>IF(P$1&lt;CapEx!$O$7,0,(Inputs!$D$36*(Inputs!$D$12*(1+Inputs!$L$6)^Financials!P$3)*Financials!P$8))</f>
        <v>0</v>
      </c>
      <c r="Q32" s="18">
        <f>IF(Q$1&lt;CapEx!$O$7,0,(Inputs!$D$36*(Inputs!$D$12*(1+Inputs!$L$6)^Financials!Q$3)*Financials!Q$8))</f>
        <v>0</v>
      </c>
      <c r="R32" s="18">
        <f>IF(R$1&lt;CapEx!$O$7,0,(Inputs!$D$36*(Inputs!$D$12*(1+Inputs!$L$6)^Financials!R$3)*Financials!R$8))</f>
        <v>0</v>
      </c>
      <c r="S32" s="18">
        <f>IF(S$1&lt;CapEx!$O$7,0,(Inputs!$D$36*(Inputs!$D$12*(1+Inputs!$L$6)^Financials!S$3)*Financials!S$8))</f>
        <v>0</v>
      </c>
      <c r="T32" s="18">
        <f>IF(T$1&lt;CapEx!$O$7,0,(Inputs!$D$36*(Inputs!$D$12*(1+Inputs!$L$6)^Financials!T$3)*Financials!T$8))</f>
        <v>0</v>
      </c>
      <c r="U32" s="18">
        <f>IF(U$1&lt;CapEx!$O$7,0,(Inputs!$D$36*(Inputs!$D$12*(1+Inputs!$L$6)^Financials!U$3)*Financials!U$8))</f>
        <v>0</v>
      </c>
      <c r="V32" s="18">
        <f>IF(V$1&lt;CapEx!$O$7,0,(Inputs!$D$36*(Inputs!$D$12*(1+Inputs!$L$6)^Financials!V$3)*Financials!V$8))</f>
        <v>0</v>
      </c>
      <c r="W32" s="18">
        <f>IF(W$1&lt;CapEx!$O$7,0,(Inputs!$D$36*(Inputs!$D$12*(1+Inputs!$L$6)^Financials!W$3)*Financials!W$8))</f>
        <v>0</v>
      </c>
      <c r="X32" s="18">
        <f>IF(X$1&lt;CapEx!$O$7,0,(Inputs!$D$36*(Inputs!$D$12*(1+Inputs!$L$6)^Financials!X$3)*Financials!X$8))</f>
        <v>0</v>
      </c>
      <c r="Y32" s="18">
        <f>IF(Y$1&lt;CapEx!$O$7,0,(Inputs!$D$36*(Inputs!$D$12*(1+Inputs!$L$6)^Financials!Y$3)*Financials!Y$8))</f>
        <v>0</v>
      </c>
      <c r="Z32" s="18">
        <f>IF(Z$1&lt;CapEx!$O$7,0,(Inputs!$D$36*(Inputs!$D$12*(1+Inputs!$L$6)^Financials!Z$3)*Financials!Z$8))</f>
        <v>0</v>
      </c>
      <c r="AA32" s="18">
        <f>IF(AA$1&lt;CapEx!$O$7,0,(Inputs!$D$36*(Inputs!$D$12*(1+Inputs!$L$6)^Financials!AA$3)*Financials!AA$8))</f>
        <v>0</v>
      </c>
      <c r="AB32" s="18">
        <f>IF(AB$1&lt;CapEx!$O$7,0,(Inputs!$D$36*(Inputs!$D$12*(1+Inputs!$L$6)^Financials!AB$3)*Financials!AB$8))</f>
        <v>0</v>
      </c>
      <c r="AC32" s="18">
        <f>IF(AC$1&lt;CapEx!$O$7,0,(Inputs!$D$36*(Inputs!$D$12*(1+Inputs!$L$6)^Financials!AC$3)*Financials!AC$8))</f>
        <v>0</v>
      </c>
      <c r="AD32" s="18">
        <f>IF(AD$1&lt;CapEx!$O$7,0,(Inputs!$D$36*(Inputs!$D$12*(1+Inputs!$L$6)^Financials!AD$3)*Financials!AD$8))</f>
        <v>0</v>
      </c>
      <c r="AE32" s="18">
        <f>IF(AE$1&lt;CapEx!$O$7,0,(Inputs!$D$36*(Inputs!$D$12*(1+Inputs!$L$6)^Financials!AE$3)*Financials!AE$8))</f>
        <v>0</v>
      </c>
      <c r="AF32" s="18">
        <f>IF(AF$1&lt;CapEx!$O$7,0,(Inputs!$D$36*(Inputs!$D$12*(1+Inputs!$L$6)^Financials!AF$3)*Financials!AF$8))</f>
        <v>0</v>
      </c>
      <c r="AG32" s="18">
        <f>IF(AG$1&lt;CapEx!$O$7,0,(Inputs!$D$36*(Inputs!$D$12*(1+Inputs!$L$6)^Financials!AG$3)*Financials!AG$8))</f>
        <v>0</v>
      </c>
      <c r="AH32" s="18">
        <f>IF(AH$1&lt;CapEx!$O$7,0,(Inputs!$D$36*(Inputs!$D$12*(1+Inputs!$L$6)^Financials!AH$3)*Financials!AH$8))</f>
        <v>0</v>
      </c>
      <c r="AI32" s="18">
        <f>IF(AI$1&lt;CapEx!$O$7,0,(Inputs!$D$36*(Inputs!$D$12*(1+Inputs!$L$6)^Financials!AI$3)*Financials!AI$8))</f>
        <v>0</v>
      </c>
      <c r="AJ32" s="18">
        <f>IF(AJ$1&lt;CapEx!$O$7,0,(Inputs!$D$36*(Inputs!$D$12*(1+Inputs!$L$6)^Financials!AJ$3)*Financials!AJ$8))</f>
        <v>0</v>
      </c>
      <c r="AK32" s="18">
        <f>IF(AK$1&lt;CapEx!$O$7,0,(Inputs!$D$36*(Inputs!$D$12*(1+Inputs!$L$6)^Financials!AK$3)*Financials!AK$8))</f>
        <v>0</v>
      </c>
      <c r="AL32" s="18">
        <f>IF(AL$1&lt;CapEx!$O$7,0,(Inputs!$D$36*(Inputs!$D$12*(1+Inputs!$L$6)^Financials!AL$3)*Financials!AL$8))</f>
        <v>0</v>
      </c>
      <c r="AM32" s="18">
        <f>IF(AM$1&lt;CapEx!$O$7,0,(Inputs!$D$36*(Inputs!$D$12*(1+Inputs!$L$6)^Financials!AM$3)*Financials!AM$8))</f>
        <v>0</v>
      </c>
      <c r="AN32" s="18">
        <f>IF(AN$1&lt;CapEx!$O$7,0,(Inputs!$D$36*(Inputs!$D$12*(1+Inputs!$L$6)^Financials!AN$3)*Financials!AN$8))</f>
        <v>0</v>
      </c>
      <c r="AO32" s="18">
        <f>IF(AO$1&lt;CapEx!$O$7,0,(Inputs!$D$36*(Inputs!$D$12*(1+Inputs!$L$6)^Financials!AO$3)*Financials!AO$8))</f>
        <v>0</v>
      </c>
      <c r="AP32" s="18">
        <f>IF(AP$1&lt;CapEx!$O$7,0,(Inputs!$D$36*(Inputs!$D$12*(1+Inputs!$L$6)^Financials!AP$3)*Financials!AP$8))</f>
        <v>0</v>
      </c>
      <c r="AQ32" s="18">
        <f>IF(AQ$1&lt;CapEx!$O$7,0,(Inputs!$D$36*(Inputs!$D$12*(1+Inputs!$L$6)^Financials!AQ$3)*Financials!AQ$8))</f>
        <v>0</v>
      </c>
      <c r="AR32" s="18">
        <f>IF(AR$1&lt;CapEx!$O$7,0,(Inputs!$D$36*(Inputs!$D$12*(1+Inputs!$L$6)^Financials!AR$3)*Financials!AR$8))</f>
        <v>0</v>
      </c>
      <c r="AS32" s="18">
        <f>IF(AS$1&lt;CapEx!$O$7,0,(Inputs!$D$36*(Inputs!$D$12*(1+Inputs!$L$6)^Financials!AS$3)*Financials!AS$8))</f>
        <v>0</v>
      </c>
      <c r="AT32" s="18">
        <f>IF(AT$1&lt;CapEx!$O$7,0,(Inputs!$D$36*(Inputs!$D$12*(1+Inputs!$L$6)^Financials!AT$3)*Financials!AT$8))</f>
        <v>0</v>
      </c>
      <c r="AU32" s="18">
        <f>IF(AU$1&lt;CapEx!$O$7,0,(Inputs!$D$36*(Inputs!$D$12*(1+Inputs!$L$6)^Financials!AU$3)*Financials!AU$8))</f>
        <v>0</v>
      </c>
      <c r="AV32" s="18">
        <f>IF(AV$1&lt;CapEx!$O$7,0,(Inputs!$D$36*(Inputs!$D$12*(1+Inputs!$L$6)^Financials!AV$3)*Financials!AV$8))</f>
        <v>0</v>
      </c>
      <c r="AW32" s="18">
        <f>IF(AW$1&lt;CapEx!$O$7,0,(Inputs!$D$36*(Inputs!$D$12*(1+Inputs!$L$6)^Financials!AW$3)*Financials!AW$8))</f>
        <v>0</v>
      </c>
      <c r="AX32" s="18">
        <f>IF(AX$1&lt;CapEx!$O$7,0,(Inputs!$D$36*(Inputs!$D$12*(1+Inputs!$L$6)^Financials!AX$3)*Financials!AX$8))</f>
        <v>0</v>
      </c>
      <c r="AY32" s="18">
        <f>IF(AY$1&lt;CapEx!$O$7,0,(Inputs!$D$36*(Inputs!$D$12*(1+Inputs!$L$6)^Financials!AY$3)*Financials!AY$8))</f>
        <v>0</v>
      </c>
      <c r="AZ32" s="18">
        <f>IF(AZ$1&lt;CapEx!$O$7,0,(Inputs!$D$36*(Inputs!$D$12*(1+Inputs!$L$6)^Financials!AZ$3)*Financials!AZ$8))</f>
        <v>0</v>
      </c>
      <c r="BA32" s="18">
        <f>IF(BA$1&lt;CapEx!$O$7,0,(Inputs!$D$36*(Inputs!$D$12*(1+Inputs!$L$6)^Financials!BA$3)*Financials!BA$8))</f>
        <v>0</v>
      </c>
      <c r="BB32" s="18">
        <f>IF(BB$1&lt;CapEx!$O$7,0,(Inputs!$D$36*(Inputs!$D$12*(1+Inputs!$L$6)^Financials!BB$3)*Financials!BB$8))</f>
        <v>0</v>
      </c>
      <c r="BC32" s="18">
        <f>IF(BC$1&lt;CapEx!$O$7,0,(Inputs!$D$36*(Inputs!$D$12*(1+Inputs!$L$6)^Financials!BC$3)*Financials!BC$8))</f>
        <v>0</v>
      </c>
      <c r="BD32" s="18">
        <f>IF(BD$1&lt;CapEx!$O$7,0,(Inputs!$D$36*(Inputs!$D$12*(1+Inputs!$L$6)^Financials!BD$3)*Financials!BD$8))</f>
        <v>0</v>
      </c>
      <c r="BE32" s="18">
        <f>IF(BE$1&lt;CapEx!$O$7,0,(Inputs!$D$36*(Inputs!$D$12*(1+Inputs!$L$6)^Financials!BE$3)*Financials!BE$8))</f>
        <v>0</v>
      </c>
      <c r="BF32" s="18">
        <f>IF(BF$1&lt;CapEx!$O$7,0,(Inputs!$D$36*(Inputs!$D$12*(1+Inputs!$L$6)^Financials!BF$3)*Financials!BF$8))</f>
        <v>0</v>
      </c>
      <c r="BG32" s="18">
        <f>IF(BG$1&lt;CapEx!$O$7,0,(Inputs!$D$36*(Inputs!$D$12*(1+Inputs!$L$6)^Financials!BG$3)*Financials!BG$8))</f>
        <v>0</v>
      </c>
      <c r="BH32" s="18">
        <f>IF(BH$1&lt;CapEx!$O$7,0,(Inputs!$D$36*(Inputs!$D$12*(1+Inputs!$L$6)^Financials!BH$3)*Financials!BH$8))</f>
        <v>0</v>
      </c>
      <c r="BI32" s="18">
        <f>IF(BI$1&lt;CapEx!$O$7,0,(Inputs!$D$36*(Inputs!$D$12*(1+Inputs!$L$6)^Financials!BI$3)*Financials!BI$8))</f>
        <v>0</v>
      </c>
      <c r="BJ32" s="18">
        <f>IF(BJ$1&lt;CapEx!$O$7,0,(Inputs!$D$36*(Inputs!$D$12*(1+Inputs!$L$6)^Financials!BJ$3)*Financials!BJ$8))</f>
        <v>0</v>
      </c>
      <c r="BK32" s="18">
        <f>IF(BK$1&lt;CapEx!$O$7,0,(Inputs!$D$36*(Inputs!$D$12*(1+Inputs!$L$6)^Financials!BK$3)*Financials!BK$8))</f>
        <v>0</v>
      </c>
      <c r="BL32" s="18">
        <f>IF(BL$1&lt;CapEx!$O$7,0,(Inputs!$D$36*(Inputs!$D$12*(1+Inputs!$L$6)^Financials!BL$3)*Financials!BL$8))</f>
        <v>0</v>
      </c>
      <c r="BM32" s="18">
        <f>IF(BM$1&lt;CapEx!$O$7,0,(Inputs!$D$36*(Inputs!$D$12*(1+Inputs!$L$6)^Financials!BM$3)*Financials!BM$8))</f>
        <v>0</v>
      </c>
      <c r="BN32" s="18">
        <f>IF(BN$1&lt;CapEx!$O$7,0,(Inputs!$D$36*(Inputs!$D$12*(1+Inputs!$L$6)^Financials!BN$3)*Financials!BN$8))</f>
        <v>0</v>
      </c>
      <c r="BO32" s="18">
        <f>IF(BO$1&lt;CapEx!$O$7,0,(Inputs!$D$36*(Inputs!$D$12*(1+Inputs!$L$6)^Financials!BO$3)*Financials!BO$8))</f>
        <v>0</v>
      </c>
      <c r="BP32" s="18">
        <f>IF(BP$1&lt;CapEx!$O$7,0,(Inputs!$D$36*(Inputs!$D$12*(1+Inputs!$L$6)^Financials!BP$3)*Financials!BP$8))</f>
        <v>0</v>
      </c>
      <c r="BQ32" s="18">
        <f>IF(BQ$1&lt;CapEx!$O$7,0,(Inputs!$D$36*(Inputs!$D$12*(1+Inputs!$L$6)^Financials!BQ$3)*Financials!BQ$8))</f>
        <v>0</v>
      </c>
      <c r="BR32" s="18">
        <f>IF(BR$1&lt;CapEx!$O$7,0,(Inputs!$D$36*(Inputs!$D$12*(1+Inputs!$L$6)^Financials!BR$3)*Financials!BR$8))</f>
        <v>0</v>
      </c>
      <c r="BS32" s="18">
        <f>IF(BS$1&lt;CapEx!$O$7,0,(Inputs!$D$36*(Inputs!$D$12*(1+Inputs!$L$6)^Financials!BS$3)*Financials!BS$8))</f>
        <v>0</v>
      </c>
      <c r="BT32" s="18">
        <f>IF(BT$1&lt;CapEx!$O$7,0,(Inputs!$D$36*(Inputs!$D$12*(1+Inputs!$L$6)^Financials!BT$3)*Financials!BT$8))</f>
        <v>0</v>
      </c>
      <c r="BU32" s="18">
        <f>IF(BU$1&lt;CapEx!$O$7,0,(Inputs!$D$36*(Inputs!$D$12*(1+Inputs!$L$6)^Financials!BU$3)*Financials!BU$8))</f>
        <v>0</v>
      </c>
      <c r="BV32" s="18">
        <f>IF(BV$1&lt;CapEx!$O$7,0,(Inputs!$D$36*(Inputs!$D$12*(1+Inputs!$L$6)^Financials!BV$3)*Financials!BV$8))</f>
        <v>0</v>
      </c>
      <c r="BW32" s="18">
        <f>IF(BW$1&lt;CapEx!$O$7,0,(Inputs!$D$36*(Inputs!$D$12*(1+Inputs!$L$6)^Financials!BW$3)*Financials!BW$8))</f>
        <v>0</v>
      </c>
      <c r="BX32" s="18">
        <f>IF(BX$1&lt;CapEx!$O$7,0,(Inputs!$D$36*(Inputs!$D$12*(1+Inputs!$L$6)^Financials!BX$3)*Financials!BX$8))</f>
        <v>0</v>
      </c>
      <c r="BY32" s="18">
        <f>IF(BY$1&lt;CapEx!$O$7,0,(Inputs!$D$36*(Inputs!$D$12*(1+Inputs!$L$6)^Financials!BY$3)*Financials!BY$8))</f>
        <v>0</v>
      </c>
      <c r="BZ32" s="18">
        <f>IF(BZ$1&lt;CapEx!$O$7,0,(Inputs!$D$36*(Inputs!$D$12*(1+Inputs!$L$6)^Financials!BZ$3)*Financials!BZ$8))</f>
        <v>0</v>
      </c>
      <c r="CA32" s="18">
        <f>IF(CA$1&lt;CapEx!$O$7,0,(Inputs!$D$36*(Inputs!$D$12*(1+Inputs!$L$6)^Financials!CA$3)*Financials!CA$8))</f>
        <v>0</v>
      </c>
      <c r="CB32" s="18">
        <f>IF(CB$1&lt;CapEx!$O$7,0,(Inputs!$D$36*(Inputs!$D$12*(1+Inputs!$L$6)^Financials!CB$3)*Financials!CB$8))</f>
        <v>0</v>
      </c>
      <c r="CC32" s="18">
        <f>IF(CC$1&lt;CapEx!$O$7,0,(Inputs!$D$36*(Inputs!$D$12*(1+Inputs!$L$6)^Financials!CC$3)*Financials!CC$8))</f>
        <v>0</v>
      </c>
      <c r="CD32" s="18">
        <f>IF(CD$1&lt;CapEx!$O$7,0,(Inputs!$D$36*(Inputs!$D$12*(1+Inputs!$L$6)^Financials!CD$3)*Financials!CD$8))</f>
        <v>0</v>
      </c>
      <c r="CE32" s="18">
        <f>IF(CE$1&lt;CapEx!$O$7,0,(Inputs!$D$36*(Inputs!$D$12*(1+Inputs!$L$6)^Financials!CE$3)*Financials!CE$8))</f>
        <v>0</v>
      </c>
      <c r="CF32" s="18">
        <f>IF(CF$1&lt;CapEx!$O$7,0,(Inputs!$D$36*(Inputs!$D$12*(1+Inputs!$L$6)^Financials!CF$3)*Financials!CF$8))</f>
        <v>0</v>
      </c>
      <c r="CG32" s="18">
        <f>IF(CG$1&lt;CapEx!$O$7,0,(Inputs!$D$36*(Inputs!$D$12*(1+Inputs!$L$6)^Financials!CG$3)*Financials!CG$8))</f>
        <v>0</v>
      </c>
      <c r="CH32" s="18">
        <f>IF(CH$1&lt;CapEx!$O$7,0,(Inputs!$D$36*(Inputs!$D$12*(1+Inputs!$L$6)^Financials!CH$3)*Financials!CH$8))</f>
        <v>0</v>
      </c>
      <c r="CI32" s="18">
        <f>IF(CI$1&lt;CapEx!$O$7,0,(Inputs!$D$36*(Inputs!$D$12*(1+Inputs!$L$6)^Financials!CI$3)*Financials!CI$8))</f>
        <v>0</v>
      </c>
      <c r="CJ32" s="18">
        <f>IF(CJ$1&lt;CapEx!$O$7,0,(Inputs!$D$36*(Inputs!$D$12*(1+Inputs!$L$6)^Financials!CJ$3)*Financials!CJ$8))</f>
        <v>0</v>
      </c>
      <c r="CK32" s="18">
        <f>IF(CK$1&lt;CapEx!$O$7,0,(Inputs!$D$36*(Inputs!$D$12*(1+Inputs!$L$6)^Financials!CK$3)*Financials!CK$8))</f>
        <v>0</v>
      </c>
      <c r="CL32" s="18">
        <f>IF(CL$1&lt;CapEx!$O$7,0,(Inputs!$D$36*(Inputs!$D$12*(1+Inputs!$L$6)^Financials!CL$3)*Financials!CL$8))</f>
        <v>0</v>
      </c>
      <c r="CM32" s="18">
        <f>IF(CM$1&lt;CapEx!$O$7,0,(Inputs!$D$36*(Inputs!$D$12*(1+Inputs!$L$6)^Financials!CM$3)*Financials!CM$8))</f>
        <v>0</v>
      </c>
      <c r="CN32" s="18">
        <f>IF(CN$1&lt;CapEx!$O$7,0,(Inputs!$D$36*(Inputs!$D$12*(1+Inputs!$L$6)^Financials!CN$3)*Financials!CN$8))</f>
        <v>0</v>
      </c>
      <c r="CO32" s="18">
        <f>IF(CO$1&lt;CapEx!$O$7,0,(Inputs!$D$36*(Inputs!$D$12*(1+Inputs!$L$6)^Financials!CO$3)*Financials!CO$8))</f>
        <v>0</v>
      </c>
      <c r="CP32" s="18">
        <f>IF(CP$1&lt;CapEx!$O$7,0,(Inputs!$D$36*(Inputs!$D$12*(1+Inputs!$L$6)^Financials!CP$3)*Financials!CP$8))</f>
        <v>0</v>
      </c>
      <c r="CQ32" s="18">
        <f>IF(CQ$1&lt;CapEx!$O$7,0,(Inputs!$D$36*(Inputs!$D$12*(1+Inputs!$L$6)^Financials!CQ$3)*Financials!CQ$8))</f>
        <v>0</v>
      </c>
      <c r="CR32" s="18">
        <f>IF(CR$1&lt;CapEx!$O$7,0,(Inputs!$D$36*(Inputs!$D$12*(1+Inputs!$L$6)^Financials!CR$3)*Financials!CR$8))</f>
        <v>0</v>
      </c>
      <c r="CS32" s="18">
        <f>IF(CS$1&lt;CapEx!$O$7,0,(Inputs!$D$36*(Inputs!$D$12*(1+Inputs!$L$6)^Financials!CS$3)*Financials!CS$8))</f>
        <v>0</v>
      </c>
      <c r="CT32" s="18">
        <f>IF(CT$1&lt;CapEx!$O$7,0,(Inputs!$D$36*(Inputs!$D$12*(1+Inputs!$L$6)^Financials!CT$3)*Financials!CT$8))</f>
        <v>0</v>
      </c>
      <c r="CU32" s="18">
        <f>IF(CU$1&lt;CapEx!$O$7,0,(Inputs!$D$36*(Inputs!$D$12*(1+Inputs!$L$6)^Financials!CU$3)*Financials!CU$8))</f>
        <v>0</v>
      </c>
      <c r="CV32" s="18">
        <f>IF(CV$1&lt;CapEx!$O$7,0,(Inputs!$D$36*(Inputs!$D$12*(1+Inputs!$L$6)^Financials!CV$3)*Financials!CV$8))</f>
        <v>0</v>
      </c>
      <c r="CW32" s="18">
        <f>IF(CW$1&lt;CapEx!$O$7,0,(Inputs!$D$36*(Inputs!$D$12*(1+Inputs!$L$6)^Financials!CW$3)*Financials!CW$8))</f>
        <v>0</v>
      </c>
      <c r="CX32" s="18">
        <f>IF(CX$1&lt;CapEx!$O$7,0,(Inputs!$D$36*(Inputs!$D$12*(1+Inputs!$L$6)^Financials!CX$3)*Financials!CX$8))</f>
        <v>0</v>
      </c>
      <c r="CY32" s="18">
        <f>IF(CY$1&lt;CapEx!$O$7,0,(Inputs!$D$36*(Inputs!$D$12*(1+Inputs!$L$6)^Financials!CY$3)*Financials!CY$8))</f>
        <v>0</v>
      </c>
      <c r="CZ32" s="18">
        <f>IF(CZ$1&lt;CapEx!$O$7,0,(Inputs!$D$36*(Inputs!$D$12*(1+Inputs!$L$6)^Financials!CZ$3)*Financials!CZ$8))</f>
        <v>0</v>
      </c>
      <c r="DA32" s="18">
        <f>IF(DA$1&lt;CapEx!$O$7,0,(Inputs!$D$36*(Inputs!$D$12*(1+Inputs!$L$6)^Financials!DA$3)*Financials!DA$8))</f>
        <v>0</v>
      </c>
      <c r="DB32" s="18">
        <f>IF(DB$1&lt;CapEx!$O$7,0,(Inputs!$D$36*(Inputs!$D$12*(1+Inputs!$L$6)^Financials!DB$3)*Financials!DB$8))</f>
        <v>0</v>
      </c>
      <c r="DC32" s="18">
        <f>IF(DC$1&lt;CapEx!$O$7,0,(Inputs!$D$36*(Inputs!$D$12*(1+Inputs!$L$6)^Financials!DC$3)*Financials!DC$8))</f>
        <v>0</v>
      </c>
      <c r="DD32" s="18">
        <f>IF(DD$1&lt;CapEx!$O$7,0,(Inputs!$D$36*(Inputs!$D$12*(1+Inputs!$L$6)^Financials!DD$3)*Financials!DD$8))</f>
        <v>0</v>
      </c>
      <c r="DE32" s="18">
        <f>IF(DE$1&lt;CapEx!$O$7,0,(Inputs!$D$36*(Inputs!$D$12*(1+Inputs!$L$6)^Financials!DE$3)*Financials!DE$8))</f>
        <v>0</v>
      </c>
      <c r="DF32" s="18">
        <f>IF(DF$1&lt;CapEx!$O$7,0,(Inputs!$D$36*(Inputs!$D$12*(1+Inputs!$L$6)^Financials!DF$3)*Financials!DF$8))</f>
        <v>0</v>
      </c>
      <c r="DG32" s="18">
        <f>IF(DG$1&lt;CapEx!$O$7,0,(Inputs!$D$36*(Inputs!$D$12*(1+Inputs!$L$6)^Financials!DG$3)*Financials!DG$8))</f>
        <v>0</v>
      </c>
      <c r="DH32" s="18">
        <f>IF(DH$1&lt;CapEx!$O$7,0,(Inputs!$D$36*(Inputs!$D$12*(1+Inputs!$L$6)^Financials!DH$3)*Financials!DH$8))</f>
        <v>0</v>
      </c>
      <c r="DI32" s="18">
        <f>IF(DI$1&lt;CapEx!$O$7,0,(Inputs!$D$36*(Inputs!$D$12*(1+Inputs!$L$6)^Financials!DI$3)*Financials!DI$8))</f>
        <v>0</v>
      </c>
      <c r="DJ32" s="18">
        <f>IF(DJ$1&lt;CapEx!$O$7,0,(Inputs!$D$36*(Inputs!$D$12*(1+Inputs!$L$6)^Financials!DJ$3)*Financials!DJ$8))</f>
        <v>0</v>
      </c>
      <c r="DK32" s="18">
        <f>IF(DK$1&lt;CapEx!$O$7,0,(Inputs!$D$36*(Inputs!$D$12*(1+Inputs!$L$6)^Financials!DK$3)*Financials!DK$8))</f>
        <v>0</v>
      </c>
      <c r="DL32" s="18">
        <f>IF(DL$1&lt;CapEx!$O$7,0,(Inputs!$D$36*(Inputs!$D$12*(1+Inputs!$L$6)^Financials!DL$3)*Financials!DL$8))</f>
        <v>0</v>
      </c>
      <c r="DM32" s="18">
        <f>IF(DM$1&lt;CapEx!$O$7,0,(Inputs!$D$36*(Inputs!$D$12*(1+Inputs!$L$6)^Financials!DM$3)*Financials!DM$8))</f>
        <v>0</v>
      </c>
      <c r="DN32" s="18">
        <f>IF(DN$1&lt;CapEx!$O$7,0,(Inputs!$D$36*(Inputs!$D$12*(1+Inputs!$L$6)^Financials!DN$3)*Financials!DN$8))</f>
        <v>0</v>
      </c>
      <c r="DO32" s="18">
        <f>IF(DO$1&lt;CapEx!$O$7,0,(Inputs!$D$36*(Inputs!$D$12*(1+Inputs!$L$6)^Financials!DO$3)*Financials!DO$8))</f>
        <v>0</v>
      </c>
      <c r="DP32" s="18">
        <f>IF(DP$1&lt;CapEx!$O$7,0,(Inputs!$D$36*(Inputs!$D$12*(1+Inputs!$L$6)^Financials!DP$3)*Financials!DP$8))</f>
        <v>0</v>
      </c>
      <c r="DQ32" s="18">
        <f>IF(DQ$1&lt;CapEx!$O$7,0,(Inputs!$D$36*(Inputs!$D$12*(1+Inputs!$L$6)^Financials!DQ$3)*Financials!DQ$8))</f>
        <v>0</v>
      </c>
      <c r="DR32" s="18">
        <f>IF(DR$1&lt;CapEx!$O$7,0,(Inputs!$D$36*(Inputs!$D$12*(1+Inputs!$L$6)^Financials!DR$3)*Financials!DR$8))</f>
        <v>0</v>
      </c>
      <c r="DS32" s="18">
        <f>IF(DS$1&lt;CapEx!$O$7,0,(Inputs!$D$36*(Inputs!$D$12*(1+Inputs!$L$6)^Financials!DS$3)*Financials!DS$8))</f>
        <v>0</v>
      </c>
      <c r="DT32" s="18">
        <f>IF(DT$1&lt;CapEx!$O$7,0,(Inputs!$D$36*(Inputs!$D$12*(1+Inputs!$L$6)^Financials!DT$3)*Financials!DT$8))</f>
        <v>0</v>
      </c>
      <c r="DU32" s="18">
        <f>IF(DU$1&lt;CapEx!$O$7,0,(Inputs!$D$36*(Inputs!$D$12*(1+Inputs!$L$6)^Financials!DU$3)*Financials!DU$8))</f>
        <v>0</v>
      </c>
      <c r="DV32" s="18">
        <f>IF(DV$1&lt;CapEx!$O$7,0,(Inputs!$D$36*(Inputs!$D$12*(1+Inputs!$L$6)^Financials!DV$3)*Financials!DV$8))</f>
        <v>0</v>
      </c>
      <c r="DW32" s="18">
        <f>IF(DW$1&lt;CapEx!$O$7,0,(Inputs!$D$36*(Inputs!$D$12*(1+Inputs!$L$6)^Financials!DW$3)*Financials!DW$8))</f>
        <v>0</v>
      </c>
      <c r="DX32" s="18">
        <f>IF(DX$1&lt;CapEx!$O$7,0,(Inputs!$D$36*(Inputs!$D$12*(1+Inputs!$L$6)^Financials!DX$3)*Financials!DX$8))</f>
        <v>0</v>
      </c>
      <c r="DY32" s="18">
        <f>IF(DY$1&lt;CapEx!$O$7,0,(Inputs!$D$36*(Inputs!$D$12*(1+Inputs!$L$6)^Financials!DY$3)*Financials!DY$8))</f>
        <v>0</v>
      </c>
      <c r="DZ32" s="18">
        <f>IF(DZ$1&lt;CapEx!$O$7,0,(Inputs!$D$36*(Inputs!$D$12*(1+Inputs!$L$6)^Financials!DZ$3)*Financials!DZ$8))</f>
        <v>0</v>
      </c>
      <c r="EA32" s="18">
        <f>IF(EA$1&lt;CapEx!$O$7,0,(Inputs!$D$36*(Inputs!$D$12*(1+Inputs!$L$6)^Financials!EA$3)*Financials!EA$8))</f>
        <v>0</v>
      </c>
      <c r="EB32" s="18">
        <f>IF(EB$1&lt;CapEx!$O$7,0,(Inputs!$D$36*(Inputs!$D$12*(1+Inputs!$L$6)^Financials!EB$3)*Financials!EB$8))</f>
        <v>0</v>
      </c>
      <c r="EC32" s="18">
        <f>IF(EC$1&lt;CapEx!$O$7,0,(Inputs!$D$36*(Inputs!$D$12*(1+Inputs!$L$6)^Financials!EC$3)*Financials!EC$8))</f>
        <v>0</v>
      </c>
      <c r="ED32" s="18">
        <f>IF(ED$1&lt;CapEx!$O$7,0,(Inputs!$D$36*(Inputs!$D$12*(1+Inputs!$L$6)^Financials!ED$3)*Financials!ED$8))</f>
        <v>0</v>
      </c>
      <c r="EE32" s="18">
        <f>IF(EE$1&lt;CapEx!$O$7,0,(Inputs!$D$36*(Inputs!$D$12*(1+Inputs!$L$6)^Financials!EE$3)*Financials!EE$8))</f>
        <v>0</v>
      </c>
      <c r="EF32" s="18">
        <f>IF(EF$1&lt;CapEx!$O$7,0,(Inputs!$D$36*(Inputs!$D$12*(1+Inputs!$L$6)^Financials!EF$3)*Financials!EF$8))</f>
        <v>0</v>
      </c>
      <c r="EG32" s="18">
        <f>IF(EG$1&lt;CapEx!$O$7,0,(Inputs!$D$36*(Inputs!$D$12*(1+Inputs!$L$6)^Financials!EG$3)*Financials!EG$8))</f>
        <v>0</v>
      </c>
      <c r="EH32" s="18">
        <f>IF(EH$1&lt;CapEx!$O$7,0,(Inputs!$D$36*(Inputs!$D$12*(1+Inputs!$L$6)^Financials!EH$3)*Financials!EH$8))</f>
        <v>0</v>
      </c>
      <c r="EI32" s="18">
        <f>IF(EI$1&lt;CapEx!$O$7,0,(Inputs!$D$36*(Inputs!$D$12*(1+Inputs!$L$6)^Financials!EI$3)*Financials!EI$8))</f>
        <v>0</v>
      </c>
      <c r="EJ32" s="18">
        <f>IF(EJ$1&lt;CapEx!$O$7,0,(Inputs!$D$36*(Inputs!$D$12*(1+Inputs!$L$6)^Financials!EJ$3)*Financials!EJ$8))</f>
        <v>0</v>
      </c>
      <c r="EK32" s="18">
        <f>IF(EK$1&lt;CapEx!$O$7,0,(Inputs!$D$36*(Inputs!$D$12*(1+Inputs!$L$6)^Financials!EK$3)*Financials!EK$8))</f>
        <v>0</v>
      </c>
      <c r="EL32" s="18">
        <f>IF(EL$1&lt;CapEx!$O$7,0,(Inputs!$D$36*(Inputs!$D$12*(1+Inputs!$L$6)^Financials!EL$3)*Financials!EL$8))</f>
        <v>0</v>
      </c>
      <c r="EM32" s="18">
        <f>IF(EM$1&lt;CapEx!$O$7,0,(Inputs!$D$36*(Inputs!$D$12*(1+Inputs!$L$6)^Financials!EM$3)*Financials!EM$8))</f>
        <v>0</v>
      </c>
      <c r="EN32" s="18">
        <f>IF(EN$1&lt;CapEx!$O$7,0,(Inputs!$D$36*(Inputs!$D$12*(1+Inputs!$L$6)^Financials!EN$3)*Financials!EN$8))</f>
        <v>0</v>
      </c>
      <c r="EO32" s="18">
        <f>IF(EO$1&lt;CapEx!$O$7,0,(Inputs!$D$36*(Inputs!$D$12*(1+Inputs!$L$6)^Financials!EO$3)*Financials!EO$8))</f>
        <v>0</v>
      </c>
      <c r="EP32" s="18">
        <f>IF(EP$1&lt;CapEx!$O$7,0,(Inputs!$D$36*(Inputs!$D$12*(1+Inputs!$L$6)^Financials!EP$3)*Financials!EP$8))</f>
        <v>0</v>
      </c>
      <c r="EQ32" s="18">
        <f>IF(EQ$1&lt;CapEx!$O$7,0,(Inputs!$D$36*(Inputs!$D$12*(1+Inputs!$L$6)^Financials!EQ$3)*Financials!EQ$8))</f>
        <v>0</v>
      </c>
      <c r="ER32" s="18">
        <f>IF(ER$1&lt;CapEx!$O$7,0,(Inputs!$D$36*(Inputs!$D$12*(1+Inputs!$L$6)^Financials!ER$3)*Financials!ER$8))</f>
        <v>0</v>
      </c>
      <c r="ES32" s="18">
        <f>IF(ES$1&lt;CapEx!$O$7,0,(Inputs!$D$36*(Inputs!$D$12*(1+Inputs!$L$6)^Financials!ES$3)*Financials!ES$8))</f>
        <v>0</v>
      </c>
      <c r="ET32" s="18">
        <f>IF(ET$1&lt;CapEx!$O$7,0,(Inputs!$D$36*(Inputs!$D$12*(1+Inputs!$L$6)^Financials!ET$3)*Financials!ET$8))</f>
        <v>0</v>
      </c>
      <c r="EU32" s="18">
        <f>IF(EU$1&lt;CapEx!$O$7,0,(Inputs!$D$36*(Inputs!$D$12*(1+Inputs!$L$6)^Financials!EU$3)*Financials!EU$8))</f>
        <v>0</v>
      </c>
      <c r="EV32" s="18">
        <f>IF(EV$1&lt;CapEx!$O$7,0,(Inputs!$D$36*(Inputs!$D$12*(1+Inputs!$L$6)^Financials!EV$3)*Financials!EV$8))</f>
        <v>0</v>
      </c>
      <c r="EW32" s="18">
        <f>IF(EW$1&lt;CapEx!$O$7,0,(Inputs!$D$36*(Inputs!$D$12*(1+Inputs!$L$6)^Financials!EW$3)*Financials!EW$8))</f>
        <v>0</v>
      </c>
      <c r="EX32" s="18">
        <f>IF(EX$1&lt;CapEx!$O$7,0,(Inputs!$D$36*(Inputs!$D$12*(1+Inputs!$L$6)^Financials!EX$3)*Financials!EX$8))</f>
        <v>0</v>
      </c>
      <c r="EY32" s="18">
        <f>IF(EY$1&lt;CapEx!$O$7,0,(Inputs!$D$36*(Inputs!$D$12*(1+Inputs!$L$6)^Financials!EY$3)*Financials!EY$8))</f>
        <v>0</v>
      </c>
      <c r="EZ32" s="18">
        <f>IF(EZ$1&lt;CapEx!$O$7,0,(Inputs!$D$36*(Inputs!$D$12*(1+Inputs!$L$6)^Financials!EZ$3)*Financials!EZ$8))</f>
        <v>0</v>
      </c>
      <c r="FA32" s="18">
        <f>IF(FA$1&lt;CapEx!$O$7,0,(Inputs!$D$36*(Inputs!$D$12*(1+Inputs!$L$6)^Financials!FA$3)*Financials!FA$8))</f>
        <v>0</v>
      </c>
      <c r="FB32" s="18">
        <f>IF(FB$1&lt;CapEx!$O$7,0,(Inputs!$D$36*(Inputs!$D$12*(1+Inputs!$L$6)^Financials!FB$3)*Financials!FB$8))</f>
        <v>0</v>
      </c>
      <c r="FC32" s="18">
        <f>IF(FC$1&lt;CapEx!$O$7,0,(Inputs!$D$36*(Inputs!$D$12*(1+Inputs!$L$6)^Financials!FC$3)*Financials!FC$8))</f>
        <v>0</v>
      </c>
      <c r="FD32" s="18">
        <f>IF(FD$1&lt;CapEx!$O$7,0,(Inputs!$D$36*(Inputs!$D$12*(1+Inputs!$L$6)^Financials!FD$3)*Financials!FD$8))</f>
        <v>0</v>
      </c>
      <c r="FE32" s="18">
        <f>IF(FE$1&lt;CapEx!$O$7,0,(Inputs!$D$36*(Inputs!$D$12*(1+Inputs!$L$6)^Financials!FE$3)*Financials!FE$8))</f>
        <v>0</v>
      </c>
      <c r="FF32" s="18">
        <f>IF(FF$1&lt;CapEx!$O$7,0,(Inputs!$D$36*(Inputs!$D$12*(1+Inputs!$L$6)^Financials!FF$3)*Financials!FF$8))</f>
        <v>0</v>
      </c>
      <c r="FG32" s="18">
        <f>IF(FG$1&lt;CapEx!$O$7,0,(Inputs!$D$36*(Inputs!$D$12*(1+Inputs!$L$6)^Financials!FG$3)*Financials!FG$8))</f>
        <v>0</v>
      </c>
      <c r="FH32" s="18">
        <f>IF(FH$1&lt;CapEx!$O$7,0,(Inputs!$D$36*(Inputs!$D$12*(1+Inputs!$L$6)^Financials!FH$3)*Financials!FH$8))</f>
        <v>0</v>
      </c>
      <c r="FI32" s="18">
        <f>IF(FI$1&lt;CapEx!$O$7,0,(Inputs!$D$36*(Inputs!$D$12*(1+Inputs!$L$6)^Financials!FI$3)*Financials!FI$8))</f>
        <v>0</v>
      </c>
      <c r="FJ32" s="18">
        <f>IF(FJ$1&lt;CapEx!$O$7,0,(Inputs!$D$36*(Inputs!$D$12*(1+Inputs!$L$6)^Financials!FJ$3)*Financials!FJ$8))</f>
        <v>0</v>
      </c>
      <c r="FK32" s="18">
        <f>IF(FK$1&lt;CapEx!$O$7,0,(Inputs!$D$36*(Inputs!$D$12*(1+Inputs!$L$6)^Financials!FK$3)*Financials!FK$8))</f>
        <v>0</v>
      </c>
      <c r="FL32" s="18">
        <f>IF(FL$1&lt;CapEx!$O$7,0,(Inputs!$D$36*(Inputs!$D$12*(1+Inputs!$L$6)^Financials!FL$3)*Financials!FL$8))</f>
        <v>0</v>
      </c>
      <c r="FM32" s="18">
        <f>IF(FM$1&lt;CapEx!$O$7,0,(Inputs!$D$36*(Inputs!$D$12*(1+Inputs!$L$6)^Financials!FM$3)*Financials!FM$8))</f>
        <v>0</v>
      </c>
      <c r="FN32" s="18">
        <f>IF(FN$1&lt;CapEx!$O$7,0,(Inputs!$D$36*(Inputs!$D$12*(1+Inputs!$L$6)^Financials!FN$3)*Financials!FN$8))</f>
        <v>0</v>
      </c>
      <c r="FO32" s="18">
        <f>IF(FO$1&lt;CapEx!$O$7,0,(Inputs!$D$36*(Inputs!$D$12*(1+Inputs!$L$6)^Financials!FO$3)*Financials!FO$8))</f>
        <v>0</v>
      </c>
      <c r="FP32" s="18">
        <f>IF(FP$1&lt;CapEx!$O$7,0,(Inputs!$D$36*(Inputs!$D$12*(1+Inputs!$L$6)^Financials!FP$3)*Financials!FP$8))</f>
        <v>0</v>
      </c>
      <c r="FQ32" s="18">
        <f>IF(FQ$1&lt;CapEx!$O$7,0,(Inputs!$D$36*(Inputs!$D$12*(1+Inputs!$L$6)^Financials!FQ$3)*Financials!FQ$8))</f>
        <v>0</v>
      </c>
      <c r="FR32" s="18">
        <f>IF(FR$1&lt;CapEx!$O$7,0,(Inputs!$D$36*(Inputs!$D$12*(1+Inputs!$L$6)^Financials!FR$3)*Financials!FR$8))</f>
        <v>0</v>
      </c>
      <c r="FS32" s="18">
        <f>IF(FS$1&lt;CapEx!$O$7,0,(Inputs!$D$36*(Inputs!$D$12*(1+Inputs!$L$6)^Financials!FS$3)*Financials!FS$8))</f>
        <v>0</v>
      </c>
      <c r="FT32" s="18">
        <f>IF(FT$1&lt;CapEx!$O$7,0,(Inputs!$D$36*(Inputs!$D$12*(1+Inputs!$L$6)^Financials!FT$3)*Financials!FT$8))</f>
        <v>0</v>
      </c>
      <c r="FU32" s="18">
        <f>IF(FU$1&lt;CapEx!$O$7,0,(Inputs!$D$36*(Inputs!$D$12*(1+Inputs!$L$6)^Financials!FU$3)*Financials!FU$8))</f>
        <v>0</v>
      </c>
      <c r="FV32" s="18">
        <f>IF(FV$1&lt;CapEx!$O$7,0,(Inputs!$D$36*(Inputs!$D$12*(1+Inputs!$L$6)^Financials!FV$3)*Financials!FV$8))</f>
        <v>0</v>
      </c>
      <c r="FW32" s="18">
        <f>IF(FW$1&lt;CapEx!$O$7,0,(Inputs!$D$36*(Inputs!$D$12*(1+Inputs!$L$6)^Financials!FW$3)*Financials!FW$8))</f>
        <v>0</v>
      </c>
      <c r="FX32" s="18">
        <f>IF(FX$1&lt;CapEx!$O$7,0,(Inputs!$D$36*(Inputs!$D$12*(1+Inputs!$L$6)^Financials!FX$3)*Financials!FX$8))</f>
        <v>0</v>
      </c>
      <c r="FY32" s="18">
        <f>IF(FY$1&lt;CapEx!$O$7,0,(Inputs!$D$36*(Inputs!$D$12*(1+Inputs!$L$6)^Financials!FY$3)*Financials!FY$8))</f>
        <v>0</v>
      </c>
      <c r="FZ32" s="18">
        <f>IF(FZ$1&lt;CapEx!$O$7,0,(Inputs!$D$36*(Inputs!$D$12*(1+Inputs!$L$6)^Financials!FZ$3)*Financials!FZ$8))</f>
        <v>0</v>
      </c>
      <c r="GA32" s="18">
        <f>IF(GA$1&lt;CapEx!$O$7,0,(Inputs!$D$36*(Inputs!$D$12*(1+Inputs!$L$6)^Financials!GA$3)*Financials!GA$8))</f>
        <v>0</v>
      </c>
      <c r="GB32" s="18">
        <f>IF(GB$1&lt;CapEx!$O$7,0,(Inputs!$D$36*(Inputs!$D$12*(1+Inputs!$L$6)^Financials!GB$3)*Financials!GB$8))</f>
        <v>0</v>
      </c>
      <c r="GC32" s="18">
        <f>IF(GC$1&lt;CapEx!$O$7,0,(Inputs!$D$36*(Inputs!$D$12*(1+Inputs!$L$6)^Financials!GC$3)*Financials!GC$8))</f>
        <v>0</v>
      </c>
      <c r="GD32" s="18">
        <f>IF(GD$1&lt;CapEx!$O$7,0,(Inputs!$D$36*(Inputs!$D$12*(1+Inputs!$L$6)^Financials!GD$3)*Financials!GD$8))</f>
        <v>0</v>
      </c>
      <c r="GE32" s="18">
        <f>IF(GE$1&lt;CapEx!$O$7,0,(Inputs!$D$36*(Inputs!$D$12*(1+Inputs!$L$6)^Financials!GE$3)*Financials!GE$8))</f>
        <v>0</v>
      </c>
      <c r="GF32" s="18">
        <f>IF(GF$1&lt;CapEx!$O$7,0,(Inputs!$D$36*(Inputs!$D$12*(1+Inputs!$L$6)^Financials!GF$3)*Financials!GF$8))</f>
        <v>0</v>
      </c>
      <c r="GG32" s="18">
        <f>IF(GG$1&lt;CapEx!$O$7,0,(Inputs!$D$36*(Inputs!$D$12*(1+Inputs!$L$6)^Financials!GG$3)*Financials!GG$8))</f>
        <v>0</v>
      </c>
      <c r="GH32" s="18">
        <f>IF(GH$1&lt;CapEx!$O$7,0,(Inputs!$D$36*(Inputs!$D$12*(1+Inputs!$L$6)^Financials!GH$3)*Financials!GH$8))</f>
        <v>0</v>
      </c>
      <c r="GI32" s="18">
        <f>IF(GI$1&lt;CapEx!$O$7,0,(Inputs!$D$36*(Inputs!$D$12*(1+Inputs!$L$6)^Financials!GI$3)*Financials!GI$8))</f>
        <v>0</v>
      </c>
      <c r="GJ32" s="18">
        <f>IF(GJ$1&lt;CapEx!$O$7,0,(Inputs!$D$36*(Inputs!$D$12*(1+Inputs!$L$6)^Financials!GJ$3)*Financials!GJ$8))</f>
        <v>0</v>
      </c>
      <c r="GK32" s="18">
        <f>IF(GK$1&lt;CapEx!$O$7,0,(Inputs!$D$36*(Inputs!$D$12*(1+Inputs!$L$6)^Financials!GK$3)*Financials!GK$8))</f>
        <v>0</v>
      </c>
      <c r="GL32" s="18">
        <f>IF(GL$1&lt;CapEx!$O$7,0,(Inputs!$D$36*(Inputs!$D$12*(1+Inputs!$L$6)^Financials!GL$3)*Financials!GL$8))</f>
        <v>0</v>
      </c>
      <c r="GM32" s="18">
        <f>IF(GM$1&lt;CapEx!$O$7,0,(Inputs!$D$36*(Inputs!$D$12*(1+Inputs!$L$6)^Financials!GM$3)*Financials!GM$8))</f>
        <v>0</v>
      </c>
      <c r="GN32" s="18">
        <f>IF(GN$1&lt;CapEx!$O$7,0,(Inputs!$D$36*(Inputs!$D$12*(1+Inputs!$L$6)^Financials!GN$3)*Financials!GN$8))</f>
        <v>0</v>
      </c>
      <c r="GO32" s="18">
        <f>IF(GO$1&lt;CapEx!$O$7,0,(Inputs!$D$36*(Inputs!$D$12*(1+Inputs!$L$6)^Financials!GO$3)*Financials!GO$8))</f>
        <v>0</v>
      </c>
      <c r="GP32" s="18">
        <f>IF(GP$1&lt;CapEx!$O$7,0,(Inputs!$D$36*(Inputs!$D$12*(1+Inputs!$L$6)^Financials!GP$3)*Financials!GP$8))</f>
        <v>0</v>
      </c>
      <c r="GQ32" s="18">
        <f>IF(GQ$1&lt;CapEx!$O$7,0,(Inputs!$D$36*(Inputs!$D$12*(1+Inputs!$L$6)^Financials!GQ$3)*Financials!GQ$8))</f>
        <v>0</v>
      </c>
      <c r="GR32" s="18">
        <f>IF(GR$1&lt;CapEx!$O$7,0,(Inputs!$D$36*(Inputs!$D$12*(1+Inputs!$L$6)^Financials!GR$3)*Financials!GR$8))</f>
        <v>0</v>
      </c>
      <c r="GS32" s="18">
        <f>IF(GS$1&lt;CapEx!$O$7,0,(Inputs!$D$36*(Inputs!$D$12*(1+Inputs!$L$6)^Financials!GS$3)*Financials!GS$8))</f>
        <v>0</v>
      </c>
      <c r="GT32" s="18">
        <f>IF(GT$1&lt;CapEx!$O$7,0,(Inputs!$D$36*(Inputs!$D$12*(1+Inputs!$L$6)^Financials!GT$3)*Financials!GT$8))</f>
        <v>0</v>
      </c>
      <c r="GU32" s="18">
        <f>IF(GU$1&lt;CapEx!$O$7,0,(Inputs!$D$36*(Inputs!$D$12*(1+Inputs!$L$6)^Financials!GU$3)*Financials!GU$8))</f>
        <v>0</v>
      </c>
      <c r="GV32" s="18">
        <f>IF(GV$1&lt;CapEx!$O$7,0,(Inputs!$D$36*(Inputs!$D$12*(1+Inputs!$L$6)^Financials!GV$3)*Financials!GV$8))</f>
        <v>0</v>
      </c>
      <c r="GW32" s="18">
        <f>IF(GW$1&lt;CapEx!$O$7,0,(Inputs!$D$36*(Inputs!$D$12*(1+Inputs!$L$6)^Financials!GW$3)*Financials!GW$8))</f>
        <v>0</v>
      </c>
      <c r="GX32" s="18">
        <f>IF(GX$1&lt;CapEx!$O$7,0,(Inputs!$D$36*(Inputs!$D$12*(1+Inputs!$L$6)^Financials!GX$3)*Financials!GX$8))</f>
        <v>0</v>
      </c>
      <c r="GY32" s="18">
        <f>IF(GY$1&lt;CapEx!$O$7,0,(Inputs!$D$36*(Inputs!$D$12*(1+Inputs!$L$6)^Financials!GY$3)*Financials!GY$8))</f>
        <v>0</v>
      </c>
      <c r="GZ32" s="18">
        <f>IF(GZ$1&lt;CapEx!$O$7,0,(Inputs!$D$36*(Inputs!$D$12*(1+Inputs!$L$6)^Financials!GZ$3)*Financials!GZ$8))</f>
        <v>0</v>
      </c>
      <c r="HA32" s="18">
        <f>IF(HA$1&lt;CapEx!$O$7,0,(Inputs!$D$36*(Inputs!$D$12*(1+Inputs!$L$6)^Financials!HA$3)*Financials!HA$8))</f>
        <v>0</v>
      </c>
      <c r="HB32" s="18">
        <f>IF(HB$1&lt;CapEx!$O$7,0,(Inputs!$D$36*(Inputs!$D$12*(1+Inputs!$L$6)^Financials!HB$3)*Financials!HB$8))</f>
        <v>0</v>
      </c>
      <c r="HC32" s="18">
        <f>IF(HC$1&lt;CapEx!$O$7,0,(Inputs!$D$36*(Inputs!$D$12*(1+Inputs!$L$6)^Financials!HC$3)*Financials!HC$8))</f>
        <v>0</v>
      </c>
      <c r="HD32" s="18">
        <f>IF(HD$1&lt;CapEx!$O$7,0,(Inputs!$D$36*(Inputs!$D$12*(1+Inputs!$L$6)^Financials!HD$3)*Financials!HD$8))</f>
        <v>0</v>
      </c>
      <c r="HE32" s="18">
        <f>IF(HE$1&lt;CapEx!$O$7,0,(Inputs!$D$36*(Inputs!$D$12*(1+Inputs!$L$6)^Financials!HE$3)*Financials!HE$8))</f>
        <v>0</v>
      </c>
      <c r="HF32" s="18">
        <f>IF(HF$1&lt;CapEx!$O$7,0,(Inputs!$D$36*(Inputs!$D$12*(1+Inputs!$L$6)^Financials!HF$3)*Financials!HF$8))</f>
        <v>0</v>
      </c>
      <c r="HG32" s="18">
        <f>IF(HG$1&lt;CapEx!$O$7,0,(Inputs!$D$36*(Inputs!$D$12*(1+Inputs!$L$6)^Financials!HG$3)*Financials!HG$8))</f>
        <v>0</v>
      </c>
      <c r="HH32" s="18">
        <f>IF(HH$1&lt;CapEx!$O$7,0,(Inputs!$D$36*(Inputs!$D$12*(1+Inputs!$L$6)^Financials!HH$3)*Financials!HH$8))</f>
        <v>0</v>
      </c>
      <c r="HI32" s="18">
        <f>IF(HI$1&lt;CapEx!$O$7,0,(Inputs!$D$36*(Inputs!$D$12*(1+Inputs!$L$6)^Financials!HI$3)*Financials!HI$8))</f>
        <v>0</v>
      </c>
      <c r="HJ32" s="18">
        <f>IF(HJ$1&lt;CapEx!$O$7,0,(Inputs!$D$36*(Inputs!$D$12*(1+Inputs!$L$6)^Financials!HJ$3)*Financials!HJ$8))</f>
        <v>0</v>
      </c>
      <c r="HK32" s="18">
        <f>IF(HK$1&lt;CapEx!$O$7,0,(Inputs!$D$36*(Inputs!$D$12*(1+Inputs!$L$6)^Financials!HK$3)*Financials!HK$8))</f>
        <v>0</v>
      </c>
      <c r="HL32" s="18">
        <f>IF(HL$1&lt;CapEx!$O$7,0,(Inputs!$D$36*(Inputs!$D$12*(1+Inputs!$L$6)^Financials!HL$3)*Financials!HL$8))</f>
        <v>0</v>
      </c>
      <c r="HM32" s="18">
        <f>IF(HM$1&lt;CapEx!$O$7,0,(Inputs!$D$36*(Inputs!$D$12*(1+Inputs!$L$6)^Financials!HM$3)*Financials!HM$8))</f>
        <v>0</v>
      </c>
      <c r="HN32" s="18">
        <f>IF(HN$1&lt;CapEx!$O$7,0,(Inputs!$D$36*(Inputs!$D$12*(1+Inputs!$L$6)^Financials!HN$3)*Financials!HN$8))</f>
        <v>0</v>
      </c>
      <c r="HO32" s="18">
        <f>IF(HO$1&lt;CapEx!$O$7,0,(Inputs!$D$36*(Inputs!$D$12*(1+Inputs!$L$6)^Financials!HO$3)*Financials!HO$8))</f>
        <v>0</v>
      </c>
      <c r="HP32" s="18">
        <f>IF(HP$1&lt;CapEx!$O$7,0,(Inputs!$D$36*(Inputs!$D$12*(1+Inputs!$L$6)^Financials!HP$3)*Financials!HP$8))</f>
        <v>0</v>
      </c>
      <c r="HQ32" s="18">
        <f>IF(HQ$1&lt;CapEx!$O$7,0,(Inputs!$D$36*(Inputs!$D$12*(1+Inputs!$L$6)^Financials!HQ$3)*Financials!HQ$8))</f>
        <v>0</v>
      </c>
      <c r="HR32" s="18">
        <f>IF(HR$1&lt;CapEx!$O$7,0,(Inputs!$D$36*(Inputs!$D$12*(1+Inputs!$L$6)^Financials!HR$3)*Financials!HR$8))</f>
        <v>0</v>
      </c>
      <c r="HS32" s="18">
        <f>IF(HS$1&lt;CapEx!$O$7,0,(Inputs!$D$36*(Inputs!$D$12*(1+Inputs!$L$6)^Financials!HS$3)*Financials!HS$8))</f>
        <v>0</v>
      </c>
      <c r="HT32" s="18">
        <f>IF(HT$1&lt;CapEx!$O$7,0,(Inputs!$D$36*(Inputs!$D$12*(1+Inputs!$L$6)^Financials!HT$3)*Financials!HT$8))</f>
        <v>0</v>
      </c>
      <c r="HU32" s="18">
        <f>IF(HU$1&lt;CapEx!$O$7,0,(Inputs!$D$36*(Inputs!$D$12*(1+Inputs!$L$6)^Financials!HU$3)*Financials!HU$8))</f>
        <v>0</v>
      </c>
      <c r="HV32" s="18">
        <f>IF(HV$1&lt;CapEx!$O$7,0,(Inputs!$D$36*(Inputs!$D$12*(1+Inputs!$L$6)^Financials!HV$3)*Financials!HV$8))</f>
        <v>0</v>
      </c>
      <c r="HW32" s="18">
        <f>IF(HW$1&lt;CapEx!$O$7,0,(Inputs!$D$36*(Inputs!$D$12*(1+Inputs!$L$6)^Financials!HW$3)*Financials!HW$8))</f>
        <v>0</v>
      </c>
      <c r="HX32" s="18">
        <f>IF(HX$1&lt;CapEx!$O$7,0,(Inputs!$D$36*(Inputs!$D$12*(1+Inputs!$L$6)^Financials!HX$3)*Financials!HX$8))</f>
        <v>0</v>
      </c>
      <c r="HY32" s="18">
        <f>IF(HY$1&lt;CapEx!$O$7,0,(Inputs!$D$36*(Inputs!$D$12*(1+Inputs!$L$6)^Financials!HY$3)*Financials!HY$8))</f>
        <v>0</v>
      </c>
      <c r="HZ32" s="18">
        <f>IF(HZ$1&lt;CapEx!$O$7,0,(Inputs!$D$36*(Inputs!$D$12*(1+Inputs!$L$6)^Financials!HZ$3)*Financials!HZ$8))</f>
        <v>0</v>
      </c>
      <c r="IA32" s="18">
        <f>IF(IA$1&lt;CapEx!$O$7,0,(Inputs!$D$36*(Inputs!$D$12*(1+Inputs!$L$6)^Financials!IA$3)*Financials!IA$8))</f>
        <v>0</v>
      </c>
      <c r="IB32" s="18">
        <f>IF(IB$1&lt;CapEx!$O$7,0,(Inputs!$D$36*(Inputs!$D$12*(1+Inputs!$L$6)^Financials!IB$3)*Financials!IB$8))</f>
        <v>0</v>
      </c>
      <c r="IC32" s="18">
        <f>IF(IC$1&lt;CapEx!$O$7,0,(Inputs!$D$36*(Inputs!$D$12*(1+Inputs!$L$6)^Financials!IC$3)*Financials!IC$8))</f>
        <v>0</v>
      </c>
      <c r="ID32" s="18">
        <f>IF(ID$1&lt;CapEx!$O$7,0,(Inputs!$D$36*(Inputs!$D$12*(1+Inputs!$L$6)^Financials!ID$3)*Financials!ID$8))</f>
        <v>0</v>
      </c>
      <c r="IE32" s="18">
        <f>IF(IE$1&lt;CapEx!$O$7,0,(Inputs!$D$36*(Inputs!$D$12*(1+Inputs!$L$6)^Financials!IE$3)*Financials!IE$8))</f>
        <v>0</v>
      </c>
      <c r="IF32" s="18">
        <f>IF(IF$1&lt;CapEx!$O$7,0,(Inputs!$D$36*(Inputs!$D$12*(1+Inputs!$L$6)^Financials!IF$3)*Financials!IF$8))</f>
        <v>0</v>
      </c>
      <c r="IG32" s="18">
        <f>IF(IG$1&lt;CapEx!$O$7,0,(Inputs!$D$36*(Inputs!$D$12*(1+Inputs!$L$6)^Financials!IG$3)*Financials!IG$8))</f>
        <v>0</v>
      </c>
      <c r="IH32" s="18">
        <f>IF(IH$1&lt;CapEx!$O$7,0,(Inputs!$D$36*(Inputs!$D$12*(1+Inputs!$L$6)^Financials!IH$3)*Financials!IH$8))</f>
        <v>0</v>
      </c>
      <c r="II32" s="18">
        <f>IF(II$1&lt;CapEx!$O$7,0,(Inputs!$D$36*(Inputs!$D$12*(1+Inputs!$L$6)^Financials!II$3)*Financials!II$8))</f>
        <v>0</v>
      </c>
      <c r="IJ32" s="18">
        <f>IF(IJ$1&lt;CapEx!$O$7,0,(Inputs!$D$36*(Inputs!$D$12*(1+Inputs!$L$6)^Financials!IJ$3)*Financials!IJ$8))</f>
        <v>0</v>
      </c>
      <c r="IK32" s="18">
        <f>IF(IK$1&lt;CapEx!$O$7,0,(Inputs!$D$36*(Inputs!$D$12*(1+Inputs!$L$6)^Financials!IK$3)*Financials!IK$8))</f>
        <v>0</v>
      </c>
      <c r="IL32" s="18">
        <f>IF(IL$1&lt;CapEx!$O$7,0,(Inputs!$D$36*(Inputs!$D$12*(1+Inputs!$L$6)^Financials!IL$3)*Financials!IL$8))</f>
        <v>0</v>
      </c>
      <c r="IM32" s="18">
        <f>IF(IM$1&lt;CapEx!$O$7,0,(Inputs!$D$36*(Inputs!$D$12*(1+Inputs!$L$6)^Financials!IM$3)*Financials!IM$8))</f>
        <v>0</v>
      </c>
      <c r="IN32" s="18">
        <f>IF(IN$1&lt;CapEx!$O$7,0,(Inputs!$D$36*(Inputs!$D$12*(1+Inputs!$L$6)^Financials!IN$3)*Financials!IN$8))</f>
        <v>0</v>
      </c>
      <c r="IO32" s="18">
        <f>IF(IO$1&lt;CapEx!$O$7,0,(Inputs!$D$36*(Inputs!$D$12*(1+Inputs!$L$6)^Financials!IO$3)*Financials!IO$8))</f>
        <v>0</v>
      </c>
      <c r="IP32" s="18">
        <f>IF(IP$1&lt;CapEx!$O$7,0,(Inputs!$D$36*(Inputs!$D$12*(1+Inputs!$L$6)^Financials!IP$3)*Financials!IP$8))</f>
        <v>0</v>
      </c>
      <c r="IQ32" s="18">
        <f>IF(IQ$1&lt;CapEx!$O$7,0,(Inputs!$D$36*(Inputs!$D$12*(1+Inputs!$L$6)^Financials!IQ$3)*Financials!IQ$8))</f>
        <v>0</v>
      </c>
      <c r="IR32" s="18">
        <f>IF(IR$1&lt;CapEx!$O$7,0,(Inputs!$D$36*(Inputs!$D$12*(1+Inputs!$L$6)^Financials!IR$3)*Financials!IR$8))</f>
        <v>0</v>
      </c>
      <c r="IS32" s="18">
        <f>IF(IS$1&lt;CapEx!$O$7,0,(Inputs!$D$36*(Inputs!$D$12*(1+Inputs!$L$6)^Financials!IS$3)*Financials!IS$8))</f>
        <v>0</v>
      </c>
      <c r="IT32" s="18">
        <f>IF(IT$1&lt;CapEx!$O$7,0,(Inputs!$D$36*(Inputs!$D$12*(1+Inputs!$L$6)^Financials!IT$3)*Financials!IT$8))</f>
        <v>0</v>
      </c>
      <c r="IU32" s="18">
        <f>IF(IU$1&lt;CapEx!$O$7,0,(Inputs!$D$36*(Inputs!$D$12*(1+Inputs!$L$6)^Financials!IU$3)*Financials!IU$8))</f>
        <v>0</v>
      </c>
      <c r="IV32" s="18">
        <f>IF(IV$1&lt;CapEx!$O$7,0,(Inputs!$D$36*(Inputs!$D$12*(1+Inputs!$L$6)^Financials!IV$3)*Financials!IV$8))</f>
        <v>0</v>
      </c>
      <c r="IW32" s="18">
        <f>IF(IW$1&lt;CapEx!$O$7,0,(Inputs!$D$36*(Inputs!$D$12*(1+Inputs!$L$6)^Financials!IW$3)*Financials!IW$8))</f>
        <v>0</v>
      </c>
      <c r="IX32" s="18">
        <f>IF(IX$1&lt;CapEx!$O$7,0,(Inputs!$D$36*(Inputs!$D$12*(1+Inputs!$L$6)^Financials!IX$3)*Financials!IX$8))</f>
        <v>0</v>
      </c>
      <c r="IY32" s="18">
        <f>IF(IY$1&lt;CapEx!$O$7,0,(Inputs!$D$36*(Inputs!$D$12*(1+Inputs!$L$6)^Financials!IY$3)*Financials!IY$8))</f>
        <v>0</v>
      </c>
      <c r="IZ32" s="18">
        <f>IF(IZ$1&lt;CapEx!$O$7,0,(Inputs!$D$36*(Inputs!$D$12*(1+Inputs!$L$6)^Financials!IZ$3)*Financials!IZ$8))</f>
        <v>0</v>
      </c>
      <c r="JA32" s="18">
        <f>IF(JA$1&lt;CapEx!$O$7,0,(Inputs!$D$36*(Inputs!$D$12*(1+Inputs!$L$6)^Financials!JA$3)*Financials!JA$8))</f>
        <v>0</v>
      </c>
      <c r="JB32" s="18">
        <f>IF(JB$1&lt;CapEx!$O$7,0,(Inputs!$D$36*(Inputs!$D$12*(1+Inputs!$L$6)^Financials!JB$3)*Financials!JB$8))</f>
        <v>0</v>
      </c>
      <c r="JC32" s="18">
        <f>IF(JC$1&lt;CapEx!$O$7,0,(Inputs!$D$36*(Inputs!$D$12*(1+Inputs!$L$6)^Financials!JC$3)*Financials!JC$8))</f>
        <v>0</v>
      </c>
      <c r="JD32" s="18">
        <f>IF(JD$1&lt;CapEx!$O$7,0,(Inputs!$D$36*(Inputs!$D$12*(1+Inputs!$L$6)^Financials!JD$3)*Financials!JD$8))</f>
        <v>0</v>
      </c>
      <c r="JE32" s="18">
        <f>IF(JE$1&lt;CapEx!$O$7,0,(Inputs!$D$36*(Inputs!$D$12*(1+Inputs!$L$6)^Financials!JE$3)*Financials!JE$8))</f>
        <v>0</v>
      </c>
      <c r="JF32" s="18">
        <f>IF(JF$1&lt;CapEx!$O$7,0,(Inputs!$D$36*(Inputs!$D$12*(1+Inputs!$L$6)^Financials!JF$3)*Financials!JF$8))</f>
        <v>0</v>
      </c>
      <c r="JG32" s="18">
        <f>IF(JG$1&lt;CapEx!$O$7,0,(Inputs!$D$36*(Inputs!$D$12*(1+Inputs!$L$6)^Financials!JG$3)*Financials!JG$8))</f>
        <v>0</v>
      </c>
      <c r="JH32" s="18">
        <f>IF(JH$1&lt;CapEx!$O$7,0,(Inputs!$D$36*(Inputs!$D$12*(1+Inputs!$L$6)^Financials!JH$3)*Financials!JH$8))</f>
        <v>0</v>
      </c>
      <c r="JI32" s="18">
        <f>IF(JI$1&lt;CapEx!$O$7,0,(Inputs!$D$36*(Inputs!$D$12*(1+Inputs!$L$6)^Financials!JI$3)*Financials!JI$8))</f>
        <v>0</v>
      </c>
      <c r="JJ32" s="18">
        <f>IF(JJ$1&lt;CapEx!$O$7,0,(Inputs!$D$36*(Inputs!$D$12*(1+Inputs!$L$6)^Financials!JJ$3)*Financials!JJ$8))</f>
        <v>0</v>
      </c>
      <c r="JK32" s="18">
        <f>IF(JK$1&lt;CapEx!$O$7,0,(Inputs!$D$36*(Inputs!$D$12*(1+Inputs!$L$6)^Financials!JK$3)*Financials!JK$8))</f>
        <v>0</v>
      </c>
      <c r="JL32" s="18">
        <f>IF(JL$1&lt;CapEx!$O$7,0,(Inputs!$D$36*(Inputs!$D$12*(1+Inputs!$L$6)^Financials!JL$3)*Financials!JL$8))</f>
        <v>0</v>
      </c>
      <c r="JM32" s="18">
        <f>IF(JM$1&lt;CapEx!$O$7,0,(Inputs!$D$36*(Inputs!$D$12*(1+Inputs!$L$6)^Financials!JM$3)*Financials!JM$8))</f>
        <v>0</v>
      </c>
      <c r="JN32" s="18">
        <f>IF(JN$1&lt;CapEx!$O$7,0,(Inputs!$D$36*(Inputs!$D$12*(1+Inputs!$L$6)^Financials!JN$3)*Financials!JN$8))</f>
        <v>0</v>
      </c>
      <c r="JO32" s="18">
        <f>IF(JO$1&lt;CapEx!$O$7,0,(Inputs!$D$36*(Inputs!$D$12*(1+Inputs!$L$6)^Financials!JO$3)*Financials!JO$8))</f>
        <v>0</v>
      </c>
      <c r="JP32" s="18">
        <f>IF(JP$1&lt;CapEx!$O$7,0,(Inputs!$D$36*(Inputs!$D$12*(1+Inputs!$L$6)^Financials!JP$3)*Financials!JP$8))</f>
        <v>0</v>
      </c>
      <c r="JQ32" s="18">
        <f>IF(JQ$1&lt;CapEx!$O$7,0,(Inputs!$D$36*(Inputs!$D$12*(1+Inputs!$L$6)^Financials!JQ$3)*Financials!JQ$8))</f>
        <v>0</v>
      </c>
      <c r="JR32" s="18">
        <f>IF(JR$1&lt;CapEx!$O$7,0,(Inputs!$D$36*(Inputs!$D$12*(1+Inputs!$L$6)^Financials!JR$3)*Financials!JR$8))</f>
        <v>0</v>
      </c>
    </row>
    <row r="33" spans="2:278" x14ac:dyDescent="0.2">
      <c r="B33" s="22" t="str">
        <f>Inputs!B13</f>
        <v>Renewable Energy Credits</v>
      </c>
      <c r="C33" s="18">
        <f>IF(C$1&lt;CapEx!$O$7,0,(Inputs!$D$13))</f>
        <v>0</v>
      </c>
      <c r="D33" s="18">
        <f>IF(D$1&lt;CapEx!$O$7,0,(Inputs!$D$13))</f>
        <v>0</v>
      </c>
      <c r="E33" s="18">
        <f>IF(E$1&lt;CapEx!$O$7,0,(Inputs!$D$13))</f>
        <v>0</v>
      </c>
      <c r="F33" s="18">
        <f>IF(F$1&lt;CapEx!$O$7,0,(Inputs!$D$13))</f>
        <v>0</v>
      </c>
      <c r="G33" s="18">
        <f>IF(G$1&lt;CapEx!$O$7,0,(Inputs!$D$13))</f>
        <v>0</v>
      </c>
      <c r="H33" s="18">
        <f>IF(H$1&lt;CapEx!$O$7,0,(Inputs!$D$13))</f>
        <v>0</v>
      </c>
      <c r="I33" s="18">
        <f>IF(I$1&lt;CapEx!$O$7,0,(Inputs!$D$13))</f>
        <v>0</v>
      </c>
      <c r="J33" s="18">
        <f>IF(J$1&lt;CapEx!$O$7,0,(Inputs!$D$13))</f>
        <v>0</v>
      </c>
      <c r="K33" s="18">
        <f>IF(K$1&lt;CapEx!$O$7,0,(Inputs!$D$13))</f>
        <v>0</v>
      </c>
      <c r="L33" s="18">
        <f>IF(L$1&lt;CapEx!$O$7,0,(Inputs!$D$13))</f>
        <v>0</v>
      </c>
      <c r="M33" s="18">
        <f>IF(M$1&lt;CapEx!$O$7,0,(Inputs!$D$13))</f>
        <v>0</v>
      </c>
      <c r="N33" s="18">
        <f>IF(N$1&lt;CapEx!$O$7,0,(Inputs!$D$13))</f>
        <v>0</v>
      </c>
      <c r="O33" s="18">
        <f>IF(O$1&lt;CapEx!$O$7,0,(Inputs!$D$13))</f>
        <v>0</v>
      </c>
      <c r="P33" s="18">
        <f>IF(P$1&lt;CapEx!$O$7,0,(Inputs!$D$13))</f>
        <v>0</v>
      </c>
      <c r="Q33" s="18">
        <f>IF(Q$1&lt;CapEx!$O$7,0,(Inputs!$D$13))</f>
        <v>0</v>
      </c>
      <c r="R33" s="18">
        <f>IF(R$1&lt;CapEx!$O$7,0,(Inputs!$D$13))</f>
        <v>0</v>
      </c>
      <c r="S33" s="18">
        <f>IF(S$1&lt;CapEx!$O$7,0,(Inputs!$D$13))</f>
        <v>0</v>
      </c>
      <c r="T33" s="18">
        <f>IF(T$1&lt;CapEx!$O$7,0,(Inputs!$D$13))</f>
        <v>0</v>
      </c>
      <c r="U33" s="18">
        <f>IF(U$1&lt;CapEx!$O$7,0,(Inputs!$D$13))</f>
        <v>0</v>
      </c>
      <c r="V33" s="18">
        <f>IF(V$1&lt;CapEx!$O$7,0,(Inputs!$D$13))</f>
        <v>0</v>
      </c>
      <c r="W33" s="18">
        <f>IF(W$1&lt;CapEx!$O$7,0,(Inputs!$D$13))</f>
        <v>0</v>
      </c>
      <c r="X33" s="18">
        <f>IF(X$1&lt;CapEx!$O$7,0,(Inputs!$D$13))</f>
        <v>0</v>
      </c>
      <c r="Y33" s="18">
        <f>IF(Y$1&lt;CapEx!$O$7,0,(Inputs!$D$13))</f>
        <v>0</v>
      </c>
      <c r="Z33" s="18">
        <f>IF(Z$1&lt;CapEx!$O$7,0,(Inputs!$D$13))</f>
        <v>0</v>
      </c>
      <c r="AA33" s="18">
        <f>IF(AA$1&lt;CapEx!$O$7,0,(Inputs!$D$13))</f>
        <v>0</v>
      </c>
      <c r="AB33" s="18">
        <f>IF(AB$1&lt;CapEx!$O$7,0,(Inputs!$D$13))</f>
        <v>0</v>
      </c>
      <c r="AC33" s="18">
        <f>IF(AC$1&lt;CapEx!$O$7,0,(Inputs!$D$13))</f>
        <v>0</v>
      </c>
      <c r="AD33" s="18">
        <f>IF(AD$1&lt;CapEx!$O$7,0,(Inputs!$D$13))</f>
        <v>0</v>
      </c>
      <c r="AE33" s="18">
        <f>IF(AE$1&lt;CapEx!$O$7,0,(Inputs!$D$13))</f>
        <v>0</v>
      </c>
      <c r="AF33" s="18">
        <f>IF(AF$1&lt;CapEx!$O$7,0,(Inputs!$D$13))</f>
        <v>0</v>
      </c>
      <c r="AG33" s="18">
        <f>IF(AG$1&lt;CapEx!$O$7,0,(Inputs!$D$13))</f>
        <v>0</v>
      </c>
      <c r="AH33" s="18">
        <f>IF(AH$1&lt;CapEx!$O$7,0,(Inputs!$D$13))</f>
        <v>0</v>
      </c>
      <c r="AI33" s="18">
        <f>IF(AI$1&lt;CapEx!$O$7,0,(Inputs!$D$13))</f>
        <v>0</v>
      </c>
      <c r="AJ33" s="18">
        <f>IF(AJ$1&lt;CapEx!$O$7,0,(Inputs!$D$13))</f>
        <v>0</v>
      </c>
      <c r="AK33" s="18">
        <f>IF(AK$1&lt;CapEx!$O$7,0,(Inputs!$D$13))</f>
        <v>0</v>
      </c>
      <c r="AL33" s="18">
        <f>IF(AL$1&lt;CapEx!$O$7,0,(Inputs!$D$13))</f>
        <v>0</v>
      </c>
      <c r="AM33" s="18">
        <f>IF(AM$1&lt;CapEx!$O$7,0,(Inputs!$D$13))</f>
        <v>0</v>
      </c>
      <c r="AN33" s="18">
        <f>IF(AN$1&lt;CapEx!$O$7,0,(Inputs!$D$13))</f>
        <v>0</v>
      </c>
      <c r="AO33" s="18">
        <f>IF(AO$1&lt;CapEx!$O$7,0,(Inputs!$D$13))</f>
        <v>0</v>
      </c>
      <c r="AP33" s="18">
        <f>IF(AP$1&lt;CapEx!$O$7,0,(Inputs!$D$13))</f>
        <v>0</v>
      </c>
      <c r="AQ33" s="18">
        <f>IF(AQ$1&lt;CapEx!$O$7,0,(Inputs!$D$13))</f>
        <v>0</v>
      </c>
      <c r="AR33" s="18">
        <f>IF(AR$1&lt;CapEx!$O$7,0,(Inputs!$D$13))</f>
        <v>0</v>
      </c>
      <c r="AS33" s="18">
        <f>IF(AS$1&lt;CapEx!$O$7,0,(Inputs!$D$13))</f>
        <v>0</v>
      </c>
      <c r="AT33" s="18">
        <f>IF(AT$1&lt;CapEx!$O$7,0,(Inputs!$D$13))</f>
        <v>0</v>
      </c>
      <c r="AU33" s="18">
        <f>IF(AU$1&lt;CapEx!$O$7,0,(Inputs!$D$13))</f>
        <v>0</v>
      </c>
      <c r="AV33" s="18">
        <f>IF(AV$1&lt;CapEx!$O$7,0,(Inputs!$D$13))</f>
        <v>0</v>
      </c>
      <c r="AW33" s="18">
        <f>IF(AW$1&lt;CapEx!$O$7,0,(Inputs!$D$13))</f>
        <v>0</v>
      </c>
      <c r="AX33" s="18">
        <f>IF(AX$1&lt;CapEx!$O$7,0,(Inputs!$D$13))</f>
        <v>0</v>
      </c>
      <c r="AY33" s="18">
        <f>IF(AY$1&lt;CapEx!$O$7,0,(Inputs!$D$13))</f>
        <v>0</v>
      </c>
      <c r="AZ33" s="18">
        <f>IF(AZ$1&lt;CapEx!$O$7,0,(Inputs!$D$13))</f>
        <v>0</v>
      </c>
      <c r="BA33" s="18">
        <f>IF(BA$1&lt;CapEx!$O$7,0,(Inputs!$D$13))</f>
        <v>0</v>
      </c>
      <c r="BB33" s="18">
        <f>IF(BB$1&lt;CapEx!$O$7,0,(Inputs!$D$13))</f>
        <v>0</v>
      </c>
      <c r="BC33" s="18">
        <f>IF(BC$1&lt;CapEx!$O$7,0,(Inputs!$D$13))</f>
        <v>0</v>
      </c>
      <c r="BD33" s="18">
        <f>IF(BD$1&lt;CapEx!$O$7,0,(Inputs!$D$13))</f>
        <v>0</v>
      </c>
      <c r="BE33" s="18">
        <f>IF(BE$1&lt;CapEx!$O$7,0,(Inputs!$D$13))</f>
        <v>0</v>
      </c>
      <c r="BF33" s="18">
        <f>IF(BF$1&lt;CapEx!$O$7,0,(Inputs!$D$13))</f>
        <v>0</v>
      </c>
      <c r="BG33" s="18">
        <f>IF(BG$1&lt;CapEx!$O$7,0,(Inputs!$D$13))</f>
        <v>0</v>
      </c>
      <c r="BH33" s="18">
        <f>IF(BH$1&lt;CapEx!$O$7,0,(Inputs!$D$13))</f>
        <v>0</v>
      </c>
      <c r="BI33" s="18">
        <f>IF(BI$1&lt;CapEx!$O$7,0,(Inputs!$D$13))</f>
        <v>0</v>
      </c>
      <c r="BJ33" s="18">
        <f>IF(BJ$1&lt;CapEx!$O$7,0,(Inputs!$D$13))</f>
        <v>0</v>
      </c>
      <c r="BK33" s="18">
        <f>IF(BK$1&lt;CapEx!$O$7,0,(Inputs!$D$13))</f>
        <v>0</v>
      </c>
      <c r="BL33" s="18">
        <f>IF(BL$1&lt;CapEx!$O$7,0,(Inputs!$D$13))</f>
        <v>0</v>
      </c>
      <c r="BM33" s="18">
        <f>IF(BM$1&lt;CapEx!$O$7,0,(Inputs!$D$13))</f>
        <v>0</v>
      </c>
      <c r="BN33" s="18">
        <f>IF(BN$1&lt;CapEx!$O$7,0,(Inputs!$D$13))</f>
        <v>0</v>
      </c>
      <c r="BO33" s="18">
        <f>IF(BO$1&lt;CapEx!$O$7,0,(Inputs!$D$13))</f>
        <v>0</v>
      </c>
      <c r="BP33" s="18">
        <f>IF(BP$1&lt;CapEx!$O$7,0,(Inputs!$D$13))</f>
        <v>0</v>
      </c>
      <c r="BQ33" s="18">
        <f>IF(BQ$1&lt;CapEx!$O$7,0,(Inputs!$D$13))</f>
        <v>0</v>
      </c>
      <c r="BR33" s="18">
        <f>IF(BR$1&lt;CapEx!$O$7,0,(Inputs!$D$13))</f>
        <v>0</v>
      </c>
      <c r="BS33" s="18">
        <f>IF(BS$1&lt;CapEx!$O$7,0,(Inputs!$D$13))</f>
        <v>0</v>
      </c>
      <c r="BT33" s="18">
        <f>IF(BT$1&lt;CapEx!$O$7,0,(Inputs!$D$13))</f>
        <v>0</v>
      </c>
      <c r="BU33" s="18">
        <f>IF(BU$1&lt;CapEx!$O$7,0,(Inputs!$D$13))</f>
        <v>0</v>
      </c>
      <c r="BV33" s="18">
        <f>IF(BV$1&lt;CapEx!$O$7,0,(Inputs!$D$13))</f>
        <v>0</v>
      </c>
      <c r="BW33" s="18">
        <f>IF(BW$1&lt;CapEx!$O$7,0,(Inputs!$D$13))</f>
        <v>0</v>
      </c>
      <c r="BX33" s="18">
        <f>IF(BX$1&lt;CapEx!$O$7,0,(Inputs!$D$13))</f>
        <v>0</v>
      </c>
      <c r="BY33" s="18">
        <f>IF(BY$1&lt;CapEx!$O$7,0,(Inputs!$D$13))</f>
        <v>0</v>
      </c>
      <c r="BZ33" s="18">
        <f>IF(BZ$1&lt;CapEx!$O$7,0,(Inputs!$D$13))</f>
        <v>0</v>
      </c>
      <c r="CA33" s="18">
        <f>IF(CA$1&lt;CapEx!$O$7,0,(Inputs!$D$13))</f>
        <v>0</v>
      </c>
      <c r="CB33" s="18">
        <f>IF(CB$1&lt;CapEx!$O$7,0,(Inputs!$D$13))</f>
        <v>0</v>
      </c>
      <c r="CC33" s="18">
        <f>IF(CC$1&lt;CapEx!$O$7,0,(Inputs!$D$13))</f>
        <v>0</v>
      </c>
      <c r="CD33" s="18">
        <f>IF(CD$1&lt;CapEx!$O$7,0,(Inputs!$D$13))</f>
        <v>0</v>
      </c>
      <c r="CE33" s="18">
        <f>IF(CE$1&lt;CapEx!$O$7,0,(Inputs!$D$13))</f>
        <v>0</v>
      </c>
      <c r="CF33" s="18">
        <f>IF(CF$1&lt;CapEx!$O$7,0,(Inputs!$D$13))</f>
        <v>0</v>
      </c>
      <c r="CG33" s="18">
        <f>IF(CG$1&lt;CapEx!$O$7,0,(Inputs!$D$13))</f>
        <v>0</v>
      </c>
      <c r="CH33" s="18">
        <f>IF(CH$1&lt;CapEx!$O$7,0,(Inputs!$D$13))</f>
        <v>0</v>
      </c>
      <c r="CI33" s="18">
        <f>IF(CI$1&lt;CapEx!$O$7,0,(Inputs!$D$13))</f>
        <v>0</v>
      </c>
      <c r="CJ33" s="18">
        <f>IF(CJ$1&lt;CapEx!$O$7,0,(Inputs!$D$13))</f>
        <v>0</v>
      </c>
      <c r="CK33" s="18">
        <f>IF(CK$1&lt;CapEx!$O$7,0,(Inputs!$D$13))</f>
        <v>0</v>
      </c>
      <c r="CL33" s="18">
        <f>IF(CL$1&lt;CapEx!$O$7,0,(Inputs!$D$13))</f>
        <v>0</v>
      </c>
      <c r="CM33" s="18">
        <f>IF(CM$1&lt;CapEx!$O$7,0,(Inputs!$D$13))</f>
        <v>0</v>
      </c>
      <c r="CN33" s="18">
        <f>IF(CN$1&lt;CapEx!$O$7,0,(Inputs!$D$13))</f>
        <v>0</v>
      </c>
      <c r="CO33" s="18">
        <f>IF(CO$1&lt;CapEx!$O$7,0,(Inputs!$D$13))</f>
        <v>0</v>
      </c>
      <c r="CP33" s="18">
        <f>IF(CP$1&lt;CapEx!$O$7,0,(Inputs!$D$13))</f>
        <v>0</v>
      </c>
      <c r="CQ33" s="18">
        <f>IF(CQ$1&lt;CapEx!$O$7,0,(Inputs!$D$13))</f>
        <v>0</v>
      </c>
      <c r="CR33" s="18">
        <f>IF(CR$1&lt;CapEx!$O$7,0,(Inputs!$D$13))</f>
        <v>0</v>
      </c>
      <c r="CS33" s="18">
        <f>IF(CS$1&lt;CapEx!$O$7,0,(Inputs!$D$13))</f>
        <v>0</v>
      </c>
      <c r="CT33" s="18">
        <f>IF(CT$1&lt;CapEx!$O$7,0,(Inputs!$D$13))</f>
        <v>0</v>
      </c>
      <c r="CU33" s="18">
        <f>IF(CU$1&lt;CapEx!$O$7,0,(Inputs!$D$13))</f>
        <v>0</v>
      </c>
      <c r="CV33" s="18">
        <f>IF(CV$1&lt;CapEx!$O$7,0,(Inputs!$D$13))</f>
        <v>0</v>
      </c>
      <c r="CW33" s="18">
        <f>IF(CW$1&lt;CapEx!$O$7,0,(Inputs!$D$13))</f>
        <v>0</v>
      </c>
      <c r="CX33" s="18">
        <f>IF(CX$1&lt;CapEx!$O$7,0,(Inputs!$D$13))</f>
        <v>0</v>
      </c>
      <c r="CY33" s="18">
        <f>IF(CY$1&lt;CapEx!$O$7,0,(Inputs!$D$13))</f>
        <v>0</v>
      </c>
      <c r="CZ33" s="18">
        <f>IF(CZ$1&lt;CapEx!$O$7,0,(Inputs!$D$13))</f>
        <v>0</v>
      </c>
      <c r="DA33" s="18">
        <f>IF(DA$1&lt;CapEx!$O$7,0,(Inputs!$D$13))</f>
        <v>0</v>
      </c>
      <c r="DB33" s="18">
        <f>IF(DB$1&lt;CapEx!$O$7,0,(Inputs!$D$13))</f>
        <v>0</v>
      </c>
      <c r="DC33" s="18">
        <f>IF(DC$1&lt;CapEx!$O$7,0,(Inputs!$D$13))</f>
        <v>0</v>
      </c>
      <c r="DD33" s="18">
        <f>IF(DD$1&lt;CapEx!$O$7,0,(Inputs!$D$13))</f>
        <v>0</v>
      </c>
      <c r="DE33" s="18">
        <f>IF(DE$1&lt;CapEx!$O$7,0,(Inputs!$D$13))</f>
        <v>0</v>
      </c>
      <c r="DF33" s="18">
        <f>IF(DF$1&lt;CapEx!$O$7,0,(Inputs!$D$13))</f>
        <v>0</v>
      </c>
      <c r="DG33" s="18">
        <f>IF(DG$1&lt;CapEx!$O$7,0,(Inputs!$D$13))</f>
        <v>0</v>
      </c>
      <c r="DH33" s="18">
        <f>IF(DH$1&lt;CapEx!$O$7,0,(Inputs!$D$13))</f>
        <v>0</v>
      </c>
      <c r="DI33" s="18">
        <f>IF(DI$1&lt;CapEx!$O$7,0,(Inputs!$D$13))</f>
        <v>0</v>
      </c>
      <c r="DJ33" s="18">
        <f>IF(DJ$1&lt;CapEx!$O$7,0,(Inputs!$D$13))</f>
        <v>0</v>
      </c>
      <c r="DK33" s="18">
        <f>IF(DK$1&lt;CapEx!$O$7,0,(Inputs!$D$13))</f>
        <v>0</v>
      </c>
      <c r="DL33" s="18">
        <f>IF(DL$1&lt;CapEx!$O$7,0,(Inputs!$D$13))</f>
        <v>0</v>
      </c>
      <c r="DM33" s="18">
        <f>IF(DM$1&lt;CapEx!$O$7,0,(Inputs!$D$13))</f>
        <v>0</v>
      </c>
      <c r="DN33" s="18">
        <f>IF(DN$1&lt;CapEx!$O$7,0,(Inputs!$D$13))</f>
        <v>0</v>
      </c>
      <c r="DO33" s="18">
        <f>IF(DO$1&lt;CapEx!$O$7,0,(Inputs!$D$13))</f>
        <v>0</v>
      </c>
      <c r="DP33" s="18">
        <f>IF(DP$1&lt;CapEx!$O$7,0,(Inputs!$D$13))</f>
        <v>0</v>
      </c>
      <c r="DQ33" s="18">
        <f>IF(DQ$1&lt;CapEx!$O$7,0,(Inputs!$D$13))</f>
        <v>0</v>
      </c>
      <c r="DR33" s="18">
        <f>IF(DR$1&lt;CapEx!$O$7,0,(Inputs!$D$13))</f>
        <v>0</v>
      </c>
      <c r="DS33" s="18">
        <f>IF(DS$1&lt;CapEx!$O$7,0,(Inputs!$D$13))</f>
        <v>0</v>
      </c>
      <c r="DT33" s="18">
        <f>IF(DT$1&lt;CapEx!$O$7,0,(Inputs!$D$13))</f>
        <v>0</v>
      </c>
      <c r="DU33" s="18">
        <f>IF(DU$1&lt;CapEx!$O$7,0,(Inputs!$D$13))</f>
        <v>0</v>
      </c>
      <c r="DV33" s="18">
        <f>IF(DV$1&lt;CapEx!$O$7,0,(Inputs!$D$13))</f>
        <v>0</v>
      </c>
      <c r="DW33" s="18">
        <f>IF(DW$1&lt;CapEx!$O$7,0,(Inputs!$D$13))</f>
        <v>0</v>
      </c>
      <c r="DX33" s="18">
        <f>IF(DX$1&lt;CapEx!$O$7,0,(Inputs!$D$13))</f>
        <v>0</v>
      </c>
      <c r="DY33" s="18">
        <f>IF(DY$1&lt;CapEx!$O$7,0,(Inputs!$D$13))</f>
        <v>0</v>
      </c>
      <c r="DZ33" s="18">
        <f>IF(DZ$1&lt;CapEx!$O$7,0,(Inputs!$D$13))</f>
        <v>0</v>
      </c>
      <c r="EA33" s="18">
        <f>IF(EA$1&lt;CapEx!$O$7,0,(Inputs!$D$13))</f>
        <v>0</v>
      </c>
      <c r="EB33" s="18">
        <f>IF(EB$1&lt;CapEx!$O$7,0,(Inputs!$D$13))</f>
        <v>0</v>
      </c>
      <c r="EC33" s="18">
        <f>IF(EC$1&lt;CapEx!$O$7,0,(Inputs!$D$13))</f>
        <v>0</v>
      </c>
      <c r="ED33" s="18">
        <f>IF(ED$1&lt;CapEx!$O$7,0,(Inputs!$D$13))</f>
        <v>0</v>
      </c>
      <c r="EE33" s="18">
        <f>IF(EE$1&lt;CapEx!$O$7,0,(Inputs!$D$13))</f>
        <v>0</v>
      </c>
      <c r="EF33" s="18">
        <f>IF(EF$1&lt;CapEx!$O$7,0,(Inputs!$D$13))</f>
        <v>0</v>
      </c>
      <c r="EG33" s="18">
        <f>IF(EG$1&lt;CapEx!$O$7,0,(Inputs!$D$13))</f>
        <v>0</v>
      </c>
      <c r="EH33" s="18">
        <f>IF(EH$1&lt;CapEx!$O$7,0,(Inputs!$D$13))</f>
        <v>0</v>
      </c>
      <c r="EI33" s="18">
        <f>IF(EI$1&lt;CapEx!$O$7,0,(Inputs!$D$13))</f>
        <v>0</v>
      </c>
      <c r="EJ33" s="18">
        <f>IF(EJ$1&lt;CapEx!$O$7,0,(Inputs!$D$13))</f>
        <v>0</v>
      </c>
      <c r="EK33" s="18">
        <f>IF(EK$1&lt;CapEx!$O$7,0,(Inputs!$D$13))</f>
        <v>0</v>
      </c>
      <c r="EL33" s="18">
        <f>IF(EL$1&lt;CapEx!$O$7,0,(Inputs!$D$13))</f>
        <v>0</v>
      </c>
      <c r="EM33" s="18">
        <f>IF(EM$1&lt;CapEx!$O$7,0,(Inputs!$D$13))</f>
        <v>0</v>
      </c>
      <c r="EN33" s="18">
        <f>IF(EN$1&lt;CapEx!$O$7,0,(Inputs!$D$13))</f>
        <v>0</v>
      </c>
      <c r="EO33" s="18">
        <f>IF(EO$1&lt;CapEx!$O$7,0,(Inputs!$D$13))</f>
        <v>0</v>
      </c>
      <c r="EP33" s="18">
        <f>IF(EP$1&lt;CapEx!$O$7,0,(Inputs!$D$13))</f>
        <v>0</v>
      </c>
      <c r="EQ33" s="18">
        <f>IF(EQ$1&lt;CapEx!$O$7,0,(Inputs!$D$13))</f>
        <v>0</v>
      </c>
      <c r="ER33" s="18">
        <f>IF(ER$1&lt;CapEx!$O$7,0,(Inputs!$D$13))</f>
        <v>0</v>
      </c>
      <c r="ES33" s="18">
        <f>IF(ES$1&lt;CapEx!$O$7,0,(Inputs!$D$13))</f>
        <v>0</v>
      </c>
      <c r="ET33" s="18">
        <f>IF(ET$1&lt;CapEx!$O$7,0,(Inputs!$D$13))</f>
        <v>0</v>
      </c>
      <c r="EU33" s="18">
        <f>IF(EU$1&lt;CapEx!$O$7,0,(Inputs!$D$13))</f>
        <v>0</v>
      </c>
      <c r="EV33" s="18">
        <f>IF(EV$1&lt;CapEx!$O$7,0,(Inputs!$D$13))</f>
        <v>0</v>
      </c>
      <c r="EW33" s="18">
        <f>IF(EW$1&lt;CapEx!$O$7,0,(Inputs!$D$13))</f>
        <v>0</v>
      </c>
      <c r="EX33" s="18">
        <f>IF(EX$1&lt;CapEx!$O$7,0,(Inputs!$D$13))</f>
        <v>0</v>
      </c>
      <c r="EY33" s="18">
        <f>IF(EY$1&lt;CapEx!$O$7,0,(Inputs!$D$13))</f>
        <v>0</v>
      </c>
      <c r="EZ33" s="18">
        <f>IF(EZ$1&lt;CapEx!$O$7,0,(Inputs!$D$13))</f>
        <v>0</v>
      </c>
      <c r="FA33" s="18">
        <f>IF(FA$1&lt;CapEx!$O$7,0,(Inputs!$D$13))</f>
        <v>0</v>
      </c>
      <c r="FB33" s="18">
        <f>IF(FB$1&lt;CapEx!$O$7,0,(Inputs!$D$13))</f>
        <v>0</v>
      </c>
      <c r="FC33" s="18">
        <f>IF(FC$1&lt;CapEx!$O$7,0,(Inputs!$D$13))</f>
        <v>0</v>
      </c>
      <c r="FD33" s="18">
        <f>IF(FD$1&lt;CapEx!$O$7,0,(Inputs!$D$13))</f>
        <v>0</v>
      </c>
      <c r="FE33" s="18">
        <f>IF(FE$1&lt;CapEx!$O$7,0,(Inputs!$D$13))</f>
        <v>0</v>
      </c>
      <c r="FF33" s="18">
        <f>IF(FF$1&lt;CapEx!$O$7,0,(Inputs!$D$13))</f>
        <v>0</v>
      </c>
      <c r="FG33" s="18">
        <f>IF(FG$1&lt;CapEx!$O$7,0,(Inputs!$D$13))</f>
        <v>0</v>
      </c>
      <c r="FH33" s="18">
        <f>IF(FH$1&lt;CapEx!$O$7,0,(Inputs!$D$13))</f>
        <v>0</v>
      </c>
      <c r="FI33" s="18">
        <f>IF(FI$1&lt;CapEx!$O$7,0,(Inputs!$D$13))</f>
        <v>0</v>
      </c>
      <c r="FJ33" s="18">
        <f>IF(FJ$1&lt;CapEx!$O$7,0,(Inputs!$D$13))</f>
        <v>0</v>
      </c>
      <c r="FK33" s="18">
        <f>IF(FK$1&lt;CapEx!$O$7,0,(Inputs!$D$13))</f>
        <v>0</v>
      </c>
      <c r="FL33" s="18">
        <f>IF(FL$1&lt;CapEx!$O$7,0,(Inputs!$D$13))</f>
        <v>0</v>
      </c>
      <c r="FM33" s="18">
        <f>IF(FM$1&lt;CapEx!$O$7,0,(Inputs!$D$13))</f>
        <v>0</v>
      </c>
      <c r="FN33" s="18">
        <f>IF(FN$1&lt;CapEx!$O$7,0,(Inputs!$D$13))</f>
        <v>0</v>
      </c>
      <c r="FO33" s="18">
        <f>IF(FO$1&lt;CapEx!$O$7,0,(Inputs!$D$13))</f>
        <v>0</v>
      </c>
      <c r="FP33" s="18">
        <f>IF(FP$1&lt;CapEx!$O$7,0,(Inputs!$D$13))</f>
        <v>0</v>
      </c>
      <c r="FQ33" s="18">
        <f>IF(FQ$1&lt;CapEx!$O$7,0,(Inputs!$D$13))</f>
        <v>0</v>
      </c>
      <c r="FR33" s="18">
        <f>IF(FR$1&lt;CapEx!$O$7,0,(Inputs!$D$13))</f>
        <v>0</v>
      </c>
      <c r="FS33" s="18">
        <f>IF(FS$1&lt;CapEx!$O$7,0,(Inputs!$D$13))</f>
        <v>0</v>
      </c>
      <c r="FT33" s="18">
        <f>IF(FT$1&lt;CapEx!$O$7,0,(Inputs!$D$13))</f>
        <v>0</v>
      </c>
      <c r="FU33" s="18">
        <f>IF(FU$1&lt;CapEx!$O$7,0,(Inputs!$D$13))</f>
        <v>0</v>
      </c>
      <c r="FV33" s="18">
        <f>IF(FV$1&lt;CapEx!$O$7,0,(Inputs!$D$13))</f>
        <v>0</v>
      </c>
      <c r="FW33" s="18">
        <f>IF(FW$1&lt;CapEx!$O$7,0,(Inputs!$D$13))</f>
        <v>0</v>
      </c>
      <c r="FX33" s="18">
        <f>IF(FX$1&lt;CapEx!$O$7,0,(Inputs!$D$13))</f>
        <v>0</v>
      </c>
      <c r="FY33" s="18">
        <f>IF(FY$1&lt;CapEx!$O$7,0,(Inputs!$D$13))</f>
        <v>0</v>
      </c>
      <c r="FZ33" s="18">
        <f>IF(FZ$1&lt;CapEx!$O$7,0,(Inputs!$D$13))</f>
        <v>0</v>
      </c>
      <c r="GA33" s="18">
        <f>IF(GA$1&lt;CapEx!$O$7,0,(Inputs!$D$13))</f>
        <v>0</v>
      </c>
      <c r="GB33" s="18">
        <f>IF(GB$1&lt;CapEx!$O$7,0,(Inputs!$D$13))</f>
        <v>0</v>
      </c>
      <c r="GC33" s="18">
        <f>IF(GC$1&lt;CapEx!$O$7,0,(Inputs!$D$13))</f>
        <v>0</v>
      </c>
      <c r="GD33" s="18">
        <f>IF(GD$1&lt;CapEx!$O$7,0,(Inputs!$D$13))</f>
        <v>0</v>
      </c>
      <c r="GE33" s="18">
        <f>IF(GE$1&lt;CapEx!$O$7,0,(Inputs!$D$13))</f>
        <v>0</v>
      </c>
      <c r="GF33" s="18">
        <f>IF(GF$1&lt;CapEx!$O$7,0,(Inputs!$D$13))</f>
        <v>0</v>
      </c>
      <c r="GG33" s="18">
        <f>IF(GG$1&lt;CapEx!$O$7,0,(Inputs!$D$13))</f>
        <v>0</v>
      </c>
      <c r="GH33" s="18">
        <f>IF(GH$1&lt;CapEx!$O$7,0,(Inputs!$D$13))</f>
        <v>0</v>
      </c>
      <c r="GI33" s="18">
        <f>IF(GI$1&lt;CapEx!$O$7,0,(Inputs!$D$13))</f>
        <v>0</v>
      </c>
      <c r="GJ33" s="18">
        <f>IF(GJ$1&lt;CapEx!$O$7,0,(Inputs!$D$13))</f>
        <v>0</v>
      </c>
      <c r="GK33" s="18">
        <f>IF(GK$1&lt;CapEx!$O$7,0,(Inputs!$D$13))</f>
        <v>0</v>
      </c>
      <c r="GL33" s="18">
        <f>IF(GL$1&lt;CapEx!$O$7,0,(Inputs!$D$13))</f>
        <v>0</v>
      </c>
      <c r="GM33" s="18">
        <f>IF(GM$1&lt;CapEx!$O$7,0,(Inputs!$D$13))</f>
        <v>0</v>
      </c>
      <c r="GN33" s="18">
        <f>IF(GN$1&lt;CapEx!$O$7,0,(Inputs!$D$13))</f>
        <v>0</v>
      </c>
      <c r="GO33" s="18">
        <f>IF(GO$1&lt;CapEx!$O$7,0,(Inputs!$D$13))</f>
        <v>0</v>
      </c>
      <c r="GP33" s="18">
        <f>IF(GP$1&lt;CapEx!$O$7,0,(Inputs!$D$13))</f>
        <v>0</v>
      </c>
      <c r="GQ33" s="18">
        <f>IF(GQ$1&lt;CapEx!$O$7,0,(Inputs!$D$13))</f>
        <v>0</v>
      </c>
      <c r="GR33" s="18">
        <f>IF(GR$1&lt;CapEx!$O$7,0,(Inputs!$D$13))</f>
        <v>0</v>
      </c>
      <c r="GS33" s="18">
        <f>IF(GS$1&lt;CapEx!$O$7,0,(Inputs!$D$13))</f>
        <v>0</v>
      </c>
      <c r="GT33" s="18">
        <f>IF(GT$1&lt;CapEx!$O$7,0,(Inputs!$D$13))</f>
        <v>0</v>
      </c>
      <c r="GU33" s="18">
        <f>IF(GU$1&lt;CapEx!$O$7,0,(Inputs!$D$13))</f>
        <v>0</v>
      </c>
      <c r="GV33" s="18">
        <f>IF(GV$1&lt;CapEx!$O$7,0,(Inputs!$D$13))</f>
        <v>0</v>
      </c>
      <c r="GW33" s="18">
        <f>IF(GW$1&lt;CapEx!$O$7,0,(Inputs!$D$13))</f>
        <v>0</v>
      </c>
      <c r="GX33" s="18">
        <f>IF(GX$1&lt;CapEx!$O$7,0,(Inputs!$D$13))</f>
        <v>0</v>
      </c>
      <c r="GY33" s="18">
        <f>IF(GY$1&lt;CapEx!$O$7,0,(Inputs!$D$13))</f>
        <v>0</v>
      </c>
      <c r="GZ33" s="18">
        <f>IF(GZ$1&lt;CapEx!$O$7,0,(Inputs!$D$13))</f>
        <v>0</v>
      </c>
      <c r="HA33" s="18">
        <f>IF(HA$1&lt;CapEx!$O$7,0,(Inputs!$D$13))</f>
        <v>0</v>
      </c>
      <c r="HB33" s="18">
        <f>IF(HB$1&lt;CapEx!$O$7,0,(Inputs!$D$13))</f>
        <v>0</v>
      </c>
      <c r="HC33" s="18">
        <f>IF(HC$1&lt;CapEx!$O$7,0,(Inputs!$D$13))</f>
        <v>0</v>
      </c>
      <c r="HD33" s="18">
        <f>IF(HD$1&lt;CapEx!$O$7,0,(Inputs!$D$13))</f>
        <v>0</v>
      </c>
      <c r="HE33" s="18">
        <f>IF(HE$1&lt;CapEx!$O$7,0,(Inputs!$D$13))</f>
        <v>0</v>
      </c>
      <c r="HF33" s="18">
        <f>IF(HF$1&lt;CapEx!$O$7,0,(Inputs!$D$13))</f>
        <v>0</v>
      </c>
      <c r="HG33" s="18">
        <f>IF(HG$1&lt;CapEx!$O$7,0,(Inputs!$D$13))</f>
        <v>0</v>
      </c>
      <c r="HH33" s="18">
        <f>IF(HH$1&lt;CapEx!$O$7,0,(Inputs!$D$13))</f>
        <v>0</v>
      </c>
      <c r="HI33" s="18">
        <f>IF(HI$1&lt;CapEx!$O$7,0,(Inputs!$D$13))</f>
        <v>0</v>
      </c>
      <c r="HJ33" s="18">
        <f>IF(HJ$1&lt;CapEx!$O$7,0,(Inputs!$D$13))</f>
        <v>0</v>
      </c>
      <c r="HK33" s="18">
        <f>IF(HK$1&lt;CapEx!$O$7,0,(Inputs!$D$13))</f>
        <v>0</v>
      </c>
      <c r="HL33" s="18">
        <f>IF(HL$1&lt;CapEx!$O$7,0,(Inputs!$D$13))</f>
        <v>0</v>
      </c>
      <c r="HM33" s="18">
        <f>IF(HM$1&lt;CapEx!$O$7,0,(Inputs!$D$13))</f>
        <v>0</v>
      </c>
      <c r="HN33" s="18">
        <f>IF(HN$1&lt;CapEx!$O$7,0,(Inputs!$D$13))</f>
        <v>0</v>
      </c>
      <c r="HO33" s="18">
        <f>IF(HO$1&lt;CapEx!$O$7,0,(Inputs!$D$13))</f>
        <v>0</v>
      </c>
      <c r="HP33" s="18">
        <f>IF(HP$1&lt;CapEx!$O$7,0,(Inputs!$D$13))</f>
        <v>0</v>
      </c>
      <c r="HQ33" s="18">
        <f>IF(HQ$1&lt;CapEx!$O$7,0,(Inputs!$D$13))</f>
        <v>0</v>
      </c>
      <c r="HR33" s="18">
        <f>IF(HR$1&lt;CapEx!$O$7,0,(Inputs!$D$13))</f>
        <v>0</v>
      </c>
      <c r="HS33" s="18">
        <f>IF(HS$1&lt;CapEx!$O$7,0,(Inputs!$D$13))</f>
        <v>0</v>
      </c>
      <c r="HT33" s="18">
        <f>IF(HT$1&lt;CapEx!$O$7,0,(Inputs!$D$13))</f>
        <v>0</v>
      </c>
      <c r="HU33" s="18">
        <f>IF(HU$1&lt;CapEx!$O$7,0,(Inputs!$D$13))</f>
        <v>0</v>
      </c>
      <c r="HV33" s="18">
        <f>IF(HV$1&lt;CapEx!$O$7,0,(Inputs!$D$13))</f>
        <v>0</v>
      </c>
      <c r="HW33" s="18">
        <f>IF(HW$1&lt;CapEx!$O$7,0,(Inputs!$D$13))</f>
        <v>0</v>
      </c>
      <c r="HX33" s="18">
        <f>IF(HX$1&lt;CapEx!$O$7,0,(Inputs!$D$13))</f>
        <v>0</v>
      </c>
      <c r="HY33" s="18">
        <f>IF(HY$1&lt;CapEx!$O$7,0,(Inputs!$D$13))</f>
        <v>0</v>
      </c>
      <c r="HZ33" s="18">
        <f>IF(HZ$1&lt;CapEx!$O$7,0,(Inputs!$D$13))</f>
        <v>0</v>
      </c>
      <c r="IA33" s="18">
        <f>IF(IA$1&lt;CapEx!$O$7,0,(Inputs!$D$13))</f>
        <v>0</v>
      </c>
      <c r="IB33" s="18">
        <f>IF(IB$1&lt;CapEx!$O$7,0,(Inputs!$D$13))</f>
        <v>0</v>
      </c>
      <c r="IC33" s="18">
        <f>IF(IC$1&lt;CapEx!$O$7,0,(Inputs!$D$13))</f>
        <v>0</v>
      </c>
      <c r="ID33" s="18">
        <f>IF(ID$1&lt;CapEx!$O$7,0,(Inputs!$D$13))</f>
        <v>0</v>
      </c>
      <c r="IE33" s="18">
        <f>IF(IE$1&lt;CapEx!$O$7,0,(Inputs!$D$13))</f>
        <v>0</v>
      </c>
      <c r="IF33" s="18">
        <f>IF(IF$1&lt;CapEx!$O$7,0,(Inputs!$D$13))</f>
        <v>0</v>
      </c>
      <c r="IG33" s="18">
        <f>IF(IG$1&lt;CapEx!$O$7,0,(Inputs!$D$13))</f>
        <v>0</v>
      </c>
      <c r="IH33" s="18">
        <f>IF(IH$1&lt;CapEx!$O$7,0,(Inputs!$D$13))</f>
        <v>0</v>
      </c>
      <c r="II33" s="18">
        <f>IF(II$1&lt;CapEx!$O$7,0,(Inputs!$D$13))</f>
        <v>0</v>
      </c>
      <c r="IJ33" s="18">
        <f>IF(IJ$1&lt;CapEx!$O$7,0,(Inputs!$D$13))</f>
        <v>0</v>
      </c>
      <c r="IK33" s="18">
        <f>IF(IK$1&lt;CapEx!$O$7,0,(Inputs!$D$13))</f>
        <v>0</v>
      </c>
      <c r="IL33" s="18">
        <f>IF(IL$1&lt;CapEx!$O$7,0,(Inputs!$D$13))</f>
        <v>0</v>
      </c>
      <c r="IM33" s="18">
        <f>IF(IM$1&lt;CapEx!$O$7,0,(Inputs!$D$13))</f>
        <v>0</v>
      </c>
      <c r="IN33" s="18">
        <f>IF(IN$1&lt;CapEx!$O$7,0,(Inputs!$D$13))</f>
        <v>0</v>
      </c>
      <c r="IO33" s="18">
        <f>IF(IO$1&lt;CapEx!$O$7,0,(Inputs!$D$13))</f>
        <v>0</v>
      </c>
      <c r="IP33" s="18">
        <f>IF(IP$1&lt;CapEx!$O$7,0,(Inputs!$D$13))</f>
        <v>0</v>
      </c>
      <c r="IQ33" s="18">
        <f>IF(IQ$1&lt;CapEx!$O$7,0,(Inputs!$D$13))</f>
        <v>0</v>
      </c>
      <c r="IR33" s="18">
        <f>IF(IR$1&lt;CapEx!$O$7,0,(Inputs!$D$13))</f>
        <v>0</v>
      </c>
      <c r="IS33" s="18">
        <f>IF(IS$1&lt;CapEx!$O$7,0,(Inputs!$D$13))</f>
        <v>0</v>
      </c>
      <c r="IT33" s="18">
        <f>IF(IT$1&lt;CapEx!$O$7,0,(Inputs!$D$13))</f>
        <v>0</v>
      </c>
      <c r="IU33" s="18">
        <f>IF(IU$1&lt;CapEx!$O$7,0,(Inputs!$D$13))</f>
        <v>0</v>
      </c>
      <c r="IV33" s="18">
        <f>IF(IV$1&lt;CapEx!$O$7,0,(Inputs!$D$13))</f>
        <v>0</v>
      </c>
      <c r="IW33" s="18">
        <f>IF(IW$1&lt;CapEx!$O$7,0,(Inputs!$D$13))</f>
        <v>0</v>
      </c>
      <c r="IX33" s="18">
        <f>IF(IX$1&lt;CapEx!$O$7,0,(Inputs!$D$13))</f>
        <v>0</v>
      </c>
      <c r="IY33" s="18">
        <f>IF(IY$1&lt;CapEx!$O$7,0,(Inputs!$D$13))</f>
        <v>0</v>
      </c>
      <c r="IZ33" s="18">
        <f>IF(IZ$1&lt;CapEx!$O$7,0,(Inputs!$D$13))</f>
        <v>0</v>
      </c>
      <c r="JA33" s="18">
        <f>IF(JA$1&lt;CapEx!$O$7,0,(Inputs!$D$13))</f>
        <v>0</v>
      </c>
      <c r="JB33" s="18">
        <f>IF(JB$1&lt;CapEx!$O$7,0,(Inputs!$D$13))</f>
        <v>0</v>
      </c>
      <c r="JC33" s="18">
        <f>IF(JC$1&lt;CapEx!$O$7,0,(Inputs!$D$13))</f>
        <v>0</v>
      </c>
      <c r="JD33" s="18">
        <f>IF(JD$1&lt;CapEx!$O$7,0,(Inputs!$D$13))</f>
        <v>0</v>
      </c>
      <c r="JE33" s="18">
        <f>IF(JE$1&lt;CapEx!$O$7,0,(Inputs!$D$13))</f>
        <v>0</v>
      </c>
      <c r="JF33" s="18">
        <f>IF(JF$1&lt;CapEx!$O$7,0,(Inputs!$D$13))</f>
        <v>0</v>
      </c>
      <c r="JG33" s="18">
        <f>IF(JG$1&lt;CapEx!$O$7,0,(Inputs!$D$13))</f>
        <v>0</v>
      </c>
      <c r="JH33" s="18">
        <f>IF(JH$1&lt;CapEx!$O$7,0,(Inputs!$D$13))</f>
        <v>0</v>
      </c>
      <c r="JI33" s="18">
        <f>IF(JI$1&lt;CapEx!$O$7,0,(Inputs!$D$13))</f>
        <v>0</v>
      </c>
      <c r="JJ33" s="18">
        <f>IF(JJ$1&lt;CapEx!$O$7,0,(Inputs!$D$13))</f>
        <v>0</v>
      </c>
      <c r="JK33" s="18">
        <f>IF(JK$1&lt;CapEx!$O$7,0,(Inputs!$D$13))</f>
        <v>0</v>
      </c>
      <c r="JL33" s="18">
        <f>IF(JL$1&lt;CapEx!$O$7,0,(Inputs!$D$13))</f>
        <v>0</v>
      </c>
      <c r="JM33" s="18">
        <f>IF(JM$1&lt;CapEx!$O$7,0,(Inputs!$D$13))</f>
        <v>0</v>
      </c>
      <c r="JN33" s="18">
        <f>IF(JN$1&lt;CapEx!$O$7,0,(Inputs!$D$13))</f>
        <v>0</v>
      </c>
      <c r="JO33" s="18">
        <f>IF(JO$1&lt;CapEx!$O$7,0,(Inputs!$D$13))</f>
        <v>0</v>
      </c>
      <c r="JP33" s="18">
        <f>IF(JP$1&lt;CapEx!$O$7,0,(Inputs!$D$13))</f>
        <v>0</v>
      </c>
      <c r="JQ33" s="18">
        <f>IF(JQ$1&lt;CapEx!$O$7,0,(Inputs!$D$13))</f>
        <v>0</v>
      </c>
      <c r="JR33" s="18">
        <f>IF(JR$1&lt;CapEx!$O$7,0,(Inputs!$D$13))</f>
        <v>0</v>
      </c>
    </row>
    <row r="34" spans="2:278" x14ac:dyDescent="0.2">
      <c r="B34" s="22" t="str">
        <f>Inputs!B14</f>
        <v>Carbon Credits</v>
      </c>
      <c r="C34" s="18">
        <f>IF(C$1&lt;CapEx!$O$7,0,(Inputs!$D$13))</f>
        <v>0</v>
      </c>
      <c r="D34" s="18">
        <f>IF(D$1&lt;CapEx!$O$7,0,(Inputs!$D$13))</f>
        <v>0</v>
      </c>
      <c r="E34" s="18">
        <f>IF(E$1&lt;CapEx!$O$7,0,(Inputs!$D$13))</f>
        <v>0</v>
      </c>
      <c r="F34" s="18">
        <f>IF(F$1&lt;CapEx!$O$7,0,(Inputs!$D$13))</f>
        <v>0</v>
      </c>
      <c r="G34" s="18">
        <f>IF(G$1&lt;CapEx!$O$7,0,(Inputs!$D$13))</f>
        <v>0</v>
      </c>
      <c r="H34" s="18">
        <f>IF(H$1&lt;CapEx!$O$7,0,(Inputs!$D$13))</f>
        <v>0</v>
      </c>
      <c r="I34" s="18">
        <f>IF(I$1&lt;CapEx!$O$7,0,(Inputs!$D$13))</f>
        <v>0</v>
      </c>
      <c r="J34" s="18">
        <f>IF(J$1&lt;CapEx!$O$7,0,(Inputs!$D$13))</f>
        <v>0</v>
      </c>
      <c r="K34" s="18">
        <f>IF(K$1&lt;CapEx!$O$7,0,(Inputs!$D$13))</f>
        <v>0</v>
      </c>
      <c r="L34" s="18">
        <f>IF(L$1&lt;CapEx!$O$7,0,(Inputs!$D$13))</f>
        <v>0</v>
      </c>
      <c r="M34" s="18">
        <f>IF(M$1&lt;CapEx!$O$7,0,(Inputs!$D$13))</f>
        <v>0</v>
      </c>
      <c r="N34" s="18">
        <f>IF(N$1&lt;CapEx!$O$7,0,(Inputs!$D$13))</f>
        <v>0</v>
      </c>
      <c r="O34" s="18">
        <f>IF(O$1&lt;CapEx!$O$7,0,(Inputs!$D$13))</f>
        <v>0</v>
      </c>
      <c r="P34" s="18">
        <f>IF(P$1&lt;CapEx!$O$7,0,(Inputs!$D$13))</f>
        <v>0</v>
      </c>
      <c r="Q34" s="18">
        <f>IF(Q$1&lt;CapEx!$O$7,0,(Inputs!$D$13))</f>
        <v>0</v>
      </c>
      <c r="R34" s="18">
        <f>IF(R$1&lt;CapEx!$O$7,0,(Inputs!$D$13))</f>
        <v>0</v>
      </c>
      <c r="S34" s="18">
        <f>IF(S$1&lt;CapEx!$O$7,0,(Inputs!$D$13))</f>
        <v>0</v>
      </c>
      <c r="T34" s="18">
        <f>IF(T$1&lt;CapEx!$O$7,0,(Inputs!$D$13))</f>
        <v>0</v>
      </c>
      <c r="U34" s="18">
        <f>IF(U$1&lt;CapEx!$O$7,0,(Inputs!$D$13))</f>
        <v>0</v>
      </c>
      <c r="V34" s="18">
        <f>IF(V$1&lt;CapEx!$O$7,0,(Inputs!$D$13))</f>
        <v>0</v>
      </c>
      <c r="W34" s="18">
        <f>IF(W$1&lt;CapEx!$O$7,0,(Inputs!$D$13))</f>
        <v>0</v>
      </c>
      <c r="X34" s="18">
        <f>IF(X$1&lt;CapEx!$O$7,0,(Inputs!$D$13))</f>
        <v>0</v>
      </c>
      <c r="Y34" s="18">
        <f>IF(Y$1&lt;CapEx!$O$7,0,(Inputs!$D$13))</f>
        <v>0</v>
      </c>
      <c r="Z34" s="18">
        <f>IF(Z$1&lt;CapEx!$O$7,0,(Inputs!$D$13))</f>
        <v>0</v>
      </c>
      <c r="AA34" s="18">
        <f>IF(AA$1&lt;CapEx!$O$7,0,(Inputs!$D$13))</f>
        <v>0</v>
      </c>
      <c r="AB34" s="18">
        <f>IF(AB$1&lt;CapEx!$O$7,0,(Inputs!$D$13))</f>
        <v>0</v>
      </c>
      <c r="AC34" s="18">
        <f>IF(AC$1&lt;CapEx!$O$7,0,(Inputs!$D$13))</f>
        <v>0</v>
      </c>
      <c r="AD34" s="18">
        <f>IF(AD$1&lt;CapEx!$O$7,0,(Inputs!$D$13))</f>
        <v>0</v>
      </c>
      <c r="AE34" s="18">
        <f>IF(AE$1&lt;CapEx!$O$7,0,(Inputs!$D$13))</f>
        <v>0</v>
      </c>
      <c r="AF34" s="18">
        <f>IF(AF$1&lt;CapEx!$O$7,0,(Inputs!$D$13))</f>
        <v>0</v>
      </c>
      <c r="AG34" s="18">
        <f>IF(AG$1&lt;CapEx!$O$7,0,(Inputs!$D$13))</f>
        <v>0</v>
      </c>
      <c r="AH34" s="18">
        <f>IF(AH$1&lt;CapEx!$O$7,0,(Inputs!$D$13))</f>
        <v>0</v>
      </c>
      <c r="AI34" s="18">
        <f>IF(AI$1&lt;CapEx!$O$7,0,(Inputs!$D$13))</f>
        <v>0</v>
      </c>
      <c r="AJ34" s="18">
        <f>IF(AJ$1&lt;CapEx!$O$7,0,(Inputs!$D$13))</f>
        <v>0</v>
      </c>
      <c r="AK34" s="18">
        <f>IF(AK$1&lt;CapEx!$O$7,0,(Inputs!$D$13))</f>
        <v>0</v>
      </c>
      <c r="AL34" s="18">
        <f>IF(AL$1&lt;CapEx!$O$7,0,(Inputs!$D$13))</f>
        <v>0</v>
      </c>
      <c r="AM34" s="18">
        <f>IF(AM$1&lt;CapEx!$O$7,0,(Inputs!$D$13))</f>
        <v>0</v>
      </c>
      <c r="AN34" s="18">
        <f>IF(AN$1&lt;CapEx!$O$7,0,(Inputs!$D$13))</f>
        <v>0</v>
      </c>
      <c r="AO34" s="18">
        <f>IF(AO$1&lt;CapEx!$O$7,0,(Inputs!$D$13))</f>
        <v>0</v>
      </c>
      <c r="AP34" s="18">
        <f>IF(AP$1&lt;CapEx!$O$7,0,(Inputs!$D$13))</f>
        <v>0</v>
      </c>
      <c r="AQ34" s="18">
        <f>IF(AQ$1&lt;CapEx!$O$7,0,(Inputs!$D$13))</f>
        <v>0</v>
      </c>
      <c r="AR34" s="18">
        <f>IF(AR$1&lt;CapEx!$O$7,0,(Inputs!$D$13))</f>
        <v>0</v>
      </c>
      <c r="AS34" s="18">
        <f>IF(AS$1&lt;CapEx!$O$7,0,(Inputs!$D$13))</f>
        <v>0</v>
      </c>
      <c r="AT34" s="18">
        <f>IF(AT$1&lt;CapEx!$O$7,0,(Inputs!$D$13))</f>
        <v>0</v>
      </c>
      <c r="AU34" s="18">
        <f>IF(AU$1&lt;CapEx!$O$7,0,(Inputs!$D$13))</f>
        <v>0</v>
      </c>
      <c r="AV34" s="18">
        <f>IF(AV$1&lt;CapEx!$O$7,0,(Inputs!$D$13))</f>
        <v>0</v>
      </c>
      <c r="AW34" s="18">
        <f>IF(AW$1&lt;CapEx!$O$7,0,(Inputs!$D$13))</f>
        <v>0</v>
      </c>
      <c r="AX34" s="18">
        <f>IF(AX$1&lt;CapEx!$O$7,0,(Inputs!$D$13))</f>
        <v>0</v>
      </c>
      <c r="AY34" s="18">
        <f>IF(AY$1&lt;CapEx!$O$7,0,(Inputs!$D$13))</f>
        <v>0</v>
      </c>
      <c r="AZ34" s="18">
        <f>IF(AZ$1&lt;CapEx!$O$7,0,(Inputs!$D$13))</f>
        <v>0</v>
      </c>
      <c r="BA34" s="18">
        <f>IF(BA$1&lt;CapEx!$O$7,0,(Inputs!$D$13))</f>
        <v>0</v>
      </c>
      <c r="BB34" s="18">
        <f>IF(BB$1&lt;CapEx!$O$7,0,(Inputs!$D$13))</f>
        <v>0</v>
      </c>
      <c r="BC34" s="18">
        <f>IF(BC$1&lt;CapEx!$O$7,0,(Inputs!$D$13))</f>
        <v>0</v>
      </c>
      <c r="BD34" s="18">
        <f>IF(BD$1&lt;CapEx!$O$7,0,(Inputs!$D$13))</f>
        <v>0</v>
      </c>
      <c r="BE34" s="18">
        <f>IF(BE$1&lt;CapEx!$O$7,0,(Inputs!$D$13))</f>
        <v>0</v>
      </c>
      <c r="BF34" s="18">
        <f>IF(BF$1&lt;CapEx!$O$7,0,(Inputs!$D$13))</f>
        <v>0</v>
      </c>
      <c r="BG34" s="18">
        <f>IF(BG$1&lt;CapEx!$O$7,0,(Inputs!$D$13))</f>
        <v>0</v>
      </c>
      <c r="BH34" s="18">
        <f>IF(BH$1&lt;CapEx!$O$7,0,(Inputs!$D$13))</f>
        <v>0</v>
      </c>
      <c r="BI34" s="18">
        <f>IF(BI$1&lt;CapEx!$O$7,0,(Inputs!$D$13))</f>
        <v>0</v>
      </c>
      <c r="BJ34" s="18">
        <f>IF(BJ$1&lt;CapEx!$O$7,0,(Inputs!$D$13))</f>
        <v>0</v>
      </c>
      <c r="BK34" s="18">
        <f>IF(BK$1&lt;CapEx!$O$7,0,(Inputs!$D$13))</f>
        <v>0</v>
      </c>
      <c r="BL34" s="18">
        <f>IF(BL$1&lt;CapEx!$O$7,0,(Inputs!$D$13))</f>
        <v>0</v>
      </c>
      <c r="BM34" s="18">
        <f>IF(BM$1&lt;CapEx!$O$7,0,(Inputs!$D$13))</f>
        <v>0</v>
      </c>
      <c r="BN34" s="18">
        <f>IF(BN$1&lt;CapEx!$O$7,0,(Inputs!$D$13))</f>
        <v>0</v>
      </c>
      <c r="BO34" s="18">
        <f>IF(BO$1&lt;CapEx!$O$7,0,(Inputs!$D$13))</f>
        <v>0</v>
      </c>
      <c r="BP34" s="18">
        <f>IF(BP$1&lt;CapEx!$O$7,0,(Inputs!$D$13))</f>
        <v>0</v>
      </c>
      <c r="BQ34" s="18">
        <f>IF(BQ$1&lt;CapEx!$O$7,0,(Inputs!$D$13))</f>
        <v>0</v>
      </c>
      <c r="BR34" s="18">
        <f>IF(BR$1&lt;CapEx!$O$7,0,(Inputs!$D$13))</f>
        <v>0</v>
      </c>
      <c r="BS34" s="18">
        <f>IF(BS$1&lt;CapEx!$O$7,0,(Inputs!$D$13))</f>
        <v>0</v>
      </c>
      <c r="BT34" s="18">
        <f>IF(BT$1&lt;CapEx!$O$7,0,(Inputs!$D$13))</f>
        <v>0</v>
      </c>
      <c r="BU34" s="18">
        <f>IF(BU$1&lt;CapEx!$O$7,0,(Inputs!$D$13))</f>
        <v>0</v>
      </c>
      <c r="BV34" s="18">
        <f>IF(BV$1&lt;CapEx!$O$7,0,(Inputs!$D$13))</f>
        <v>0</v>
      </c>
      <c r="BW34" s="18">
        <f>IF(BW$1&lt;CapEx!$O$7,0,(Inputs!$D$13))</f>
        <v>0</v>
      </c>
      <c r="BX34" s="18">
        <f>IF(BX$1&lt;CapEx!$O$7,0,(Inputs!$D$13))</f>
        <v>0</v>
      </c>
      <c r="BY34" s="18">
        <f>IF(BY$1&lt;CapEx!$O$7,0,(Inputs!$D$13))</f>
        <v>0</v>
      </c>
      <c r="BZ34" s="18">
        <f>IF(BZ$1&lt;CapEx!$O$7,0,(Inputs!$D$13))</f>
        <v>0</v>
      </c>
      <c r="CA34" s="18">
        <f>IF(CA$1&lt;CapEx!$O$7,0,(Inputs!$D$13))</f>
        <v>0</v>
      </c>
      <c r="CB34" s="18">
        <f>IF(CB$1&lt;CapEx!$O$7,0,(Inputs!$D$13))</f>
        <v>0</v>
      </c>
      <c r="CC34" s="18">
        <f>IF(CC$1&lt;CapEx!$O$7,0,(Inputs!$D$13))</f>
        <v>0</v>
      </c>
      <c r="CD34" s="18">
        <f>IF(CD$1&lt;CapEx!$O$7,0,(Inputs!$D$13))</f>
        <v>0</v>
      </c>
      <c r="CE34" s="18">
        <f>IF(CE$1&lt;CapEx!$O$7,0,(Inputs!$D$13))</f>
        <v>0</v>
      </c>
      <c r="CF34" s="18">
        <f>IF(CF$1&lt;CapEx!$O$7,0,(Inputs!$D$13))</f>
        <v>0</v>
      </c>
      <c r="CG34" s="18">
        <f>IF(CG$1&lt;CapEx!$O$7,0,(Inputs!$D$13))</f>
        <v>0</v>
      </c>
      <c r="CH34" s="18">
        <f>IF(CH$1&lt;CapEx!$O$7,0,(Inputs!$D$13))</f>
        <v>0</v>
      </c>
      <c r="CI34" s="18">
        <f>IF(CI$1&lt;CapEx!$O$7,0,(Inputs!$D$13))</f>
        <v>0</v>
      </c>
      <c r="CJ34" s="18">
        <f>IF(CJ$1&lt;CapEx!$O$7,0,(Inputs!$D$13))</f>
        <v>0</v>
      </c>
      <c r="CK34" s="18">
        <f>IF(CK$1&lt;CapEx!$O$7,0,(Inputs!$D$13))</f>
        <v>0</v>
      </c>
      <c r="CL34" s="18">
        <f>IF(CL$1&lt;CapEx!$O$7,0,(Inputs!$D$13))</f>
        <v>0</v>
      </c>
      <c r="CM34" s="18">
        <f>IF(CM$1&lt;CapEx!$O$7,0,(Inputs!$D$13))</f>
        <v>0</v>
      </c>
      <c r="CN34" s="18">
        <f>IF(CN$1&lt;CapEx!$O$7,0,(Inputs!$D$13))</f>
        <v>0</v>
      </c>
      <c r="CO34" s="18">
        <f>IF(CO$1&lt;CapEx!$O$7,0,(Inputs!$D$13))</f>
        <v>0</v>
      </c>
      <c r="CP34" s="18">
        <f>IF(CP$1&lt;CapEx!$O$7,0,(Inputs!$D$13))</f>
        <v>0</v>
      </c>
      <c r="CQ34" s="18">
        <f>IF(CQ$1&lt;CapEx!$O$7,0,(Inputs!$D$13))</f>
        <v>0</v>
      </c>
      <c r="CR34" s="18">
        <f>IF(CR$1&lt;CapEx!$O$7,0,(Inputs!$D$13))</f>
        <v>0</v>
      </c>
      <c r="CS34" s="18">
        <f>IF(CS$1&lt;CapEx!$O$7,0,(Inputs!$D$13))</f>
        <v>0</v>
      </c>
      <c r="CT34" s="18">
        <f>IF(CT$1&lt;CapEx!$O$7,0,(Inputs!$D$13))</f>
        <v>0</v>
      </c>
      <c r="CU34" s="18">
        <f>IF(CU$1&lt;CapEx!$O$7,0,(Inputs!$D$13))</f>
        <v>0</v>
      </c>
      <c r="CV34" s="18">
        <f>IF(CV$1&lt;CapEx!$O$7,0,(Inputs!$D$13))</f>
        <v>0</v>
      </c>
      <c r="CW34" s="18">
        <f>IF(CW$1&lt;CapEx!$O$7,0,(Inputs!$D$13))</f>
        <v>0</v>
      </c>
      <c r="CX34" s="18">
        <f>IF(CX$1&lt;CapEx!$O$7,0,(Inputs!$D$13))</f>
        <v>0</v>
      </c>
      <c r="CY34" s="18">
        <f>IF(CY$1&lt;CapEx!$O$7,0,(Inputs!$D$13))</f>
        <v>0</v>
      </c>
      <c r="CZ34" s="18">
        <f>IF(CZ$1&lt;CapEx!$O$7,0,(Inputs!$D$13))</f>
        <v>0</v>
      </c>
      <c r="DA34" s="18">
        <f>IF(DA$1&lt;CapEx!$O$7,0,(Inputs!$D$13))</f>
        <v>0</v>
      </c>
      <c r="DB34" s="18">
        <f>IF(DB$1&lt;CapEx!$O$7,0,(Inputs!$D$13))</f>
        <v>0</v>
      </c>
      <c r="DC34" s="18">
        <f>IF(DC$1&lt;CapEx!$O$7,0,(Inputs!$D$13))</f>
        <v>0</v>
      </c>
      <c r="DD34" s="18">
        <f>IF(DD$1&lt;CapEx!$O$7,0,(Inputs!$D$13))</f>
        <v>0</v>
      </c>
      <c r="DE34" s="18">
        <f>IF(DE$1&lt;CapEx!$O$7,0,(Inputs!$D$13))</f>
        <v>0</v>
      </c>
      <c r="DF34" s="18">
        <f>IF(DF$1&lt;CapEx!$O$7,0,(Inputs!$D$13))</f>
        <v>0</v>
      </c>
      <c r="DG34" s="18">
        <f>IF(DG$1&lt;CapEx!$O$7,0,(Inputs!$D$13))</f>
        <v>0</v>
      </c>
      <c r="DH34" s="18">
        <f>IF(DH$1&lt;CapEx!$O$7,0,(Inputs!$D$13))</f>
        <v>0</v>
      </c>
      <c r="DI34" s="18">
        <f>IF(DI$1&lt;CapEx!$O$7,0,(Inputs!$D$13))</f>
        <v>0</v>
      </c>
      <c r="DJ34" s="18">
        <f>IF(DJ$1&lt;CapEx!$O$7,0,(Inputs!$D$13))</f>
        <v>0</v>
      </c>
      <c r="DK34" s="18">
        <f>IF(DK$1&lt;CapEx!$O$7,0,(Inputs!$D$13))</f>
        <v>0</v>
      </c>
      <c r="DL34" s="18">
        <f>IF(DL$1&lt;CapEx!$O$7,0,(Inputs!$D$13))</f>
        <v>0</v>
      </c>
      <c r="DM34" s="18">
        <f>IF(DM$1&lt;CapEx!$O$7,0,(Inputs!$D$13))</f>
        <v>0</v>
      </c>
      <c r="DN34" s="18">
        <f>IF(DN$1&lt;CapEx!$O$7,0,(Inputs!$D$13))</f>
        <v>0</v>
      </c>
      <c r="DO34" s="18">
        <f>IF(DO$1&lt;CapEx!$O$7,0,(Inputs!$D$13))</f>
        <v>0</v>
      </c>
      <c r="DP34" s="18">
        <f>IF(DP$1&lt;CapEx!$O$7,0,(Inputs!$D$13))</f>
        <v>0</v>
      </c>
      <c r="DQ34" s="18">
        <f>IF(DQ$1&lt;CapEx!$O$7,0,(Inputs!$D$13))</f>
        <v>0</v>
      </c>
      <c r="DR34" s="18">
        <f>IF(DR$1&lt;CapEx!$O$7,0,(Inputs!$D$13))</f>
        <v>0</v>
      </c>
      <c r="DS34" s="18">
        <f>IF(DS$1&lt;CapEx!$O$7,0,(Inputs!$D$13))</f>
        <v>0</v>
      </c>
      <c r="DT34" s="18">
        <f>IF(DT$1&lt;CapEx!$O$7,0,(Inputs!$D$13))</f>
        <v>0</v>
      </c>
      <c r="DU34" s="18">
        <f>IF(DU$1&lt;CapEx!$O$7,0,(Inputs!$D$13))</f>
        <v>0</v>
      </c>
      <c r="DV34" s="18">
        <f>IF(DV$1&lt;CapEx!$O$7,0,(Inputs!$D$13))</f>
        <v>0</v>
      </c>
      <c r="DW34" s="18">
        <f>IF(DW$1&lt;CapEx!$O$7,0,(Inputs!$D$13))</f>
        <v>0</v>
      </c>
      <c r="DX34" s="18">
        <f>IF(DX$1&lt;CapEx!$O$7,0,(Inputs!$D$13))</f>
        <v>0</v>
      </c>
      <c r="DY34" s="18">
        <f>IF(DY$1&lt;CapEx!$O$7,0,(Inputs!$D$13))</f>
        <v>0</v>
      </c>
      <c r="DZ34" s="18">
        <f>IF(DZ$1&lt;CapEx!$O$7,0,(Inputs!$D$13))</f>
        <v>0</v>
      </c>
      <c r="EA34" s="18">
        <f>IF(EA$1&lt;CapEx!$O$7,0,(Inputs!$D$13))</f>
        <v>0</v>
      </c>
      <c r="EB34" s="18">
        <f>IF(EB$1&lt;CapEx!$O$7,0,(Inputs!$D$13))</f>
        <v>0</v>
      </c>
      <c r="EC34" s="18">
        <f>IF(EC$1&lt;CapEx!$O$7,0,(Inputs!$D$13))</f>
        <v>0</v>
      </c>
      <c r="ED34" s="18">
        <f>IF(ED$1&lt;CapEx!$O$7,0,(Inputs!$D$13))</f>
        <v>0</v>
      </c>
      <c r="EE34" s="18">
        <f>IF(EE$1&lt;CapEx!$O$7,0,(Inputs!$D$13))</f>
        <v>0</v>
      </c>
      <c r="EF34" s="18">
        <f>IF(EF$1&lt;CapEx!$O$7,0,(Inputs!$D$13))</f>
        <v>0</v>
      </c>
      <c r="EG34" s="18">
        <f>IF(EG$1&lt;CapEx!$O$7,0,(Inputs!$D$13))</f>
        <v>0</v>
      </c>
      <c r="EH34" s="18">
        <f>IF(EH$1&lt;CapEx!$O$7,0,(Inputs!$D$13))</f>
        <v>0</v>
      </c>
      <c r="EI34" s="18">
        <f>IF(EI$1&lt;CapEx!$O$7,0,(Inputs!$D$13))</f>
        <v>0</v>
      </c>
      <c r="EJ34" s="18">
        <f>IF(EJ$1&lt;CapEx!$O$7,0,(Inputs!$D$13))</f>
        <v>0</v>
      </c>
      <c r="EK34" s="18">
        <f>IF(EK$1&lt;CapEx!$O$7,0,(Inputs!$D$13))</f>
        <v>0</v>
      </c>
      <c r="EL34" s="18">
        <f>IF(EL$1&lt;CapEx!$O$7,0,(Inputs!$D$13))</f>
        <v>0</v>
      </c>
      <c r="EM34" s="18">
        <f>IF(EM$1&lt;CapEx!$O$7,0,(Inputs!$D$13))</f>
        <v>0</v>
      </c>
      <c r="EN34" s="18">
        <f>IF(EN$1&lt;CapEx!$O$7,0,(Inputs!$D$13))</f>
        <v>0</v>
      </c>
      <c r="EO34" s="18">
        <f>IF(EO$1&lt;CapEx!$O$7,0,(Inputs!$D$13))</f>
        <v>0</v>
      </c>
      <c r="EP34" s="18">
        <f>IF(EP$1&lt;CapEx!$O$7,0,(Inputs!$D$13))</f>
        <v>0</v>
      </c>
      <c r="EQ34" s="18">
        <f>IF(EQ$1&lt;CapEx!$O$7,0,(Inputs!$D$13))</f>
        <v>0</v>
      </c>
      <c r="ER34" s="18">
        <f>IF(ER$1&lt;CapEx!$O$7,0,(Inputs!$D$13))</f>
        <v>0</v>
      </c>
      <c r="ES34" s="18">
        <f>IF(ES$1&lt;CapEx!$O$7,0,(Inputs!$D$13))</f>
        <v>0</v>
      </c>
      <c r="ET34" s="18">
        <f>IF(ET$1&lt;CapEx!$O$7,0,(Inputs!$D$13))</f>
        <v>0</v>
      </c>
      <c r="EU34" s="18">
        <f>IF(EU$1&lt;CapEx!$O$7,0,(Inputs!$D$13))</f>
        <v>0</v>
      </c>
      <c r="EV34" s="18">
        <f>IF(EV$1&lt;CapEx!$O$7,0,(Inputs!$D$13))</f>
        <v>0</v>
      </c>
      <c r="EW34" s="18">
        <f>IF(EW$1&lt;CapEx!$O$7,0,(Inputs!$D$13))</f>
        <v>0</v>
      </c>
      <c r="EX34" s="18">
        <f>IF(EX$1&lt;CapEx!$O$7,0,(Inputs!$D$13))</f>
        <v>0</v>
      </c>
      <c r="EY34" s="18">
        <f>IF(EY$1&lt;CapEx!$O$7,0,(Inputs!$D$13))</f>
        <v>0</v>
      </c>
      <c r="EZ34" s="18">
        <f>IF(EZ$1&lt;CapEx!$O$7,0,(Inputs!$D$13))</f>
        <v>0</v>
      </c>
      <c r="FA34" s="18">
        <f>IF(FA$1&lt;CapEx!$O$7,0,(Inputs!$D$13))</f>
        <v>0</v>
      </c>
      <c r="FB34" s="18">
        <f>IF(FB$1&lt;CapEx!$O$7,0,(Inputs!$D$13))</f>
        <v>0</v>
      </c>
      <c r="FC34" s="18">
        <f>IF(FC$1&lt;CapEx!$O$7,0,(Inputs!$D$13))</f>
        <v>0</v>
      </c>
      <c r="FD34" s="18">
        <f>IF(FD$1&lt;CapEx!$O$7,0,(Inputs!$D$13))</f>
        <v>0</v>
      </c>
      <c r="FE34" s="18">
        <f>IF(FE$1&lt;CapEx!$O$7,0,(Inputs!$D$13))</f>
        <v>0</v>
      </c>
      <c r="FF34" s="18">
        <f>IF(FF$1&lt;CapEx!$O$7,0,(Inputs!$D$13))</f>
        <v>0</v>
      </c>
      <c r="FG34" s="18">
        <f>IF(FG$1&lt;CapEx!$O$7,0,(Inputs!$D$13))</f>
        <v>0</v>
      </c>
      <c r="FH34" s="18">
        <f>IF(FH$1&lt;CapEx!$O$7,0,(Inputs!$D$13))</f>
        <v>0</v>
      </c>
      <c r="FI34" s="18">
        <f>IF(FI$1&lt;CapEx!$O$7,0,(Inputs!$D$13))</f>
        <v>0</v>
      </c>
      <c r="FJ34" s="18">
        <f>IF(FJ$1&lt;CapEx!$O$7,0,(Inputs!$D$13))</f>
        <v>0</v>
      </c>
      <c r="FK34" s="18">
        <f>IF(FK$1&lt;CapEx!$O$7,0,(Inputs!$D$13))</f>
        <v>0</v>
      </c>
      <c r="FL34" s="18">
        <f>IF(FL$1&lt;CapEx!$O$7,0,(Inputs!$D$13))</f>
        <v>0</v>
      </c>
      <c r="FM34" s="18">
        <f>IF(FM$1&lt;CapEx!$O$7,0,(Inputs!$D$13))</f>
        <v>0</v>
      </c>
      <c r="FN34" s="18">
        <f>IF(FN$1&lt;CapEx!$O$7,0,(Inputs!$D$13))</f>
        <v>0</v>
      </c>
      <c r="FO34" s="18">
        <f>IF(FO$1&lt;CapEx!$O$7,0,(Inputs!$D$13))</f>
        <v>0</v>
      </c>
      <c r="FP34" s="18">
        <f>IF(FP$1&lt;CapEx!$O$7,0,(Inputs!$D$13))</f>
        <v>0</v>
      </c>
      <c r="FQ34" s="18">
        <f>IF(FQ$1&lt;CapEx!$O$7,0,(Inputs!$D$13))</f>
        <v>0</v>
      </c>
      <c r="FR34" s="18">
        <f>IF(FR$1&lt;CapEx!$O$7,0,(Inputs!$D$13))</f>
        <v>0</v>
      </c>
      <c r="FS34" s="18">
        <f>IF(FS$1&lt;CapEx!$O$7,0,(Inputs!$D$13))</f>
        <v>0</v>
      </c>
      <c r="FT34" s="18">
        <f>IF(FT$1&lt;CapEx!$O$7,0,(Inputs!$D$13))</f>
        <v>0</v>
      </c>
      <c r="FU34" s="18">
        <f>IF(FU$1&lt;CapEx!$O$7,0,(Inputs!$D$13))</f>
        <v>0</v>
      </c>
      <c r="FV34" s="18">
        <f>IF(FV$1&lt;CapEx!$O$7,0,(Inputs!$D$13))</f>
        <v>0</v>
      </c>
      <c r="FW34" s="18">
        <f>IF(FW$1&lt;CapEx!$O$7,0,(Inputs!$D$13))</f>
        <v>0</v>
      </c>
      <c r="FX34" s="18">
        <f>IF(FX$1&lt;CapEx!$O$7,0,(Inputs!$D$13))</f>
        <v>0</v>
      </c>
      <c r="FY34" s="18">
        <f>IF(FY$1&lt;CapEx!$O$7,0,(Inputs!$D$13))</f>
        <v>0</v>
      </c>
      <c r="FZ34" s="18">
        <f>IF(FZ$1&lt;CapEx!$O$7,0,(Inputs!$D$13))</f>
        <v>0</v>
      </c>
      <c r="GA34" s="18">
        <f>IF(GA$1&lt;CapEx!$O$7,0,(Inputs!$D$13))</f>
        <v>0</v>
      </c>
      <c r="GB34" s="18">
        <f>IF(GB$1&lt;CapEx!$O$7,0,(Inputs!$D$13))</f>
        <v>0</v>
      </c>
      <c r="GC34" s="18">
        <f>IF(GC$1&lt;CapEx!$O$7,0,(Inputs!$D$13))</f>
        <v>0</v>
      </c>
      <c r="GD34" s="18">
        <f>IF(GD$1&lt;CapEx!$O$7,0,(Inputs!$D$13))</f>
        <v>0</v>
      </c>
      <c r="GE34" s="18">
        <f>IF(GE$1&lt;CapEx!$O$7,0,(Inputs!$D$13))</f>
        <v>0</v>
      </c>
      <c r="GF34" s="18">
        <f>IF(GF$1&lt;CapEx!$O$7,0,(Inputs!$D$13))</f>
        <v>0</v>
      </c>
      <c r="GG34" s="18">
        <f>IF(GG$1&lt;CapEx!$O$7,0,(Inputs!$D$13))</f>
        <v>0</v>
      </c>
      <c r="GH34" s="18">
        <f>IF(GH$1&lt;CapEx!$O$7,0,(Inputs!$D$13))</f>
        <v>0</v>
      </c>
      <c r="GI34" s="18">
        <f>IF(GI$1&lt;CapEx!$O$7,0,(Inputs!$D$13))</f>
        <v>0</v>
      </c>
      <c r="GJ34" s="18">
        <f>IF(GJ$1&lt;CapEx!$O$7,0,(Inputs!$D$13))</f>
        <v>0</v>
      </c>
      <c r="GK34" s="18">
        <f>IF(GK$1&lt;CapEx!$O$7,0,(Inputs!$D$13))</f>
        <v>0</v>
      </c>
      <c r="GL34" s="18">
        <f>IF(GL$1&lt;CapEx!$O$7,0,(Inputs!$D$13))</f>
        <v>0</v>
      </c>
      <c r="GM34" s="18">
        <f>IF(GM$1&lt;CapEx!$O$7,0,(Inputs!$D$13))</f>
        <v>0</v>
      </c>
      <c r="GN34" s="18">
        <f>IF(GN$1&lt;CapEx!$O$7,0,(Inputs!$D$13))</f>
        <v>0</v>
      </c>
      <c r="GO34" s="18">
        <f>IF(GO$1&lt;CapEx!$O$7,0,(Inputs!$D$13))</f>
        <v>0</v>
      </c>
      <c r="GP34" s="18">
        <f>IF(GP$1&lt;CapEx!$O$7,0,(Inputs!$D$13))</f>
        <v>0</v>
      </c>
      <c r="GQ34" s="18">
        <f>IF(GQ$1&lt;CapEx!$O$7,0,(Inputs!$D$13))</f>
        <v>0</v>
      </c>
      <c r="GR34" s="18">
        <f>IF(GR$1&lt;CapEx!$O$7,0,(Inputs!$D$13))</f>
        <v>0</v>
      </c>
      <c r="GS34" s="18">
        <f>IF(GS$1&lt;CapEx!$O$7,0,(Inputs!$D$13))</f>
        <v>0</v>
      </c>
      <c r="GT34" s="18">
        <f>IF(GT$1&lt;CapEx!$O$7,0,(Inputs!$D$13))</f>
        <v>0</v>
      </c>
      <c r="GU34" s="18">
        <f>IF(GU$1&lt;CapEx!$O$7,0,(Inputs!$D$13))</f>
        <v>0</v>
      </c>
      <c r="GV34" s="18">
        <f>IF(GV$1&lt;CapEx!$O$7,0,(Inputs!$D$13))</f>
        <v>0</v>
      </c>
      <c r="GW34" s="18">
        <f>IF(GW$1&lt;CapEx!$O$7,0,(Inputs!$D$13))</f>
        <v>0</v>
      </c>
      <c r="GX34" s="18">
        <f>IF(GX$1&lt;CapEx!$O$7,0,(Inputs!$D$13))</f>
        <v>0</v>
      </c>
      <c r="GY34" s="18">
        <f>IF(GY$1&lt;CapEx!$O$7,0,(Inputs!$D$13))</f>
        <v>0</v>
      </c>
      <c r="GZ34" s="18">
        <f>IF(GZ$1&lt;CapEx!$O$7,0,(Inputs!$D$13))</f>
        <v>0</v>
      </c>
      <c r="HA34" s="18">
        <f>IF(HA$1&lt;CapEx!$O$7,0,(Inputs!$D$13))</f>
        <v>0</v>
      </c>
      <c r="HB34" s="18">
        <f>IF(HB$1&lt;CapEx!$O$7,0,(Inputs!$D$13))</f>
        <v>0</v>
      </c>
      <c r="HC34" s="18">
        <f>IF(HC$1&lt;CapEx!$O$7,0,(Inputs!$D$13))</f>
        <v>0</v>
      </c>
      <c r="HD34" s="18">
        <f>IF(HD$1&lt;CapEx!$O$7,0,(Inputs!$D$13))</f>
        <v>0</v>
      </c>
      <c r="HE34" s="18">
        <f>IF(HE$1&lt;CapEx!$O$7,0,(Inputs!$D$13))</f>
        <v>0</v>
      </c>
      <c r="HF34" s="18">
        <f>IF(HF$1&lt;CapEx!$O$7,0,(Inputs!$D$13))</f>
        <v>0</v>
      </c>
      <c r="HG34" s="18">
        <f>IF(HG$1&lt;CapEx!$O$7,0,(Inputs!$D$13))</f>
        <v>0</v>
      </c>
      <c r="HH34" s="18">
        <f>IF(HH$1&lt;CapEx!$O$7,0,(Inputs!$D$13))</f>
        <v>0</v>
      </c>
      <c r="HI34" s="18">
        <f>IF(HI$1&lt;CapEx!$O$7,0,(Inputs!$D$13))</f>
        <v>0</v>
      </c>
      <c r="HJ34" s="18">
        <f>IF(HJ$1&lt;CapEx!$O$7,0,(Inputs!$D$13))</f>
        <v>0</v>
      </c>
      <c r="HK34" s="18">
        <f>IF(HK$1&lt;CapEx!$O$7,0,(Inputs!$D$13))</f>
        <v>0</v>
      </c>
      <c r="HL34" s="18">
        <f>IF(HL$1&lt;CapEx!$O$7,0,(Inputs!$D$13))</f>
        <v>0</v>
      </c>
      <c r="HM34" s="18">
        <f>IF(HM$1&lt;CapEx!$O$7,0,(Inputs!$D$13))</f>
        <v>0</v>
      </c>
      <c r="HN34" s="18">
        <f>IF(HN$1&lt;CapEx!$O$7,0,(Inputs!$D$13))</f>
        <v>0</v>
      </c>
      <c r="HO34" s="18">
        <f>IF(HO$1&lt;CapEx!$O$7,0,(Inputs!$D$13))</f>
        <v>0</v>
      </c>
      <c r="HP34" s="18">
        <f>IF(HP$1&lt;CapEx!$O$7,0,(Inputs!$D$13))</f>
        <v>0</v>
      </c>
      <c r="HQ34" s="18">
        <f>IF(HQ$1&lt;CapEx!$O$7,0,(Inputs!$D$13))</f>
        <v>0</v>
      </c>
      <c r="HR34" s="18">
        <f>IF(HR$1&lt;CapEx!$O$7,0,(Inputs!$D$13))</f>
        <v>0</v>
      </c>
      <c r="HS34" s="18">
        <f>IF(HS$1&lt;CapEx!$O$7,0,(Inputs!$D$13))</f>
        <v>0</v>
      </c>
      <c r="HT34" s="18">
        <f>IF(HT$1&lt;CapEx!$O$7,0,(Inputs!$D$13))</f>
        <v>0</v>
      </c>
      <c r="HU34" s="18">
        <f>IF(HU$1&lt;CapEx!$O$7,0,(Inputs!$D$13))</f>
        <v>0</v>
      </c>
      <c r="HV34" s="18">
        <f>IF(HV$1&lt;CapEx!$O$7,0,(Inputs!$D$13))</f>
        <v>0</v>
      </c>
      <c r="HW34" s="18">
        <f>IF(HW$1&lt;CapEx!$O$7,0,(Inputs!$D$13))</f>
        <v>0</v>
      </c>
      <c r="HX34" s="18">
        <f>IF(HX$1&lt;CapEx!$O$7,0,(Inputs!$D$13))</f>
        <v>0</v>
      </c>
      <c r="HY34" s="18">
        <f>IF(HY$1&lt;CapEx!$O$7,0,(Inputs!$D$13))</f>
        <v>0</v>
      </c>
      <c r="HZ34" s="18">
        <f>IF(HZ$1&lt;CapEx!$O$7,0,(Inputs!$D$13))</f>
        <v>0</v>
      </c>
      <c r="IA34" s="18">
        <f>IF(IA$1&lt;CapEx!$O$7,0,(Inputs!$D$13))</f>
        <v>0</v>
      </c>
      <c r="IB34" s="18">
        <f>IF(IB$1&lt;CapEx!$O$7,0,(Inputs!$D$13))</f>
        <v>0</v>
      </c>
      <c r="IC34" s="18">
        <f>IF(IC$1&lt;CapEx!$O$7,0,(Inputs!$D$13))</f>
        <v>0</v>
      </c>
      <c r="ID34" s="18">
        <f>IF(ID$1&lt;CapEx!$O$7,0,(Inputs!$D$13))</f>
        <v>0</v>
      </c>
      <c r="IE34" s="18">
        <f>IF(IE$1&lt;CapEx!$O$7,0,(Inputs!$D$13))</f>
        <v>0</v>
      </c>
      <c r="IF34" s="18">
        <f>IF(IF$1&lt;CapEx!$O$7,0,(Inputs!$D$13))</f>
        <v>0</v>
      </c>
      <c r="IG34" s="18">
        <f>IF(IG$1&lt;CapEx!$O$7,0,(Inputs!$D$13))</f>
        <v>0</v>
      </c>
      <c r="IH34" s="18">
        <f>IF(IH$1&lt;CapEx!$O$7,0,(Inputs!$D$13))</f>
        <v>0</v>
      </c>
      <c r="II34" s="18">
        <f>IF(II$1&lt;CapEx!$O$7,0,(Inputs!$D$13))</f>
        <v>0</v>
      </c>
      <c r="IJ34" s="18">
        <f>IF(IJ$1&lt;CapEx!$O$7,0,(Inputs!$D$13))</f>
        <v>0</v>
      </c>
      <c r="IK34" s="18">
        <f>IF(IK$1&lt;CapEx!$O$7,0,(Inputs!$D$13))</f>
        <v>0</v>
      </c>
      <c r="IL34" s="18">
        <f>IF(IL$1&lt;CapEx!$O$7,0,(Inputs!$D$13))</f>
        <v>0</v>
      </c>
      <c r="IM34" s="18">
        <f>IF(IM$1&lt;CapEx!$O$7,0,(Inputs!$D$13))</f>
        <v>0</v>
      </c>
      <c r="IN34" s="18">
        <f>IF(IN$1&lt;CapEx!$O$7,0,(Inputs!$D$13))</f>
        <v>0</v>
      </c>
      <c r="IO34" s="18">
        <f>IF(IO$1&lt;CapEx!$O$7,0,(Inputs!$D$13))</f>
        <v>0</v>
      </c>
      <c r="IP34" s="18">
        <f>IF(IP$1&lt;CapEx!$O$7,0,(Inputs!$D$13))</f>
        <v>0</v>
      </c>
      <c r="IQ34" s="18">
        <f>IF(IQ$1&lt;CapEx!$O$7,0,(Inputs!$D$13))</f>
        <v>0</v>
      </c>
      <c r="IR34" s="18">
        <f>IF(IR$1&lt;CapEx!$O$7,0,(Inputs!$D$13))</f>
        <v>0</v>
      </c>
      <c r="IS34" s="18">
        <f>IF(IS$1&lt;CapEx!$O$7,0,(Inputs!$D$13))</f>
        <v>0</v>
      </c>
      <c r="IT34" s="18">
        <f>IF(IT$1&lt;CapEx!$O$7,0,(Inputs!$D$13))</f>
        <v>0</v>
      </c>
      <c r="IU34" s="18">
        <f>IF(IU$1&lt;CapEx!$O$7,0,(Inputs!$D$13))</f>
        <v>0</v>
      </c>
      <c r="IV34" s="18">
        <f>IF(IV$1&lt;CapEx!$O$7,0,(Inputs!$D$13))</f>
        <v>0</v>
      </c>
      <c r="IW34" s="18">
        <f>IF(IW$1&lt;CapEx!$O$7,0,(Inputs!$D$13))</f>
        <v>0</v>
      </c>
      <c r="IX34" s="18">
        <f>IF(IX$1&lt;CapEx!$O$7,0,(Inputs!$D$13))</f>
        <v>0</v>
      </c>
      <c r="IY34" s="18">
        <f>IF(IY$1&lt;CapEx!$O$7,0,(Inputs!$D$13))</f>
        <v>0</v>
      </c>
      <c r="IZ34" s="18">
        <f>IF(IZ$1&lt;CapEx!$O$7,0,(Inputs!$D$13))</f>
        <v>0</v>
      </c>
      <c r="JA34" s="18">
        <f>IF(JA$1&lt;CapEx!$O$7,0,(Inputs!$D$13))</f>
        <v>0</v>
      </c>
      <c r="JB34" s="18">
        <f>IF(JB$1&lt;CapEx!$O$7,0,(Inputs!$D$13))</f>
        <v>0</v>
      </c>
      <c r="JC34" s="18">
        <f>IF(JC$1&lt;CapEx!$O$7,0,(Inputs!$D$13))</f>
        <v>0</v>
      </c>
      <c r="JD34" s="18">
        <f>IF(JD$1&lt;CapEx!$O$7,0,(Inputs!$D$13))</f>
        <v>0</v>
      </c>
      <c r="JE34" s="18">
        <f>IF(JE$1&lt;CapEx!$O$7,0,(Inputs!$D$13))</f>
        <v>0</v>
      </c>
      <c r="JF34" s="18">
        <f>IF(JF$1&lt;CapEx!$O$7,0,(Inputs!$D$13))</f>
        <v>0</v>
      </c>
      <c r="JG34" s="18">
        <f>IF(JG$1&lt;CapEx!$O$7,0,(Inputs!$D$13))</f>
        <v>0</v>
      </c>
      <c r="JH34" s="18">
        <f>IF(JH$1&lt;CapEx!$O$7,0,(Inputs!$D$13))</f>
        <v>0</v>
      </c>
      <c r="JI34" s="18">
        <f>IF(JI$1&lt;CapEx!$O$7,0,(Inputs!$D$13))</f>
        <v>0</v>
      </c>
      <c r="JJ34" s="18">
        <f>IF(JJ$1&lt;CapEx!$O$7,0,(Inputs!$D$13))</f>
        <v>0</v>
      </c>
      <c r="JK34" s="18">
        <f>IF(JK$1&lt;CapEx!$O$7,0,(Inputs!$D$13))</f>
        <v>0</v>
      </c>
      <c r="JL34" s="18">
        <f>IF(JL$1&lt;CapEx!$O$7,0,(Inputs!$D$13))</f>
        <v>0</v>
      </c>
      <c r="JM34" s="18">
        <f>IF(JM$1&lt;CapEx!$O$7,0,(Inputs!$D$13))</f>
        <v>0</v>
      </c>
      <c r="JN34" s="18">
        <f>IF(JN$1&lt;CapEx!$O$7,0,(Inputs!$D$13))</f>
        <v>0</v>
      </c>
      <c r="JO34" s="18">
        <f>IF(JO$1&lt;CapEx!$O$7,0,(Inputs!$D$13))</f>
        <v>0</v>
      </c>
      <c r="JP34" s="18">
        <f>IF(JP$1&lt;CapEx!$O$7,0,(Inputs!$D$13))</f>
        <v>0</v>
      </c>
      <c r="JQ34" s="18">
        <f>IF(JQ$1&lt;CapEx!$O$7,0,(Inputs!$D$13))</f>
        <v>0</v>
      </c>
      <c r="JR34" s="18">
        <f>IF(JR$1&lt;CapEx!$O$7,0,(Inputs!$D$13))</f>
        <v>0</v>
      </c>
    </row>
    <row r="35" spans="2:278" x14ac:dyDescent="0.2">
      <c r="B35" s="54" t="s">
        <v>74</v>
      </c>
      <c r="C35" s="55">
        <f t="shared" ref="C35:BN35" si="503">SUM(C31:C34)</f>
        <v>0</v>
      </c>
      <c r="D35" s="55">
        <f t="shared" si="503"/>
        <v>0</v>
      </c>
      <c r="E35" s="55">
        <f t="shared" si="503"/>
        <v>0</v>
      </c>
      <c r="F35" s="55">
        <f t="shared" si="503"/>
        <v>0</v>
      </c>
      <c r="G35" s="55">
        <f t="shared" si="503"/>
        <v>0</v>
      </c>
      <c r="H35" s="55">
        <f t="shared" si="503"/>
        <v>0</v>
      </c>
      <c r="I35" s="55">
        <f t="shared" si="503"/>
        <v>0</v>
      </c>
      <c r="J35" s="55">
        <f t="shared" si="503"/>
        <v>0</v>
      </c>
      <c r="K35" s="55">
        <f t="shared" si="503"/>
        <v>0</v>
      </c>
      <c r="L35" s="55">
        <f t="shared" si="503"/>
        <v>0</v>
      </c>
      <c r="M35" s="55">
        <f t="shared" si="503"/>
        <v>0</v>
      </c>
      <c r="N35" s="55">
        <f t="shared" si="503"/>
        <v>0</v>
      </c>
      <c r="O35" s="55">
        <f t="shared" si="503"/>
        <v>0</v>
      </c>
      <c r="P35" s="55">
        <f t="shared" si="503"/>
        <v>0</v>
      </c>
      <c r="Q35" s="55">
        <f t="shared" si="503"/>
        <v>0</v>
      </c>
      <c r="R35" s="55">
        <f t="shared" si="503"/>
        <v>-115500</v>
      </c>
      <c r="S35" s="55">
        <f t="shared" si="503"/>
        <v>-119350</v>
      </c>
      <c r="T35" s="55">
        <f t="shared" si="503"/>
        <v>-115500</v>
      </c>
      <c r="U35" s="55">
        <f t="shared" si="503"/>
        <v>-119350</v>
      </c>
      <c r="V35" s="55">
        <f t="shared" si="503"/>
        <v>-119350</v>
      </c>
      <c r="W35" s="55">
        <f t="shared" si="503"/>
        <v>-115500</v>
      </c>
      <c r="X35" s="55">
        <f t="shared" si="503"/>
        <v>-119350</v>
      </c>
      <c r="Y35" s="55">
        <f t="shared" si="503"/>
        <v>-115500</v>
      </c>
      <c r="Z35" s="55">
        <f t="shared" si="503"/>
        <v>-119350</v>
      </c>
      <c r="AA35" s="55">
        <f t="shared" si="503"/>
        <v>-119350</v>
      </c>
      <c r="AB35" s="55">
        <f t="shared" si="503"/>
        <v>-107800</v>
      </c>
      <c r="AC35" s="55">
        <f t="shared" si="503"/>
        <v>-119350</v>
      </c>
      <c r="AD35" s="55">
        <f t="shared" si="503"/>
        <v>-115500</v>
      </c>
      <c r="AE35" s="55">
        <f t="shared" si="503"/>
        <v>-119350</v>
      </c>
      <c r="AF35" s="55">
        <f t="shared" si="503"/>
        <v>-115500</v>
      </c>
      <c r="AG35" s="55">
        <f t="shared" si="503"/>
        <v>-119350</v>
      </c>
      <c r="AH35" s="55">
        <f t="shared" si="503"/>
        <v>-119350</v>
      </c>
      <c r="AI35" s="55">
        <f t="shared" si="503"/>
        <v>-115500</v>
      </c>
      <c r="AJ35" s="55">
        <f t="shared" si="503"/>
        <v>-119350</v>
      </c>
      <c r="AK35" s="55">
        <f t="shared" si="503"/>
        <v>-115500</v>
      </c>
      <c r="AL35" s="55">
        <f t="shared" si="503"/>
        <v>-119350</v>
      </c>
      <c r="AM35" s="55">
        <f t="shared" si="503"/>
        <v>-119350</v>
      </c>
      <c r="AN35" s="55">
        <f t="shared" si="503"/>
        <v>-107800</v>
      </c>
      <c r="AO35" s="55">
        <f t="shared" si="503"/>
        <v>-119350</v>
      </c>
      <c r="AP35" s="55">
        <f t="shared" si="503"/>
        <v>-115500</v>
      </c>
      <c r="AQ35" s="55">
        <f t="shared" si="503"/>
        <v>-119350</v>
      </c>
      <c r="AR35" s="55">
        <f t="shared" si="503"/>
        <v>-115500</v>
      </c>
      <c r="AS35" s="55">
        <f t="shared" si="503"/>
        <v>-119350</v>
      </c>
      <c r="AT35" s="55">
        <f t="shared" si="503"/>
        <v>-119350</v>
      </c>
      <c r="AU35" s="55">
        <f t="shared" si="503"/>
        <v>-115500</v>
      </c>
      <c r="AV35" s="55">
        <f t="shared" si="503"/>
        <v>-119350</v>
      </c>
      <c r="AW35" s="55">
        <f t="shared" si="503"/>
        <v>-115500</v>
      </c>
      <c r="AX35" s="55">
        <f t="shared" si="503"/>
        <v>-119350</v>
      </c>
      <c r="AY35" s="55">
        <f t="shared" si="503"/>
        <v>-119350</v>
      </c>
      <c r="AZ35" s="55">
        <f t="shared" si="503"/>
        <v>-111650</v>
      </c>
      <c r="BA35" s="55">
        <f t="shared" si="503"/>
        <v>-119350</v>
      </c>
      <c r="BB35" s="55">
        <f t="shared" si="503"/>
        <v>-115500</v>
      </c>
      <c r="BC35" s="55">
        <f t="shared" si="503"/>
        <v>-119350</v>
      </c>
      <c r="BD35" s="55">
        <f t="shared" si="503"/>
        <v>-115500</v>
      </c>
      <c r="BE35" s="55">
        <f t="shared" si="503"/>
        <v>-119350</v>
      </c>
      <c r="BF35" s="55">
        <f t="shared" si="503"/>
        <v>-119350</v>
      </c>
      <c r="BG35" s="55">
        <f t="shared" si="503"/>
        <v>-115500</v>
      </c>
      <c r="BH35" s="55">
        <f t="shared" si="503"/>
        <v>-119350</v>
      </c>
      <c r="BI35" s="55">
        <f t="shared" si="503"/>
        <v>-115500</v>
      </c>
      <c r="BJ35" s="55">
        <f t="shared" si="503"/>
        <v>-119350</v>
      </c>
      <c r="BK35" s="55">
        <f t="shared" si="503"/>
        <v>-119350</v>
      </c>
      <c r="BL35" s="55">
        <f t="shared" si="503"/>
        <v>-107800</v>
      </c>
      <c r="BM35" s="55">
        <f t="shared" si="503"/>
        <v>-119350</v>
      </c>
      <c r="BN35" s="55">
        <f t="shared" si="503"/>
        <v>-115500</v>
      </c>
      <c r="BO35" s="55">
        <f t="shared" ref="BO35:DZ35" si="504">SUM(BO31:BO34)</f>
        <v>-119350</v>
      </c>
      <c r="BP35" s="55">
        <f t="shared" si="504"/>
        <v>-115500</v>
      </c>
      <c r="BQ35" s="55">
        <f t="shared" si="504"/>
        <v>-119350</v>
      </c>
      <c r="BR35" s="55">
        <f t="shared" si="504"/>
        <v>-119350</v>
      </c>
      <c r="BS35" s="55">
        <f t="shared" si="504"/>
        <v>-115500</v>
      </c>
      <c r="BT35" s="55">
        <f t="shared" si="504"/>
        <v>-119350</v>
      </c>
      <c r="BU35" s="55">
        <f t="shared" si="504"/>
        <v>-115500</v>
      </c>
      <c r="BV35" s="55">
        <f t="shared" si="504"/>
        <v>-119350</v>
      </c>
      <c r="BW35" s="55">
        <f t="shared" si="504"/>
        <v>-119350</v>
      </c>
      <c r="BX35" s="55">
        <f t="shared" si="504"/>
        <v>-107800</v>
      </c>
      <c r="BY35" s="55">
        <f t="shared" si="504"/>
        <v>-119350</v>
      </c>
      <c r="BZ35" s="55">
        <f t="shared" si="504"/>
        <v>-115500</v>
      </c>
      <c r="CA35" s="55">
        <f t="shared" si="504"/>
        <v>-119350</v>
      </c>
      <c r="CB35" s="55">
        <f t="shared" si="504"/>
        <v>-115500</v>
      </c>
      <c r="CC35" s="55">
        <f t="shared" si="504"/>
        <v>-119350</v>
      </c>
      <c r="CD35" s="55">
        <f t="shared" si="504"/>
        <v>-119350</v>
      </c>
      <c r="CE35" s="55">
        <f t="shared" si="504"/>
        <v>-115500</v>
      </c>
      <c r="CF35" s="55">
        <f t="shared" si="504"/>
        <v>-119350</v>
      </c>
      <c r="CG35" s="55">
        <f t="shared" si="504"/>
        <v>-115500</v>
      </c>
      <c r="CH35" s="55">
        <f t="shared" si="504"/>
        <v>-119350</v>
      </c>
      <c r="CI35" s="55">
        <f t="shared" si="504"/>
        <v>-119350</v>
      </c>
      <c r="CJ35" s="55">
        <f t="shared" si="504"/>
        <v>-107800</v>
      </c>
      <c r="CK35" s="55">
        <f t="shared" si="504"/>
        <v>-119350</v>
      </c>
      <c r="CL35" s="55">
        <f t="shared" si="504"/>
        <v>-115500</v>
      </c>
      <c r="CM35" s="55">
        <f t="shared" si="504"/>
        <v>-119350</v>
      </c>
      <c r="CN35" s="55">
        <f t="shared" si="504"/>
        <v>-115500</v>
      </c>
      <c r="CO35" s="55">
        <f t="shared" si="504"/>
        <v>-119350</v>
      </c>
      <c r="CP35" s="55">
        <f t="shared" si="504"/>
        <v>-119350</v>
      </c>
      <c r="CQ35" s="55">
        <f t="shared" si="504"/>
        <v>-115500</v>
      </c>
      <c r="CR35" s="55">
        <f t="shared" si="504"/>
        <v>-119350</v>
      </c>
      <c r="CS35" s="55">
        <f t="shared" si="504"/>
        <v>-115500</v>
      </c>
      <c r="CT35" s="55">
        <f t="shared" si="504"/>
        <v>-119350</v>
      </c>
      <c r="CU35" s="55">
        <f t="shared" si="504"/>
        <v>-119350</v>
      </c>
      <c r="CV35" s="55">
        <f t="shared" si="504"/>
        <v>-107800</v>
      </c>
      <c r="CW35" s="55">
        <f t="shared" si="504"/>
        <v>-119350</v>
      </c>
      <c r="CX35" s="55">
        <f t="shared" si="504"/>
        <v>-115500</v>
      </c>
      <c r="CY35" s="55">
        <f t="shared" si="504"/>
        <v>-119350</v>
      </c>
      <c r="CZ35" s="55">
        <f t="shared" si="504"/>
        <v>-115500</v>
      </c>
      <c r="DA35" s="55">
        <f t="shared" si="504"/>
        <v>-119350</v>
      </c>
      <c r="DB35" s="55">
        <f t="shared" si="504"/>
        <v>-119350</v>
      </c>
      <c r="DC35" s="55">
        <f t="shared" si="504"/>
        <v>-115500</v>
      </c>
      <c r="DD35" s="55">
        <f t="shared" si="504"/>
        <v>-119350</v>
      </c>
      <c r="DE35" s="55">
        <f t="shared" si="504"/>
        <v>-115500</v>
      </c>
      <c r="DF35" s="55">
        <f t="shared" si="504"/>
        <v>-119350</v>
      </c>
      <c r="DG35" s="55">
        <f t="shared" si="504"/>
        <v>-119350</v>
      </c>
      <c r="DH35" s="55">
        <f t="shared" si="504"/>
        <v>-107800</v>
      </c>
      <c r="DI35" s="55">
        <f t="shared" si="504"/>
        <v>-119350</v>
      </c>
      <c r="DJ35" s="55">
        <f t="shared" si="504"/>
        <v>-115500</v>
      </c>
      <c r="DK35" s="55">
        <f t="shared" si="504"/>
        <v>-119350</v>
      </c>
      <c r="DL35" s="55">
        <f t="shared" si="504"/>
        <v>-115500</v>
      </c>
      <c r="DM35" s="55">
        <f t="shared" si="504"/>
        <v>-119350</v>
      </c>
      <c r="DN35" s="55">
        <f t="shared" si="504"/>
        <v>-119350</v>
      </c>
      <c r="DO35" s="55">
        <f t="shared" si="504"/>
        <v>-115500</v>
      </c>
      <c r="DP35" s="55">
        <f t="shared" si="504"/>
        <v>-119350</v>
      </c>
      <c r="DQ35" s="55">
        <f t="shared" si="504"/>
        <v>-115500</v>
      </c>
      <c r="DR35" s="55">
        <f t="shared" si="504"/>
        <v>-119350</v>
      </c>
      <c r="DS35" s="55">
        <f t="shared" si="504"/>
        <v>-119350</v>
      </c>
      <c r="DT35" s="55">
        <f t="shared" si="504"/>
        <v>-107800</v>
      </c>
      <c r="DU35" s="55">
        <f t="shared" si="504"/>
        <v>-119350</v>
      </c>
      <c r="DV35" s="55">
        <f t="shared" si="504"/>
        <v>-115500</v>
      </c>
      <c r="DW35" s="55">
        <f t="shared" si="504"/>
        <v>-119350</v>
      </c>
      <c r="DX35" s="55">
        <f t="shared" si="504"/>
        <v>-115500</v>
      </c>
      <c r="DY35" s="55">
        <f t="shared" si="504"/>
        <v>-119350</v>
      </c>
      <c r="DZ35" s="55">
        <f t="shared" si="504"/>
        <v>-119350</v>
      </c>
      <c r="EA35" s="55">
        <f t="shared" ref="EA35:GL35" si="505">SUM(EA31:EA34)</f>
        <v>-115500</v>
      </c>
      <c r="EB35" s="55">
        <f t="shared" si="505"/>
        <v>-119350</v>
      </c>
      <c r="EC35" s="55">
        <f t="shared" si="505"/>
        <v>-115500</v>
      </c>
      <c r="ED35" s="55">
        <f t="shared" si="505"/>
        <v>-119350</v>
      </c>
      <c r="EE35" s="55">
        <f t="shared" si="505"/>
        <v>-119350</v>
      </c>
      <c r="EF35" s="55">
        <f t="shared" si="505"/>
        <v>-107800</v>
      </c>
      <c r="EG35" s="55">
        <f t="shared" si="505"/>
        <v>-119350</v>
      </c>
      <c r="EH35" s="55">
        <f t="shared" si="505"/>
        <v>-115500</v>
      </c>
      <c r="EI35" s="55">
        <f t="shared" si="505"/>
        <v>-119350</v>
      </c>
      <c r="EJ35" s="55">
        <f t="shared" si="505"/>
        <v>-115500</v>
      </c>
      <c r="EK35" s="55">
        <f t="shared" si="505"/>
        <v>-119350</v>
      </c>
      <c r="EL35" s="55">
        <f t="shared" si="505"/>
        <v>-119350</v>
      </c>
      <c r="EM35" s="55">
        <f t="shared" si="505"/>
        <v>-115500</v>
      </c>
      <c r="EN35" s="55">
        <f t="shared" si="505"/>
        <v>-119350</v>
      </c>
      <c r="EO35" s="55">
        <f t="shared" si="505"/>
        <v>-115500</v>
      </c>
      <c r="EP35" s="55">
        <f t="shared" si="505"/>
        <v>-119350</v>
      </c>
      <c r="EQ35" s="55">
        <f t="shared" si="505"/>
        <v>-119350</v>
      </c>
      <c r="ER35" s="55">
        <f t="shared" si="505"/>
        <v>-107800</v>
      </c>
      <c r="ES35" s="55">
        <f t="shared" si="505"/>
        <v>-119350</v>
      </c>
      <c r="ET35" s="55">
        <f t="shared" si="505"/>
        <v>-115500</v>
      </c>
      <c r="EU35" s="55">
        <f t="shared" si="505"/>
        <v>-119350</v>
      </c>
      <c r="EV35" s="55">
        <f t="shared" si="505"/>
        <v>-115500</v>
      </c>
      <c r="EW35" s="55">
        <f t="shared" si="505"/>
        <v>-119350</v>
      </c>
      <c r="EX35" s="55">
        <f t="shared" si="505"/>
        <v>-119350</v>
      </c>
      <c r="EY35" s="55">
        <f t="shared" si="505"/>
        <v>-115500</v>
      </c>
      <c r="EZ35" s="55">
        <f t="shared" si="505"/>
        <v>-119350</v>
      </c>
      <c r="FA35" s="55">
        <f t="shared" si="505"/>
        <v>-115500</v>
      </c>
      <c r="FB35" s="55">
        <f t="shared" si="505"/>
        <v>-119350</v>
      </c>
      <c r="FC35" s="55">
        <f t="shared" si="505"/>
        <v>-119350</v>
      </c>
      <c r="FD35" s="55">
        <f t="shared" si="505"/>
        <v>-107800</v>
      </c>
      <c r="FE35" s="55">
        <f t="shared" si="505"/>
        <v>-119350</v>
      </c>
      <c r="FF35" s="55">
        <f t="shared" si="505"/>
        <v>-115500</v>
      </c>
      <c r="FG35" s="55">
        <f t="shared" si="505"/>
        <v>-119350</v>
      </c>
      <c r="FH35" s="55">
        <f t="shared" si="505"/>
        <v>-115500</v>
      </c>
      <c r="FI35" s="55">
        <f t="shared" si="505"/>
        <v>-119350</v>
      </c>
      <c r="FJ35" s="55">
        <f t="shared" si="505"/>
        <v>-119350</v>
      </c>
      <c r="FK35" s="55">
        <f t="shared" si="505"/>
        <v>-115500</v>
      </c>
      <c r="FL35" s="55">
        <f t="shared" si="505"/>
        <v>-119350</v>
      </c>
      <c r="FM35" s="55">
        <f t="shared" si="505"/>
        <v>-115500</v>
      </c>
      <c r="FN35" s="55">
        <f t="shared" si="505"/>
        <v>-119350</v>
      </c>
      <c r="FO35" s="55">
        <f t="shared" si="505"/>
        <v>-119350</v>
      </c>
      <c r="FP35" s="55">
        <f t="shared" si="505"/>
        <v>-107800</v>
      </c>
      <c r="FQ35" s="55">
        <f t="shared" si="505"/>
        <v>-119350</v>
      </c>
      <c r="FR35" s="55">
        <f t="shared" si="505"/>
        <v>-115500</v>
      </c>
      <c r="FS35" s="55">
        <f t="shared" si="505"/>
        <v>-119350</v>
      </c>
      <c r="FT35" s="55">
        <f t="shared" si="505"/>
        <v>-115500</v>
      </c>
      <c r="FU35" s="55">
        <f t="shared" si="505"/>
        <v>-119350</v>
      </c>
      <c r="FV35" s="55">
        <f t="shared" si="505"/>
        <v>-119350</v>
      </c>
      <c r="FW35" s="55">
        <f t="shared" si="505"/>
        <v>-115500</v>
      </c>
      <c r="FX35" s="55">
        <f t="shared" si="505"/>
        <v>-119350</v>
      </c>
      <c r="FY35" s="55">
        <f t="shared" si="505"/>
        <v>-115500</v>
      </c>
      <c r="FZ35" s="55">
        <f t="shared" si="505"/>
        <v>-119350</v>
      </c>
      <c r="GA35" s="55">
        <f t="shared" si="505"/>
        <v>-119350</v>
      </c>
      <c r="GB35" s="55">
        <f t="shared" si="505"/>
        <v>-107800</v>
      </c>
      <c r="GC35" s="55">
        <f t="shared" si="505"/>
        <v>-119350</v>
      </c>
      <c r="GD35" s="55">
        <f t="shared" si="505"/>
        <v>-115500</v>
      </c>
      <c r="GE35" s="55">
        <f t="shared" si="505"/>
        <v>-119350</v>
      </c>
      <c r="GF35" s="55">
        <f t="shared" si="505"/>
        <v>-115500</v>
      </c>
      <c r="GG35" s="55">
        <f t="shared" si="505"/>
        <v>-119350</v>
      </c>
      <c r="GH35" s="55">
        <f t="shared" si="505"/>
        <v>-119350</v>
      </c>
      <c r="GI35" s="55">
        <f t="shared" si="505"/>
        <v>-115500</v>
      </c>
      <c r="GJ35" s="55">
        <f t="shared" si="505"/>
        <v>-119350</v>
      </c>
      <c r="GK35" s="55">
        <f t="shared" si="505"/>
        <v>-115500</v>
      </c>
      <c r="GL35" s="55">
        <f t="shared" si="505"/>
        <v>-119350</v>
      </c>
      <c r="GM35" s="55">
        <f t="shared" ref="GM35:IX35" si="506">SUM(GM31:GM34)</f>
        <v>-119350</v>
      </c>
      <c r="GN35" s="55">
        <f t="shared" si="506"/>
        <v>-107800</v>
      </c>
      <c r="GO35" s="55">
        <f t="shared" si="506"/>
        <v>-119350</v>
      </c>
      <c r="GP35" s="55">
        <f t="shared" si="506"/>
        <v>-115500</v>
      </c>
      <c r="GQ35" s="55">
        <f t="shared" si="506"/>
        <v>-119350</v>
      </c>
      <c r="GR35" s="55">
        <f t="shared" si="506"/>
        <v>-115500</v>
      </c>
      <c r="GS35" s="55">
        <f t="shared" si="506"/>
        <v>-119350</v>
      </c>
      <c r="GT35" s="55">
        <f t="shared" si="506"/>
        <v>-119350</v>
      </c>
      <c r="GU35" s="55">
        <f t="shared" si="506"/>
        <v>-115500</v>
      </c>
      <c r="GV35" s="55">
        <f t="shared" si="506"/>
        <v>-119350</v>
      </c>
      <c r="GW35" s="55">
        <f t="shared" si="506"/>
        <v>-115500</v>
      </c>
      <c r="GX35" s="55">
        <f t="shared" si="506"/>
        <v>-119350</v>
      </c>
      <c r="GY35" s="55">
        <f t="shared" si="506"/>
        <v>-119350</v>
      </c>
      <c r="GZ35" s="55">
        <f t="shared" si="506"/>
        <v>-107800</v>
      </c>
      <c r="HA35" s="55">
        <f t="shared" si="506"/>
        <v>-119350</v>
      </c>
      <c r="HB35" s="55">
        <f t="shared" si="506"/>
        <v>-115500</v>
      </c>
      <c r="HC35" s="55">
        <f t="shared" si="506"/>
        <v>-119350</v>
      </c>
      <c r="HD35" s="55">
        <f t="shared" si="506"/>
        <v>-115500</v>
      </c>
      <c r="HE35" s="55">
        <f t="shared" si="506"/>
        <v>-119350</v>
      </c>
      <c r="HF35" s="55">
        <f t="shared" si="506"/>
        <v>-119350</v>
      </c>
      <c r="HG35" s="55">
        <f t="shared" si="506"/>
        <v>-115500</v>
      </c>
      <c r="HH35" s="55">
        <f t="shared" si="506"/>
        <v>-119350</v>
      </c>
      <c r="HI35" s="55">
        <f t="shared" si="506"/>
        <v>-115500</v>
      </c>
      <c r="HJ35" s="55">
        <f t="shared" si="506"/>
        <v>-119350</v>
      </c>
      <c r="HK35" s="55">
        <f t="shared" si="506"/>
        <v>-119350</v>
      </c>
      <c r="HL35" s="55">
        <f t="shared" si="506"/>
        <v>-107800</v>
      </c>
      <c r="HM35" s="55">
        <f t="shared" si="506"/>
        <v>-119350</v>
      </c>
      <c r="HN35" s="55">
        <f t="shared" si="506"/>
        <v>-115500</v>
      </c>
      <c r="HO35" s="55">
        <f t="shared" si="506"/>
        <v>-119350</v>
      </c>
      <c r="HP35" s="55">
        <f t="shared" si="506"/>
        <v>-115500</v>
      </c>
      <c r="HQ35" s="55">
        <f t="shared" si="506"/>
        <v>-119350</v>
      </c>
      <c r="HR35" s="55">
        <f t="shared" si="506"/>
        <v>-119350</v>
      </c>
      <c r="HS35" s="55">
        <f t="shared" si="506"/>
        <v>-115500</v>
      </c>
      <c r="HT35" s="55">
        <f t="shared" si="506"/>
        <v>-119350</v>
      </c>
      <c r="HU35" s="55">
        <f t="shared" si="506"/>
        <v>-115500</v>
      </c>
      <c r="HV35" s="55">
        <f t="shared" si="506"/>
        <v>-119350</v>
      </c>
      <c r="HW35" s="55">
        <f t="shared" si="506"/>
        <v>-119350</v>
      </c>
      <c r="HX35" s="55">
        <f t="shared" si="506"/>
        <v>-107800</v>
      </c>
      <c r="HY35" s="55">
        <f t="shared" si="506"/>
        <v>-119350</v>
      </c>
      <c r="HZ35" s="55">
        <f t="shared" si="506"/>
        <v>-115500</v>
      </c>
      <c r="IA35" s="55">
        <f t="shared" si="506"/>
        <v>-119350</v>
      </c>
      <c r="IB35" s="55">
        <f t="shared" si="506"/>
        <v>-115500</v>
      </c>
      <c r="IC35" s="55">
        <f t="shared" si="506"/>
        <v>-119350</v>
      </c>
      <c r="ID35" s="55">
        <f t="shared" si="506"/>
        <v>-119350</v>
      </c>
      <c r="IE35" s="55">
        <f t="shared" si="506"/>
        <v>-115500</v>
      </c>
      <c r="IF35" s="55">
        <f t="shared" si="506"/>
        <v>-119350</v>
      </c>
      <c r="IG35" s="55">
        <f t="shared" si="506"/>
        <v>-115500</v>
      </c>
      <c r="IH35" s="55">
        <f t="shared" si="506"/>
        <v>-119350</v>
      </c>
      <c r="II35" s="55">
        <f t="shared" si="506"/>
        <v>-119350</v>
      </c>
      <c r="IJ35" s="55">
        <f t="shared" si="506"/>
        <v>-107800</v>
      </c>
      <c r="IK35" s="55">
        <f t="shared" si="506"/>
        <v>-119350</v>
      </c>
      <c r="IL35" s="55">
        <f t="shared" si="506"/>
        <v>-115500</v>
      </c>
      <c r="IM35" s="55">
        <f t="shared" si="506"/>
        <v>-119350</v>
      </c>
      <c r="IN35" s="55">
        <f t="shared" si="506"/>
        <v>-115500</v>
      </c>
      <c r="IO35" s="55">
        <f t="shared" si="506"/>
        <v>-119350</v>
      </c>
      <c r="IP35" s="55">
        <f t="shared" si="506"/>
        <v>-119350</v>
      </c>
      <c r="IQ35" s="55">
        <f t="shared" si="506"/>
        <v>-115500</v>
      </c>
      <c r="IR35" s="55">
        <f t="shared" si="506"/>
        <v>-119350</v>
      </c>
      <c r="IS35" s="55">
        <f t="shared" si="506"/>
        <v>-115500</v>
      </c>
      <c r="IT35" s="55">
        <f t="shared" si="506"/>
        <v>-119350</v>
      </c>
      <c r="IU35" s="55">
        <f t="shared" si="506"/>
        <v>-119350</v>
      </c>
      <c r="IV35" s="55">
        <f t="shared" si="506"/>
        <v>-107800</v>
      </c>
      <c r="IW35" s="55">
        <f t="shared" si="506"/>
        <v>-119350</v>
      </c>
      <c r="IX35" s="55">
        <f t="shared" si="506"/>
        <v>-115500</v>
      </c>
      <c r="IY35" s="55">
        <f t="shared" ref="IY35:JR35" si="507">SUM(IY31:IY34)</f>
        <v>-119350</v>
      </c>
      <c r="IZ35" s="55">
        <f t="shared" si="507"/>
        <v>-115500</v>
      </c>
      <c r="JA35" s="55">
        <f t="shared" si="507"/>
        <v>-119350</v>
      </c>
      <c r="JB35" s="55">
        <f t="shared" si="507"/>
        <v>-119350</v>
      </c>
      <c r="JC35" s="55">
        <f t="shared" si="507"/>
        <v>-115500</v>
      </c>
      <c r="JD35" s="55">
        <f t="shared" si="507"/>
        <v>-119350</v>
      </c>
      <c r="JE35" s="55">
        <f t="shared" si="507"/>
        <v>-115500</v>
      </c>
      <c r="JF35" s="55">
        <f t="shared" si="507"/>
        <v>-119350</v>
      </c>
      <c r="JG35" s="55">
        <f t="shared" si="507"/>
        <v>-119350</v>
      </c>
      <c r="JH35" s="55">
        <f t="shared" si="507"/>
        <v>-107800</v>
      </c>
      <c r="JI35" s="55">
        <f t="shared" si="507"/>
        <v>-119350</v>
      </c>
      <c r="JJ35" s="55">
        <f t="shared" si="507"/>
        <v>-115500</v>
      </c>
      <c r="JK35" s="55">
        <f t="shared" si="507"/>
        <v>-119350</v>
      </c>
      <c r="JL35" s="55">
        <f t="shared" si="507"/>
        <v>-115500</v>
      </c>
      <c r="JM35" s="55">
        <f t="shared" si="507"/>
        <v>-119350</v>
      </c>
      <c r="JN35" s="55">
        <f t="shared" si="507"/>
        <v>-119350</v>
      </c>
      <c r="JO35" s="55">
        <f t="shared" si="507"/>
        <v>-115500</v>
      </c>
      <c r="JP35" s="55">
        <f t="shared" si="507"/>
        <v>-119350</v>
      </c>
      <c r="JQ35" s="55">
        <f t="shared" si="507"/>
        <v>-115500</v>
      </c>
      <c r="JR35" s="55">
        <f t="shared" si="507"/>
        <v>-119350</v>
      </c>
    </row>
    <row r="36" spans="2:278" x14ac:dyDescent="0.2">
      <c r="B36" s="31"/>
      <c r="C36" s="30"/>
      <c r="D36" s="30"/>
      <c r="E36" s="30"/>
      <c r="F36" s="30"/>
      <c r="G36" s="30"/>
      <c r="H36" s="30"/>
      <c r="I36" s="32"/>
      <c r="J36" s="30"/>
      <c r="K36" s="30"/>
      <c r="L36" s="30"/>
      <c r="M36" s="30"/>
      <c r="N36" s="30"/>
      <c r="O36" s="30"/>
      <c r="P36" s="30"/>
      <c r="Q36" s="30"/>
      <c r="R36" s="30"/>
      <c r="S36" s="30"/>
      <c r="T36" s="30"/>
      <c r="U36" s="32"/>
      <c r="V36" s="30"/>
      <c r="W36" s="30"/>
      <c r="X36" s="30"/>
      <c r="Y36" s="30"/>
      <c r="Z36" s="30"/>
      <c r="AA36" s="30"/>
      <c r="AB36" s="30"/>
      <c r="AC36" s="30"/>
      <c r="AD36" s="30"/>
      <c r="AE36" s="30"/>
      <c r="AF36" s="30"/>
      <c r="AG36" s="32"/>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0"/>
      <c r="DV36" s="30"/>
      <c r="DW36" s="30"/>
      <c r="DX36" s="30"/>
      <c r="DY36" s="30"/>
      <c r="DZ36" s="30"/>
      <c r="EA36" s="30"/>
      <c r="EB36" s="30"/>
      <c r="EC36" s="30"/>
      <c r="ED36" s="30"/>
      <c r="EE36" s="30"/>
      <c r="EF36" s="30"/>
      <c r="EG36" s="30"/>
      <c r="EH36" s="30"/>
      <c r="EI36" s="30"/>
      <c r="EJ36" s="30"/>
      <c r="EK36" s="30"/>
      <c r="EL36" s="30"/>
      <c r="EM36" s="30"/>
      <c r="EN36" s="30"/>
      <c r="EO36" s="30"/>
      <c r="EP36" s="30"/>
      <c r="EQ36" s="30"/>
      <c r="ER36" s="30"/>
      <c r="ES36" s="30"/>
      <c r="ET36" s="30"/>
      <c r="EU36" s="30"/>
      <c r="EV36" s="30"/>
      <c r="EW36" s="30"/>
      <c r="EX36" s="30"/>
      <c r="EY36" s="30"/>
      <c r="EZ36" s="30"/>
      <c r="FA36" s="30"/>
      <c r="FB36" s="30"/>
      <c r="FC36" s="30"/>
      <c r="FD36" s="30"/>
      <c r="FE36" s="30"/>
      <c r="FF36" s="30"/>
      <c r="FG36" s="30"/>
      <c r="FH36" s="30"/>
      <c r="FI36" s="30"/>
      <c r="FJ36" s="30"/>
      <c r="FK36" s="30"/>
      <c r="FL36" s="30"/>
      <c r="FM36" s="30"/>
      <c r="FN36" s="30"/>
      <c r="FO36" s="30"/>
      <c r="FP36" s="30"/>
      <c r="FQ36" s="30"/>
      <c r="FR36" s="30"/>
      <c r="FS36" s="30"/>
      <c r="FT36" s="30"/>
      <c r="FU36" s="30"/>
      <c r="FV36" s="30"/>
      <c r="FW36" s="30"/>
      <c r="FX36" s="30"/>
      <c r="FY36" s="30"/>
      <c r="FZ36" s="30"/>
      <c r="GA36" s="30"/>
      <c r="GB36" s="30"/>
      <c r="GC36" s="30"/>
      <c r="GD36" s="30"/>
      <c r="GE36" s="30"/>
      <c r="GF36" s="30"/>
      <c r="GG36" s="30"/>
      <c r="GH36" s="30"/>
      <c r="GI36" s="30"/>
      <c r="GJ36" s="30"/>
      <c r="GK36" s="30"/>
      <c r="GL36" s="30"/>
      <c r="GM36" s="30"/>
      <c r="GN36" s="30"/>
      <c r="GO36" s="30"/>
      <c r="GP36" s="30"/>
      <c r="GQ36" s="30"/>
      <c r="GR36" s="30"/>
      <c r="GS36" s="30"/>
      <c r="GT36" s="30"/>
      <c r="GU36" s="30"/>
      <c r="GV36" s="30"/>
      <c r="GW36" s="30"/>
      <c r="GX36" s="30"/>
      <c r="GY36" s="30"/>
      <c r="GZ36" s="30"/>
      <c r="HA36" s="30"/>
      <c r="HB36" s="30"/>
      <c r="HC36" s="30"/>
      <c r="HD36" s="30"/>
      <c r="HE36" s="30"/>
      <c r="HF36" s="30"/>
      <c r="HG36" s="30"/>
      <c r="HH36" s="30"/>
      <c r="HI36" s="30"/>
      <c r="HJ36" s="30"/>
      <c r="HK36" s="30"/>
      <c r="HL36" s="30"/>
      <c r="HM36" s="30"/>
      <c r="HN36" s="30"/>
      <c r="HO36" s="30"/>
      <c r="HP36" s="30"/>
      <c r="HQ36" s="30"/>
      <c r="HR36" s="30"/>
      <c r="HS36" s="30"/>
      <c r="HT36" s="30"/>
      <c r="HU36" s="30"/>
      <c r="HV36" s="30"/>
      <c r="HW36" s="30"/>
      <c r="HX36" s="30"/>
      <c r="HY36" s="30"/>
      <c r="HZ36" s="30"/>
      <c r="IA36" s="30"/>
      <c r="IB36" s="30"/>
      <c r="IC36" s="30"/>
      <c r="ID36" s="30"/>
      <c r="IE36" s="30"/>
      <c r="IF36" s="30"/>
      <c r="IG36" s="30"/>
      <c r="IH36" s="30"/>
      <c r="II36" s="30"/>
      <c r="IJ36" s="30"/>
      <c r="IK36" s="30"/>
      <c r="IL36" s="30"/>
      <c r="IM36" s="30"/>
      <c r="IN36" s="30"/>
      <c r="IO36" s="30"/>
      <c r="IP36" s="30"/>
      <c r="IQ36" s="30"/>
      <c r="IR36" s="30"/>
      <c r="IS36" s="30"/>
      <c r="IT36" s="30"/>
      <c r="IU36" s="30"/>
      <c r="IV36" s="30"/>
      <c r="IW36" s="30"/>
      <c r="IX36" s="30"/>
      <c r="IY36" s="30"/>
      <c r="IZ36" s="30"/>
      <c r="JA36" s="30"/>
      <c r="JB36" s="30"/>
      <c r="JC36" s="30"/>
      <c r="JD36" s="30"/>
      <c r="JE36" s="30"/>
      <c r="JF36" s="30"/>
      <c r="JG36" s="30"/>
      <c r="JH36" s="30"/>
      <c r="JI36" s="30"/>
      <c r="JJ36" s="30"/>
      <c r="JK36" s="30"/>
      <c r="JL36" s="30"/>
      <c r="JM36" s="30"/>
      <c r="JN36" s="30"/>
      <c r="JO36" s="30"/>
      <c r="JP36" s="30"/>
      <c r="JQ36" s="30"/>
      <c r="JR36" s="30"/>
    </row>
    <row r="37" spans="2:278" x14ac:dyDescent="0.2">
      <c r="B37" s="56" t="s">
        <v>70</v>
      </c>
      <c r="C37" s="57">
        <f t="shared" ref="C37:BN37" si="508">C28+C35</f>
        <v>0</v>
      </c>
      <c r="D37" s="57">
        <f t="shared" si="508"/>
        <v>0</v>
      </c>
      <c r="E37" s="57">
        <f t="shared" si="508"/>
        <v>0</v>
      </c>
      <c r="F37" s="57">
        <f t="shared" si="508"/>
        <v>0</v>
      </c>
      <c r="G37" s="57">
        <f t="shared" si="508"/>
        <v>0</v>
      </c>
      <c r="H37" s="57">
        <f t="shared" si="508"/>
        <v>0</v>
      </c>
      <c r="I37" s="57">
        <f t="shared" si="508"/>
        <v>0</v>
      </c>
      <c r="J37" s="57">
        <f t="shared" si="508"/>
        <v>0</v>
      </c>
      <c r="K37" s="57">
        <f t="shared" si="508"/>
        <v>0</v>
      </c>
      <c r="L37" s="57">
        <f t="shared" si="508"/>
        <v>0</v>
      </c>
      <c r="M37" s="57">
        <f t="shared" si="508"/>
        <v>0</v>
      </c>
      <c r="N37" s="57">
        <f t="shared" si="508"/>
        <v>0</v>
      </c>
      <c r="O37" s="57">
        <f t="shared" si="508"/>
        <v>0</v>
      </c>
      <c r="P37" s="57">
        <f t="shared" si="508"/>
        <v>0</v>
      </c>
      <c r="Q37" s="57">
        <f t="shared" si="508"/>
        <v>0</v>
      </c>
      <c r="R37" s="57">
        <f t="shared" si="508"/>
        <v>4559111.0745350346</v>
      </c>
      <c r="S37" s="57">
        <f t="shared" si="508"/>
        <v>4719132.1627590135</v>
      </c>
      <c r="T37" s="57">
        <f t="shared" si="508"/>
        <v>4574706.0964809153</v>
      </c>
      <c r="U37" s="57">
        <f t="shared" si="508"/>
        <v>4735273.8768631062</v>
      </c>
      <c r="V37" s="57">
        <f t="shared" si="508"/>
        <v>4743364.916657879</v>
      </c>
      <c r="W37" s="57">
        <f t="shared" si="508"/>
        <v>4598196.2337280409</v>
      </c>
      <c r="X37" s="57">
        <f t="shared" si="508"/>
        <v>4759587.4739215076</v>
      </c>
      <c r="Y37" s="57">
        <f t="shared" si="508"/>
        <v>4613921.6481077839</v>
      </c>
      <c r="Z37" s="57">
        <f t="shared" si="508"/>
        <v>4775864.151438674</v>
      </c>
      <c r="AA37" s="57">
        <f t="shared" si="508"/>
        <v>4784022.8416910712</v>
      </c>
      <c r="AB37" s="57">
        <f t="shared" si="508"/>
        <v>4328434.3107514717</v>
      </c>
      <c r="AC37" s="57">
        <f t="shared" si="508"/>
        <v>4800381.038310159</v>
      </c>
      <c r="AD37" s="57">
        <f t="shared" si="508"/>
        <v>6442444.2995832656</v>
      </c>
      <c r="AE37" s="57">
        <f t="shared" si="508"/>
        <v>6665405.6605527755</v>
      </c>
      <c r="AF37" s="57">
        <f t="shared" si="508"/>
        <v>6458354.0969989616</v>
      </c>
      <c r="AG37" s="57">
        <f t="shared" si="508"/>
        <v>6681873.1847556569</v>
      </c>
      <c r="AH37" s="57">
        <f t="shared" si="508"/>
        <v>6690127.5369754806</v>
      </c>
      <c r="AI37" s="57">
        <f t="shared" si="508"/>
        <v>6482318.3675312931</v>
      </c>
      <c r="AJ37" s="57">
        <f t="shared" si="508"/>
        <v>6706677.5361049809</v>
      </c>
      <c r="AK37" s="57">
        <f t="shared" si="508"/>
        <v>6498361.1892681159</v>
      </c>
      <c r="AL37" s="57">
        <f t="shared" si="508"/>
        <v>6723282.7478704667</v>
      </c>
      <c r="AM37" s="57">
        <f t="shared" si="508"/>
        <v>6731606.1160288155</v>
      </c>
      <c r="AN37" s="57">
        <f t="shared" si="508"/>
        <v>6087690.7735834811</v>
      </c>
      <c r="AO37" s="57">
        <f t="shared" si="508"/>
        <v>6748294.4923067689</v>
      </c>
      <c r="AP37" s="57">
        <f t="shared" si="508"/>
        <v>6538702.7871346883</v>
      </c>
      <c r="AQ37" s="57">
        <f t="shared" si="508"/>
        <v>6765038.5428622514</v>
      </c>
      <c r="AR37" s="57">
        <f t="shared" si="508"/>
        <v>6554933.7135602441</v>
      </c>
      <c r="AS37" s="57">
        <f t="shared" si="508"/>
        <v>6781838.4534308361</v>
      </c>
      <c r="AT37" s="57">
        <f t="shared" si="508"/>
        <v>6790259.4144317852</v>
      </c>
      <c r="AU37" s="57">
        <f t="shared" si="508"/>
        <v>6579381.687452646</v>
      </c>
      <c r="AV37" s="57">
        <f t="shared" si="508"/>
        <v>6807143.4646302434</v>
      </c>
      <c r="AW37" s="57">
        <f t="shared" si="508"/>
        <v>6595748.32320954</v>
      </c>
      <c r="AX37" s="57">
        <f t="shared" si="508"/>
        <v>6824083.8418961726</v>
      </c>
      <c r="AY37" s="57">
        <f t="shared" si="508"/>
        <v>6832575.2118778955</v>
      </c>
      <c r="AZ37" s="57">
        <f t="shared" si="508"/>
        <v>6399720.686778863</v>
      </c>
      <c r="BA37" s="57">
        <f t="shared" si="508"/>
        <v>6849600.432278391</v>
      </c>
      <c r="BB37" s="57">
        <f t="shared" si="508"/>
        <v>6636904.1902362108</v>
      </c>
      <c r="BC37" s="57">
        <f t="shared" si="508"/>
        <v>6866682.4507058337</v>
      </c>
      <c r="BD37" s="57">
        <f t="shared" si="508"/>
        <v>6653462.7274537794</v>
      </c>
      <c r="BE37" s="57">
        <f t="shared" si="508"/>
        <v>6883821.4566447511</v>
      </c>
      <c r="BF37" s="57">
        <f t="shared" si="508"/>
        <v>6892412.3893177249</v>
      </c>
      <c r="BG37" s="57">
        <f t="shared" si="508"/>
        <v>6678404.1679469179</v>
      </c>
      <c r="BH37" s="57">
        <f t="shared" si="508"/>
        <v>6909637.2331907339</v>
      </c>
      <c r="BI37" s="57">
        <f t="shared" si="508"/>
        <v>6695101.1537012402</v>
      </c>
      <c r="BJ37" s="57">
        <f t="shared" si="508"/>
        <v>6926919.5410567755</v>
      </c>
      <c r="BK37" s="57">
        <f t="shared" si="508"/>
        <v>6935582.3038704339</v>
      </c>
      <c r="BL37" s="57">
        <f t="shared" si="508"/>
        <v>6272234.3912715856</v>
      </c>
      <c r="BM37" s="57">
        <f t="shared" si="508"/>
        <v>6952951.1673750477</v>
      </c>
      <c r="BN37" s="57">
        <f t="shared" si="508"/>
        <v>6737087.7253863588</v>
      </c>
      <c r="BO37" s="57">
        <f t="shared" ref="BO37:DZ37" si="509">BO28+BO35</f>
        <v>6970377.975338188</v>
      </c>
      <c r="BP37" s="57">
        <f t="shared" si="509"/>
        <v>6753980.4860086916</v>
      </c>
      <c r="BQ37" s="57">
        <f t="shared" si="509"/>
        <v>6987862.9210690055</v>
      </c>
      <c r="BR37" s="57">
        <f t="shared" si="509"/>
        <v>6996627.2561826836</v>
      </c>
      <c r="BS37" s="57">
        <f t="shared" si="509"/>
        <v>6779425.3534079529</v>
      </c>
      <c r="BT37" s="57">
        <f t="shared" si="509"/>
        <v>7014199.7724309834</v>
      </c>
      <c r="BU37" s="57">
        <f t="shared" si="509"/>
        <v>6796459.3570615472</v>
      </c>
      <c r="BV37" s="57">
        <f t="shared" si="509"/>
        <v>7031830.9125459921</v>
      </c>
      <c r="BW37" s="57">
        <f t="shared" si="509"/>
        <v>7040668.5276454659</v>
      </c>
      <c r="BX37" s="57">
        <f t="shared" si="509"/>
        <v>6367309.1748031043</v>
      </c>
      <c r="BY37" s="57">
        <f t="shared" si="509"/>
        <v>7058387.9704688415</v>
      </c>
      <c r="BZ37" s="57">
        <f t="shared" si="509"/>
        <v>6839293.4006434055</v>
      </c>
      <c r="CA37" s="57">
        <f t="shared" si="509"/>
        <v>7076166.5273223026</v>
      </c>
      <c r="CB37" s="57">
        <f t="shared" si="509"/>
        <v>6856527.1307545835</v>
      </c>
      <c r="CC37" s="57">
        <f t="shared" si="509"/>
        <v>7094004.3954168232</v>
      </c>
      <c r="CD37" s="57">
        <f t="shared" si="509"/>
        <v>7102945.632987747</v>
      </c>
      <c r="CE37" s="57">
        <f t="shared" si="509"/>
        <v>6882485.5864076996</v>
      </c>
      <c r="CF37" s="57">
        <f t="shared" si="509"/>
        <v>7120872.839154222</v>
      </c>
      <c r="CG37" s="57">
        <f t="shared" si="509"/>
        <v>6899863.4104497181</v>
      </c>
      <c r="CH37" s="57">
        <f t="shared" si="509"/>
        <v>7138859.8524723807</v>
      </c>
      <c r="CI37" s="57">
        <f t="shared" si="509"/>
        <v>7147875.8491383996</v>
      </c>
      <c r="CJ37" s="57">
        <f t="shared" si="509"/>
        <v>6464302.9815817652</v>
      </c>
      <c r="CK37" s="57">
        <f t="shared" si="509"/>
        <v>7165952.9474981986</v>
      </c>
      <c r="CL37" s="57">
        <f t="shared" si="509"/>
        <v>6943562.0316025093</v>
      </c>
      <c r="CM37" s="57">
        <f t="shared" si="509"/>
        <v>7184090.353066694</v>
      </c>
      <c r="CN37" s="57">
        <f t="shared" si="509"/>
        <v>6961143.6134519689</v>
      </c>
      <c r="CO37" s="57">
        <f t="shared" si="509"/>
        <v>7202288.2670354331</v>
      </c>
      <c r="CP37" s="57">
        <f t="shared" si="509"/>
        <v>7211409.9777257219</v>
      </c>
      <c r="CQ37" s="57">
        <f t="shared" si="509"/>
        <v>6987626.0238069315</v>
      </c>
      <c r="CR37" s="57">
        <f t="shared" si="509"/>
        <v>7229699.0329978382</v>
      </c>
      <c r="CS37" s="57">
        <f t="shared" si="509"/>
        <v>7005354.6080303863</v>
      </c>
      <c r="CT37" s="57">
        <f t="shared" si="509"/>
        <v>7248049.1025904585</v>
      </c>
      <c r="CU37" s="57">
        <f t="shared" si="509"/>
        <v>7257247.0813400056</v>
      </c>
      <c r="CV37" s="57">
        <f t="shared" si="509"/>
        <v>6563254.5458553489</v>
      </c>
      <c r="CW37" s="57">
        <f t="shared" si="509"/>
        <v>7275689.05428279</v>
      </c>
      <c r="CX37" s="57">
        <f t="shared" si="509"/>
        <v>7049935.2576953154</v>
      </c>
      <c r="CY37" s="57">
        <f t="shared" si="509"/>
        <v>7294192.5516964206</v>
      </c>
      <c r="CZ37" s="57">
        <f t="shared" si="509"/>
        <v>7067871.7124462677</v>
      </c>
      <c r="DA37" s="57">
        <f t="shared" si="509"/>
        <v>7312757.778833366</v>
      </c>
      <c r="DB37" s="57">
        <f t="shared" si="509"/>
        <v>7322063.6053766534</v>
      </c>
      <c r="DC37" s="57">
        <f t="shared" si="509"/>
        <v>7094888.6531911371</v>
      </c>
      <c r="DD37" s="57">
        <f t="shared" si="509"/>
        <v>7340721.8134454582</v>
      </c>
      <c r="DE37" s="57">
        <f t="shared" si="509"/>
        <v>7112975.0774642872</v>
      </c>
      <c r="DF37" s="57">
        <f t="shared" si="509"/>
        <v>7359442.2673695171</v>
      </c>
      <c r="DG37" s="57">
        <f t="shared" si="509"/>
        <v>7368825.9013936967</v>
      </c>
      <c r="DH37" s="57">
        <f t="shared" si="509"/>
        <v>6664203.3836974716</v>
      </c>
      <c r="DI37" s="57">
        <f t="shared" si="509"/>
        <v>7387640.1136778258</v>
      </c>
      <c r="DJ37" s="57">
        <f t="shared" si="509"/>
        <v>7158455.5588185675</v>
      </c>
      <c r="DK37" s="57">
        <f t="shared" si="509"/>
        <v>7406517.0922646057</v>
      </c>
      <c r="DL37" s="57">
        <f t="shared" si="509"/>
        <v>7176754.0493518803</v>
      </c>
      <c r="DM37" s="57">
        <f t="shared" si="509"/>
        <v>7425457.046549391</v>
      </c>
      <c r="DN37" s="57">
        <f t="shared" si="509"/>
        <v>7434950.7052055364</v>
      </c>
      <c r="DO37" s="57">
        <f t="shared" si="509"/>
        <v>7204316.3096381687</v>
      </c>
      <c r="DP37" s="57">
        <f t="shared" si="509"/>
        <v>7453985.5171823818</v>
      </c>
      <c r="DQ37" s="57">
        <f t="shared" si="509"/>
        <v>7222767.7967318548</v>
      </c>
      <c r="DR37" s="57">
        <f t="shared" si="509"/>
        <v>7473083.831406964</v>
      </c>
      <c r="DS37" s="57">
        <f t="shared" si="509"/>
        <v>7482656.8680378711</v>
      </c>
      <c r="DT37" s="57">
        <f t="shared" si="509"/>
        <v>6767189.8087882344</v>
      </c>
      <c r="DU37" s="57">
        <f t="shared" si="509"/>
        <v>7501850.8330746125</v>
      </c>
      <c r="DV37" s="57">
        <f t="shared" si="509"/>
        <v>7269166.2722983537</v>
      </c>
      <c r="DW37" s="57">
        <f t="shared" si="509"/>
        <v>7521108.8313113768</v>
      </c>
      <c r="DX37" s="57">
        <f t="shared" si="509"/>
        <v>7287834.1060730256</v>
      </c>
      <c r="DY37" s="57">
        <f t="shared" si="509"/>
        <v>7540431.076370039</v>
      </c>
      <c r="DZ37" s="57">
        <f t="shared" si="509"/>
        <v>7550116.3584092204</v>
      </c>
      <c r="EA37" s="57">
        <f t="shared" ref="EA37:GL37" si="510">EA28+EA35</f>
        <v>7315952.6928243199</v>
      </c>
      <c r="EB37" s="57">
        <f t="shared" si="510"/>
        <v>7569535.3758013379</v>
      </c>
      <c r="EC37" s="57">
        <f t="shared" si="510"/>
        <v>7334776.6112963567</v>
      </c>
      <c r="ED37" s="57">
        <f t="shared" si="510"/>
        <v>7589019.1771931425</v>
      </c>
      <c r="EE37" s="57">
        <f t="shared" si="510"/>
        <v>7598785.4394003637</v>
      </c>
      <c r="EF37" s="57">
        <f t="shared" si="510"/>
        <v>6872254.948513397</v>
      </c>
      <c r="EG37" s="57">
        <f t="shared" si="510"/>
        <v>7618366.8222543411</v>
      </c>
      <c r="EH37" s="57">
        <f t="shared" si="510"/>
        <v>7382111.6101967711</v>
      </c>
      <c r="EI37" s="57">
        <f t="shared" si="510"/>
        <v>7638013.5307772337</v>
      </c>
      <c r="EJ37" s="57">
        <f t="shared" si="510"/>
        <v>7401156.2421681527</v>
      </c>
      <c r="EK37" s="57">
        <f t="shared" si="510"/>
        <v>7657725.7829027222</v>
      </c>
      <c r="EL37" s="57">
        <f t="shared" si="510"/>
        <v>7667606.5561194569</v>
      </c>
      <c r="EM37" s="57">
        <f t="shared" si="510"/>
        <v>7429842.3844756968</v>
      </c>
      <c r="EN37" s="57">
        <f t="shared" si="510"/>
        <v>7687417.5338656027</v>
      </c>
      <c r="EO37" s="57">
        <f t="shared" si="510"/>
        <v>7449046.251613494</v>
      </c>
      <c r="EP37" s="57">
        <f t="shared" si="510"/>
        <v>7707294.6032347307</v>
      </c>
      <c r="EQ37" s="57">
        <f t="shared" si="510"/>
        <v>7717257.9911520202</v>
      </c>
      <c r="ER37" s="57">
        <f t="shared" si="510"/>
        <v>6979440.7603884963</v>
      </c>
      <c r="ES37" s="57">
        <f t="shared" si="510"/>
        <v>7737234.6116022598</v>
      </c>
      <c r="ET37" s="57">
        <f t="shared" si="510"/>
        <v>7497336.6769678965</v>
      </c>
      <c r="EU37" s="57">
        <f t="shared" si="510"/>
        <v>7757277.876277945</v>
      </c>
      <c r="EV37" s="57">
        <f t="shared" si="510"/>
        <v>7516765.7125648111</v>
      </c>
      <c r="EW37" s="57">
        <f t="shared" si="510"/>
        <v>7777388.0075116185</v>
      </c>
      <c r="EX37" s="57">
        <f t="shared" si="510"/>
        <v>7787468.2177693704</v>
      </c>
      <c r="EY37" s="57">
        <f t="shared" si="510"/>
        <v>7546030.866171821</v>
      </c>
      <c r="EZ37" s="57">
        <f t="shared" si="510"/>
        <v>7807679.0673367418</v>
      </c>
      <c r="FA37" s="57">
        <f t="shared" si="510"/>
        <v>7565622.3509943876</v>
      </c>
      <c r="FB37" s="57">
        <f t="shared" si="510"/>
        <v>7827957.3425439205</v>
      </c>
      <c r="FC37" s="57">
        <f t="shared" si="510"/>
        <v>7838121.8350267243</v>
      </c>
      <c r="FD37" s="57">
        <f t="shared" si="510"/>
        <v>7088790.0488144951</v>
      </c>
      <c r="FE37" s="57">
        <f t="shared" si="510"/>
        <v>7858501.6706894469</v>
      </c>
      <c r="FF37" s="57">
        <f t="shared" si="510"/>
        <v>7614887.4874701556</v>
      </c>
      <c r="FG37" s="57">
        <f t="shared" si="510"/>
        <v>7878949.4957483662</v>
      </c>
      <c r="FH37" s="57">
        <f t="shared" si="510"/>
        <v>7634708.6856321068</v>
      </c>
      <c r="FI37" s="57">
        <f t="shared" si="510"/>
        <v>7899465.5370236626</v>
      </c>
      <c r="FJ37" s="57">
        <f t="shared" si="510"/>
        <v>7909749.2098305998</v>
      </c>
      <c r="FK37" s="57">
        <f t="shared" si="510"/>
        <v>7664564.5375085957</v>
      </c>
      <c r="FL37" s="57">
        <f t="shared" si="510"/>
        <v>7930368.0023742653</v>
      </c>
      <c r="FM37" s="57">
        <f t="shared" si="510"/>
        <v>7684551.4638291467</v>
      </c>
      <c r="FN37" s="57">
        <f t="shared" si="510"/>
        <v>7951055.5815008339</v>
      </c>
      <c r="FO37" s="57">
        <f t="shared" si="510"/>
        <v>7961425.2377152313</v>
      </c>
      <c r="FP37" s="57">
        <f t="shared" si="510"/>
        <v>7200346.4821716007</v>
      </c>
      <c r="FQ37" s="57">
        <f t="shared" si="510"/>
        <v>7982216.4272297015</v>
      </c>
      <c r="FR37" s="57">
        <f t="shared" si="510"/>
        <v>7734810.9853422381</v>
      </c>
      <c r="FS37" s="57">
        <f t="shared" si="510"/>
        <v>8003076.9784625247</v>
      </c>
      <c r="FT37" s="57">
        <f t="shared" si="510"/>
        <v>7755032.2616179259</v>
      </c>
      <c r="FU37" s="57">
        <f t="shared" si="510"/>
        <v>8024007.122812096</v>
      </c>
      <c r="FV37" s="57">
        <f t="shared" si="510"/>
        <v>8034498.3649286814</v>
      </c>
      <c r="FW37" s="57">
        <f t="shared" si="510"/>
        <v>7785490.7346278634</v>
      </c>
      <c r="FX37" s="57">
        <f t="shared" si="510"/>
        <v>8055533.3345147707</v>
      </c>
      <c r="FY37" s="57">
        <f t="shared" si="510"/>
        <v>7805881.0841782521</v>
      </c>
      <c r="FZ37" s="57">
        <f t="shared" si="510"/>
        <v>8076638.4790966185</v>
      </c>
      <c r="GA37" s="57">
        <f t="shared" si="510"/>
        <v>8087217.4401403433</v>
      </c>
      <c r="GB37" s="57">
        <f t="shared" si="510"/>
        <v>7314154.610258149</v>
      </c>
      <c r="GC37" s="57">
        <f t="shared" si="510"/>
        <v>8108428.2864190144</v>
      </c>
      <c r="GD37" s="57">
        <f t="shared" si="510"/>
        <v>7857155.0617499463</v>
      </c>
      <c r="GE37" s="57">
        <f t="shared" si="510"/>
        <v>8129709.8944376316</v>
      </c>
      <c r="GF37" s="57">
        <f t="shared" si="510"/>
        <v>7877784.4914583135</v>
      </c>
      <c r="GG37" s="57">
        <f t="shared" si="510"/>
        <v>8151062.500265222</v>
      </c>
      <c r="GH37" s="57">
        <f t="shared" si="510"/>
        <v>8161765.5013442291</v>
      </c>
      <c r="GI37" s="57">
        <f t="shared" si="510"/>
        <v>7908857.7491209991</v>
      </c>
      <c r="GJ37" s="57">
        <f t="shared" si="510"/>
        <v>8183225.0482381936</v>
      </c>
      <c r="GK37" s="57">
        <f t="shared" si="510"/>
        <v>7929659.6647391813</v>
      </c>
      <c r="GL37" s="57">
        <f t="shared" si="510"/>
        <v>8204756.1865649913</v>
      </c>
      <c r="GM37" s="57">
        <f t="shared" ref="GM37:IX37" si="511">GM28+GM35</f>
        <v>8215548.6771211624</v>
      </c>
      <c r="GN37" s="57">
        <f t="shared" si="511"/>
        <v>7430259.8820814397</v>
      </c>
      <c r="GO37" s="57">
        <f t="shared" si="511"/>
        <v>8237187.6506654285</v>
      </c>
      <c r="GP37" s="57">
        <f t="shared" si="511"/>
        <v>7981968.5745113883</v>
      </c>
      <c r="GQ37" s="57">
        <f t="shared" si="511"/>
        <v>8258898.8142297678</v>
      </c>
      <c r="GR37" s="57">
        <f t="shared" si="511"/>
        <v>8003014.3959664972</v>
      </c>
      <c r="GS37" s="57">
        <f t="shared" si="511"/>
        <v>8280682.4086481109</v>
      </c>
      <c r="GT37" s="57">
        <f t="shared" si="511"/>
        <v>8291601.4429077543</v>
      </c>
      <c r="GU37" s="57">
        <f t="shared" si="511"/>
        <v>8034714.8473140281</v>
      </c>
      <c r="GV37" s="57">
        <f t="shared" si="511"/>
        <v>8313494.1369289905</v>
      </c>
      <c r="GW37" s="57">
        <f t="shared" si="511"/>
        <v>8055936.6361959046</v>
      </c>
      <c r="GX37" s="57">
        <f t="shared" si="511"/>
        <v>8335459.8674100023</v>
      </c>
      <c r="GY37" s="57">
        <f t="shared" si="511"/>
        <v>8346470.1974342503</v>
      </c>
      <c r="GZ37" s="57">
        <f t="shared" si="511"/>
        <v>7548708.6640077112</v>
      </c>
      <c r="HA37" s="57">
        <f t="shared" si="511"/>
        <v>8368545.9397171158</v>
      </c>
      <c r="HB37" s="57">
        <f t="shared" si="511"/>
        <v>8109301.3676082678</v>
      </c>
      <c r="HC37" s="57">
        <f t="shared" si="511"/>
        <v>8390695.329129098</v>
      </c>
      <c r="HD37" s="57">
        <f t="shared" si="511"/>
        <v>8130771.9854092347</v>
      </c>
      <c r="HE37" s="57">
        <f t="shared" si="511"/>
        <v>8412918.611365201</v>
      </c>
      <c r="HF37" s="57">
        <f t="shared" si="511"/>
        <v>8424058.0392960384</v>
      </c>
      <c r="HG37" s="57">
        <f t="shared" si="511"/>
        <v>8163112.2899420271</v>
      </c>
      <c r="HH37" s="57">
        <f t="shared" si="511"/>
        <v>8446392.623240225</v>
      </c>
      <c r="HI37" s="57">
        <f t="shared" si="511"/>
        <v>8184762.4269588925</v>
      </c>
      <c r="HJ37" s="57">
        <f t="shared" si="511"/>
        <v>8468801.7178380731</v>
      </c>
      <c r="HK37" s="57">
        <f t="shared" si="511"/>
        <v>8480034.2842796985</v>
      </c>
      <c r="HL37" s="57">
        <f t="shared" si="511"/>
        <v>7669548.2582784221</v>
      </c>
      <c r="HM37" s="57">
        <f t="shared" si="511"/>
        <v>8502555.6111967359</v>
      </c>
      <c r="HN37" s="57">
        <f t="shared" si="511"/>
        <v>8239204.2910909289</v>
      </c>
      <c r="HO37" s="57">
        <f t="shared" si="511"/>
        <v>8525152.071762735</v>
      </c>
      <c r="HP37" s="57">
        <f t="shared" si="511"/>
        <v>8261108.2794782948</v>
      </c>
      <c r="HQ37" s="57">
        <f t="shared" si="511"/>
        <v>8547823.9166318998</v>
      </c>
      <c r="HR37" s="57">
        <f t="shared" si="511"/>
        <v>8559188.1867381874</v>
      </c>
      <c r="HS37" s="57">
        <f t="shared" si="511"/>
        <v>8294101.3522206247</v>
      </c>
      <c r="HT37" s="57">
        <f t="shared" si="511"/>
        <v>8581973.5798687004</v>
      </c>
      <c r="HU37" s="57">
        <f t="shared" si="511"/>
        <v>8316188.4833035935</v>
      </c>
      <c r="HV37" s="57">
        <f t="shared" si="511"/>
        <v>8604834.9876024127</v>
      </c>
      <c r="HW37" s="57">
        <f t="shared" si="511"/>
        <v>8616294.2761603147</v>
      </c>
      <c r="HX37" s="57">
        <f t="shared" si="511"/>
        <v>7792826.9219003012</v>
      </c>
      <c r="HY37" s="57">
        <f t="shared" si="511"/>
        <v>8639270.1815502625</v>
      </c>
      <c r="HZ37" s="57">
        <f t="shared" si="511"/>
        <v>8371729.2213852368</v>
      </c>
      <c r="IA37" s="57">
        <f t="shared" si="511"/>
        <v>8662322.7371134702</v>
      </c>
      <c r="IB37" s="57">
        <f t="shared" si="511"/>
        <v>8394075.3276650533</v>
      </c>
      <c r="IC37" s="57">
        <f t="shared" si="511"/>
        <v>8685452.1985634323</v>
      </c>
      <c r="ID37" s="57">
        <f t="shared" si="511"/>
        <v>8697045.849139601</v>
      </c>
      <c r="IE37" s="57">
        <f t="shared" si="511"/>
        <v>8427734.3443226442</v>
      </c>
      <c r="IF37" s="57">
        <f t="shared" si="511"/>
        <v>8720291.150749404</v>
      </c>
      <c r="IG37" s="57">
        <f t="shared" si="511"/>
        <v>8450267.2899153735</v>
      </c>
      <c r="IH37" s="57">
        <f t="shared" si="511"/>
        <v>8743614.0012681931</v>
      </c>
      <c r="II37" s="57">
        <f t="shared" si="511"/>
        <v>8755304.5881822035</v>
      </c>
      <c r="IJ37" s="57">
        <f t="shared" si="511"/>
        <v>7918593.8859166661</v>
      </c>
      <c r="IK37" s="57">
        <f t="shared" si="511"/>
        <v>8778744.2474186476</v>
      </c>
      <c r="IL37" s="57">
        <f t="shared" si="511"/>
        <v>8506929.0820092652</v>
      </c>
      <c r="IM37" s="57">
        <f t="shared" si="511"/>
        <v>8802262.1039627101</v>
      </c>
      <c r="IN37" s="57">
        <f t="shared" si="511"/>
        <v>8529726.2300463319</v>
      </c>
      <c r="IO37" s="57">
        <f t="shared" si="511"/>
        <v>8825858.4186892994</v>
      </c>
      <c r="IP37" s="57">
        <f t="shared" si="511"/>
        <v>8837686.0796323474</v>
      </c>
      <c r="IQ37" s="57">
        <f t="shared" si="511"/>
        <v>8564064.6322680283</v>
      </c>
      <c r="IR37" s="57">
        <f t="shared" si="511"/>
        <v>8861400.572677765</v>
      </c>
      <c r="IS37" s="57">
        <f t="shared" si="511"/>
        <v>8587052.3908491544</v>
      </c>
      <c r="IT37" s="57">
        <f t="shared" si="511"/>
        <v>8885194.1799069289</v>
      </c>
      <c r="IU37" s="57">
        <f t="shared" si="511"/>
        <v>8897120.7337853406</v>
      </c>
      <c r="IV37" s="57">
        <f t="shared" si="511"/>
        <v>8046899.3750677193</v>
      </c>
      <c r="IW37" s="57">
        <f t="shared" si="511"/>
        <v>8921033.5074408669</v>
      </c>
      <c r="IX37" s="57">
        <f t="shared" si="511"/>
        <v>8644857.8647082243</v>
      </c>
      <c r="IY37" s="57">
        <f t="shared" ref="IY37:JR37" si="512">IY28+IY35</f>
        <v>8945026.0567662809</v>
      </c>
      <c r="IZ37" s="57">
        <f t="shared" si="512"/>
        <v>8668115.1584897954</v>
      </c>
      <c r="JA37" s="57">
        <f t="shared" si="512"/>
        <v>8969098.6479020864</v>
      </c>
      <c r="JB37" s="57">
        <f t="shared" si="512"/>
        <v>8981165.0425604861</v>
      </c>
      <c r="JC37" s="57">
        <f t="shared" si="512"/>
        <v>8703146.6592354681</v>
      </c>
      <c r="JD37" s="57">
        <f t="shared" si="512"/>
        <v>9005358.1973683387</v>
      </c>
      <c r="JE37" s="57">
        <f t="shared" si="512"/>
        <v>8726598.4109121151</v>
      </c>
      <c r="JF37" s="57">
        <f>JF28+JF35</f>
        <v>9029632.0632287655</v>
      </c>
      <c r="JG37" s="57">
        <f t="shared" si="512"/>
        <v>9041799.34691271</v>
      </c>
      <c r="JH37" s="57">
        <f t="shared" si="512"/>
        <v>8177794.6278476864</v>
      </c>
      <c r="JI37" s="57">
        <f t="shared" si="512"/>
        <v>9066194.7844970301</v>
      </c>
      <c r="JJ37" s="57">
        <f t="shared" si="512"/>
        <v>8785570.6510158908</v>
      </c>
      <c r="JK37" s="57">
        <f t="shared" si="512"/>
        <v>9090671.6079717353</v>
      </c>
      <c r="JL37" s="57">
        <f t="shared" si="512"/>
        <v>8809297.3782873414</v>
      </c>
      <c r="JM37" s="57">
        <f t="shared" si="512"/>
        <v>9115230.0888492018</v>
      </c>
      <c r="JN37" s="57">
        <f t="shared" si="512"/>
        <v>9127540.0359091796</v>
      </c>
      <c r="JO37" s="57">
        <f t="shared" si="512"/>
        <v>8845035.9673041217</v>
      </c>
      <c r="JP37" s="57">
        <f t="shared" si="512"/>
        <v>9152221.5139587335</v>
      </c>
      <c r="JQ37" s="57">
        <f t="shared" si="512"/>
        <v>8868961.0774779636</v>
      </c>
      <c r="JR37" s="57">
        <f t="shared" si="512"/>
        <v>9176985.3321614489</v>
      </c>
    </row>
    <row r="38" spans="2:278" x14ac:dyDescent="0.2">
      <c r="B38" s="3"/>
      <c r="I38" s="20"/>
      <c r="U38" s="20"/>
      <c r="AG38" s="20"/>
    </row>
    <row r="39" spans="2:278" x14ac:dyDescent="0.2">
      <c r="B39" s="3" t="s">
        <v>49</v>
      </c>
      <c r="I39" s="20"/>
      <c r="U39" s="20"/>
      <c r="AG39" s="20"/>
    </row>
    <row r="40" spans="2:278" x14ac:dyDescent="0.2">
      <c r="B40" s="21" t="s">
        <v>19</v>
      </c>
      <c r="C40" s="18">
        <f>IF(C$1&lt;CapEx!$O$7,0,(VLOOKUP($B40,Inputs!$F$3:$H$17,3,0)*((1+Inputs!$L$14)^Financials!C$3)))</f>
        <v>0</v>
      </c>
      <c r="D40" s="18">
        <f>IF(D$1&lt;CapEx!$O$7,0,(VLOOKUP($B40,Inputs!$F$3:$H$17,3,0)*((1+Inputs!$L$14)^Financials!D$3)))</f>
        <v>0</v>
      </c>
      <c r="E40" s="18">
        <f>IF(E$1&lt;CapEx!$O$7,0,(VLOOKUP($B40,Inputs!$F$3:$H$17,3,0)*((1+Inputs!$L$14)^Financials!E$3)))</f>
        <v>0</v>
      </c>
      <c r="F40" s="18">
        <f>IF(F$1&lt;CapEx!$O$7,0,(VLOOKUP($B40,Inputs!$F$3:$H$17,3,0)*((1+Inputs!$L$14)^Financials!F$3)))</f>
        <v>0</v>
      </c>
      <c r="G40" s="18">
        <f>IF(G$1&lt;CapEx!$O$7,0,(VLOOKUP($B40,Inputs!$F$3:$H$17,3,0)*((1+Inputs!$L$14)^Financials!G$3)))</f>
        <v>0</v>
      </c>
      <c r="H40" s="18">
        <f>IF(H$1&lt;CapEx!$O$7,0,(VLOOKUP($B40,Inputs!$F$3:$H$17,3,0)*((1+Inputs!$L$14)^Financials!H$3)))</f>
        <v>0</v>
      </c>
      <c r="I40" s="18">
        <f>IF(I$1&lt;CapEx!$O$7,0,(VLOOKUP($B40,Inputs!$F$3:$H$17,3,0)*((1+Inputs!$L$14)^Financials!I$3)))</f>
        <v>0</v>
      </c>
      <c r="J40" s="18">
        <f>IF(J$1&lt;CapEx!$O$7,0,(VLOOKUP($B40,Inputs!$F$3:$H$17,3,0)*((1+Inputs!$L$14)^Financials!J$3)))</f>
        <v>0</v>
      </c>
      <c r="K40" s="18">
        <f>IF(K$1&lt;CapEx!$O$7,0,(VLOOKUP($B40,Inputs!$F$3:$H$17,3,0)*((1+Inputs!$L$14)^Financials!K$3)))</f>
        <v>0</v>
      </c>
      <c r="L40" s="18">
        <f>IF(L$1&lt;CapEx!$O$7,0,(VLOOKUP($B40,Inputs!$F$3:$H$17,3,0)*((1+Inputs!$L$14)^Financials!L$3)))</f>
        <v>0</v>
      </c>
      <c r="M40" s="18">
        <f>IF(M$1&lt;CapEx!$O$7,0,(VLOOKUP($B40,Inputs!$F$3:$H$17,3,0)*((1+Inputs!$L$14)^Financials!M$3)))</f>
        <v>0</v>
      </c>
      <c r="N40" s="18">
        <f>IF(N$1&lt;CapEx!$O$7,0,(VLOOKUP($B40,Inputs!$F$3:$H$17,3,0)*((1+Inputs!$L$14)^Financials!N$3)))</f>
        <v>0</v>
      </c>
      <c r="O40" s="18">
        <f>IF(O$1&lt;CapEx!$O$7,0,(VLOOKUP($B40,Inputs!$F$3:$H$17,3,0)*((1+Inputs!$L$14)^Financials!O$3)))</f>
        <v>0</v>
      </c>
      <c r="P40" s="18">
        <f>IF(P$1&lt;CapEx!$O$7,0,(VLOOKUP($B40,Inputs!$F$3:$H$17,3,0)*((1+Inputs!$L$14)^Financials!P$3)))</f>
        <v>0</v>
      </c>
      <c r="Q40" s="18">
        <f>IF(Q$1&lt;CapEx!$O$7,0,(VLOOKUP($B40,Inputs!$F$3:$H$17,3,0)*((1+Inputs!$L$14)^Financials!Q$3)))</f>
        <v>0</v>
      </c>
      <c r="R40" s="18">
        <f>IF(R$1&lt;CapEx!$O$7,0,(VLOOKUP($B40,Inputs!$F$3:$H$17,3,0)*((1+Inputs!$L$14)^Financials!R$3)))</f>
        <v>399061.21341898636</v>
      </c>
      <c r="S40" s="18">
        <f>IF(S$1&lt;CapEx!$O$7,0,(VLOOKUP($B40,Inputs!$F$3:$H$17,3,0)*((1+Inputs!$L$14)^Financials!S$3)))</f>
        <v>399393.76443016878</v>
      </c>
      <c r="T40" s="18">
        <f>IF(T$1&lt;CapEx!$O$7,0,(VLOOKUP($B40,Inputs!$F$3:$H$17,3,0)*((1+Inputs!$L$14)^Financials!T$3)))</f>
        <v>399726.5925671939</v>
      </c>
      <c r="U40" s="18">
        <f>IF(U$1&lt;CapEx!$O$7,0,(VLOOKUP($B40,Inputs!$F$3:$H$17,3,0)*((1+Inputs!$L$14)^Financials!U$3)))</f>
        <v>400059.69806099986</v>
      </c>
      <c r="V40" s="18">
        <f>IF(V$1&lt;CapEx!$O$7,0,(VLOOKUP($B40,Inputs!$F$3:$H$17,3,0)*((1+Inputs!$L$14)^Financials!V$3)))</f>
        <v>400393.08114271727</v>
      </c>
      <c r="W40" s="18">
        <f>IF(W$1&lt;CapEx!$O$7,0,(VLOOKUP($B40,Inputs!$F$3:$H$17,3,0)*((1+Inputs!$L$14)^Financials!W$3)))</f>
        <v>400726.74204366951</v>
      </c>
      <c r="X40" s="18">
        <f>IF(X$1&lt;CapEx!$O$7,0,(VLOOKUP($B40,Inputs!$F$3:$H$17,3,0)*((1+Inputs!$L$14)^Financials!X$3)))</f>
        <v>401060.68099537247</v>
      </c>
      <c r="Y40" s="18">
        <f>IF(Y$1&lt;CapEx!$O$7,0,(VLOOKUP($B40,Inputs!$F$3:$H$17,3,0)*((1+Inputs!$L$14)^Financials!Y$3)))</f>
        <v>401394.89822953526</v>
      </c>
      <c r="Z40" s="18">
        <f>IF(Z$1&lt;CapEx!$O$7,0,(VLOOKUP($B40,Inputs!$F$3:$H$17,3,0)*((1+Inputs!$L$14)^Financials!Z$3)))</f>
        <v>401729.39397805987</v>
      </c>
      <c r="AA40" s="18">
        <f>IF(AA$1&lt;CapEx!$O$7,0,(VLOOKUP($B40,Inputs!$F$3:$H$17,3,0)*((1+Inputs!$L$14)^Financials!AA$3)))</f>
        <v>402064.16847304156</v>
      </c>
      <c r="AB40" s="18">
        <f>IF(AB$1&lt;CapEx!$O$7,0,(VLOOKUP($B40,Inputs!$F$3:$H$17,3,0)*((1+Inputs!$L$14)^Financials!AB$3)))</f>
        <v>402399.22194676899</v>
      </c>
      <c r="AC40" s="18">
        <f>IF(AC$1&lt;CapEx!$O$7,0,(VLOOKUP($B40,Inputs!$F$3:$H$17,3,0)*((1+Inputs!$L$14)^Financials!AC$3)))</f>
        <v>402734.5546317246</v>
      </c>
      <c r="AD40" s="18">
        <f>IF(AD$1&lt;CapEx!$O$7,0,(VLOOKUP($B40,Inputs!$F$3:$H$17,3,0)*((1+Inputs!$L$14)^Financials!AD$3)))</f>
        <v>403070.16676058434</v>
      </c>
      <c r="AE40" s="18">
        <f>IF(AE$1&lt;CapEx!$O$7,0,(VLOOKUP($B40,Inputs!$F$3:$H$17,3,0)*((1+Inputs!$L$14)^Financials!AE$3)))</f>
        <v>403406.05856621807</v>
      </c>
      <c r="AF40" s="18">
        <f>IF(AF$1&lt;CapEx!$O$7,0,(VLOOKUP($B40,Inputs!$F$3:$H$17,3,0)*((1+Inputs!$L$14)^Financials!AF$3)))</f>
        <v>403742.23028168984</v>
      </c>
      <c r="AG40" s="18">
        <f>IF(AG$1&lt;CapEx!$O$7,0,(VLOOKUP($B40,Inputs!$F$3:$H$17,3,0)*((1+Inputs!$L$14)^Financials!AG$3)))</f>
        <v>404078.68214025791</v>
      </c>
      <c r="AH40" s="18">
        <f>IF(AH$1&lt;CapEx!$O$7,0,(VLOOKUP($B40,Inputs!$F$3:$H$17,3,0)*((1+Inputs!$L$14)^Financials!AH$3)))</f>
        <v>404415.41437537479</v>
      </c>
      <c r="AI40" s="18">
        <f>IF(AI$1&lt;CapEx!$O$7,0,(VLOOKUP($B40,Inputs!$F$3:$H$17,3,0)*((1+Inputs!$L$14)^Financials!AI$3)))</f>
        <v>404752.42722068756</v>
      </c>
      <c r="AJ40" s="18">
        <f>IF(AJ$1&lt;CapEx!$O$7,0,(VLOOKUP($B40,Inputs!$F$3:$H$17,3,0)*((1+Inputs!$L$14)^Financials!AJ$3)))</f>
        <v>405089.72091003804</v>
      </c>
      <c r="AK40" s="18">
        <f>IF(AK$1&lt;CapEx!$O$7,0,(VLOOKUP($B40,Inputs!$F$3:$H$17,3,0)*((1+Inputs!$L$14)^Financials!AK$3)))</f>
        <v>405427.295677463</v>
      </c>
      <c r="AL40" s="18">
        <f>IF(AL$1&lt;CapEx!$O$7,0,(VLOOKUP($B40,Inputs!$F$3:$H$17,3,0)*((1+Inputs!$L$14)^Financials!AL$3)))</f>
        <v>405765.15175719419</v>
      </c>
      <c r="AM40" s="18">
        <f>IF(AM$1&lt;CapEx!$O$7,0,(VLOOKUP($B40,Inputs!$F$3:$H$17,3,0)*((1+Inputs!$L$14)^Financials!AM$3)))</f>
        <v>406103.28938365856</v>
      </c>
      <c r="AN40" s="18">
        <f>IF(AN$1&lt;CapEx!$O$7,0,(VLOOKUP($B40,Inputs!$F$3:$H$17,3,0)*((1+Inputs!$L$14)^Financials!AN$3)))</f>
        <v>406441.70879147813</v>
      </c>
      <c r="AO40" s="18">
        <f>IF(AO$1&lt;CapEx!$O$7,0,(VLOOKUP($B40,Inputs!$F$3:$H$17,3,0)*((1+Inputs!$L$14)^Financials!AO$3)))</f>
        <v>406780.41021547106</v>
      </c>
      <c r="AP40" s="18">
        <f>IF(AP$1&lt;CapEx!$O$7,0,(VLOOKUP($B40,Inputs!$F$3:$H$17,3,0)*((1+Inputs!$L$14)^Financials!AP$3)))</f>
        <v>407119.39389065054</v>
      </c>
      <c r="AQ40" s="18">
        <f>IF(AQ$1&lt;CapEx!$O$7,0,(VLOOKUP($B40,Inputs!$F$3:$H$17,3,0)*((1+Inputs!$L$14)^Financials!AQ$3)))</f>
        <v>407458.66005222604</v>
      </c>
      <c r="AR40" s="18">
        <f>IF(AR$1&lt;CapEx!$O$7,0,(VLOOKUP($B40,Inputs!$F$3:$H$17,3,0)*((1+Inputs!$L$14)^Financials!AR$3)))</f>
        <v>407798.2089356028</v>
      </c>
      <c r="AS40" s="18">
        <f>IF(AS$1&lt;CapEx!$O$7,0,(VLOOKUP($B40,Inputs!$F$3:$H$17,3,0)*((1+Inputs!$L$14)^Financials!AS$3)))</f>
        <v>408138.04077638243</v>
      </c>
      <c r="AT40" s="18">
        <f>IF(AT$1&lt;CapEx!$O$7,0,(VLOOKUP($B40,Inputs!$F$3:$H$17,3,0)*((1+Inputs!$L$14)^Financials!AT$3)))</f>
        <v>408478.15581036272</v>
      </c>
      <c r="AU40" s="18">
        <f>IF(AU$1&lt;CapEx!$O$7,0,(VLOOKUP($B40,Inputs!$F$3:$H$17,3,0)*((1+Inputs!$L$14)^Financials!AU$3)))</f>
        <v>408818.55427353794</v>
      </c>
      <c r="AV40" s="18">
        <f>IF(AV$1&lt;CapEx!$O$7,0,(VLOOKUP($B40,Inputs!$F$3:$H$17,3,0)*((1+Inputs!$L$14)^Financials!AV$3)))</f>
        <v>409159.2364020992</v>
      </c>
      <c r="AW40" s="18">
        <f>IF(AW$1&lt;CapEx!$O$7,0,(VLOOKUP($B40,Inputs!$F$3:$H$17,3,0)*((1+Inputs!$L$14)^Financials!AW$3)))</f>
        <v>409500.20243243425</v>
      </c>
      <c r="AX40" s="18">
        <f>IF(AX$1&lt;CapEx!$O$7,0,(VLOOKUP($B40,Inputs!$F$3:$H$17,3,0)*((1+Inputs!$L$14)^Financials!AX$3)))</f>
        <v>409841.45260112797</v>
      </c>
      <c r="AY40" s="18">
        <f>IF(AY$1&lt;CapEx!$O$7,0,(VLOOKUP($B40,Inputs!$F$3:$H$17,3,0)*((1+Inputs!$L$14)^Financials!AY$3)))</f>
        <v>410182.98714496219</v>
      </c>
      <c r="AZ40" s="18">
        <f>IF(AZ$1&lt;CapEx!$O$7,0,(VLOOKUP($B40,Inputs!$F$3:$H$17,3,0)*((1+Inputs!$L$14)^Financials!AZ$3)))</f>
        <v>410524.80630091624</v>
      </c>
      <c r="BA40" s="18">
        <f>IF(BA$1&lt;CapEx!$O$7,0,(VLOOKUP($B40,Inputs!$F$3:$H$17,3,0)*((1+Inputs!$L$14)^Financials!BA$3)))</f>
        <v>410866.91030616703</v>
      </c>
      <c r="BB40" s="18">
        <f>IF(BB$1&lt;CapEx!$O$7,0,(VLOOKUP($B40,Inputs!$F$3:$H$17,3,0)*((1+Inputs!$L$14)^Financials!BB$3)))</f>
        <v>411209.29939808877</v>
      </c>
      <c r="BC40" s="18">
        <f>IF(BC$1&lt;CapEx!$O$7,0,(VLOOKUP($B40,Inputs!$F$3:$H$17,3,0)*((1+Inputs!$L$14)^Financials!BC$3)))</f>
        <v>411551.97381425375</v>
      </c>
      <c r="BD40" s="18">
        <f>IF(BD$1&lt;CapEx!$O$7,0,(VLOOKUP($B40,Inputs!$F$3:$H$17,3,0)*((1+Inputs!$L$14)^Financials!BD$3)))</f>
        <v>411894.93379243225</v>
      </c>
      <c r="BE40" s="18">
        <f>IF(BE$1&lt;CapEx!$O$7,0,(VLOOKUP($B40,Inputs!$F$3:$H$17,3,0)*((1+Inputs!$L$14)^Financials!BE$3)))</f>
        <v>412238.17957059253</v>
      </c>
      <c r="BF40" s="18">
        <f>IF(BF$1&lt;CapEx!$O$7,0,(VLOOKUP($B40,Inputs!$F$3:$H$17,3,0)*((1+Inputs!$L$14)^Financials!BF$3)))</f>
        <v>412581.71138690133</v>
      </c>
      <c r="BG40" s="18">
        <f>IF(BG$1&lt;CapEx!$O$7,0,(VLOOKUP($B40,Inputs!$F$3:$H$17,3,0)*((1+Inputs!$L$14)^Financials!BG$3)))</f>
        <v>412925.52947972377</v>
      </c>
      <c r="BH40" s="18">
        <f>IF(BH$1&lt;CapEx!$O$7,0,(VLOOKUP($B40,Inputs!$F$3:$H$17,3,0)*((1+Inputs!$L$14)^Financials!BH$3)))</f>
        <v>413269.63408762345</v>
      </c>
      <c r="BI40" s="18">
        <f>IF(BI$1&lt;CapEx!$O$7,0,(VLOOKUP($B40,Inputs!$F$3:$H$17,3,0)*((1+Inputs!$L$14)^Financials!BI$3)))</f>
        <v>413614.02544936305</v>
      </c>
      <c r="BJ40" s="18">
        <f>IF(BJ$1&lt;CapEx!$O$7,0,(VLOOKUP($B40,Inputs!$F$3:$H$17,3,0)*((1+Inputs!$L$14)^Financials!BJ$3)))</f>
        <v>413958.70380390418</v>
      </c>
      <c r="BK40" s="18">
        <f>IF(BK$1&lt;CapEx!$O$7,0,(VLOOKUP($B40,Inputs!$F$3:$H$17,3,0)*((1+Inputs!$L$14)^Financials!BK$3)))</f>
        <v>414303.66939040733</v>
      </c>
      <c r="BL40" s="18">
        <f>IF(BL$1&lt;CapEx!$O$7,0,(VLOOKUP($B40,Inputs!$F$3:$H$17,3,0)*((1+Inputs!$L$14)^Financials!BL$3)))</f>
        <v>414648.92244823265</v>
      </c>
      <c r="BM40" s="18">
        <f>IF(BM$1&lt;CapEx!$O$7,0,(VLOOKUP($B40,Inputs!$F$3:$H$17,3,0)*((1+Inputs!$L$14)^Financials!BM$3)))</f>
        <v>414994.46321693948</v>
      </c>
      <c r="BN40" s="18">
        <f>IF(BN$1&lt;CapEx!$O$7,0,(VLOOKUP($B40,Inputs!$F$3:$H$17,3,0)*((1+Inputs!$L$14)^Financials!BN$3)))</f>
        <v>415340.2919362869</v>
      </c>
      <c r="BO40" s="18">
        <f>IF(BO$1&lt;CapEx!$O$7,0,(VLOOKUP($B40,Inputs!$F$3:$H$17,3,0)*((1+Inputs!$L$14)^Financials!BO$3)))</f>
        <v>415686.40884623374</v>
      </c>
      <c r="BP40" s="18">
        <f>IF(BP$1&lt;CapEx!$O$7,0,(VLOOKUP($B40,Inputs!$F$3:$H$17,3,0)*((1+Inputs!$L$14)^Financials!BP$3)))</f>
        <v>416032.81418693886</v>
      </c>
      <c r="BQ40" s="18">
        <f>IF(BQ$1&lt;CapEx!$O$7,0,(VLOOKUP($B40,Inputs!$F$3:$H$17,3,0)*((1+Inputs!$L$14)^Financials!BQ$3)))</f>
        <v>416379.50819876121</v>
      </c>
      <c r="BR40" s="18">
        <f>IF(BR$1&lt;CapEx!$O$7,0,(VLOOKUP($B40,Inputs!$F$3:$H$17,3,0)*((1+Inputs!$L$14)^Financials!BR$3)))</f>
        <v>416726.49112226017</v>
      </c>
      <c r="BS40" s="18">
        <f>IF(BS$1&lt;CapEx!$O$7,0,(VLOOKUP($B40,Inputs!$F$3:$H$17,3,0)*((1+Inputs!$L$14)^Financials!BS$3)))</f>
        <v>417073.76319819543</v>
      </c>
      <c r="BT40" s="18">
        <f>IF(BT$1&lt;CapEx!$O$7,0,(VLOOKUP($B40,Inputs!$F$3:$H$17,3,0)*((1+Inputs!$L$14)^Financials!BT$3)))</f>
        <v>417421.32466752711</v>
      </c>
      <c r="BU40" s="18">
        <f>IF(BU$1&lt;CapEx!$O$7,0,(VLOOKUP($B40,Inputs!$F$3:$H$17,3,0)*((1+Inputs!$L$14)^Financials!BU$3)))</f>
        <v>417769.17577141669</v>
      </c>
      <c r="BV40" s="18">
        <f>IF(BV$1&lt;CapEx!$O$7,0,(VLOOKUP($B40,Inputs!$F$3:$H$17,3,0)*((1+Inputs!$L$14)^Financials!BV$3)))</f>
        <v>418117.31675122614</v>
      </c>
      <c r="BW40" s="18">
        <f>IF(BW$1&lt;CapEx!$O$7,0,(VLOOKUP($B40,Inputs!$F$3:$H$17,3,0)*((1+Inputs!$L$14)^Financials!BW$3)))</f>
        <v>418465.74784851883</v>
      </c>
      <c r="BX40" s="18">
        <f>IF(BX$1&lt;CapEx!$O$7,0,(VLOOKUP($B40,Inputs!$F$3:$H$17,3,0)*((1+Inputs!$L$14)^Financials!BX$3)))</f>
        <v>418814.46930505917</v>
      </c>
      <c r="BY40" s="18">
        <f>IF(BY$1&lt;CapEx!$O$7,0,(VLOOKUP($B40,Inputs!$F$3:$H$17,3,0)*((1+Inputs!$L$14)^Financials!BY$3)))</f>
        <v>419163.48136281339</v>
      </c>
      <c r="BZ40" s="18">
        <f>IF(BZ$1&lt;CapEx!$O$7,0,(VLOOKUP($B40,Inputs!$F$3:$H$17,3,0)*((1+Inputs!$L$14)^Financials!BZ$3)))</f>
        <v>419512.78426394897</v>
      </c>
      <c r="CA40" s="18">
        <f>IF(CA$1&lt;CapEx!$O$7,0,(VLOOKUP($B40,Inputs!$F$3:$H$17,3,0)*((1+Inputs!$L$14)^Financials!CA$3)))</f>
        <v>419862.37825083552</v>
      </c>
      <c r="CB40" s="18">
        <f>IF(CB$1&lt;CapEx!$O$7,0,(VLOOKUP($B40,Inputs!$F$3:$H$17,3,0)*((1+Inputs!$L$14)^Financials!CB$3)))</f>
        <v>420212.26356604451</v>
      </c>
      <c r="CC40" s="18">
        <f>IF(CC$1&lt;CapEx!$O$7,0,(VLOOKUP($B40,Inputs!$F$3:$H$17,3,0)*((1+Inputs!$L$14)^Financials!CC$3)))</f>
        <v>420562.44045234961</v>
      </c>
      <c r="CD40" s="18">
        <f>IF(CD$1&lt;CapEx!$O$7,0,(VLOOKUP($B40,Inputs!$F$3:$H$17,3,0)*((1+Inputs!$L$14)^Financials!CD$3)))</f>
        <v>420912.90915272653</v>
      </c>
      <c r="CE40" s="18">
        <f>IF(CE$1&lt;CapEx!$O$7,0,(VLOOKUP($B40,Inputs!$F$3:$H$17,3,0)*((1+Inputs!$L$14)^Financials!CE$3)))</f>
        <v>421263.66991035372</v>
      </c>
      <c r="CF40" s="18">
        <f>IF(CF$1&lt;CapEx!$O$7,0,(VLOOKUP($B40,Inputs!$F$3:$H$17,3,0)*((1+Inputs!$L$14)^Financials!CF$3)))</f>
        <v>421614.72296861233</v>
      </c>
      <c r="CG40" s="18">
        <f>IF(CG$1&lt;CapEx!$O$7,0,(VLOOKUP($B40,Inputs!$F$3:$H$17,3,0)*((1+Inputs!$L$14)^Financials!CG$3)))</f>
        <v>421966.0685710861</v>
      </c>
      <c r="CH40" s="18">
        <f>IF(CH$1&lt;CapEx!$O$7,0,(VLOOKUP($B40,Inputs!$F$3:$H$17,3,0)*((1+Inputs!$L$14)^Financials!CH$3)))</f>
        <v>422317.70696156193</v>
      </c>
      <c r="CI40" s="18">
        <f>IF(CI$1&lt;CapEx!$O$7,0,(VLOOKUP($B40,Inputs!$F$3:$H$17,3,0)*((1+Inputs!$L$14)^Financials!CI$3)))</f>
        <v>422669.63838402991</v>
      </c>
      <c r="CJ40" s="18">
        <f>IF(CJ$1&lt;CapEx!$O$7,0,(VLOOKUP($B40,Inputs!$F$3:$H$17,3,0)*((1+Inputs!$L$14)^Financials!CJ$3)))</f>
        <v>423021.86308268312</v>
      </c>
      <c r="CK40" s="18">
        <f>IF(CK$1&lt;CapEx!$O$7,0,(VLOOKUP($B40,Inputs!$F$3:$H$17,3,0)*((1+Inputs!$L$14)^Financials!CK$3)))</f>
        <v>423374.38130191871</v>
      </c>
      <c r="CL40" s="18">
        <f>IF(CL$1&lt;CapEx!$O$7,0,(VLOOKUP($B40,Inputs!$F$3:$H$17,3,0)*((1+Inputs!$L$14)^Financials!CL$3)))</f>
        <v>423727.1932863369</v>
      </c>
      <c r="CM40" s="18">
        <f>IF(CM$1&lt;CapEx!$O$7,0,(VLOOKUP($B40,Inputs!$F$3:$H$17,3,0)*((1+Inputs!$L$14)^Financials!CM$3)))</f>
        <v>424080.29928074218</v>
      </c>
      <c r="CN40" s="18">
        <f>IF(CN$1&lt;CapEx!$O$7,0,(VLOOKUP($B40,Inputs!$F$3:$H$17,3,0)*((1+Inputs!$L$14)^Financials!CN$3)))</f>
        <v>424433.69953014265</v>
      </c>
      <c r="CO40" s="18">
        <f>IF(CO$1&lt;CapEx!$O$7,0,(VLOOKUP($B40,Inputs!$F$3:$H$17,3,0)*((1+Inputs!$L$14)^Financials!CO$3)))</f>
        <v>424787.39427975111</v>
      </c>
      <c r="CP40" s="18">
        <f>IF(CP$1&lt;CapEx!$O$7,0,(VLOOKUP($B40,Inputs!$F$3:$H$17,3,0)*((1+Inputs!$L$14)^Financials!CP$3)))</f>
        <v>425141.38377498416</v>
      </c>
      <c r="CQ40" s="18">
        <f>IF(CQ$1&lt;CapEx!$O$7,0,(VLOOKUP($B40,Inputs!$F$3:$H$17,3,0)*((1+Inputs!$L$14)^Financials!CQ$3)))</f>
        <v>425495.66826146323</v>
      </c>
      <c r="CR40" s="18">
        <f>IF(CR$1&lt;CapEx!$O$7,0,(VLOOKUP($B40,Inputs!$F$3:$H$17,3,0)*((1+Inputs!$L$14)^Financials!CR$3)))</f>
        <v>425850.2479850144</v>
      </c>
      <c r="CS40" s="18">
        <f>IF(CS$1&lt;CapEx!$O$7,0,(VLOOKUP($B40,Inputs!$F$3:$H$17,3,0)*((1+Inputs!$L$14)^Financials!CS$3)))</f>
        <v>426205.12319166865</v>
      </c>
      <c r="CT40" s="18">
        <f>IF(CT$1&lt;CapEx!$O$7,0,(VLOOKUP($B40,Inputs!$F$3:$H$17,3,0)*((1+Inputs!$L$14)^Financials!CT$3)))</f>
        <v>426560.29412766162</v>
      </c>
      <c r="CU40" s="18">
        <f>IF(CU$1&lt;CapEx!$O$7,0,(VLOOKUP($B40,Inputs!$F$3:$H$17,3,0)*((1+Inputs!$L$14)^Financials!CU$3)))</f>
        <v>426915.76103943464</v>
      </c>
      <c r="CV40" s="18">
        <f>IF(CV$1&lt;CapEx!$O$7,0,(VLOOKUP($B40,Inputs!$F$3:$H$17,3,0)*((1+Inputs!$L$14)^Financials!CV$3)))</f>
        <v>427271.52417363407</v>
      </c>
      <c r="CW40" s="18">
        <f>IF(CW$1&lt;CapEx!$O$7,0,(VLOOKUP($B40,Inputs!$F$3:$H$17,3,0)*((1+Inputs!$L$14)^Financials!CW$3)))</f>
        <v>427627.58377711207</v>
      </c>
      <c r="CX40" s="18">
        <f>IF(CX$1&lt;CapEx!$O$7,0,(VLOOKUP($B40,Inputs!$F$3:$H$17,3,0)*((1+Inputs!$L$14)^Financials!CX$3)))</f>
        <v>427983.94009692629</v>
      </c>
      <c r="CY40" s="18">
        <f>IF(CY$1&lt;CapEx!$O$7,0,(VLOOKUP($B40,Inputs!$F$3:$H$17,3,0)*((1+Inputs!$L$14)^Financials!CY$3)))</f>
        <v>428340.59338034038</v>
      </c>
      <c r="CZ40" s="18">
        <f>IF(CZ$1&lt;CapEx!$O$7,0,(VLOOKUP($B40,Inputs!$F$3:$H$17,3,0)*((1+Inputs!$L$14)^Financials!CZ$3)))</f>
        <v>428697.5438748239</v>
      </c>
      <c r="DA40" s="18">
        <f>IF(DA$1&lt;CapEx!$O$7,0,(VLOOKUP($B40,Inputs!$F$3:$H$17,3,0)*((1+Inputs!$L$14)^Financials!DA$3)))</f>
        <v>429054.79182805284</v>
      </c>
      <c r="DB40" s="18">
        <f>IF(DB$1&lt;CapEx!$O$7,0,(VLOOKUP($B40,Inputs!$F$3:$H$17,3,0)*((1+Inputs!$L$14)^Financials!DB$3)))</f>
        <v>429412.33748790954</v>
      </c>
      <c r="DC40" s="18">
        <f>IF(DC$1&lt;CapEx!$O$7,0,(VLOOKUP($B40,Inputs!$F$3:$H$17,3,0)*((1+Inputs!$L$14)^Financials!DC$3)))</f>
        <v>429770.18110248278</v>
      </c>
      <c r="DD40" s="18">
        <f>IF(DD$1&lt;CapEx!$O$7,0,(VLOOKUP($B40,Inputs!$F$3:$H$17,3,0)*((1+Inputs!$L$14)^Financials!DD$3)))</f>
        <v>430128.32292006805</v>
      </c>
      <c r="DE40" s="18">
        <f>IF(DE$1&lt;CapEx!$O$7,0,(VLOOKUP($B40,Inputs!$F$3:$H$17,3,0)*((1+Inputs!$L$14)^Financials!DE$3)))</f>
        <v>430486.76318916806</v>
      </c>
      <c r="DF40" s="18">
        <f>IF(DF$1&lt;CapEx!$O$7,0,(VLOOKUP($B40,Inputs!$F$3:$H$17,3,0)*((1+Inputs!$L$14)^Financials!DF$3)))</f>
        <v>430845.5021584924</v>
      </c>
      <c r="DG40" s="18">
        <f>IF(DG$1&lt;CapEx!$O$7,0,(VLOOKUP($B40,Inputs!$F$3:$H$17,3,0)*((1+Inputs!$L$14)^Financials!DG$3)))</f>
        <v>431204.54007695772</v>
      </c>
      <c r="DH40" s="18">
        <f>IF(DH$1&lt;CapEx!$O$7,0,(VLOOKUP($B40,Inputs!$F$3:$H$17,3,0)*((1+Inputs!$L$14)^Financials!DH$3)))</f>
        <v>431563.87719368847</v>
      </c>
      <c r="DI40" s="18">
        <f>IF(DI$1&lt;CapEx!$O$7,0,(VLOOKUP($B40,Inputs!$F$3:$H$17,3,0)*((1+Inputs!$L$14)^Financials!DI$3)))</f>
        <v>431923.51375801652</v>
      </c>
      <c r="DJ40" s="18">
        <f>IF(DJ$1&lt;CapEx!$O$7,0,(VLOOKUP($B40,Inputs!$F$3:$H$17,3,0)*((1+Inputs!$L$14)^Financials!DJ$3)))</f>
        <v>432283.45001948153</v>
      </c>
      <c r="DK40" s="18">
        <f>IF(DK$1&lt;CapEx!$O$7,0,(VLOOKUP($B40,Inputs!$F$3:$H$17,3,0)*((1+Inputs!$L$14)^Financials!DK$3)))</f>
        <v>432643.686227831</v>
      </c>
      <c r="DL40" s="18">
        <f>IF(DL$1&lt;CapEx!$O$7,0,(VLOOKUP($B40,Inputs!$F$3:$H$17,3,0)*((1+Inputs!$L$14)^Financials!DL$3)))</f>
        <v>433004.22263302084</v>
      </c>
      <c r="DM40" s="18">
        <f>IF(DM$1&lt;CapEx!$O$7,0,(VLOOKUP($B40,Inputs!$F$3:$H$17,3,0)*((1+Inputs!$L$14)^Financials!DM$3)))</f>
        <v>433365.059485215</v>
      </c>
      <c r="DN40" s="18">
        <f>IF(DN$1&lt;CapEx!$O$7,0,(VLOOKUP($B40,Inputs!$F$3:$H$17,3,0)*((1+Inputs!$L$14)^Financials!DN$3)))</f>
        <v>433726.19703478599</v>
      </c>
      <c r="DO40" s="18">
        <f>IF(DO$1&lt;CapEx!$O$7,0,(VLOOKUP($B40,Inputs!$F$3:$H$17,3,0)*((1+Inputs!$L$14)^Financials!DO$3)))</f>
        <v>434087.63553231489</v>
      </c>
      <c r="DP40" s="18">
        <f>IF(DP$1&lt;CapEx!$O$7,0,(VLOOKUP($B40,Inputs!$F$3:$H$17,3,0)*((1+Inputs!$L$14)^Financials!DP$3)))</f>
        <v>434449.37522859173</v>
      </c>
      <c r="DQ40" s="18">
        <f>IF(DQ$1&lt;CapEx!$O$7,0,(VLOOKUP($B40,Inputs!$F$3:$H$17,3,0)*((1+Inputs!$L$14)^Financials!DQ$3)))</f>
        <v>434811.41637461551</v>
      </c>
      <c r="DR40" s="18">
        <f>IF(DR$1&lt;CapEx!$O$7,0,(VLOOKUP($B40,Inputs!$F$3:$H$17,3,0)*((1+Inputs!$L$14)^Financials!DR$3)))</f>
        <v>435173.75922159432</v>
      </c>
      <c r="DS40" s="18">
        <f>IF(DS$1&lt;CapEx!$O$7,0,(VLOOKUP($B40,Inputs!$F$3:$H$17,3,0)*((1+Inputs!$L$14)^Financials!DS$3)))</f>
        <v>435536.40402094566</v>
      </c>
      <c r="DT40" s="18">
        <f>IF(DT$1&lt;CapEx!$O$7,0,(VLOOKUP($B40,Inputs!$F$3:$H$17,3,0)*((1+Inputs!$L$14)^Financials!DT$3)))</f>
        <v>435899.35102429631</v>
      </c>
      <c r="DU40" s="18">
        <f>IF(DU$1&lt;CapEx!$O$7,0,(VLOOKUP($B40,Inputs!$F$3:$H$17,3,0)*((1+Inputs!$L$14)^Financials!DU$3)))</f>
        <v>436262.60048348317</v>
      </c>
      <c r="DV40" s="18">
        <f>IF(DV$1&lt;CapEx!$O$7,0,(VLOOKUP($B40,Inputs!$F$3:$H$17,3,0)*((1+Inputs!$L$14)^Financials!DV$3)))</f>
        <v>436626.15265055274</v>
      </c>
      <c r="DW40" s="18">
        <f>IF(DW$1&lt;CapEx!$O$7,0,(VLOOKUP($B40,Inputs!$F$3:$H$17,3,0)*((1+Inputs!$L$14)^Financials!DW$3)))</f>
        <v>436990.00777776138</v>
      </c>
      <c r="DX40" s="18">
        <f>IF(DX$1&lt;CapEx!$O$7,0,(VLOOKUP($B40,Inputs!$F$3:$H$17,3,0)*((1+Inputs!$L$14)^Financials!DX$3)))</f>
        <v>437354.16611757618</v>
      </c>
      <c r="DY40" s="18">
        <f>IF(DY$1&lt;CapEx!$O$7,0,(VLOOKUP($B40,Inputs!$F$3:$H$17,3,0)*((1+Inputs!$L$14)^Financials!DY$3)))</f>
        <v>437718.62792267412</v>
      </c>
      <c r="DZ40" s="18">
        <f>IF(DZ$1&lt;CapEx!$O$7,0,(VLOOKUP($B40,Inputs!$F$3:$H$17,3,0)*((1+Inputs!$L$14)^Financials!DZ$3)))</f>
        <v>438083.39344594296</v>
      </c>
      <c r="EA40" s="18">
        <f>IF(EA$1&lt;CapEx!$O$7,0,(VLOOKUP($B40,Inputs!$F$3:$H$17,3,0)*((1+Inputs!$L$14)^Financials!EA$3)))</f>
        <v>438448.4629404812</v>
      </c>
      <c r="EB40" s="18">
        <f>IF(EB$1&lt;CapEx!$O$7,0,(VLOOKUP($B40,Inputs!$F$3:$H$17,3,0)*((1+Inputs!$L$14)^Financials!EB$3)))</f>
        <v>438813.83665959822</v>
      </c>
      <c r="EC40" s="18">
        <f>IF(EC$1&lt;CapEx!$O$7,0,(VLOOKUP($B40,Inputs!$F$3:$H$17,3,0)*((1+Inputs!$L$14)^Financials!EC$3)))</f>
        <v>439179.51485681447</v>
      </c>
      <c r="ED40" s="18">
        <f>IF(ED$1&lt;CapEx!$O$7,0,(VLOOKUP($B40,Inputs!$F$3:$H$17,3,0)*((1+Inputs!$L$14)^Financials!ED$3)))</f>
        <v>439545.49778586184</v>
      </c>
      <c r="EE40" s="18">
        <f>IF(EE$1&lt;CapEx!$O$7,0,(VLOOKUP($B40,Inputs!$F$3:$H$17,3,0)*((1+Inputs!$L$14)^Financials!EE$3)))</f>
        <v>439911.78570068337</v>
      </c>
      <c r="EF40" s="18">
        <f>IF(EF$1&lt;CapEx!$O$7,0,(VLOOKUP($B40,Inputs!$F$3:$H$17,3,0)*((1+Inputs!$L$14)^Financials!EF$3)))</f>
        <v>440278.37885543372</v>
      </c>
      <c r="EG40" s="18">
        <f>IF(EG$1&lt;CapEx!$O$7,0,(VLOOKUP($B40,Inputs!$F$3:$H$17,3,0)*((1+Inputs!$L$14)^Financials!EG$3)))</f>
        <v>440645.27750447998</v>
      </c>
      <c r="EH40" s="18">
        <f>IF(EH$1&lt;CapEx!$O$7,0,(VLOOKUP($B40,Inputs!$F$3:$H$17,3,0)*((1+Inputs!$L$14)^Financials!EH$3)))</f>
        <v>441012.48190240032</v>
      </c>
      <c r="EI40" s="18">
        <f>IF(EI$1&lt;CapEx!$O$7,0,(VLOOKUP($B40,Inputs!$F$3:$H$17,3,0)*((1+Inputs!$L$14)^Financials!EI$3)))</f>
        <v>441379.99230398558</v>
      </c>
      <c r="EJ40" s="18">
        <f>IF(EJ$1&lt;CapEx!$O$7,0,(VLOOKUP($B40,Inputs!$F$3:$H$17,3,0)*((1+Inputs!$L$14)^Financials!EJ$3)))</f>
        <v>441747.80896423885</v>
      </c>
      <c r="EK40" s="18">
        <f>IF(EK$1&lt;CapEx!$O$7,0,(VLOOKUP($B40,Inputs!$F$3:$H$17,3,0)*((1+Inputs!$L$14)^Financials!EK$3)))</f>
        <v>442115.93213837571</v>
      </c>
      <c r="EL40" s="18">
        <f>IF(EL$1&lt;CapEx!$O$7,0,(VLOOKUP($B40,Inputs!$F$3:$H$17,3,0)*((1+Inputs!$L$14)^Financials!EL$3)))</f>
        <v>442484.36208182428</v>
      </c>
      <c r="EM40" s="18">
        <f>IF(EM$1&lt;CapEx!$O$7,0,(VLOOKUP($B40,Inputs!$F$3:$H$17,3,0)*((1+Inputs!$L$14)^Financials!EM$3)))</f>
        <v>442853.09905022569</v>
      </c>
      <c r="EN40" s="18">
        <f>IF(EN$1&lt;CapEx!$O$7,0,(VLOOKUP($B40,Inputs!$F$3:$H$17,3,0)*((1+Inputs!$L$14)^Financials!EN$3)))</f>
        <v>443222.14329943416</v>
      </c>
      <c r="EO40" s="18">
        <f>IF(EO$1&lt;CapEx!$O$7,0,(VLOOKUP($B40,Inputs!$F$3:$H$17,3,0)*((1+Inputs!$L$14)^Financials!EO$3)))</f>
        <v>443591.49508551712</v>
      </c>
      <c r="EP40" s="18">
        <f>IF(EP$1&lt;CapEx!$O$7,0,(VLOOKUP($B40,Inputs!$F$3:$H$17,3,0)*((1+Inputs!$L$14)^Financials!EP$3)))</f>
        <v>443961.15466475498</v>
      </c>
      <c r="EQ40" s="18">
        <f>IF(EQ$1&lt;CapEx!$O$7,0,(VLOOKUP($B40,Inputs!$F$3:$H$17,3,0)*((1+Inputs!$L$14)^Financials!EQ$3)))</f>
        <v>444331.12229364226</v>
      </c>
      <c r="ER40" s="18">
        <f>IF(ER$1&lt;CapEx!$O$7,0,(VLOOKUP($B40,Inputs!$F$3:$H$17,3,0)*((1+Inputs!$L$14)^Financials!ER$3)))</f>
        <v>444701.39822888689</v>
      </c>
      <c r="ES40" s="18">
        <f>IF(ES$1&lt;CapEx!$O$7,0,(VLOOKUP($B40,Inputs!$F$3:$H$17,3,0)*((1+Inputs!$L$14)^Financials!ES$3)))</f>
        <v>445071.98272741091</v>
      </c>
      <c r="ET40" s="18">
        <f>IF(ET$1&lt;CapEx!$O$7,0,(VLOOKUP($B40,Inputs!$F$3:$H$17,3,0)*((1+Inputs!$L$14)^Financials!ET$3)))</f>
        <v>445442.8760463504</v>
      </c>
      <c r="EU40" s="18">
        <f>IF(EU$1&lt;CapEx!$O$7,0,(VLOOKUP($B40,Inputs!$F$3:$H$17,3,0)*((1+Inputs!$L$14)^Financials!EU$3)))</f>
        <v>445814.07844305562</v>
      </c>
      <c r="EV40" s="18">
        <f>IF(EV$1&lt;CapEx!$O$7,0,(VLOOKUP($B40,Inputs!$F$3:$H$17,3,0)*((1+Inputs!$L$14)^Financials!EV$3)))</f>
        <v>446185.59017509141</v>
      </c>
      <c r="EW40" s="18">
        <f>IF(EW$1&lt;CapEx!$O$7,0,(VLOOKUP($B40,Inputs!$F$3:$H$17,3,0)*((1+Inputs!$L$14)^Financials!EW$3)))</f>
        <v>446557.41150023724</v>
      </c>
      <c r="EX40" s="18">
        <f>IF(EX$1&lt;CapEx!$O$7,0,(VLOOKUP($B40,Inputs!$F$3:$H$17,3,0)*((1+Inputs!$L$14)^Financials!EX$3)))</f>
        <v>446929.54267648741</v>
      </c>
      <c r="EY40" s="18">
        <f>IF(EY$1&lt;CapEx!$O$7,0,(VLOOKUP($B40,Inputs!$F$3:$H$17,3,0)*((1+Inputs!$L$14)^Financials!EY$3)))</f>
        <v>447301.9839620511</v>
      </c>
      <c r="EZ40" s="18">
        <f>IF(EZ$1&lt;CapEx!$O$7,0,(VLOOKUP($B40,Inputs!$F$3:$H$17,3,0)*((1+Inputs!$L$14)^Financials!EZ$3)))</f>
        <v>447674.73561535269</v>
      </c>
      <c r="FA40" s="18">
        <f>IF(FA$1&lt;CapEx!$O$7,0,(VLOOKUP($B40,Inputs!$F$3:$H$17,3,0)*((1+Inputs!$L$14)^Financials!FA$3)))</f>
        <v>448047.7978950321</v>
      </c>
      <c r="FB40" s="18">
        <f>IF(FB$1&lt;CapEx!$O$7,0,(VLOOKUP($B40,Inputs!$F$3:$H$17,3,0)*((1+Inputs!$L$14)^Financials!FB$3)))</f>
        <v>448421.17105994461</v>
      </c>
      <c r="FC40" s="18">
        <f>IF(FC$1&lt;CapEx!$O$7,0,(VLOOKUP($B40,Inputs!$F$3:$H$17,3,0)*((1+Inputs!$L$14)^Financials!FC$3)))</f>
        <v>448794.85536916117</v>
      </c>
      <c r="FD40" s="18">
        <f>IF(FD$1&lt;CapEx!$O$7,0,(VLOOKUP($B40,Inputs!$F$3:$H$17,3,0)*((1+Inputs!$L$14)^Financials!FD$3)))</f>
        <v>449168.85108196875</v>
      </c>
      <c r="FE40" s="18">
        <f>IF(FE$1&lt;CapEx!$O$7,0,(VLOOKUP($B40,Inputs!$F$3:$H$17,3,0)*((1+Inputs!$L$14)^Financials!FE$3)))</f>
        <v>449543.15845787036</v>
      </c>
      <c r="FF40" s="18">
        <f>IF(FF$1&lt;CapEx!$O$7,0,(VLOOKUP($B40,Inputs!$F$3:$H$17,3,0)*((1+Inputs!$L$14)^Financials!FF$3)))</f>
        <v>449917.77775658522</v>
      </c>
      <c r="FG40" s="18">
        <f>IF(FG$1&lt;CapEx!$O$7,0,(VLOOKUP($B40,Inputs!$F$3:$H$17,3,0)*((1+Inputs!$L$14)^Financials!FG$3)))</f>
        <v>450292.70923804899</v>
      </c>
      <c r="FH40" s="18">
        <f>IF(FH$1&lt;CapEx!$O$7,0,(VLOOKUP($B40,Inputs!$F$3:$H$17,3,0)*((1+Inputs!$L$14)^Financials!FH$3)))</f>
        <v>450667.95316241402</v>
      </c>
      <c r="FI40" s="18">
        <f>IF(FI$1&lt;CapEx!$O$7,0,(VLOOKUP($B40,Inputs!$F$3:$H$17,3,0)*((1+Inputs!$L$14)^Financials!FI$3)))</f>
        <v>451043.50979004923</v>
      </c>
      <c r="FJ40" s="18">
        <f>IF(FJ$1&lt;CapEx!$O$7,0,(VLOOKUP($B40,Inputs!$F$3:$H$17,3,0)*((1+Inputs!$L$14)^Financials!FJ$3)))</f>
        <v>451419.37938154099</v>
      </c>
      <c r="FK40" s="18">
        <f>IF(FK$1&lt;CapEx!$O$7,0,(VLOOKUP($B40,Inputs!$F$3:$H$17,3,0)*((1+Inputs!$L$14)^Financials!FK$3)))</f>
        <v>451795.56219769223</v>
      </c>
      <c r="FL40" s="18">
        <f>IF(FL$1&lt;CapEx!$O$7,0,(VLOOKUP($B40,Inputs!$F$3:$H$17,3,0)*((1+Inputs!$L$14)^Financials!FL$3)))</f>
        <v>452172.0584995235</v>
      </c>
      <c r="FM40" s="18">
        <f>IF(FM$1&lt;CapEx!$O$7,0,(VLOOKUP($B40,Inputs!$F$3:$H$17,3,0)*((1+Inputs!$L$14)^Financials!FM$3)))</f>
        <v>452548.86854827311</v>
      </c>
      <c r="FN40" s="18">
        <f>IF(FN$1&lt;CapEx!$O$7,0,(VLOOKUP($B40,Inputs!$F$3:$H$17,3,0)*((1+Inputs!$L$14)^Financials!FN$3)))</f>
        <v>452925.9926053966</v>
      </c>
      <c r="FO40" s="18">
        <f>IF(FO$1&lt;CapEx!$O$7,0,(VLOOKUP($B40,Inputs!$F$3:$H$17,3,0)*((1+Inputs!$L$14)^Financials!FO$3)))</f>
        <v>453303.43093256775</v>
      </c>
      <c r="FP40" s="18">
        <f>IF(FP$1&lt;CapEx!$O$7,0,(VLOOKUP($B40,Inputs!$F$3:$H$17,3,0)*((1+Inputs!$L$14)^Financials!FP$3)))</f>
        <v>453681.18379167811</v>
      </c>
      <c r="FQ40" s="18">
        <f>IF(FQ$1&lt;CapEx!$O$7,0,(VLOOKUP($B40,Inputs!$F$3:$H$17,3,0)*((1+Inputs!$L$14)^Financials!FQ$3)))</f>
        <v>454059.25144483778</v>
      </c>
      <c r="FR40" s="18">
        <f>IF(FR$1&lt;CapEx!$O$7,0,(VLOOKUP($B40,Inputs!$F$3:$H$17,3,0)*((1+Inputs!$L$14)^Financials!FR$3)))</f>
        <v>454437.63415437506</v>
      </c>
      <c r="FS40" s="18">
        <f>IF(FS$1&lt;CapEx!$O$7,0,(VLOOKUP($B40,Inputs!$F$3:$H$17,3,0)*((1+Inputs!$L$14)^Financials!FS$3)))</f>
        <v>454816.33218283701</v>
      </c>
      <c r="FT40" s="18">
        <f>IF(FT$1&lt;CapEx!$O$7,0,(VLOOKUP($B40,Inputs!$F$3:$H$17,3,0)*((1+Inputs!$L$14)^Financials!FT$3)))</f>
        <v>455195.3457929893</v>
      </c>
      <c r="FU40" s="18">
        <f>IF(FU$1&lt;CapEx!$O$7,0,(VLOOKUP($B40,Inputs!$F$3:$H$17,3,0)*((1+Inputs!$L$14)^Financials!FU$3)))</f>
        <v>455574.67524781683</v>
      </c>
      <c r="FV40" s="18">
        <f>IF(FV$1&lt;CapEx!$O$7,0,(VLOOKUP($B40,Inputs!$F$3:$H$17,3,0)*((1+Inputs!$L$14)^Financials!FV$3)))</f>
        <v>455954.32081052329</v>
      </c>
      <c r="FW40" s="18">
        <f>IF(FW$1&lt;CapEx!$O$7,0,(VLOOKUP($B40,Inputs!$F$3:$H$17,3,0)*((1+Inputs!$L$14)^Financials!FW$3)))</f>
        <v>456334.28274453204</v>
      </c>
      <c r="FX40" s="18">
        <f>IF(FX$1&lt;CapEx!$O$7,0,(VLOOKUP($B40,Inputs!$F$3:$H$17,3,0)*((1+Inputs!$L$14)^Financials!FX$3)))</f>
        <v>456714.56131348573</v>
      </c>
      <c r="FY40" s="18">
        <f>IF(FY$1&lt;CapEx!$O$7,0,(VLOOKUP($B40,Inputs!$F$3:$H$17,3,0)*((1+Inputs!$L$14)^Financials!FY$3)))</f>
        <v>457095.156781247</v>
      </c>
      <c r="FZ40" s="18">
        <f>IF(FZ$1&lt;CapEx!$O$7,0,(VLOOKUP($B40,Inputs!$F$3:$H$17,3,0)*((1+Inputs!$L$14)^Financials!FZ$3)))</f>
        <v>457476.06941189792</v>
      </c>
      <c r="GA40" s="18">
        <f>IF(GA$1&lt;CapEx!$O$7,0,(VLOOKUP($B40,Inputs!$F$3:$H$17,3,0)*((1+Inputs!$L$14)^Financials!GA$3)))</f>
        <v>457857.29946974106</v>
      </c>
      <c r="GB40" s="18">
        <f>IF(GB$1&lt;CapEx!$O$7,0,(VLOOKUP($B40,Inputs!$F$3:$H$17,3,0)*((1+Inputs!$L$14)^Financials!GB$3)))</f>
        <v>458238.84721929912</v>
      </c>
      <c r="GC40" s="18">
        <f>IF(GC$1&lt;CapEx!$O$7,0,(VLOOKUP($B40,Inputs!$F$3:$H$17,3,0)*((1+Inputs!$L$14)^Financials!GC$3)))</f>
        <v>458620.71292531519</v>
      </c>
      <c r="GD40" s="18">
        <f>IF(GD$1&lt;CapEx!$O$7,0,(VLOOKUP($B40,Inputs!$F$3:$H$17,3,0)*((1+Inputs!$L$14)^Financials!GD$3)))</f>
        <v>459002.89685275283</v>
      </c>
      <c r="GE40" s="18">
        <f>IF(GE$1&lt;CapEx!$O$7,0,(VLOOKUP($B40,Inputs!$F$3:$H$17,3,0)*((1+Inputs!$L$14)^Financials!GE$3)))</f>
        <v>459385.39926679694</v>
      </c>
      <c r="GF40" s="18">
        <f>IF(GF$1&lt;CapEx!$O$7,0,(VLOOKUP($B40,Inputs!$F$3:$H$17,3,0)*((1+Inputs!$L$14)^Financials!GF$3)))</f>
        <v>459768.22043285239</v>
      </c>
      <c r="GG40" s="18">
        <f>IF(GG$1&lt;CapEx!$O$7,0,(VLOOKUP($B40,Inputs!$F$3:$H$17,3,0)*((1+Inputs!$L$14)^Financials!GG$3)))</f>
        <v>460151.36061654642</v>
      </c>
      <c r="GH40" s="18">
        <f>IF(GH$1&lt;CapEx!$O$7,0,(VLOOKUP($B40,Inputs!$F$3:$H$17,3,0)*((1+Inputs!$L$14)^Financials!GH$3)))</f>
        <v>460534.82008372678</v>
      </c>
      <c r="GI40" s="18">
        <f>IF(GI$1&lt;CapEx!$O$7,0,(VLOOKUP($B40,Inputs!$F$3:$H$17,3,0)*((1+Inputs!$L$14)^Financials!GI$3)))</f>
        <v>460918.59910046315</v>
      </c>
      <c r="GJ40" s="18">
        <f>IF(GJ$1&lt;CapEx!$O$7,0,(VLOOKUP($B40,Inputs!$F$3:$H$17,3,0)*((1+Inputs!$L$14)^Financials!GJ$3)))</f>
        <v>461302.6979330469</v>
      </c>
      <c r="GK40" s="18">
        <f>IF(GK$1&lt;CapEx!$O$7,0,(VLOOKUP($B40,Inputs!$F$3:$H$17,3,0)*((1+Inputs!$L$14)^Financials!GK$3)))</f>
        <v>461687.11684799101</v>
      </c>
      <c r="GL40" s="18">
        <f>IF(GL$1&lt;CapEx!$O$7,0,(VLOOKUP($B40,Inputs!$F$3:$H$17,3,0)*((1+Inputs!$L$14)^Financials!GL$3)))</f>
        <v>462071.85611203092</v>
      </c>
      <c r="GM40" s="18">
        <f>IF(GM$1&lt;CapEx!$O$7,0,(VLOOKUP($B40,Inputs!$F$3:$H$17,3,0)*((1+Inputs!$L$14)^Financials!GM$3)))</f>
        <v>462456.91599212424</v>
      </c>
      <c r="GN40" s="18">
        <f>IF(GN$1&lt;CapEx!$O$7,0,(VLOOKUP($B40,Inputs!$F$3:$H$17,3,0)*((1+Inputs!$L$14)^Financials!GN$3)))</f>
        <v>462842.29675545095</v>
      </c>
      <c r="GO40" s="18">
        <f>IF(GO$1&lt;CapEx!$O$7,0,(VLOOKUP($B40,Inputs!$F$3:$H$17,3,0)*((1+Inputs!$L$14)^Financials!GO$3)))</f>
        <v>463227.99866941373</v>
      </c>
      <c r="GP40" s="18">
        <f>IF(GP$1&lt;CapEx!$O$7,0,(VLOOKUP($B40,Inputs!$F$3:$H$17,3,0)*((1+Inputs!$L$14)^Financials!GP$3)))</f>
        <v>463614.02200163819</v>
      </c>
      <c r="GQ40" s="18">
        <f>IF(GQ$1&lt;CapEx!$O$7,0,(VLOOKUP($B40,Inputs!$F$3:$H$17,3,0)*((1+Inputs!$L$14)^Financials!GQ$3)))</f>
        <v>464000.367019973</v>
      </c>
      <c r="GR40" s="18">
        <f>IF(GR$1&lt;CapEx!$O$7,0,(VLOOKUP($B40,Inputs!$F$3:$H$17,3,0)*((1+Inputs!$L$14)^Financials!GR$3)))</f>
        <v>464387.03399248951</v>
      </c>
      <c r="GS40" s="18">
        <f>IF(GS$1&lt;CapEx!$O$7,0,(VLOOKUP($B40,Inputs!$F$3:$H$17,3,0)*((1+Inputs!$L$14)^Financials!GS$3)))</f>
        <v>464774.0231874832</v>
      </c>
      <c r="GT40" s="18">
        <f>IF(GT$1&lt;CapEx!$O$7,0,(VLOOKUP($B40,Inputs!$F$3:$H$17,3,0)*((1+Inputs!$L$14)^Financials!GT$3)))</f>
        <v>465161.33487347263</v>
      </c>
      <c r="GU40" s="18">
        <f>IF(GU$1&lt;CapEx!$O$7,0,(VLOOKUP($B40,Inputs!$F$3:$H$17,3,0)*((1+Inputs!$L$14)^Financials!GU$3)))</f>
        <v>465548.96931920055</v>
      </c>
      <c r="GV40" s="18">
        <f>IF(GV$1&lt;CapEx!$O$7,0,(VLOOKUP($B40,Inputs!$F$3:$H$17,3,0)*((1+Inputs!$L$14)^Financials!GV$3)))</f>
        <v>465936.92679363315</v>
      </c>
      <c r="GW40" s="18">
        <f>IF(GW$1&lt;CapEx!$O$7,0,(VLOOKUP($B40,Inputs!$F$3:$H$17,3,0)*((1+Inputs!$L$14)^Financials!GW$3)))</f>
        <v>466325.20756596117</v>
      </c>
      <c r="GX40" s="18">
        <f>IF(GX$1&lt;CapEx!$O$7,0,(VLOOKUP($B40,Inputs!$F$3:$H$17,3,0)*((1+Inputs!$L$14)^Financials!GX$3)))</f>
        <v>466713.81190559937</v>
      </c>
      <c r="GY40" s="18">
        <f>IF(GY$1&lt;CapEx!$O$7,0,(VLOOKUP($B40,Inputs!$F$3:$H$17,3,0)*((1+Inputs!$L$14)^Financials!GY$3)))</f>
        <v>467102.74008218723</v>
      </c>
      <c r="GZ40" s="18">
        <f>IF(GZ$1&lt;CapEx!$O$7,0,(VLOOKUP($B40,Inputs!$F$3:$H$17,3,0)*((1+Inputs!$L$14)^Financials!GZ$3)))</f>
        <v>467491.99236558902</v>
      </c>
      <c r="HA40" s="18">
        <f>IF(HA$1&lt;CapEx!$O$7,0,(VLOOKUP($B40,Inputs!$F$3:$H$17,3,0)*((1+Inputs!$L$14)^Financials!HA$3)))</f>
        <v>467881.5690258937</v>
      </c>
      <c r="HB40" s="18">
        <f>IF(HB$1&lt;CapEx!$O$7,0,(VLOOKUP($B40,Inputs!$F$3:$H$17,3,0)*((1+Inputs!$L$14)^Financials!HB$3)))</f>
        <v>468271.47033341532</v>
      </c>
      <c r="HC40" s="18">
        <f>IF(HC$1&lt;CapEx!$O$7,0,(VLOOKUP($B40,Inputs!$F$3:$H$17,3,0)*((1+Inputs!$L$14)^Financials!HC$3)))</f>
        <v>468661.69655869302</v>
      </c>
      <c r="HD40" s="18">
        <f>IF(HD$1&lt;CapEx!$O$7,0,(VLOOKUP($B40,Inputs!$F$3:$H$17,3,0)*((1+Inputs!$L$14)^Financials!HD$3)))</f>
        <v>469052.2479724919</v>
      </c>
      <c r="HE40" s="18">
        <f>IF(HE$1&lt;CapEx!$O$7,0,(VLOOKUP($B40,Inputs!$F$3:$H$17,3,0)*((1+Inputs!$L$14)^Financials!HE$3)))</f>
        <v>469443.12484580226</v>
      </c>
      <c r="HF40" s="18">
        <f>IF(HF$1&lt;CapEx!$O$7,0,(VLOOKUP($B40,Inputs!$F$3:$H$17,3,0)*((1+Inputs!$L$14)^Financials!HF$3)))</f>
        <v>469834.32744984038</v>
      </c>
      <c r="HG40" s="18">
        <f>IF(HG$1&lt;CapEx!$O$7,0,(VLOOKUP($B40,Inputs!$F$3:$H$17,3,0)*((1+Inputs!$L$14)^Financials!HG$3)))</f>
        <v>470225.85605604865</v>
      </c>
      <c r="HH40" s="18">
        <f>IF(HH$1&lt;CapEx!$O$7,0,(VLOOKUP($B40,Inputs!$F$3:$H$17,3,0)*((1+Inputs!$L$14)^Financials!HH$3)))</f>
        <v>470617.7109360951</v>
      </c>
      <c r="HI40" s="18">
        <f>IF(HI$1&lt;CapEx!$O$7,0,(VLOOKUP($B40,Inputs!$F$3:$H$17,3,0)*((1+Inputs!$L$14)^Financials!HI$3)))</f>
        <v>471009.89236187522</v>
      </c>
      <c r="HJ40" s="18">
        <f>IF(HJ$1&lt;CapEx!$O$7,0,(VLOOKUP($B40,Inputs!$F$3:$H$17,3,0)*((1+Inputs!$L$14)^Financials!HJ$3)))</f>
        <v>471402.40060551005</v>
      </c>
      <c r="HK40" s="18">
        <f>IF(HK$1&lt;CapEx!$O$7,0,(VLOOKUP($B40,Inputs!$F$3:$H$17,3,0)*((1+Inputs!$L$14)^Financials!HK$3)))</f>
        <v>471795.23593934794</v>
      </c>
      <c r="HL40" s="18">
        <f>IF(HL$1&lt;CapEx!$O$7,0,(VLOOKUP($B40,Inputs!$F$3:$H$17,3,0)*((1+Inputs!$L$14)^Financials!HL$3)))</f>
        <v>472188.39863596391</v>
      </c>
      <c r="HM40" s="18">
        <f>IF(HM$1&lt;CapEx!$O$7,0,(VLOOKUP($B40,Inputs!$F$3:$H$17,3,0)*((1+Inputs!$L$14)^Financials!HM$3)))</f>
        <v>472581.88896816055</v>
      </c>
      <c r="HN40" s="18">
        <f>IF(HN$1&lt;CapEx!$O$7,0,(VLOOKUP($B40,Inputs!$F$3:$H$17,3,0)*((1+Inputs!$L$14)^Financials!HN$3)))</f>
        <v>472975.70720896724</v>
      </c>
      <c r="HO40" s="18">
        <f>IF(HO$1&lt;CapEx!$O$7,0,(VLOOKUP($B40,Inputs!$F$3:$H$17,3,0)*((1+Inputs!$L$14)^Financials!HO$3)))</f>
        <v>473369.85363164137</v>
      </c>
      <c r="HP40" s="18">
        <f>IF(HP$1&lt;CapEx!$O$7,0,(VLOOKUP($B40,Inputs!$F$3:$H$17,3,0)*((1+Inputs!$L$14)^Financials!HP$3)))</f>
        <v>473764.3285096676</v>
      </c>
      <c r="HQ40" s="18">
        <f>IF(HQ$1&lt;CapEx!$O$7,0,(VLOOKUP($B40,Inputs!$F$3:$H$17,3,0)*((1+Inputs!$L$14)^Financials!HQ$3)))</f>
        <v>474159.13211675908</v>
      </c>
      <c r="HR40" s="18">
        <f>IF(HR$1&lt;CapEx!$O$7,0,(VLOOKUP($B40,Inputs!$F$3:$H$17,3,0)*((1+Inputs!$L$14)^Financials!HR$3)))</f>
        <v>474554.26472685632</v>
      </c>
      <c r="HS40" s="18">
        <f>IF(HS$1&lt;CapEx!$O$7,0,(VLOOKUP($B40,Inputs!$F$3:$H$17,3,0)*((1+Inputs!$L$14)^Financials!HS$3)))</f>
        <v>474949.72661412862</v>
      </c>
      <c r="HT40" s="18">
        <f>IF(HT$1&lt;CapEx!$O$7,0,(VLOOKUP($B40,Inputs!$F$3:$H$17,3,0)*((1+Inputs!$L$14)^Financials!HT$3)))</f>
        <v>475345.51805297367</v>
      </c>
      <c r="HU40" s="18">
        <f>IF(HU$1&lt;CapEx!$O$7,0,(VLOOKUP($B40,Inputs!$F$3:$H$17,3,0)*((1+Inputs!$L$14)^Financials!HU$3)))</f>
        <v>475741.63931801775</v>
      </c>
      <c r="HV40" s="18">
        <f>IF(HV$1&lt;CapEx!$O$7,0,(VLOOKUP($B40,Inputs!$F$3:$H$17,3,0)*((1+Inputs!$L$14)^Financials!HV$3)))</f>
        <v>476138.09068411606</v>
      </c>
      <c r="HW40" s="18">
        <f>IF(HW$1&lt;CapEx!$O$7,0,(VLOOKUP($B40,Inputs!$F$3:$H$17,3,0)*((1+Inputs!$L$14)^Financials!HW$3)))</f>
        <v>476534.87242635281</v>
      </c>
      <c r="HX40" s="18">
        <f>IF(HX$1&lt;CapEx!$O$7,0,(VLOOKUP($B40,Inputs!$F$3:$H$17,3,0)*((1+Inputs!$L$14)^Financials!HX$3)))</f>
        <v>476931.98482004128</v>
      </c>
      <c r="HY40" s="18">
        <f>IF(HY$1&lt;CapEx!$O$7,0,(VLOOKUP($B40,Inputs!$F$3:$H$17,3,0)*((1+Inputs!$L$14)^Financials!HY$3)))</f>
        <v>477329.42814072466</v>
      </c>
      <c r="HZ40" s="18">
        <f>IF(HZ$1&lt;CapEx!$O$7,0,(VLOOKUP($B40,Inputs!$F$3:$H$17,3,0)*((1+Inputs!$L$14)^Financials!HZ$3)))</f>
        <v>477727.20266417525</v>
      </c>
      <c r="IA40" s="18">
        <f>IF(IA$1&lt;CapEx!$O$7,0,(VLOOKUP($B40,Inputs!$F$3:$H$17,3,0)*((1+Inputs!$L$14)^Financials!IA$3)))</f>
        <v>478125.30866639531</v>
      </c>
      <c r="IB40" s="18">
        <f>IF(IB$1&lt;CapEx!$O$7,0,(VLOOKUP($B40,Inputs!$F$3:$H$17,3,0)*((1+Inputs!$L$14)^Financials!IB$3)))</f>
        <v>478523.74642361718</v>
      </c>
      <c r="IC40" s="18">
        <f>IF(IC$1&lt;CapEx!$O$7,0,(VLOOKUP($B40,Inputs!$F$3:$H$17,3,0)*((1+Inputs!$L$14)^Financials!IC$3)))</f>
        <v>478922.51621230348</v>
      </c>
      <c r="ID40" s="18">
        <f>IF(ID$1&lt;CapEx!$O$7,0,(VLOOKUP($B40,Inputs!$F$3:$H$17,3,0)*((1+Inputs!$L$14)^Financials!ID$3)))</f>
        <v>479321.61830914707</v>
      </c>
      <c r="IE40" s="18">
        <f>IF(IE$1&lt;CapEx!$O$7,0,(VLOOKUP($B40,Inputs!$F$3:$H$17,3,0)*((1+Inputs!$L$14)^Financials!IE$3)))</f>
        <v>479721.05299107131</v>
      </c>
      <c r="IF40" s="18">
        <f>IF(IF$1&lt;CapEx!$O$7,0,(VLOOKUP($B40,Inputs!$F$3:$H$17,3,0)*((1+Inputs!$L$14)^Financials!IF$3)))</f>
        <v>480120.82053523045</v>
      </c>
      <c r="IG40" s="18">
        <f>IF(IG$1&lt;CapEx!$O$7,0,(VLOOKUP($B40,Inputs!$F$3:$H$17,3,0)*((1+Inputs!$L$14)^Financials!IG$3)))</f>
        <v>480520.92121900979</v>
      </c>
      <c r="IH40" s="18">
        <f>IF(IH$1&lt;CapEx!$O$7,0,(VLOOKUP($B40,Inputs!$F$3:$H$17,3,0)*((1+Inputs!$L$14)^Financials!IH$3)))</f>
        <v>480921.35532002564</v>
      </c>
      <c r="II40" s="18">
        <f>IF(II$1&lt;CapEx!$O$7,0,(VLOOKUP($B40,Inputs!$F$3:$H$17,3,0)*((1+Inputs!$L$14)^Financials!II$3)))</f>
        <v>481322.12311612553</v>
      </c>
      <c r="IJ40" s="18">
        <f>IF(IJ$1&lt;CapEx!$O$7,0,(VLOOKUP($B40,Inputs!$F$3:$H$17,3,0)*((1+Inputs!$L$14)^Financials!IJ$3)))</f>
        <v>481723.22488538898</v>
      </c>
      <c r="IK40" s="18">
        <f>IF(IK$1&lt;CapEx!$O$7,0,(VLOOKUP($B40,Inputs!$F$3:$H$17,3,0)*((1+Inputs!$L$14)^Financials!IK$3)))</f>
        <v>482124.66090612666</v>
      </c>
      <c r="IL40" s="18">
        <f>IF(IL$1&lt;CapEx!$O$7,0,(VLOOKUP($B40,Inputs!$F$3:$H$17,3,0)*((1+Inputs!$L$14)^Financials!IL$3)))</f>
        <v>482526.43145688181</v>
      </c>
      <c r="IM40" s="18">
        <f>IF(IM$1&lt;CapEx!$O$7,0,(VLOOKUP($B40,Inputs!$F$3:$H$17,3,0)*((1+Inputs!$L$14)^Financials!IM$3)))</f>
        <v>482928.53681642911</v>
      </c>
      <c r="IN40" s="18">
        <f>IF(IN$1&lt;CapEx!$O$7,0,(VLOOKUP($B40,Inputs!$F$3:$H$17,3,0)*((1+Inputs!$L$14)^Financials!IN$3)))</f>
        <v>483330.977263776</v>
      </c>
      <c r="IO40" s="18">
        <f>IF(IO$1&lt;CapEx!$O$7,0,(VLOOKUP($B40,Inputs!$F$3:$H$17,3,0)*((1+Inputs!$L$14)^Financials!IO$3)))</f>
        <v>483733.75307816244</v>
      </c>
      <c r="IP40" s="18">
        <f>IF(IP$1&lt;CapEx!$O$7,0,(VLOOKUP($B40,Inputs!$F$3:$H$17,3,0)*((1+Inputs!$L$14)^Financials!IP$3)))</f>
        <v>484136.86453906092</v>
      </c>
      <c r="IQ40" s="18">
        <f>IF(IQ$1&lt;CapEx!$O$7,0,(VLOOKUP($B40,Inputs!$F$3:$H$17,3,0)*((1+Inputs!$L$14)^Financials!IQ$3)))</f>
        <v>484540.31192617683</v>
      </c>
      <c r="IR40" s="18">
        <f>IF(IR$1&lt;CapEx!$O$7,0,(VLOOKUP($B40,Inputs!$F$3:$H$17,3,0)*((1+Inputs!$L$14)^Financials!IR$3)))</f>
        <v>484944.09551944851</v>
      </c>
      <c r="IS40" s="18">
        <f>IF(IS$1&lt;CapEx!$O$7,0,(VLOOKUP($B40,Inputs!$F$3:$H$17,3,0)*((1+Inputs!$L$14)^Financials!IS$3)))</f>
        <v>485348.21559904795</v>
      </c>
      <c r="IT40" s="18">
        <f>IF(IT$1&lt;CapEx!$O$7,0,(VLOOKUP($B40,Inputs!$F$3:$H$17,3,0)*((1+Inputs!$L$14)^Financials!IT$3)))</f>
        <v>485752.67244538048</v>
      </c>
      <c r="IU40" s="18">
        <f>IF(IU$1&lt;CapEx!$O$7,0,(VLOOKUP($B40,Inputs!$F$3:$H$17,3,0)*((1+Inputs!$L$14)^Financials!IU$3)))</f>
        <v>486157.46633908484</v>
      </c>
      <c r="IV40" s="18">
        <f>IF(IV$1&lt;CapEx!$O$7,0,(VLOOKUP($B40,Inputs!$F$3:$H$17,3,0)*((1+Inputs!$L$14)^Financials!IV$3)))</f>
        <v>486562.59756103408</v>
      </c>
      <c r="IW40" s="18">
        <f>IF(IW$1&lt;CapEx!$O$7,0,(VLOOKUP($B40,Inputs!$F$3:$H$17,3,0)*((1+Inputs!$L$14)^Financials!IW$3)))</f>
        <v>486968.06639233488</v>
      </c>
      <c r="IX40" s="18">
        <f>IF(IX$1&lt;CapEx!$O$7,0,(VLOOKUP($B40,Inputs!$F$3:$H$17,3,0)*((1+Inputs!$L$14)^Financials!IX$3)))</f>
        <v>487373.87311432842</v>
      </c>
      <c r="IY40" s="18">
        <f>IF(IY$1&lt;CapEx!$O$7,0,(VLOOKUP($B40,Inputs!$F$3:$H$17,3,0)*((1+Inputs!$L$14)^Financials!IY$3)))</f>
        <v>487780.01800859038</v>
      </c>
      <c r="IZ40" s="18">
        <f>IF(IZ$1&lt;CapEx!$O$7,0,(VLOOKUP($B40,Inputs!$F$3:$H$17,3,0)*((1+Inputs!$L$14)^Financials!IZ$3)))</f>
        <v>488186.5013569307</v>
      </c>
      <c r="JA40" s="18">
        <f>IF(JA$1&lt;CapEx!$O$7,0,(VLOOKUP($B40,Inputs!$F$3:$H$17,3,0)*((1+Inputs!$L$14)^Financials!JA$3)))</f>
        <v>488593.32344139478</v>
      </c>
      <c r="JB40" s="18">
        <f>IF(JB$1&lt;CapEx!$O$7,0,(VLOOKUP($B40,Inputs!$F$3:$H$17,3,0)*((1+Inputs!$L$14)^Financials!JB$3)))</f>
        <v>489000.48454426258</v>
      </c>
      <c r="JC40" s="18">
        <f>IF(JC$1&lt;CapEx!$O$7,0,(VLOOKUP($B40,Inputs!$F$3:$H$17,3,0)*((1+Inputs!$L$14)^Financials!JC$3)))</f>
        <v>489407.98494804953</v>
      </c>
      <c r="JD40" s="18">
        <f>IF(JD$1&lt;CapEx!$O$7,0,(VLOOKUP($B40,Inputs!$F$3:$H$17,3,0)*((1+Inputs!$L$14)^Financials!JD$3)))</f>
        <v>489815.82493550598</v>
      </c>
      <c r="JE40" s="18">
        <f>IF(JE$1&lt;CapEx!$O$7,0,(VLOOKUP($B40,Inputs!$F$3:$H$17,3,0)*((1+Inputs!$L$14)^Financials!JE$3)))</f>
        <v>490224.00478961895</v>
      </c>
      <c r="JF40" s="18">
        <f>IF(JF$1&lt;CapEx!$O$7,0,(VLOOKUP($B40,Inputs!$F$3:$H$17,3,0)*((1+Inputs!$L$14)^Financials!JF$3)))</f>
        <v>490632.52479361021</v>
      </c>
      <c r="JG40" s="18">
        <f>IF(JG$1&lt;CapEx!$O$7,0,(VLOOKUP($B40,Inputs!$F$3:$H$17,3,0)*((1+Inputs!$L$14)^Financials!JG$3)))</f>
        <v>491041.38523093821</v>
      </c>
      <c r="JH40" s="18">
        <f>IF(JH$1&lt;CapEx!$O$7,0,(VLOOKUP($B40,Inputs!$F$3:$H$17,3,0)*((1+Inputs!$L$14)^Financials!JH$3)))</f>
        <v>491450.58638529724</v>
      </c>
      <c r="JI40" s="18">
        <f>IF(JI$1&lt;CapEx!$O$7,0,(VLOOKUP($B40,Inputs!$F$3:$H$17,3,0)*((1+Inputs!$L$14)^Financials!JI$3)))</f>
        <v>491860.12854061829</v>
      </c>
      <c r="JJ40" s="18">
        <f>IF(JJ$1&lt;CapEx!$O$7,0,(VLOOKUP($B40,Inputs!$F$3:$H$17,3,0)*((1+Inputs!$L$14)^Financials!JJ$3)))</f>
        <v>492270.01198106864</v>
      </c>
      <c r="JK40" s="18">
        <f>IF(JK$1&lt;CapEx!$O$7,0,(VLOOKUP($B40,Inputs!$F$3:$H$17,3,0)*((1+Inputs!$L$14)^Financials!JK$3)))</f>
        <v>492680.23699105287</v>
      </c>
      <c r="JL40" s="18">
        <f>IF(JL$1&lt;CapEx!$O$7,0,(VLOOKUP($B40,Inputs!$F$3:$H$17,3,0)*((1+Inputs!$L$14)^Financials!JL$3)))</f>
        <v>493090.803855212</v>
      </c>
      <c r="JM40" s="18">
        <f>IF(JM$1&lt;CapEx!$O$7,0,(VLOOKUP($B40,Inputs!$F$3:$H$17,3,0)*((1+Inputs!$L$14)^Financials!JM$3)))</f>
        <v>493501.71285842475</v>
      </c>
      <c r="JN40" s="18">
        <f>IF(JN$1&lt;CapEx!$O$7,0,(VLOOKUP($B40,Inputs!$F$3:$H$17,3,0)*((1+Inputs!$L$14)^Financials!JN$3)))</f>
        <v>493912.96428580669</v>
      </c>
      <c r="JO40" s="18">
        <f>IF(JO$1&lt;CapEx!$O$7,0,(VLOOKUP($B40,Inputs!$F$3:$H$17,3,0)*((1+Inputs!$L$14)^Financials!JO$3)))</f>
        <v>494324.5584227115</v>
      </c>
      <c r="JP40" s="18">
        <f>IF(JP$1&lt;CapEx!$O$7,0,(VLOOKUP($B40,Inputs!$F$3:$H$17,3,0)*((1+Inputs!$L$14)^Financials!JP$3)))</f>
        <v>494736.49555473035</v>
      </c>
      <c r="JQ40" s="18">
        <f>IF(JQ$1&lt;CapEx!$O$7,0,(VLOOKUP($B40,Inputs!$F$3:$H$17,3,0)*((1+Inputs!$L$14)^Financials!JQ$3)))</f>
        <v>495148.77596769255</v>
      </c>
      <c r="JR40" s="18">
        <f>IF(JR$1&lt;CapEx!$O$7,0,(VLOOKUP($B40,Inputs!$F$3:$H$17,3,0)*((1+Inputs!$L$14)^Financials!JR$3)))</f>
        <v>495561.39994766563</v>
      </c>
    </row>
    <row r="41" spans="2:278" x14ac:dyDescent="0.2">
      <c r="B41" s="21" t="str">
        <f>'Data Sources'!A81</f>
        <v>Turbine LTMA Cost 5 year term</v>
      </c>
      <c r="C41" s="18">
        <f>IF(C$1&lt;CapEx!$O$7,0,(IF(C$3&lt;24,VLOOKUP($B41,Inputs!$F$3:$H$17,3,0)*((1+Inputs!$L$3)^Financials!C$3),0)))</f>
        <v>0</v>
      </c>
      <c r="D41" s="18">
        <f>IF(D$1&lt;CapEx!$O$7,0,(IF(D$3&lt;24,VLOOKUP($B41,Inputs!$F$3:$H$17,3,0)*((1+Inputs!$L$3)^Financials!D$3),0)))</f>
        <v>0</v>
      </c>
      <c r="E41" s="18">
        <f>IF(E$1&lt;CapEx!$O$7,0,(IF(E$3&lt;24,VLOOKUP($B41,Inputs!$F$3:$H$17,3,0)*((1+Inputs!$L$3)^Financials!E$3),0)))</f>
        <v>0</v>
      </c>
      <c r="F41" s="18">
        <f>IF(F$1&lt;CapEx!$O$7,0,(IF(F$3&lt;24,VLOOKUP($B41,Inputs!$F$3:$H$17,3,0)*((1+Inputs!$L$3)^Financials!F$3),0)))</f>
        <v>0</v>
      </c>
      <c r="G41" s="18">
        <f>IF(G$1&lt;CapEx!$O$7,0,(IF(G$3&lt;24,VLOOKUP($B41,Inputs!$F$3:$H$17,3,0)*((1+Inputs!$L$3)^Financials!G$3),0)))</f>
        <v>0</v>
      </c>
      <c r="H41" s="18">
        <f>IF(H$1&lt;CapEx!$O$7,0,(IF(H$3&lt;24,VLOOKUP($B41,Inputs!$F$3:$H$17,3,0)*((1+Inputs!$L$3)^Financials!H$3),0)))</f>
        <v>0</v>
      </c>
      <c r="I41" s="18">
        <f>IF(I$1&lt;CapEx!$O$7,0,(IF(I$3&lt;24,VLOOKUP($B41,Inputs!$F$3:$H$17,3,0)*((1+Inputs!$L$3)^Financials!I$3),0)))</f>
        <v>0</v>
      </c>
      <c r="J41" s="18">
        <f>IF(J$1&lt;CapEx!$O$7,0,(IF(J$3&lt;24,VLOOKUP($B41,Inputs!$F$3:$H$17,3,0)*((1+Inputs!$L$3)^Financials!J$3),0)))</f>
        <v>0</v>
      </c>
      <c r="K41" s="18">
        <f>IF(K$1&lt;CapEx!$O$7,0,(IF(K$3&lt;24,VLOOKUP($B41,Inputs!$F$3:$H$17,3,0)*((1+Inputs!$L$3)^Financials!K$3),0)))</f>
        <v>0</v>
      </c>
      <c r="L41" s="18">
        <f>IF(L$1&lt;CapEx!$O$7,0,(IF(L$3&lt;24,VLOOKUP($B41,Inputs!$F$3:$H$17,3,0)*((1+Inputs!$L$3)^Financials!L$3),0)))</f>
        <v>0</v>
      </c>
      <c r="M41" s="18">
        <f>IF(M$1&lt;CapEx!$O$7,0,(IF(M$3&lt;24,VLOOKUP($B41,Inputs!$F$3:$H$17,3,0)*((1+Inputs!$L$3)^Financials!M$3),0)))</f>
        <v>0</v>
      </c>
      <c r="N41" s="18">
        <f>IF(N$1&lt;CapEx!$O$7,0,(IF(N$3&lt;24,VLOOKUP($B41,Inputs!$F$3:$H$17,3,0)*((1+Inputs!$L$3)^Financials!N$3),0)))</f>
        <v>0</v>
      </c>
      <c r="O41" s="18">
        <f>IF(O$1&lt;CapEx!$O$7,0,(IF(O$3&lt;24,VLOOKUP($B41,Inputs!$F$3:$H$17,3,0)*((1+Inputs!$L$3)^Financials!O$3),0)))</f>
        <v>0</v>
      </c>
      <c r="P41" s="18">
        <f>IF(P$1&lt;CapEx!$O$7,0,(IF(P$3&lt;24,VLOOKUP($B41,Inputs!$F$3:$H$17,3,0)*((1+Inputs!$L$3)^Financials!P$3),0)))</f>
        <v>0</v>
      </c>
      <c r="Q41" s="18">
        <f>IF(Q$1&lt;CapEx!$O$7,0,(IF(Q$3&lt;24,VLOOKUP($B41,Inputs!$F$3:$H$17,3,0)*((1+Inputs!$L$3)^Financials!Q$3),0)))</f>
        <v>0</v>
      </c>
      <c r="R41" s="18">
        <f>IF(R$1&lt;CapEx!$O$7,0,(IF(R$3&lt;24,VLOOKUP($B41,Inputs!$F$3:$H$17,3,0)*((1+Inputs!$L$3)^Financials!R$3),0)))</f>
        <v>180000</v>
      </c>
      <c r="S41" s="18">
        <f>IF(S$1&lt;CapEx!$O$7,0,(IF(S$3&lt;24,VLOOKUP($B41,Inputs!$F$3:$H$17,3,0)*((1+Inputs!$L$3)^Financials!S$3),0)))</f>
        <v>180300</v>
      </c>
      <c r="T41" s="18">
        <f>IF(T$1&lt;CapEx!$O$7,0,(IF(T$3&lt;24,VLOOKUP($B41,Inputs!$F$3:$H$17,3,0)*((1+Inputs!$L$3)^Financials!T$3),0)))</f>
        <v>180600.50000000003</v>
      </c>
      <c r="U41" s="18">
        <f>IF(U$1&lt;CapEx!$O$7,0,(IF(U$3&lt;24,VLOOKUP($B41,Inputs!$F$3:$H$17,3,0)*((1+Inputs!$L$3)^Financials!U$3),0)))</f>
        <v>180901.50083333335</v>
      </c>
      <c r="V41" s="18">
        <f>IF(V$1&lt;CapEx!$O$7,0,(IF(V$3&lt;24,VLOOKUP($B41,Inputs!$F$3:$H$17,3,0)*((1+Inputs!$L$3)^Financials!V$3),0)))</f>
        <v>181203.00333472228</v>
      </c>
      <c r="W41" s="18">
        <f>IF(W$1&lt;CapEx!$O$7,0,(IF(W$3&lt;24,VLOOKUP($B41,Inputs!$F$3:$H$17,3,0)*((1+Inputs!$L$3)^Financials!W$3),0)))</f>
        <v>181505.00834028012</v>
      </c>
      <c r="X41" s="18">
        <f>IF(X$1&lt;CapEx!$O$7,0,(IF(X$3&lt;24,VLOOKUP($B41,Inputs!$F$3:$H$17,3,0)*((1+Inputs!$L$3)^Financials!X$3),0)))</f>
        <v>181807.51668751394</v>
      </c>
      <c r="Y41" s="18">
        <f>IF(Y$1&lt;CapEx!$O$7,0,(IF(Y$3&lt;24,VLOOKUP($B41,Inputs!$F$3:$H$17,3,0)*((1+Inputs!$L$3)^Financials!Y$3),0)))</f>
        <v>182110.52921532647</v>
      </c>
      <c r="Z41" s="18">
        <f>IF(Z$1&lt;CapEx!$O$7,0,(IF(Z$3&lt;24,VLOOKUP($B41,Inputs!$F$3:$H$17,3,0)*((1+Inputs!$L$3)^Financials!Z$3),0)))</f>
        <v>182414.04676401871</v>
      </c>
      <c r="AA41" s="18">
        <f>IF(AA$1&lt;CapEx!$O$7,0,(IF(AA$3&lt;24,VLOOKUP($B41,Inputs!$F$3:$H$17,3,0)*((1+Inputs!$L$3)^Financials!AA$3),0)))</f>
        <v>182718.07017529209</v>
      </c>
      <c r="AB41" s="18">
        <f>IF(AB$1&lt;CapEx!$O$7,0,(IF(AB$3&lt;24,VLOOKUP($B41,Inputs!$F$3:$H$17,3,0)*((1+Inputs!$L$3)^Financials!AB$3),0)))</f>
        <v>183022.60029225092</v>
      </c>
      <c r="AC41" s="18">
        <f>IF(AC$1&lt;CapEx!$O$7,0,(IF(AC$3&lt;24,VLOOKUP($B41,Inputs!$F$3:$H$17,3,0)*((1+Inputs!$L$3)^Financials!AC$3),0)))</f>
        <v>183327.63795940467</v>
      </c>
      <c r="AD41" s="18">
        <f>IF(AD$1&lt;CapEx!$O$7,0,(IF(AD$3&lt;24,VLOOKUP($B41,Inputs!$F$3:$H$17,3,0)*((1+Inputs!$L$3)^Financials!AD$3),0)))</f>
        <v>183633.18402267035</v>
      </c>
      <c r="AE41" s="18">
        <f>IF(AE$1&lt;CapEx!$O$7,0,(IF(AE$3&lt;24,VLOOKUP($B41,Inputs!$F$3:$H$17,3,0)*((1+Inputs!$L$3)^Financials!AE$3),0)))</f>
        <v>183939.23932937483</v>
      </c>
      <c r="AF41" s="18">
        <f>IF(AF$1&lt;CapEx!$O$7,0,(IF(AF$3&lt;24,VLOOKUP($B41,Inputs!$F$3:$H$17,3,0)*((1+Inputs!$L$3)^Financials!AF$3),0)))</f>
        <v>184245.80472825715</v>
      </c>
      <c r="AG41" s="18">
        <f>IF(AG$1&lt;CapEx!$O$7,0,(IF(AG$3&lt;24,VLOOKUP($B41,Inputs!$F$3:$H$17,3,0)*((1+Inputs!$L$3)^Financials!AG$3),0)))</f>
        <v>184552.8810694709</v>
      </c>
      <c r="AH41" s="18">
        <f>IF(AH$1&lt;CapEx!$O$7,0,(IF(AH$3&lt;24,VLOOKUP($B41,Inputs!$F$3:$H$17,3,0)*((1+Inputs!$L$3)^Financials!AH$3),0)))</f>
        <v>184860.46920458673</v>
      </c>
      <c r="AI41" s="18">
        <f>IF(AI$1&lt;CapEx!$O$7,0,(IF(AI$3&lt;24,VLOOKUP($B41,Inputs!$F$3:$H$17,3,0)*((1+Inputs!$L$3)^Financials!AI$3),0)))</f>
        <v>185168.56998659438</v>
      </c>
      <c r="AJ41" s="18">
        <f>IF(AJ$1&lt;CapEx!$O$7,0,(IF(AJ$3&lt;24,VLOOKUP($B41,Inputs!$F$3:$H$17,3,0)*((1+Inputs!$L$3)^Financials!AJ$3),0)))</f>
        <v>185477.18426990535</v>
      </c>
      <c r="AK41" s="18">
        <f>IF(AK$1&lt;CapEx!$O$7,0,(IF(AK$3&lt;24,VLOOKUP($B41,Inputs!$F$3:$H$17,3,0)*((1+Inputs!$L$3)^Financials!AK$3),0)))</f>
        <v>185786.31291035525</v>
      </c>
      <c r="AL41" s="18">
        <f>IF(AL$1&lt;CapEx!$O$7,0,(IF(AL$3&lt;24,VLOOKUP($B41,Inputs!$F$3:$H$17,3,0)*((1+Inputs!$L$3)^Financials!AL$3),0)))</f>
        <v>186095.95676520583</v>
      </c>
      <c r="AM41" s="18">
        <f>IF(AM$1&lt;CapEx!$O$7,0,(IF(AM$3&lt;24,VLOOKUP($B41,Inputs!$F$3:$H$17,3,0)*((1+Inputs!$L$3)^Financials!AM$3),0)))</f>
        <v>186406.11669314787</v>
      </c>
      <c r="AN41" s="18">
        <f>IF(AN$1&lt;CapEx!$O$7,0,(IF(AN$3&lt;24,VLOOKUP($B41,Inputs!$F$3:$H$17,3,0)*((1+Inputs!$L$3)^Financials!AN$3),0)))</f>
        <v>186716.79355430309</v>
      </c>
      <c r="AO41" s="18">
        <f>IF(AO$1&lt;CapEx!$O$7,0,(IF(AO$3&lt;24,VLOOKUP($B41,Inputs!$F$3:$H$17,3,0)*((1+Inputs!$L$3)^Financials!AO$3),0)))</f>
        <v>187027.98821022696</v>
      </c>
      <c r="AP41" s="18">
        <f>IF(AP$1&lt;CapEx!$O$7,0,(IF(AP$3&lt;24,VLOOKUP($B41,Inputs!$F$3:$H$17,3,0)*((1+Inputs!$L$3)^Financials!AP$3),0)))</f>
        <v>0</v>
      </c>
      <c r="AQ41" s="18">
        <f>IF(AQ$1&lt;CapEx!$O$7,0,(IF(AQ$3&lt;24,VLOOKUP($B41,Inputs!$F$3:$H$17,3,0)*((1+Inputs!$L$3)^Financials!AQ$3),0)))</f>
        <v>0</v>
      </c>
      <c r="AR41" s="18">
        <f>IF(AR$1&lt;CapEx!$O$7,0,(IF(AR$3&lt;24,VLOOKUP($B41,Inputs!$F$3:$H$17,3,0)*((1+Inputs!$L$3)^Financials!AR$3),0)))</f>
        <v>0</v>
      </c>
      <c r="AS41" s="18">
        <f>IF(AS$1&lt;CapEx!$O$7,0,(IF(AS$3&lt;24,VLOOKUP($B41,Inputs!$F$3:$H$17,3,0)*((1+Inputs!$L$3)^Financials!AS$3),0)))</f>
        <v>0</v>
      </c>
      <c r="AT41" s="18">
        <f>IF(AT$1&lt;CapEx!$O$7,0,(IF(AT$3&lt;24,VLOOKUP($B41,Inputs!$F$3:$H$17,3,0)*((1+Inputs!$L$3)^Financials!AT$3),0)))</f>
        <v>0</v>
      </c>
      <c r="AU41" s="18">
        <f>IF(AU$1&lt;CapEx!$O$7,0,(IF(AU$3&lt;24,VLOOKUP($B41,Inputs!$F$3:$H$17,3,0)*((1+Inputs!$L$3)^Financials!AU$3),0)))</f>
        <v>0</v>
      </c>
      <c r="AV41" s="18">
        <f>IF(AV$1&lt;CapEx!$O$7,0,(IF(AV$3&lt;24,VLOOKUP($B41,Inputs!$F$3:$H$17,3,0)*((1+Inputs!$L$3)^Financials!AV$3),0)))</f>
        <v>0</v>
      </c>
      <c r="AW41" s="18">
        <f>IF(AW$1&lt;CapEx!$O$7,0,(IF(AW$3&lt;24,VLOOKUP($B41,Inputs!$F$3:$H$17,3,0)*((1+Inputs!$L$3)^Financials!AW$3),0)))</f>
        <v>0</v>
      </c>
      <c r="AX41" s="18">
        <f>IF(AX$1&lt;CapEx!$O$7,0,(IF(AX$3&lt;24,VLOOKUP($B41,Inputs!$F$3:$H$17,3,0)*((1+Inputs!$L$3)^Financials!AX$3),0)))</f>
        <v>0</v>
      </c>
      <c r="AY41" s="18">
        <f>IF(AY$1&lt;CapEx!$O$7,0,(IF(AY$3&lt;24,VLOOKUP($B41,Inputs!$F$3:$H$17,3,0)*((1+Inputs!$L$3)^Financials!AY$3),0)))</f>
        <v>0</v>
      </c>
      <c r="AZ41" s="18">
        <f>IF(AZ$1&lt;CapEx!$O$7,0,(IF(AZ$3&lt;24,VLOOKUP($B41,Inputs!$F$3:$H$17,3,0)*((1+Inputs!$L$3)^Financials!AZ$3),0)))</f>
        <v>0</v>
      </c>
      <c r="BA41" s="18">
        <f>IF(BA$1&lt;CapEx!$O$7,0,(IF(BA$3&lt;24,VLOOKUP($B41,Inputs!$F$3:$H$17,3,0)*((1+Inputs!$L$3)^Financials!BA$3),0)))</f>
        <v>0</v>
      </c>
      <c r="BB41" s="18">
        <f>IF(BB$1&lt;CapEx!$O$7,0,(IF(BB$3&lt;24,VLOOKUP($B41,Inputs!$F$3:$H$17,3,0)*((1+Inputs!$L$3)^Financials!BB$3),0)))</f>
        <v>0</v>
      </c>
      <c r="BC41" s="18">
        <f>IF(BC$1&lt;CapEx!$O$7,0,(IF(BC$3&lt;24,VLOOKUP($B41,Inputs!$F$3:$H$17,3,0)*((1+Inputs!$L$3)^Financials!BC$3),0)))</f>
        <v>0</v>
      </c>
      <c r="BD41" s="18">
        <f>IF(BD$1&lt;CapEx!$O$7,0,(IF(BD$3&lt;24,VLOOKUP($B41,Inputs!$F$3:$H$17,3,0)*((1+Inputs!$L$3)^Financials!BD$3),0)))</f>
        <v>0</v>
      </c>
      <c r="BE41" s="18">
        <f>IF(BE$1&lt;CapEx!$O$7,0,(IF(BE$3&lt;24,VLOOKUP($B41,Inputs!$F$3:$H$17,3,0)*((1+Inputs!$L$3)^Financials!BE$3),0)))</f>
        <v>0</v>
      </c>
      <c r="BF41" s="18">
        <f>IF(BF$1&lt;CapEx!$O$7,0,(IF(BF$3&lt;24,VLOOKUP($B41,Inputs!$F$3:$H$17,3,0)*((1+Inputs!$L$3)^Financials!BF$3),0)))</f>
        <v>0</v>
      </c>
      <c r="BG41" s="18">
        <f>IF(BG$1&lt;CapEx!$O$7,0,(IF(BG$3&lt;24,VLOOKUP($B41,Inputs!$F$3:$H$17,3,0)*((1+Inputs!$L$3)^Financials!BG$3),0)))</f>
        <v>0</v>
      </c>
      <c r="BH41" s="18">
        <f>IF(BH$1&lt;CapEx!$O$7,0,(IF(BH$3&lt;24,VLOOKUP($B41,Inputs!$F$3:$H$17,3,0)*((1+Inputs!$L$3)^Financials!BH$3),0)))</f>
        <v>0</v>
      </c>
      <c r="BI41" s="18">
        <f>IF(BI$1&lt;CapEx!$O$7,0,(IF(BI$3&lt;24,VLOOKUP($B41,Inputs!$F$3:$H$17,3,0)*((1+Inputs!$L$3)^Financials!BI$3),0)))</f>
        <v>0</v>
      </c>
      <c r="BJ41" s="18">
        <f>IF(BJ$1&lt;CapEx!$O$7,0,(IF(BJ$3&lt;24,VLOOKUP($B41,Inputs!$F$3:$H$17,3,0)*((1+Inputs!$L$3)^Financials!BJ$3),0)))</f>
        <v>0</v>
      </c>
      <c r="BK41" s="18">
        <f>IF(BK$1&lt;CapEx!$O$7,0,(IF(BK$3&lt;24,VLOOKUP($B41,Inputs!$F$3:$H$17,3,0)*((1+Inputs!$L$3)^Financials!BK$3),0)))</f>
        <v>0</v>
      </c>
      <c r="BL41" s="18">
        <f>IF(BL$1&lt;CapEx!$O$7,0,(IF(BL$3&lt;24,VLOOKUP($B41,Inputs!$F$3:$H$17,3,0)*((1+Inputs!$L$3)^Financials!BL$3),0)))</f>
        <v>0</v>
      </c>
      <c r="BM41" s="18">
        <f>IF(BM$1&lt;CapEx!$O$7,0,(IF(BM$3&lt;24,VLOOKUP($B41,Inputs!$F$3:$H$17,3,0)*((1+Inputs!$L$3)^Financials!BM$3),0)))</f>
        <v>0</v>
      </c>
      <c r="BN41" s="18">
        <f>IF(BN$1&lt;CapEx!$O$7,0,(IF(BN$3&lt;24,VLOOKUP($B41,Inputs!$F$3:$H$17,3,0)*((1+Inputs!$L$3)^Financials!BN$3),0)))</f>
        <v>0</v>
      </c>
      <c r="BO41" s="18">
        <f>IF(BO$1&lt;CapEx!$O$7,0,(IF(BO$3&lt;24,VLOOKUP($B41,Inputs!$F$3:$H$17,3,0)*((1+Inputs!$L$3)^Financials!BO$3),0)))</f>
        <v>0</v>
      </c>
      <c r="BP41" s="18">
        <f>IF(BP$1&lt;CapEx!$O$7,0,(IF(BP$3&lt;24,VLOOKUP($B41,Inputs!$F$3:$H$17,3,0)*((1+Inputs!$L$3)^Financials!BP$3),0)))</f>
        <v>0</v>
      </c>
      <c r="BQ41" s="18">
        <f>IF(BQ$1&lt;CapEx!$O$7,0,(IF(BQ$3&lt;24,VLOOKUP($B41,Inputs!$F$3:$H$17,3,0)*((1+Inputs!$L$3)^Financials!BQ$3),0)))</f>
        <v>0</v>
      </c>
      <c r="BR41" s="18">
        <f>IF(BR$1&lt;CapEx!$O$7,0,(IF(BR$3&lt;24,VLOOKUP($B41,Inputs!$F$3:$H$17,3,0)*((1+Inputs!$L$3)^Financials!BR$3),0)))</f>
        <v>0</v>
      </c>
      <c r="BS41" s="18">
        <f>IF(BS$1&lt;CapEx!$O$7,0,(IF(BS$3&lt;24,VLOOKUP($B41,Inputs!$F$3:$H$17,3,0)*((1+Inputs!$L$3)^Financials!BS$3),0)))</f>
        <v>0</v>
      </c>
      <c r="BT41" s="18">
        <f>IF(BT$1&lt;CapEx!$O$7,0,(IF(BT$3&lt;24,VLOOKUP($B41,Inputs!$F$3:$H$17,3,0)*((1+Inputs!$L$3)^Financials!BT$3),0)))</f>
        <v>0</v>
      </c>
      <c r="BU41" s="18">
        <f>IF(BU$1&lt;CapEx!$O$7,0,(IF(BU$3&lt;24,VLOOKUP($B41,Inputs!$F$3:$H$17,3,0)*((1+Inputs!$L$3)^Financials!BU$3),0)))</f>
        <v>0</v>
      </c>
      <c r="BV41" s="18">
        <f>IF(BV$1&lt;CapEx!$O$7,0,(IF(BV$3&lt;24,VLOOKUP($B41,Inputs!$F$3:$H$17,3,0)*((1+Inputs!$L$3)^Financials!BV$3),0)))</f>
        <v>0</v>
      </c>
      <c r="BW41" s="18">
        <f>IF(BW$1&lt;CapEx!$O$7,0,(IF(BW$3&lt;24,VLOOKUP($B41,Inputs!$F$3:$H$17,3,0)*((1+Inputs!$L$3)^Financials!BW$3),0)))</f>
        <v>0</v>
      </c>
      <c r="BX41" s="18">
        <f>IF(BX$1&lt;CapEx!$O$7,0,(IF(BX$3&lt;24,VLOOKUP($B41,Inputs!$F$3:$H$17,3,0)*((1+Inputs!$L$3)^Financials!BX$3),0)))</f>
        <v>0</v>
      </c>
      <c r="BY41" s="18">
        <f>IF(BY$1&lt;CapEx!$O$7,0,(IF(BY$3&lt;24,VLOOKUP($B41,Inputs!$F$3:$H$17,3,0)*((1+Inputs!$L$3)^Financials!BY$3),0)))</f>
        <v>0</v>
      </c>
      <c r="BZ41" s="18">
        <f>IF(BZ$1&lt;CapEx!$O$7,0,(IF(BZ$3&lt;24,VLOOKUP($B41,Inputs!$F$3:$H$17,3,0)*((1+Inputs!$L$3)^Financials!BZ$3),0)))</f>
        <v>0</v>
      </c>
      <c r="CA41" s="18">
        <f>IF(CA$1&lt;CapEx!$O$7,0,(IF(CA$3&lt;24,VLOOKUP($B41,Inputs!$F$3:$H$17,3,0)*((1+Inputs!$L$3)^Financials!CA$3),0)))</f>
        <v>0</v>
      </c>
      <c r="CB41" s="18">
        <f>IF(CB$1&lt;CapEx!$O$7,0,(IF(CB$3&lt;24,VLOOKUP($B41,Inputs!$F$3:$H$17,3,0)*((1+Inputs!$L$3)^Financials!CB$3),0)))</f>
        <v>0</v>
      </c>
      <c r="CC41" s="18">
        <f>IF(CC$1&lt;CapEx!$O$7,0,(IF(CC$3&lt;24,VLOOKUP($B41,Inputs!$F$3:$H$17,3,0)*((1+Inputs!$L$3)^Financials!CC$3),0)))</f>
        <v>0</v>
      </c>
      <c r="CD41" s="18">
        <f>IF(CD$1&lt;CapEx!$O$7,0,(IF(CD$3&lt;24,VLOOKUP($B41,Inputs!$F$3:$H$17,3,0)*((1+Inputs!$L$3)^Financials!CD$3),0)))</f>
        <v>0</v>
      </c>
      <c r="CE41" s="18">
        <f>IF(CE$1&lt;CapEx!$O$7,0,(IF(CE$3&lt;24,VLOOKUP($B41,Inputs!$F$3:$H$17,3,0)*((1+Inputs!$L$3)^Financials!CE$3),0)))</f>
        <v>0</v>
      </c>
      <c r="CF41" s="18">
        <f>IF(CF$1&lt;CapEx!$O$7,0,(IF(CF$3&lt;24,VLOOKUP($B41,Inputs!$F$3:$H$17,3,0)*((1+Inputs!$L$3)^Financials!CF$3),0)))</f>
        <v>0</v>
      </c>
      <c r="CG41" s="18">
        <f>IF(CG$1&lt;CapEx!$O$7,0,(IF(CG$3&lt;24,VLOOKUP($B41,Inputs!$F$3:$H$17,3,0)*((1+Inputs!$L$3)^Financials!CG$3),0)))</f>
        <v>0</v>
      </c>
      <c r="CH41" s="18">
        <f>IF(CH$1&lt;CapEx!$O$7,0,(IF(CH$3&lt;24,VLOOKUP($B41,Inputs!$F$3:$H$17,3,0)*((1+Inputs!$L$3)^Financials!CH$3),0)))</f>
        <v>0</v>
      </c>
      <c r="CI41" s="18">
        <f>IF(CI$1&lt;CapEx!$O$7,0,(IF(CI$3&lt;24,VLOOKUP($B41,Inputs!$F$3:$H$17,3,0)*((1+Inputs!$L$3)^Financials!CI$3),0)))</f>
        <v>0</v>
      </c>
      <c r="CJ41" s="18">
        <f>IF(CJ$1&lt;CapEx!$O$7,0,(IF(CJ$3&lt;24,VLOOKUP($B41,Inputs!$F$3:$H$17,3,0)*((1+Inputs!$L$3)^Financials!CJ$3),0)))</f>
        <v>0</v>
      </c>
      <c r="CK41" s="18">
        <f>IF(CK$1&lt;CapEx!$O$7,0,(IF(CK$3&lt;24,VLOOKUP($B41,Inputs!$F$3:$H$17,3,0)*((1+Inputs!$L$3)^Financials!CK$3),0)))</f>
        <v>0</v>
      </c>
      <c r="CL41" s="18">
        <f>IF(CL$1&lt;CapEx!$O$7,0,(IF(CL$3&lt;24,VLOOKUP($B41,Inputs!$F$3:$H$17,3,0)*((1+Inputs!$L$3)^Financials!CL$3),0)))</f>
        <v>0</v>
      </c>
      <c r="CM41" s="18">
        <f>IF(CM$1&lt;CapEx!$O$7,0,(IF(CM$3&lt;24,VLOOKUP($B41,Inputs!$F$3:$H$17,3,0)*((1+Inputs!$L$3)^Financials!CM$3),0)))</f>
        <v>0</v>
      </c>
      <c r="CN41" s="18">
        <f>IF(CN$1&lt;CapEx!$O$7,0,(IF(CN$3&lt;24,VLOOKUP($B41,Inputs!$F$3:$H$17,3,0)*((1+Inputs!$L$3)^Financials!CN$3),0)))</f>
        <v>0</v>
      </c>
      <c r="CO41" s="18">
        <f>IF(CO$1&lt;CapEx!$O$7,0,(IF(CO$3&lt;24,VLOOKUP($B41,Inputs!$F$3:$H$17,3,0)*((1+Inputs!$L$3)^Financials!CO$3),0)))</f>
        <v>0</v>
      </c>
      <c r="CP41" s="18">
        <f>IF(CP$1&lt;CapEx!$O$7,0,(IF(CP$3&lt;24,VLOOKUP($B41,Inputs!$F$3:$H$17,3,0)*((1+Inputs!$L$3)^Financials!CP$3),0)))</f>
        <v>0</v>
      </c>
      <c r="CQ41" s="18">
        <f>IF(CQ$1&lt;CapEx!$O$7,0,(IF(CQ$3&lt;24,VLOOKUP($B41,Inputs!$F$3:$H$17,3,0)*((1+Inputs!$L$3)^Financials!CQ$3),0)))</f>
        <v>0</v>
      </c>
      <c r="CR41" s="18">
        <f>IF(CR$1&lt;CapEx!$O$7,0,(IF(CR$3&lt;24,VLOOKUP($B41,Inputs!$F$3:$H$17,3,0)*((1+Inputs!$L$3)^Financials!CR$3),0)))</f>
        <v>0</v>
      </c>
      <c r="CS41" s="18">
        <f>IF(CS$1&lt;CapEx!$O$7,0,(IF(CS$3&lt;24,VLOOKUP($B41,Inputs!$F$3:$H$17,3,0)*((1+Inputs!$L$3)^Financials!CS$3),0)))</f>
        <v>0</v>
      </c>
      <c r="CT41" s="18">
        <f>IF(CT$1&lt;CapEx!$O$7,0,(IF(CT$3&lt;24,VLOOKUP($B41,Inputs!$F$3:$H$17,3,0)*((1+Inputs!$L$3)^Financials!CT$3),0)))</f>
        <v>0</v>
      </c>
      <c r="CU41" s="18">
        <f>IF(CU$1&lt;CapEx!$O$7,0,(IF(CU$3&lt;24,VLOOKUP($B41,Inputs!$F$3:$H$17,3,0)*((1+Inputs!$L$3)^Financials!CU$3),0)))</f>
        <v>0</v>
      </c>
      <c r="CV41" s="18">
        <f>IF(CV$1&lt;CapEx!$O$7,0,(IF(CV$3&lt;24,VLOOKUP($B41,Inputs!$F$3:$H$17,3,0)*((1+Inputs!$L$3)^Financials!CV$3),0)))</f>
        <v>0</v>
      </c>
      <c r="CW41" s="18">
        <f>IF(CW$1&lt;CapEx!$O$7,0,(IF(CW$3&lt;24,VLOOKUP($B41,Inputs!$F$3:$H$17,3,0)*((1+Inputs!$L$3)^Financials!CW$3),0)))</f>
        <v>0</v>
      </c>
      <c r="CX41" s="18">
        <f>IF(CX$1&lt;CapEx!$O$7,0,(IF(CX$3&lt;24,VLOOKUP($B41,Inputs!$F$3:$H$17,3,0)*((1+Inputs!$L$3)^Financials!CX$3),0)))</f>
        <v>0</v>
      </c>
      <c r="CY41" s="18">
        <f>IF(CY$1&lt;CapEx!$O$7,0,(IF(CY$3&lt;24,VLOOKUP($B41,Inputs!$F$3:$H$17,3,0)*((1+Inputs!$L$3)^Financials!CY$3),0)))</f>
        <v>0</v>
      </c>
      <c r="CZ41" s="18">
        <f>IF(CZ$1&lt;CapEx!$O$7,0,(IF(CZ$3&lt;24,VLOOKUP($B41,Inputs!$F$3:$H$17,3,0)*((1+Inputs!$L$3)^Financials!CZ$3),0)))</f>
        <v>0</v>
      </c>
      <c r="DA41" s="18">
        <f>IF(DA$1&lt;CapEx!$O$7,0,(IF(DA$3&lt;24,VLOOKUP($B41,Inputs!$F$3:$H$17,3,0)*((1+Inputs!$L$3)^Financials!DA$3),0)))</f>
        <v>0</v>
      </c>
      <c r="DB41" s="18">
        <f>IF(DB$1&lt;CapEx!$O$7,0,(IF(DB$3&lt;24,VLOOKUP($B41,Inputs!$F$3:$H$17,3,0)*((1+Inputs!$L$3)^Financials!DB$3),0)))</f>
        <v>0</v>
      </c>
      <c r="DC41" s="18">
        <f>IF(DC$1&lt;CapEx!$O$7,0,(IF(DC$3&lt;24,VLOOKUP($B41,Inputs!$F$3:$H$17,3,0)*((1+Inputs!$L$3)^Financials!DC$3),0)))</f>
        <v>0</v>
      </c>
      <c r="DD41" s="18">
        <f>IF(DD$1&lt;CapEx!$O$7,0,(IF(DD$3&lt;24,VLOOKUP($B41,Inputs!$F$3:$H$17,3,0)*((1+Inputs!$L$3)^Financials!DD$3),0)))</f>
        <v>0</v>
      </c>
      <c r="DE41" s="18">
        <f>IF(DE$1&lt;CapEx!$O$7,0,(IF(DE$3&lt;24,VLOOKUP($B41,Inputs!$F$3:$H$17,3,0)*((1+Inputs!$L$3)^Financials!DE$3),0)))</f>
        <v>0</v>
      </c>
      <c r="DF41" s="18">
        <f>IF(DF$1&lt;CapEx!$O$7,0,(IF(DF$3&lt;24,VLOOKUP($B41,Inputs!$F$3:$H$17,3,0)*((1+Inputs!$L$3)^Financials!DF$3),0)))</f>
        <v>0</v>
      </c>
      <c r="DG41" s="18">
        <f>IF(DG$1&lt;CapEx!$O$7,0,(IF(DG$3&lt;24,VLOOKUP($B41,Inputs!$F$3:$H$17,3,0)*((1+Inputs!$L$3)^Financials!DG$3),0)))</f>
        <v>0</v>
      </c>
      <c r="DH41" s="18">
        <f>IF(DH$1&lt;CapEx!$O$7,0,(IF(DH$3&lt;24,VLOOKUP($B41,Inputs!$F$3:$H$17,3,0)*((1+Inputs!$L$3)^Financials!DH$3),0)))</f>
        <v>0</v>
      </c>
      <c r="DI41" s="18">
        <f>IF(DI$1&lt;CapEx!$O$7,0,(IF(DI$3&lt;24,VLOOKUP($B41,Inputs!$F$3:$H$17,3,0)*((1+Inputs!$L$3)^Financials!DI$3),0)))</f>
        <v>0</v>
      </c>
      <c r="DJ41" s="18">
        <f>IF(DJ$1&lt;CapEx!$O$7,0,(IF(DJ$3&lt;24,VLOOKUP($B41,Inputs!$F$3:$H$17,3,0)*((1+Inputs!$L$3)^Financials!DJ$3),0)))</f>
        <v>0</v>
      </c>
      <c r="DK41" s="18">
        <f>IF(DK$1&lt;CapEx!$O$7,0,(IF(DK$3&lt;24,VLOOKUP($B41,Inputs!$F$3:$H$17,3,0)*((1+Inputs!$L$3)^Financials!DK$3),0)))</f>
        <v>0</v>
      </c>
      <c r="DL41" s="18">
        <f>IF(DL$1&lt;CapEx!$O$7,0,(IF(DL$3&lt;24,VLOOKUP($B41,Inputs!$F$3:$H$17,3,0)*((1+Inputs!$L$3)^Financials!DL$3),0)))</f>
        <v>0</v>
      </c>
      <c r="DM41" s="18">
        <f>IF(DM$1&lt;CapEx!$O$7,0,(IF(DM$3&lt;24,VLOOKUP($B41,Inputs!$F$3:$H$17,3,0)*((1+Inputs!$L$3)^Financials!DM$3),0)))</f>
        <v>0</v>
      </c>
      <c r="DN41" s="18">
        <f>IF(DN$1&lt;CapEx!$O$7,0,(IF(DN$3&lt;24,VLOOKUP($B41,Inputs!$F$3:$H$17,3,0)*((1+Inputs!$L$3)^Financials!DN$3),0)))</f>
        <v>0</v>
      </c>
      <c r="DO41" s="18">
        <f>IF(DO$1&lt;CapEx!$O$7,0,(IF(DO$3&lt;24,VLOOKUP($B41,Inputs!$F$3:$H$17,3,0)*((1+Inputs!$L$3)^Financials!DO$3),0)))</f>
        <v>0</v>
      </c>
      <c r="DP41" s="18">
        <f>IF(DP$1&lt;CapEx!$O$7,0,(IF(DP$3&lt;24,VLOOKUP($B41,Inputs!$F$3:$H$17,3,0)*((1+Inputs!$L$3)^Financials!DP$3),0)))</f>
        <v>0</v>
      </c>
      <c r="DQ41" s="18">
        <f>IF(DQ$1&lt;CapEx!$O$7,0,(IF(DQ$3&lt;24,VLOOKUP($B41,Inputs!$F$3:$H$17,3,0)*((1+Inputs!$L$3)^Financials!DQ$3),0)))</f>
        <v>0</v>
      </c>
      <c r="DR41" s="18">
        <f>IF(DR$1&lt;CapEx!$O$7,0,(IF(DR$3&lt;24,VLOOKUP($B41,Inputs!$F$3:$H$17,3,0)*((1+Inputs!$L$3)^Financials!DR$3),0)))</f>
        <v>0</v>
      </c>
      <c r="DS41" s="18">
        <f>IF(DS$1&lt;CapEx!$O$7,0,(IF(DS$3&lt;24,VLOOKUP($B41,Inputs!$F$3:$H$17,3,0)*((1+Inputs!$L$3)^Financials!DS$3),0)))</f>
        <v>0</v>
      </c>
      <c r="DT41" s="18">
        <f>IF(DT$1&lt;CapEx!$O$7,0,(IF(DT$3&lt;24,VLOOKUP($B41,Inputs!$F$3:$H$17,3,0)*((1+Inputs!$L$3)^Financials!DT$3),0)))</f>
        <v>0</v>
      </c>
      <c r="DU41" s="18">
        <f>IF(DU$1&lt;CapEx!$O$7,0,(IF(DU$3&lt;24,VLOOKUP($B41,Inputs!$F$3:$H$17,3,0)*((1+Inputs!$L$3)^Financials!DU$3),0)))</f>
        <v>0</v>
      </c>
      <c r="DV41" s="18">
        <f>IF(DV$1&lt;CapEx!$O$7,0,(IF(DV$3&lt;24,VLOOKUP($B41,Inputs!$F$3:$H$17,3,0)*((1+Inputs!$L$3)^Financials!DV$3),0)))</f>
        <v>0</v>
      </c>
      <c r="DW41" s="18">
        <f>IF(DW$1&lt;CapEx!$O$7,0,(IF(DW$3&lt;24,VLOOKUP($B41,Inputs!$F$3:$H$17,3,0)*((1+Inputs!$L$3)^Financials!DW$3),0)))</f>
        <v>0</v>
      </c>
      <c r="DX41" s="18">
        <f>IF(DX$1&lt;CapEx!$O$7,0,(IF(DX$3&lt;24,VLOOKUP($B41,Inputs!$F$3:$H$17,3,0)*((1+Inputs!$L$3)^Financials!DX$3),0)))</f>
        <v>0</v>
      </c>
      <c r="DY41" s="18">
        <f>IF(DY$1&lt;CapEx!$O$7,0,(IF(DY$3&lt;24,VLOOKUP($B41,Inputs!$F$3:$H$17,3,0)*((1+Inputs!$L$3)^Financials!DY$3),0)))</f>
        <v>0</v>
      </c>
      <c r="DZ41" s="18">
        <f>IF(DZ$1&lt;CapEx!$O$7,0,(IF(DZ$3&lt;24,VLOOKUP($B41,Inputs!$F$3:$H$17,3,0)*((1+Inputs!$L$3)^Financials!DZ$3),0)))</f>
        <v>0</v>
      </c>
      <c r="EA41" s="18">
        <f>IF(EA$1&lt;CapEx!$O$7,0,(IF(EA$3&lt;24,VLOOKUP($B41,Inputs!$F$3:$H$17,3,0)*((1+Inputs!$L$3)^Financials!EA$3),0)))</f>
        <v>0</v>
      </c>
      <c r="EB41" s="18">
        <f>IF(EB$1&lt;CapEx!$O$7,0,(IF(EB$3&lt;24,VLOOKUP($B41,Inputs!$F$3:$H$17,3,0)*((1+Inputs!$L$3)^Financials!EB$3),0)))</f>
        <v>0</v>
      </c>
      <c r="EC41" s="18">
        <f>IF(EC$1&lt;CapEx!$O$7,0,(IF(EC$3&lt;24,VLOOKUP($B41,Inputs!$F$3:$H$17,3,0)*((1+Inputs!$L$3)^Financials!EC$3),0)))</f>
        <v>0</v>
      </c>
      <c r="ED41" s="18">
        <f>IF(ED$1&lt;CapEx!$O$7,0,(IF(ED$3&lt;24,VLOOKUP($B41,Inputs!$F$3:$H$17,3,0)*((1+Inputs!$L$3)^Financials!ED$3),0)))</f>
        <v>0</v>
      </c>
      <c r="EE41" s="18">
        <f>IF(EE$1&lt;CapEx!$O$7,0,(IF(EE$3&lt;24,VLOOKUP($B41,Inputs!$F$3:$H$17,3,0)*((1+Inputs!$L$3)^Financials!EE$3),0)))</f>
        <v>0</v>
      </c>
      <c r="EF41" s="18">
        <f>IF(EF$1&lt;CapEx!$O$7,0,(IF(EF$3&lt;24,VLOOKUP($B41,Inputs!$F$3:$H$17,3,0)*((1+Inputs!$L$3)^Financials!EF$3),0)))</f>
        <v>0</v>
      </c>
      <c r="EG41" s="18">
        <f>IF(EG$1&lt;CapEx!$O$7,0,(IF(EG$3&lt;24,VLOOKUP($B41,Inputs!$F$3:$H$17,3,0)*((1+Inputs!$L$3)^Financials!EG$3),0)))</f>
        <v>0</v>
      </c>
      <c r="EH41" s="18">
        <f>IF(EH$1&lt;CapEx!$O$7,0,(IF(EH$3&lt;24,VLOOKUP($B41,Inputs!$F$3:$H$17,3,0)*((1+Inputs!$L$3)^Financials!EH$3),0)))</f>
        <v>0</v>
      </c>
      <c r="EI41" s="18">
        <f>IF(EI$1&lt;CapEx!$O$7,0,(IF(EI$3&lt;24,VLOOKUP($B41,Inputs!$F$3:$H$17,3,0)*((1+Inputs!$L$3)^Financials!EI$3),0)))</f>
        <v>0</v>
      </c>
      <c r="EJ41" s="18">
        <f>IF(EJ$1&lt;CapEx!$O$7,0,(IF(EJ$3&lt;24,VLOOKUP($B41,Inputs!$F$3:$H$17,3,0)*((1+Inputs!$L$3)^Financials!EJ$3),0)))</f>
        <v>0</v>
      </c>
      <c r="EK41" s="18">
        <f>IF(EK$1&lt;CapEx!$O$7,0,(IF(EK$3&lt;24,VLOOKUP($B41,Inputs!$F$3:$H$17,3,0)*((1+Inputs!$L$3)^Financials!EK$3),0)))</f>
        <v>0</v>
      </c>
      <c r="EL41" s="18">
        <f>IF(EL$1&lt;CapEx!$O$7,0,(IF(EL$3&lt;24,VLOOKUP($B41,Inputs!$F$3:$H$17,3,0)*((1+Inputs!$L$3)^Financials!EL$3),0)))</f>
        <v>0</v>
      </c>
      <c r="EM41" s="18">
        <f>IF(EM$1&lt;CapEx!$O$7,0,(IF(EM$3&lt;24,VLOOKUP($B41,Inputs!$F$3:$H$17,3,0)*((1+Inputs!$L$3)^Financials!EM$3),0)))</f>
        <v>0</v>
      </c>
      <c r="EN41" s="18">
        <f>IF(EN$1&lt;CapEx!$O$7,0,(IF(EN$3&lt;24,VLOOKUP($B41,Inputs!$F$3:$H$17,3,0)*((1+Inputs!$L$3)^Financials!EN$3),0)))</f>
        <v>0</v>
      </c>
      <c r="EO41" s="18">
        <f>IF(EO$1&lt;CapEx!$O$7,0,(IF(EO$3&lt;24,VLOOKUP($B41,Inputs!$F$3:$H$17,3,0)*((1+Inputs!$L$3)^Financials!EO$3),0)))</f>
        <v>0</v>
      </c>
      <c r="EP41" s="18">
        <f>IF(EP$1&lt;CapEx!$O$7,0,(IF(EP$3&lt;24,VLOOKUP($B41,Inputs!$F$3:$H$17,3,0)*((1+Inputs!$L$3)^Financials!EP$3),0)))</f>
        <v>0</v>
      </c>
      <c r="EQ41" s="18">
        <f>IF(EQ$1&lt;CapEx!$O$7,0,(IF(EQ$3&lt;24,VLOOKUP($B41,Inputs!$F$3:$H$17,3,0)*((1+Inputs!$L$3)^Financials!EQ$3),0)))</f>
        <v>0</v>
      </c>
      <c r="ER41" s="18">
        <f>IF(ER$1&lt;CapEx!$O$7,0,(IF(ER$3&lt;24,VLOOKUP($B41,Inputs!$F$3:$H$17,3,0)*((1+Inputs!$L$3)^Financials!ER$3),0)))</f>
        <v>0</v>
      </c>
      <c r="ES41" s="18">
        <f>IF(ES$1&lt;CapEx!$O$7,0,(IF(ES$3&lt;24,VLOOKUP($B41,Inputs!$F$3:$H$17,3,0)*((1+Inputs!$L$3)^Financials!ES$3),0)))</f>
        <v>0</v>
      </c>
      <c r="ET41" s="18">
        <f>IF(ET$1&lt;CapEx!$O$7,0,(IF(ET$3&lt;24,VLOOKUP($B41,Inputs!$F$3:$H$17,3,0)*((1+Inputs!$L$3)^Financials!ET$3),0)))</f>
        <v>0</v>
      </c>
      <c r="EU41" s="18">
        <f>IF(EU$1&lt;CapEx!$O$7,0,(IF(EU$3&lt;24,VLOOKUP($B41,Inputs!$F$3:$H$17,3,0)*((1+Inputs!$L$3)^Financials!EU$3),0)))</f>
        <v>0</v>
      </c>
      <c r="EV41" s="18">
        <f>IF(EV$1&lt;CapEx!$O$7,0,(IF(EV$3&lt;24,VLOOKUP($B41,Inputs!$F$3:$H$17,3,0)*((1+Inputs!$L$3)^Financials!EV$3),0)))</f>
        <v>0</v>
      </c>
      <c r="EW41" s="18">
        <f>IF(EW$1&lt;CapEx!$O$7,0,(IF(EW$3&lt;24,VLOOKUP($B41,Inputs!$F$3:$H$17,3,0)*((1+Inputs!$L$3)^Financials!EW$3),0)))</f>
        <v>0</v>
      </c>
      <c r="EX41" s="18">
        <f>IF(EX$1&lt;CapEx!$O$7,0,(IF(EX$3&lt;24,VLOOKUP($B41,Inputs!$F$3:$H$17,3,0)*((1+Inputs!$L$3)^Financials!EX$3),0)))</f>
        <v>0</v>
      </c>
      <c r="EY41" s="18">
        <f>IF(EY$1&lt;CapEx!$O$7,0,(IF(EY$3&lt;24,VLOOKUP($B41,Inputs!$F$3:$H$17,3,0)*((1+Inputs!$L$3)^Financials!EY$3),0)))</f>
        <v>0</v>
      </c>
      <c r="EZ41" s="18">
        <f>IF(EZ$1&lt;CapEx!$O$7,0,(IF(EZ$3&lt;24,VLOOKUP($B41,Inputs!$F$3:$H$17,3,0)*((1+Inputs!$L$3)^Financials!EZ$3),0)))</f>
        <v>0</v>
      </c>
      <c r="FA41" s="18">
        <f>IF(FA$1&lt;CapEx!$O$7,0,(IF(FA$3&lt;24,VLOOKUP($B41,Inputs!$F$3:$H$17,3,0)*((1+Inputs!$L$3)^Financials!FA$3),0)))</f>
        <v>0</v>
      </c>
      <c r="FB41" s="18">
        <f>IF(FB$1&lt;CapEx!$O$7,0,(IF(FB$3&lt;24,VLOOKUP($B41,Inputs!$F$3:$H$17,3,0)*((1+Inputs!$L$3)^Financials!FB$3),0)))</f>
        <v>0</v>
      </c>
      <c r="FC41" s="18">
        <f>IF(FC$1&lt;CapEx!$O$7,0,(IF(FC$3&lt;24,VLOOKUP($B41,Inputs!$F$3:$H$17,3,0)*((1+Inputs!$L$3)^Financials!FC$3),0)))</f>
        <v>0</v>
      </c>
      <c r="FD41" s="18">
        <f>IF(FD$1&lt;CapEx!$O$7,0,(IF(FD$3&lt;24,VLOOKUP($B41,Inputs!$F$3:$H$17,3,0)*((1+Inputs!$L$3)^Financials!FD$3),0)))</f>
        <v>0</v>
      </c>
      <c r="FE41" s="18">
        <f>IF(FE$1&lt;CapEx!$O$7,0,(IF(FE$3&lt;24,VLOOKUP($B41,Inputs!$F$3:$H$17,3,0)*((1+Inputs!$L$3)^Financials!FE$3),0)))</f>
        <v>0</v>
      </c>
      <c r="FF41" s="18">
        <f>IF(FF$1&lt;CapEx!$O$7,0,(IF(FF$3&lt;24,VLOOKUP($B41,Inputs!$F$3:$H$17,3,0)*((1+Inputs!$L$3)^Financials!FF$3),0)))</f>
        <v>0</v>
      </c>
      <c r="FG41" s="18">
        <f>IF(FG$1&lt;CapEx!$O$7,0,(IF(FG$3&lt;24,VLOOKUP($B41,Inputs!$F$3:$H$17,3,0)*((1+Inputs!$L$3)^Financials!FG$3),0)))</f>
        <v>0</v>
      </c>
      <c r="FH41" s="18">
        <f>IF(FH$1&lt;CapEx!$O$7,0,(IF(FH$3&lt;24,VLOOKUP($B41,Inputs!$F$3:$H$17,3,0)*((1+Inputs!$L$3)^Financials!FH$3),0)))</f>
        <v>0</v>
      </c>
      <c r="FI41" s="18">
        <f>IF(FI$1&lt;CapEx!$O$7,0,(IF(FI$3&lt;24,VLOOKUP($B41,Inputs!$F$3:$H$17,3,0)*((1+Inputs!$L$3)^Financials!FI$3),0)))</f>
        <v>0</v>
      </c>
      <c r="FJ41" s="18">
        <f>IF(FJ$1&lt;CapEx!$O$7,0,(IF(FJ$3&lt;24,VLOOKUP($B41,Inputs!$F$3:$H$17,3,0)*((1+Inputs!$L$3)^Financials!FJ$3),0)))</f>
        <v>0</v>
      </c>
      <c r="FK41" s="18">
        <f>IF(FK$1&lt;CapEx!$O$7,0,(IF(FK$3&lt;24,VLOOKUP($B41,Inputs!$F$3:$H$17,3,0)*((1+Inputs!$L$3)^Financials!FK$3),0)))</f>
        <v>0</v>
      </c>
      <c r="FL41" s="18">
        <f>IF(FL$1&lt;CapEx!$O$7,0,(IF(FL$3&lt;24,VLOOKUP($B41,Inputs!$F$3:$H$17,3,0)*((1+Inputs!$L$3)^Financials!FL$3),0)))</f>
        <v>0</v>
      </c>
      <c r="FM41" s="18">
        <f>IF(FM$1&lt;CapEx!$O$7,0,(IF(FM$3&lt;24,VLOOKUP($B41,Inputs!$F$3:$H$17,3,0)*((1+Inputs!$L$3)^Financials!FM$3),0)))</f>
        <v>0</v>
      </c>
      <c r="FN41" s="18">
        <f>IF(FN$1&lt;CapEx!$O$7,0,(IF(FN$3&lt;24,VLOOKUP($B41,Inputs!$F$3:$H$17,3,0)*((1+Inputs!$L$3)^Financials!FN$3),0)))</f>
        <v>0</v>
      </c>
      <c r="FO41" s="18">
        <f>IF(FO$1&lt;CapEx!$O$7,0,(IF(FO$3&lt;24,VLOOKUP($B41,Inputs!$F$3:$H$17,3,0)*((1+Inputs!$L$3)^Financials!FO$3),0)))</f>
        <v>0</v>
      </c>
      <c r="FP41" s="18">
        <f>IF(FP$1&lt;CapEx!$O$7,0,(IF(FP$3&lt;24,VLOOKUP($B41,Inputs!$F$3:$H$17,3,0)*((1+Inputs!$L$3)^Financials!FP$3),0)))</f>
        <v>0</v>
      </c>
      <c r="FQ41" s="18">
        <f>IF(FQ$1&lt;CapEx!$O$7,0,(IF(FQ$3&lt;24,VLOOKUP($B41,Inputs!$F$3:$H$17,3,0)*((1+Inputs!$L$3)^Financials!FQ$3),0)))</f>
        <v>0</v>
      </c>
      <c r="FR41" s="18">
        <f>IF(FR$1&lt;CapEx!$O$7,0,(IF(FR$3&lt;24,VLOOKUP($B41,Inputs!$F$3:$H$17,3,0)*((1+Inputs!$L$3)^Financials!FR$3),0)))</f>
        <v>0</v>
      </c>
      <c r="FS41" s="18">
        <f>IF(FS$1&lt;CapEx!$O$7,0,(IF(FS$3&lt;24,VLOOKUP($B41,Inputs!$F$3:$H$17,3,0)*((1+Inputs!$L$3)^Financials!FS$3),0)))</f>
        <v>0</v>
      </c>
      <c r="FT41" s="18">
        <f>IF(FT$1&lt;CapEx!$O$7,0,(IF(FT$3&lt;24,VLOOKUP($B41,Inputs!$F$3:$H$17,3,0)*((1+Inputs!$L$3)^Financials!FT$3),0)))</f>
        <v>0</v>
      </c>
      <c r="FU41" s="18">
        <f>IF(FU$1&lt;CapEx!$O$7,0,(IF(FU$3&lt;24,VLOOKUP($B41,Inputs!$F$3:$H$17,3,0)*((1+Inputs!$L$3)^Financials!FU$3),0)))</f>
        <v>0</v>
      </c>
      <c r="FV41" s="18">
        <f>IF(FV$1&lt;CapEx!$O$7,0,(IF(FV$3&lt;24,VLOOKUP($B41,Inputs!$F$3:$H$17,3,0)*((1+Inputs!$L$3)^Financials!FV$3),0)))</f>
        <v>0</v>
      </c>
      <c r="FW41" s="18">
        <f>IF(FW$1&lt;CapEx!$O$7,0,(IF(FW$3&lt;24,VLOOKUP($B41,Inputs!$F$3:$H$17,3,0)*((1+Inputs!$L$3)^Financials!FW$3),0)))</f>
        <v>0</v>
      </c>
      <c r="FX41" s="18">
        <f>IF(FX$1&lt;CapEx!$O$7,0,(IF(FX$3&lt;24,VLOOKUP($B41,Inputs!$F$3:$H$17,3,0)*((1+Inputs!$L$3)^Financials!FX$3),0)))</f>
        <v>0</v>
      </c>
      <c r="FY41" s="18">
        <f>IF(FY$1&lt;CapEx!$O$7,0,(IF(FY$3&lt;24,VLOOKUP($B41,Inputs!$F$3:$H$17,3,0)*((1+Inputs!$L$3)^Financials!FY$3),0)))</f>
        <v>0</v>
      </c>
      <c r="FZ41" s="18">
        <f>IF(FZ$1&lt;CapEx!$O$7,0,(IF(FZ$3&lt;24,VLOOKUP($B41,Inputs!$F$3:$H$17,3,0)*((1+Inputs!$L$3)^Financials!FZ$3),0)))</f>
        <v>0</v>
      </c>
      <c r="GA41" s="18">
        <f>IF(GA$1&lt;CapEx!$O$7,0,(IF(GA$3&lt;24,VLOOKUP($B41,Inputs!$F$3:$H$17,3,0)*((1+Inputs!$L$3)^Financials!GA$3),0)))</f>
        <v>0</v>
      </c>
      <c r="GB41" s="18">
        <f>IF(GB$1&lt;CapEx!$O$7,0,(IF(GB$3&lt;24,VLOOKUP($B41,Inputs!$F$3:$H$17,3,0)*((1+Inputs!$L$3)^Financials!GB$3),0)))</f>
        <v>0</v>
      </c>
      <c r="GC41" s="18">
        <f>IF(GC$1&lt;CapEx!$O$7,0,(IF(GC$3&lt;24,VLOOKUP($B41,Inputs!$F$3:$H$17,3,0)*((1+Inputs!$L$3)^Financials!GC$3),0)))</f>
        <v>0</v>
      </c>
      <c r="GD41" s="18">
        <f>IF(GD$1&lt;CapEx!$O$7,0,(IF(GD$3&lt;24,VLOOKUP($B41,Inputs!$F$3:$H$17,3,0)*((1+Inputs!$L$3)^Financials!GD$3),0)))</f>
        <v>0</v>
      </c>
      <c r="GE41" s="18">
        <f>IF(GE$1&lt;CapEx!$O$7,0,(IF(GE$3&lt;24,VLOOKUP($B41,Inputs!$F$3:$H$17,3,0)*((1+Inputs!$L$3)^Financials!GE$3),0)))</f>
        <v>0</v>
      </c>
      <c r="GF41" s="18">
        <f>IF(GF$1&lt;CapEx!$O$7,0,(IF(GF$3&lt;24,VLOOKUP($B41,Inputs!$F$3:$H$17,3,0)*((1+Inputs!$L$3)^Financials!GF$3),0)))</f>
        <v>0</v>
      </c>
      <c r="GG41" s="18">
        <f>IF(GG$1&lt;CapEx!$O$7,0,(IF(GG$3&lt;24,VLOOKUP($B41,Inputs!$F$3:$H$17,3,0)*((1+Inputs!$L$3)^Financials!GG$3),0)))</f>
        <v>0</v>
      </c>
      <c r="GH41" s="18">
        <f>IF(GH$1&lt;CapEx!$O$7,0,(IF(GH$3&lt;24,VLOOKUP($B41,Inputs!$F$3:$H$17,3,0)*((1+Inputs!$L$3)^Financials!GH$3),0)))</f>
        <v>0</v>
      </c>
      <c r="GI41" s="18">
        <f>IF(GI$1&lt;CapEx!$O$7,0,(IF(GI$3&lt;24,VLOOKUP($B41,Inputs!$F$3:$H$17,3,0)*((1+Inputs!$L$3)^Financials!GI$3),0)))</f>
        <v>0</v>
      </c>
      <c r="GJ41" s="18">
        <f>IF(GJ$1&lt;CapEx!$O$7,0,(IF(GJ$3&lt;24,VLOOKUP($B41,Inputs!$F$3:$H$17,3,0)*((1+Inputs!$L$3)^Financials!GJ$3),0)))</f>
        <v>0</v>
      </c>
      <c r="GK41" s="18">
        <f>IF(GK$1&lt;CapEx!$O$7,0,(IF(GK$3&lt;24,VLOOKUP($B41,Inputs!$F$3:$H$17,3,0)*((1+Inputs!$L$3)^Financials!GK$3),0)))</f>
        <v>0</v>
      </c>
      <c r="GL41" s="18">
        <f>IF(GL$1&lt;CapEx!$O$7,0,(IF(GL$3&lt;24,VLOOKUP($B41,Inputs!$F$3:$H$17,3,0)*((1+Inputs!$L$3)^Financials!GL$3),0)))</f>
        <v>0</v>
      </c>
      <c r="GM41" s="18">
        <f>IF(GM$1&lt;CapEx!$O$7,0,(IF(GM$3&lt;24,VLOOKUP($B41,Inputs!$F$3:$H$17,3,0)*((1+Inputs!$L$3)^Financials!GM$3),0)))</f>
        <v>0</v>
      </c>
      <c r="GN41" s="18">
        <f>IF(GN$1&lt;CapEx!$O$7,0,(IF(GN$3&lt;24,VLOOKUP($B41,Inputs!$F$3:$H$17,3,0)*((1+Inputs!$L$3)^Financials!GN$3),0)))</f>
        <v>0</v>
      </c>
      <c r="GO41" s="18">
        <f>IF(GO$1&lt;CapEx!$O$7,0,(IF(GO$3&lt;24,VLOOKUP($B41,Inputs!$F$3:$H$17,3,0)*((1+Inputs!$L$3)^Financials!GO$3),0)))</f>
        <v>0</v>
      </c>
      <c r="GP41" s="18">
        <f>IF(GP$1&lt;CapEx!$O$7,0,(IF(GP$3&lt;24,VLOOKUP($B41,Inputs!$F$3:$H$17,3,0)*((1+Inputs!$L$3)^Financials!GP$3),0)))</f>
        <v>0</v>
      </c>
      <c r="GQ41" s="18">
        <f>IF(GQ$1&lt;CapEx!$O$7,0,(IF(GQ$3&lt;24,VLOOKUP($B41,Inputs!$F$3:$H$17,3,0)*((1+Inputs!$L$3)^Financials!GQ$3),0)))</f>
        <v>0</v>
      </c>
      <c r="GR41" s="18">
        <f>IF(GR$1&lt;CapEx!$O$7,0,(IF(GR$3&lt;24,VLOOKUP($B41,Inputs!$F$3:$H$17,3,0)*((1+Inputs!$L$3)^Financials!GR$3),0)))</f>
        <v>0</v>
      </c>
      <c r="GS41" s="18">
        <f>IF(GS$1&lt;CapEx!$O$7,0,(IF(GS$3&lt;24,VLOOKUP($B41,Inputs!$F$3:$H$17,3,0)*((1+Inputs!$L$3)^Financials!GS$3),0)))</f>
        <v>0</v>
      </c>
      <c r="GT41" s="18">
        <f>IF(GT$1&lt;CapEx!$O$7,0,(IF(GT$3&lt;24,VLOOKUP($B41,Inputs!$F$3:$H$17,3,0)*((1+Inputs!$L$3)^Financials!GT$3),0)))</f>
        <v>0</v>
      </c>
      <c r="GU41" s="18">
        <f>IF(GU$1&lt;CapEx!$O$7,0,(IF(GU$3&lt;24,VLOOKUP($B41,Inputs!$F$3:$H$17,3,0)*((1+Inputs!$L$3)^Financials!GU$3),0)))</f>
        <v>0</v>
      </c>
      <c r="GV41" s="18">
        <f>IF(GV$1&lt;CapEx!$O$7,0,(IF(GV$3&lt;24,VLOOKUP($B41,Inputs!$F$3:$H$17,3,0)*((1+Inputs!$L$3)^Financials!GV$3),0)))</f>
        <v>0</v>
      </c>
      <c r="GW41" s="18">
        <f>IF(GW$1&lt;CapEx!$O$7,0,(IF(GW$3&lt;24,VLOOKUP($B41,Inputs!$F$3:$H$17,3,0)*((1+Inputs!$L$3)^Financials!GW$3),0)))</f>
        <v>0</v>
      </c>
      <c r="GX41" s="18">
        <f>IF(GX$1&lt;CapEx!$O$7,0,(IF(GX$3&lt;24,VLOOKUP($B41,Inputs!$F$3:$H$17,3,0)*((1+Inputs!$L$3)^Financials!GX$3),0)))</f>
        <v>0</v>
      </c>
      <c r="GY41" s="18">
        <f>IF(GY$1&lt;CapEx!$O$7,0,(IF(GY$3&lt;24,VLOOKUP($B41,Inputs!$F$3:$H$17,3,0)*((1+Inputs!$L$3)^Financials!GY$3),0)))</f>
        <v>0</v>
      </c>
      <c r="GZ41" s="18">
        <f>IF(GZ$1&lt;CapEx!$O$7,0,(IF(GZ$3&lt;24,VLOOKUP($B41,Inputs!$F$3:$H$17,3,0)*((1+Inputs!$L$3)^Financials!GZ$3),0)))</f>
        <v>0</v>
      </c>
      <c r="HA41" s="18">
        <f>IF(HA$1&lt;CapEx!$O$7,0,(IF(HA$3&lt;24,VLOOKUP($B41,Inputs!$F$3:$H$17,3,0)*((1+Inputs!$L$3)^Financials!HA$3),0)))</f>
        <v>0</v>
      </c>
      <c r="HB41" s="18">
        <f>IF(HB$1&lt;CapEx!$O$7,0,(IF(HB$3&lt;24,VLOOKUP($B41,Inputs!$F$3:$H$17,3,0)*((1+Inputs!$L$3)^Financials!HB$3),0)))</f>
        <v>0</v>
      </c>
      <c r="HC41" s="18">
        <f>IF(HC$1&lt;CapEx!$O$7,0,(IF(HC$3&lt;24,VLOOKUP($B41,Inputs!$F$3:$H$17,3,0)*((1+Inputs!$L$3)^Financials!HC$3),0)))</f>
        <v>0</v>
      </c>
      <c r="HD41" s="18">
        <f>IF(HD$1&lt;CapEx!$O$7,0,(IF(HD$3&lt;24,VLOOKUP($B41,Inputs!$F$3:$H$17,3,0)*((1+Inputs!$L$3)^Financials!HD$3),0)))</f>
        <v>0</v>
      </c>
      <c r="HE41" s="18">
        <f>IF(HE$1&lt;CapEx!$O$7,0,(IF(HE$3&lt;24,VLOOKUP($B41,Inputs!$F$3:$H$17,3,0)*((1+Inputs!$L$3)^Financials!HE$3),0)))</f>
        <v>0</v>
      </c>
      <c r="HF41" s="18">
        <f>IF(HF$1&lt;CapEx!$O$7,0,(IF(HF$3&lt;24,VLOOKUP($B41,Inputs!$F$3:$H$17,3,0)*((1+Inputs!$L$3)^Financials!HF$3),0)))</f>
        <v>0</v>
      </c>
      <c r="HG41" s="18">
        <f>IF(HG$1&lt;CapEx!$O$7,0,(IF(HG$3&lt;24,VLOOKUP($B41,Inputs!$F$3:$H$17,3,0)*((1+Inputs!$L$3)^Financials!HG$3),0)))</f>
        <v>0</v>
      </c>
      <c r="HH41" s="18">
        <f>IF(HH$1&lt;CapEx!$O$7,0,(IF(HH$3&lt;24,VLOOKUP($B41,Inputs!$F$3:$H$17,3,0)*((1+Inputs!$L$3)^Financials!HH$3),0)))</f>
        <v>0</v>
      </c>
      <c r="HI41" s="18">
        <f>IF(HI$1&lt;CapEx!$O$7,0,(IF(HI$3&lt;24,VLOOKUP($B41,Inputs!$F$3:$H$17,3,0)*((1+Inputs!$L$3)^Financials!HI$3),0)))</f>
        <v>0</v>
      </c>
      <c r="HJ41" s="18">
        <f>IF(HJ$1&lt;CapEx!$O$7,0,(IF(HJ$3&lt;24,VLOOKUP($B41,Inputs!$F$3:$H$17,3,0)*((1+Inputs!$L$3)^Financials!HJ$3),0)))</f>
        <v>0</v>
      </c>
      <c r="HK41" s="18">
        <f>IF(HK$1&lt;CapEx!$O$7,0,(IF(HK$3&lt;24,VLOOKUP($B41,Inputs!$F$3:$H$17,3,0)*((1+Inputs!$L$3)^Financials!HK$3),0)))</f>
        <v>0</v>
      </c>
      <c r="HL41" s="18">
        <f>IF(HL$1&lt;CapEx!$O$7,0,(IF(HL$3&lt;24,VLOOKUP($B41,Inputs!$F$3:$H$17,3,0)*((1+Inputs!$L$3)^Financials!HL$3),0)))</f>
        <v>0</v>
      </c>
      <c r="HM41" s="18">
        <f>IF(HM$1&lt;CapEx!$O$7,0,(IF(HM$3&lt;24,VLOOKUP($B41,Inputs!$F$3:$H$17,3,0)*((1+Inputs!$L$3)^Financials!HM$3),0)))</f>
        <v>0</v>
      </c>
      <c r="HN41" s="18">
        <f>IF(HN$1&lt;CapEx!$O$7,0,(IF(HN$3&lt;24,VLOOKUP($B41,Inputs!$F$3:$H$17,3,0)*((1+Inputs!$L$3)^Financials!HN$3),0)))</f>
        <v>0</v>
      </c>
      <c r="HO41" s="18">
        <f>IF(HO$1&lt;CapEx!$O$7,0,(IF(HO$3&lt;24,VLOOKUP($B41,Inputs!$F$3:$H$17,3,0)*((1+Inputs!$L$3)^Financials!HO$3),0)))</f>
        <v>0</v>
      </c>
      <c r="HP41" s="18">
        <f>IF(HP$1&lt;CapEx!$O$7,0,(IF(HP$3&lt;24,VLOOKUP($B41,Inputs!$F$3:$H$17,3,0)*((1+Inputs!$L$3)^Financials!HP$3),0)))</f>
        <v>0</v>
      </c>
      <c r="HQ41" s="18">
        <f>IF(HQ$1&lt;CapEx!$O$7,0,(IF(HQ$3&lt;24,VLOOKUP($B41,Inputs!$F$3:$H$17,3,0)*((1+Inputs!$L$3)^Financials!HQ$3),0)))</f>
        <v>0</v>
      </c>
      <c r="HR41" s="18">
        <f>IF(HR$1&lt;CapEx!$O$7,0,(IF(HR$3&lt;24,VLOOKUP($B41,Inputs!$F$3:$H$17,3,0)*((1+Inputs!$L$3)^Financials!HR$3),0)))</f>
        <v>0</v>
      </c>
      <c r="HS41" s="18">
        <f>IF(HS$1&lt;CapEx!$O$7,0,(IF(HS$3&lt;24,VLOOKUP($B41,Inputs!$F$3:$H$17,3,0)*((1+Inputs!$L$3)^Financials!HS$3),0)))</f>
        <v>0</v>
      </c>
      <c r="HT41" s="18">
        <f>IF(HT$1&lt;CapEx!$O$7,0,(IF(HT$3&lt;24,VLOOKUP($B41,Inputs!$F$3:$H$17,3,0)*((1+Inputs!$L$3)^Financials!HT$3),0)))</f>
        <v>0</v>
      </c>
      <c r="HU41" s="18">
        <f>IF(HU$1&lt;CapEx!$O$7,0,(IF(HU$3&lt;24,VLOOKUP($B41,Inputs!$F$3:$H$17,3,0)*((1+Inputs!$L$3)^Financials!HU$3),0)))</f>
        <v>0</v>
      </c>
      <c r="HV41" s="18">
        <f>IF(HV$1&lt;CapEx!$O$7,0,(IF(HV$3&lt;24,VLOOKUP($B41,Inputs!$F$3:$H$17,3,0)*((1+Inputs!$L$3)^Financials!HV$3),0)))</f>
        <v>0</v>
      </c>
      <c r="HW41" s="18">
        <f>IF(HW$1&lt;CapEx!$O$7,0,(IF(HW$3&lt;24,VLOOKUP($B41,Inputs!$F$3:$H$17,3,0)*((1+Inputs!$L$3)^Financials!HW$3),0)))</f>
        <v>0</v>
      </c>
      <c r="HX41" s="18">
        <f>IF(HX$1&lt;CapEx!$O$7,0,(IF(HX$3&lt;24,VLOOKUP($B41,Inputs!$F$3:$H$17,3,0)*((1+Inputs!$L$3)^Financials!HX$3),0)))</f>
        <v>0</v>
      </c>
      <c r="HY41" s="18">
        <f>IF(HY$1&lt;CapEx!$O$7,0,(IF(HY$3&lt;24,VLOOKUP($B41,Inputs!$F$3:$H$17,3,0)*((1+Inputs!$L$3)^Financials!HY$3),0)))</f>
        <v>0</v>
      </c>
      <c r="HZ41" s="18">
        <f>IF(HZ$1&lt;CapEx!$O$7,0,(IF(HZ$3&lt;24,VLOOKUP($B41,Inputs!$F$3:$H$17,3,0)*((1+Inputs!$L$3)^Financials!HZ$3),0)))</f>
        <v>0</v>
      </c>
      <c r="IA41" s="18">
        <f>IF(IA$1&lt;CapEx!$O$7,0,(IF(IA$3&lt;24,VLOOKUP($B41,Inputs!$F$3:$H$17,3,0)*((1+Inputs!$L$3)^Financials!IA$3),0)))</f>
        <v>0</v>
      </c>
      <c r="IB41" s="18">
        <f>IF(IB$1&lt;CapEx!$O$7,0,(IF(IB$3&lt;24,VLOOKUP($B41,Inputs!$F$3:$H$17,3,0)*((1+Inputs!$L$3)^Financials!IB$3),0)))</f>
        <v>0</v>
      </c>
      <c r="IC41" s="18">
        <f>IF(IC$1&lt;CapEx!$O$7,0,(IF(IC$3&lt;24,VLOOKUP($B41,Inputs!$F$3:$H$17,3,0)*((1+Inputs!$L$3)^Financials!IC$3),0)))</f>
        <v>0</v>
      </c>
      <c r="ID41" s="18">
        <f>IF(ID$1&lt;CapEx!$O$7,0,(IF(ID$3&lt;24,VLOOKUP($B41,Inputs!$F$3:$H$17,3,0)*((1+Inputs!$L$3)^Financials!ID$3),0)))</f>
        <v>0</v>
      </c>
      <c r="IE41" s="18">
        <f>IF(IE$1&lt;CapEx!$O$7,0,(IF(IE$3&lt;24,VLOOKUP($B41,Inputs!$F$3:$H$17,3,0)*((1+Inputs!$L$3)^Financials!IE$3),0)))</f>
        <v>0</v>
      </c>
      <c r="IF41" s="18">
        <f>IF(IF$1&lt;CapEx!$O$7,0,(IF(IF$3&lt;24,VLOOKUP($B41,Inputs!$F$3:$H$17,3,0)*((1+Inputs!$L$3)^Financials!IF$3),0)))</f>
        <v>0</v>
      </c>
      <c r="IG41" s="18">
        <f>IF(IG$1&lt;CapEx!$O$7,0,(IF(IG$3&lt;24,VLOOKUP($B41,Inputs!$F$3:$H$17,3,0)*((1+Inputs!$L$3)^Financials!IG$3),0)))</f>
        <v>0</v>
      </c>
      <c r="IH41" s="18">
        <f>IF(IH$1&lt;CapEx!$O$7,0,(IF(IH$3&lt;24,VLOOKUP($B41,Inputs!$F$3:$H$17,3,0)*((1+Inputs!$L$3)^Financials!IH$3),0)))</f>
        <v>0</v>
      </c>
      <c r="II41" s="18">
        <f>IF(II$1&lt;CapEx!$O$7,0,(IF(II$3&lt;24,VLOOKUP($B41,Inputs!$F$3:$H$17,3,0)*((1+Inputs!$L$3)^Financials!II$3),0)))</f>
        <v>0</v>
      </c>
      <c r="IJ41" s="18">
        <f>IF(IJ$1&lt;CapEx!$O$7,0,(IF(IJ$3&lt;24,VLOOKUP($B41,Inputs!$F$3:$H$17,3,0)*((1+Inputs!$L$3)^Financials!IJ$3),0)))</f>
        <v>0</v>
      </c>
      <c r="IK41" s="18">
        <f>IF(IK$1&lt;CapEx!$O$7,0,(IF(IK$3&lt;24,VLOOKUP($B41,Inputs!$F$3:$H$17,3,0)*((1+Inputs!$L$3)^Financials!IK$3),0)))</f>
        <v>0</v>
      </c>
      <c r="IL41" s="18">
        <f>IF(IL$1&lt;CapEx!$O$7,0,(IF(IL$3&lt;24,VLOOKUP($B41,Inputs!$F$3:$H$17,3,0)*((1+Inputs!$L$3)^Financials!IL$3),0)))</f>
        <v>0</v>
      </c>
      <c r="IM41" s="18">
        <f>IF(IM$1&lt;CapEx!$O$7,0,(IF(IM$3&lt;24,VLOOKUP($B41,Inputs!$F$3:$H$17,3,0)*((1+Inputs!$L$3)^Financials!IM$3),0)))</f>
        <v>0</v>
      </c>
      <c r="IN41" s="18">
        <f>IF(IN$1&lt;CapEx!$O$7,0,(IF(IN$3&lt;24,VLOOKUP($B41,Inputs!$F$3:$H$17,3,0)*((1+Inputs!$L$3)^Financials!IN$3),0)))</f>
        <v>0</v>
      </c>
      <c r="IO41" s="18">
        <f>IF(IO$1&lt;CapEx!$O$7,0,(IF(IO$3&lt;24,VLOOKUP($B41,Inputs!$F$3:$H$17,3,0)*((1+Inputs!$L$3)^Financials!IO$3),0)))</f>
        <v>0</v>
      </c>
      <c r="IP41" s="18">
        <f>IF(IP$1&lt;CapEx!$O$7,0,(IF(IP$3&lt;24,VLOOKUP($B41,Inputs!$F$3:$H$17,3,0)*((1+Inputs!$L$3)^Financials!IP$3),0)))</f>
        <v>0</v>
      </c>
      <c r="IQ41" s="18">
        <f>IF(IQ$1&lt;CapEx!$O$7,0,(IF(IQ$3&lt;24,VLOOKUP($B41,Inputs!$F$3:$H$17,3,0)*((1+Inputs!$L$3)^Financials!IQ$3),0)))</f>
        <v>0</v>
      </c>
      <c r="IR41" s="18">
        <f>IF(IR$1&lt;CapEx!$O$7,0,(IF(IR$3&lt;24,VLOOKUP($B41,Inputs!$F$3:$H$17,3,0)*((1+Inputs!$L$3)^Financials!IR$3),0)))</f>
        <v>0</v>
      </c>
      <c r="IS41" s="18">
        <f>IF(IS$1&lt;CapEx!$O$7,0,(IF(IS$3&lt;24,VLOOKUP($B41,Inputs!$F$3:$H$17,3,0)*((1+Inputs!$L$3)^Financials!IS$3),0)))</f>
        <v>0</v>
      </c>
      <c r="IT41" s="18">
        <f>IF(IT$1&lt;CapEx!$O$7,0,(IF(IT$3&lt;24,VLOOKUP($B41,Inputs!$F$3:$H$17,3,0)*((1+Inputs!$L$3)^Financials!IT$3),0)))</f>
        <v>0</v>
      </c>
      <c r="IU41" s="18">
        <f>IF(IU$1&lt;CapEx!$O$7,0,(IF(IU$3&lt;24,VLOOKUP($B41,Inputs!$F$3:$H$17,3,0)*((1+Inputs!$L$3)^Financials!IU$3),0)))</f>
        <v>0</v>
      </c>
      <c r="IV41" s="18">
        <f>IF(IV$1&lt;CapEx!$O$7,0,(IF(IV$3&lt;24,VLOOKUP($B41,Inputs!$F$3:$H$17,3,0)*((1+Inputs!$L$3)^Financials!IV$3),0)))</f>
        <v>0</v>
      </c>
      <c r="IW41" s="18">
        <f>IF(IW$1&lt;CapEx!$O$7,0,(IF(IW$3&lt;24,VLOOKUP($B41,Inputs!$F$3:$H$17,3,0)*((1+Inputs!$L$3)^Financials!IW$3),0)))</f>
        <v>0</v>
      </c>
      <c r="IX41" s="18">
        <f>IF(IX$1&lt;CapEx!$O$7,0,(IF(IX$3&lt;24,VLOOKUP($B41,Inputs!$F$3:$H$17,3,0)*((1+Inputs!$L$3)^Financials!IX$3),0)))</f>
        <v>0</v>
      </c>
      <c r="IY41" s="18">
        <f>IF(IY$1&lt;CapEx!$O$7,0,(IF(IY$3&lt;24,VLOOKUP($B41,Inputs!$F$3:$H$17,3,0)*((1+Inputs!$L$3)^Financials!IY$3),0)))</f>
        <v>0</v>
      </c>
      <c r="IZ41" s="18">
        <f>IF(IZ$1&lt;CapEx!$O$7,0,(IF(IZ$3&lt;24,VLOOKUP($B41,Inputs!$F$3:$H$17,3,0)*((1+Inputs!$L$3)^Financials!IZ$3),0)))</f>
        <v>0</v>
      </c>
      <c r="JA41" s="18">
        <f>IF(JA$1&lt;CapEx!$O$7,0,(IF(JA$3&lt;24,VLOOKUP($B41,Inputs!$F$3:$H$17,3,0)*((1+Inputs!$L$3)^Financials!JA$3),0)))</f>
        <v>0</v>
      </c>
      <c r="JB41" s="18">
        <f>IF(JB$1&lt;CapEx!$O$7,0,(IF(JB$3&lt;24,VLOOKUP($B41,Inputs!$F$3:$H$17,3,0)*((1+Inputs!$L$3)^Financials!JB$3),0)))</f>
        <v>0</v>
      </c>
      <c r="JC41" s="18">
        <f>IF(JC$1&lt;CapEx!$O$7,0,(IF(JC$3&lt;24,VLOOKUP($B41,Inputs!$F$3:$H$17,3,0)*((1+Inputs!$L$3)^Financials!JC$3),0)))</f>
        <v>0</v>
      </c>
      <c r="JD41" s="18">
        <f>IF(JD$1&lt;CapEx!$O$7,0,(IF(JD$3&lt;24,VLOOKUP($B41,Inputs!$F$3:$H$17,3,0)*((1+Inputs!$L$3)^Financials!JD$3),0)))</f>
        <v>0</v>
      </c>
      <c r="JE41" s="18">
        <f>IF(JE$1&lt;CapEx!$O$7,0,(IF(JE$3&lt;24,VLOOKUP($B41,Inputs!$F$3:$H$17,3,0)*((1+Inputs!$L$3)^Financials!JE$3),0)))</f>
        <v>0</v>
      </c>
      <c r="JF41" s="18">
        <f>IF(JF$1&lt;CapEx!$O$7,0,(IF(JF$3&lt;24,VLOOKUP($B41,Inputs!$F$3:$H$17,3,0)*((1+Inputs!$L$3)^Financials!JF$3),0)))</f>
        <v>0</v>
      </c>
      <c r="JG41" s="18">
        <f>IF(JG$1&lt;CapEx!$O$7,0,(IF(JG$3&lt;24,VLOOKUP($B41,Inputs!$F$3:$H$17,3,0)*((1+Inputs!$L$3)^Financials!JG$3),0)))</f>
        <v>0</v>
      </c>
      <c r="JH41" s="18">
        <f>IF(JH$1&lt;CapEx!$O$7,0,(IF(JH$3&lt;24,VLOOKUP($B41,Inputs!$F$3:$H$17,3,0)*((1+Inputs!$L$3)^Financials!JH$3),0)))</f>
        <v>0</v>
      </c>
      <c r="JI41" s="18">
        <f>IF(JI$1&lt;CapEx!$O$7,0,(IF(JI$3&lt;24,VLOOKUP($B41,Inputs!$F$3:$H$17,3,0)*((1+Inputs!$L$3)^Financials!JI$3),0)))</f>
        <v>0</v>
      </c>
      <c r="JJ41" s="18">
        <f>IF(JJ$1&lt;CapEx!$O$7,0,(IF(JJ$3&lt;24,VLOOKUP($B41,Inputs!$F$3:$H$17,3,0)*((1+Inputs!$L$3)^Financials!JJ$3),0)))</f>
        <v>0</v>
      </c>
      <c r="JK41" s="18">
        <f>IF(JK$1&lt;CapEx!$O$7,0,(IF(JK$3&lt;24,VLOOKUP($B41,Inputs!$F$3:$H$17,3,0)*((1+Inputs!$L$3)^Financials!JK$3),0)))</f>
        <v>0</v>
      </c>
      <c r="JL41" s="18">
        <f>IF(JL$1&lt;CapEx!$O$7,0,(IF(JL$3&lt;24,VLOOKUP($B41,Inputs!$F$3:$H$17,3,0)*((1+Inputs!$L$3)^Financials!JL$3),0)))</f>
        <v>0</v>
      </c>
      <c r="JM41" s="18">
        <f>IF(JM$1&lt;CapEx!$O$7,0,(IF(JM$3&lt;24,VLOOKUP($B41,Inputs!$F$3:$H$17,3,0)*((1+Inputs!$L$3)^Financials!JM$3),0)))</f>
        <v>0</v>
      </c>
      <c r="JN41" s="18">
        <f>IF(JN$1&lt;CapEx!$O$7,0,(IF(JN$3&lt;24,VLOOKUP($B41,Inputs!$F$3:$H$17,3,0)*((1+Inputs!$L$3)^Financials!JN$3),0)))</f>
        <v>0</v>
      </c>
      <c r="JO41" s="18">
        <f>IF(JO$1&lt;CapEx!$O$7,0,(IF(JO$3&lt;24,VLOOKUP($B41,Inputs!$F$3:$H$17,3,0)*((1+Inputs!$L$3)^Financials!JO$3),0)))</f>
        <v>0</v>
      </c>
      <c r="JP41" s="18">
        <f>IF(JP$1&lt;CapEx!$O$7,0,(IF(JP$3&lt;24,VLOOKUP($B41,Inputs!$F$3:$H$17,3,0)*((1+Inputs!$L$3)^Financials!JP$3),0)))</f>
        <v>0</v>
      </c>
      <c r="JQ41" s="18">
        <f>IF(JQ$1&lt;CapEx!$O$7,0,(IF(JQ$3&lt;24,VLOOKUP($B41,Inputs!$F$3:$H$17,3,0)*((1+Inputs!$L$3)^Financials!JQ$3),0)))</f>
        <v>0</v>
      </c>
      <c r="JR41" s="18">
        <f>IF(JR$1&lt;CapEx!$O$7,0,(IF(JR$3&lt;24,VLOOKUP($B41,Inputs!$F$3:$H$17,3,0)*((1+Inputs!$L$3)^Financials!JR$3),0)))</f>
        <v>0</v>
      </c>
    </row>
    <row r="42" spans="2:278" x14ac:dyDescent="0.2">
      <c r="B42" s="21" t="str">
        <f>'Data Sources'!A82</f>
        <v>Pyrolysis LTMA Cost yrs. 3+</v>
      </c>
      <c r="C42" s="18">
        <f>IF(C$1&lt;CapEx!$O$7,0,(IF(C$3&gt;24,VLOOKUP($B42,Inputs!$F$3:$H$17,3,0)*((1+Inputs!$L$3)^Financials!C$3),0)))</f>
        <v>0</v>
      </c>
      <c r="D42" s="18">
        <f>IF(D$1&lt;CapEx!$O$7,0,(IF(D$3&gt;24,VLOOKUP($B42,Inputs!$F$3:$H$17,3,0)*((1+Inputs!$L$3)^Financials!D$3),0)))</f>
        <v>0</v>
      </c>
      <c r="E42" s="18">
        <f>IF(E$1&lt;CapEx!$O$7,0,(IF(E$3&gt;24,VLOOKUP($B42,Inputs!$F$3:$H$17,3,0)*((1+Inputs!$L$3)^Financials!E$3),0)))</f>
        <v>0</v>
      </c>
      <c r="F42" s="18">
        <f>IF(F$1&lt;CapEx!$O$7,0,(IF(F$3&gt;24,VLOOKUP($B42,Inputs!$F$3:$H$17,3,0)*((1+Inputs!$L$3)^Financials!F$3),0)))</f>
        <v>0</v>
      </c>
      <c r="G42" s="18">
        <f>IF(G$1&lt;CapEx!$O$7,0,(IF(G$3&gt;24,VLOOKUP($B42,Inputs!$F$3:$H$17,3,0)*((1+Inputs!$L$3)^Financials!G$3),0)))</f>
        <v>0</v>
      </c>
      <c r="H42" s="18">
        <f>IF(H$1&lt;CapEx!$O$7,0,(IF(H$3&gt;24,VLOOKUP($B42,Inputs!$F$3:$H$17,3,0)*((1+Inputs!$L$3)^Financials!H$3),0)))</f>
        <v>0</v>
      </c>
      <c r="I42" s="18">
        <f>IF(I$1&lt;CapEx!$O$7,0,(IF(I$3&gt;24,VLOOKUP($B42,Inputs!$F$3:$H$17,3,0)*((1+Inputs!$L$3)^Financials!I$3),0)))</f>
        <v>0</v>
      </c>
      <c r="J42" s="18">
        <f>IF(J$1&lt;CapEx!$O$7,0,(IF(J$3&gt;24,VLOOKUP($B42,Inputs!$F$3:$H$17,3,0)*((1+Inputs!$L$3)^Financials!J$3),0)))</f>
        <v>0</v>
      </c>
      <c r="K42" s="18">
        <f>IF(K$1&lt;CapEx!$O$7,0,(IF(K$3&gt;24,VLOOKUP($B42,Inputs!$F$3:$H$17,3,0)*((1+Inputs!$L$3)^Financials!K$3),0)))</f>
        <v>0</v>
      </c>
      <c r="L42" s="18">
        <f>IF(L$1&lt;CapEx!$O$7,0,(IF(L$3&gt;24,VLOOKUP($B42,Inputs!$F$3:$H$17,3,0)*((1+Inputs!$L$3)^Financials!L$3),0)))</f>
        <v>0</v>
      </c>
      <c r="M42" s="18">
        <f>IF(M$1&lt;CapEx!$O$7,0,(IF(M$3&gt;24,VLOOKUP($B42,Inputs!$F$3:$H$17,3,0)*((1+Inputs!$L$3)^Financials!M$3),0)))</f>
        <v>0</v>
      </c>
      <c r="N42" s="18">
        <f>IF(N$1&lt;CapEx!$O$7,0,(IF(N$3&gt;24,VLOOKUP($B42,Inputs!$F$3:$H$17,3,0)*((1+Inputs!$L$3)^Financials!N$3),0)))</f>
        <v>0</v>
      </c>
      <c r="O42" s="18">
        <f>IF(O$1&lt;CapEx!$O$7,0,(IF(O$3&gt;24,VLOOKUP($B42,Inputs!$F$3:$H$17,3,0)*((1+Inputs!$L$3)^Financials!O$3),0)))</f>
        <v>0</v>
      </c>
      <c r="P42" s="18">
        <f>IF(P$1&lt;CapEx!$O$7,0,(IF(P$3&gt;24,VLOOKUP($B42,Inputs!$F$3:$H$17,3,0)*((1+Inputs!$L$3)^Financials!P$3),0)))</f>
        <v>0</v>
      </c>
      <c r="Q42" s="18">
        <f>IF(Q$1&lt;CapEx!$O$7,0,(IF(Q$3&gt;24,VLOOKUP($B42,Inputs!$F$3:$H$17,3,0)*((1+Inputs!$L$3)^Financials!Q$3),0)))</f>
        <v>0</v>
      </c>
      <c r="R42" s="18">
        <f>IF(R$1&lt;CapEx!$O$7,0,(IF(R$3&gt;24,VLOOKUP($B42,Inputs!$F$3:$H$17,3,0)*((1+Inputs!$L$3)^Financials!R$3),0)))</f>
        <v>0</v>
      </c>
      <c r="S42" s="18">
        <f>IF(S$1&lt;CapEx!$O$7,0,(IF(S$3&gt;24,VLOOKUP($B42,Inputs!$F$3:$H$17,3,0)*((1+Inputs!$L$3)^Financials!S$3),0)))</f>
        <v>0</v>
      </c>
      <c r="T42" s="18">
        <f>IF(T$1&lt;CapEx!$O$7,0,(IF(T$3&gt;24,VLOOKUP($B42,Inputs!$F$3:$H$17,3,0)*((1+Inputs!$L$3)^Financials!T$3),0)))</f>
        <v>0</v>
      </c>
      <c r="U42" s="18">
        <f>IF(U$1&lt;CapEx!$O$7,0,(IF(U$3&gt;24,VLOOKUP($B42,Inputs!$F$3:$H$17,3,0)*((1+Inputs!$L$3)^Financials!U$3),0)))</f>
        <v>0</v>
      </c>
      <c r="V42" s="18">
        <f>IF(V$1&lt;CapEx!$O$7,0,(IF(V$3&gt;24,VLOOKUP($B42,Inputs!$F$3:$H$17,3,0)*((1+Inputs!$L$3)^Financials!V$3),0)))</f>
        <v>0</v>
      </c>
      <c r="W42" s="18">
        <f>IF(W$1&lt;CapEx!$O$7,0,(IF(W$3&gt;24,VLOOKUP($B42,Inputs!$F$3:$H$17,3,0)*((1+Inputs!$L$3)^Financials!W$3),0)))</f>
        <v>0</v>
      </c>
      <c r="X42" s="18">
        <f>IF(X$1&lt;CapEx!$O$7,0,(IF(X$3&gt;24,VLOOKUP($B42,Inputs!$F$3:$H$17,3,0)*((1+Inputs!$L$3)^Financials!X$3),0)))</f>
        <v>0</v>
      </c>
      <c r="Y42" s="18">
        <f>IF(Y$1&lt;CapEx!$O$7,0,(IF(Y$3&gt;24,VLOOKUP($B42,Inputs!$F$3:$H$17,3,0)*((1+Inputs!$L$3)^Financials!Y$3),0)))</f>
        <v>0</v>
      </c>
      <c r="Z42" s="18">
        <f>IF(Z$1&lt;CapEx!$O$7,0,(IF(Z$3&gt;24,VLOOKUP($B42,Inputs!$F$3:$H$17,3,0)*((1+Inputs!$L$3)^Financials!Z$3),0)))</f>
        <v>0</v>
      </c>
      <c r="AA42" s="18">
        <f>IF(AA$1&lt;CapEx!$O$7,0,(IF(AA$3&gt;24,VLOOKUP($B42,Inputs!$F$3:$H$17,3,0)*((1+Inputs!$L$3)^Financials!AA$3),0)))</f>
        <v>0</v>
      </c>
      <c r="AB42" s="18">
        <f>IF(AB$1&lt;CapEx!$O$7,0,(IF(AB$3&gt;24,VLOOKUP($B42,Inputs!$F$3:$H$17,3,0)*((1+Inputs!$L$3)^Financials!AB$3),0)))</f>
        <v>0</v>
      </c>
      <c r="AC42" s="18">
        <f>IF(AC$1&lt;CapEx!$O$7,0,(IF(AC$3&gt;24,VLOOKUP($B42,Inputs!$F$3:$H$17,3,0)*((1+Inputs!$L$3)^Financials!AC$3),0)))</f>
        <v>0</v>
      </c>
      <c r="AD42" s="18">
        <f>IF(AD$1&lt;CapEx!$O$7,0,(IF(AD$3&gt;24,VLOOKUP($B42,Inputs!$F$3:$H$17,3,0)*((1+Inputs!$L$3)^Financials!AD$3),0)))</f>
        <v>0</v>
      </c>
      <c r="AE42" s="18">
        <f>IF(AE$1&lt;CapEx!$O$7,0,(IF(AE$3&gt;24,VLOOKUP($B42,Inputs!$F$3:$H$17,3,0)*((1+Inputs!$L$3)^Financials!AE$3),0)))</f>
        <v>0</v>
      </c>
      <c r="AF42" s="18">
        <f>IF(AF$1&lt;CapEx!$O$7,0,(IF(AF$3&gt;24,VLOOKUP($B42,Inputs!$F$3:$H$17,3,0)*((1+Inputs!$L$3)^Financials!AF$3),0)))</f>
        <v>0</v>
      </c>
      <c r="AG42" s="18">
        <f>IF(AG$1&lt;CapEx!$O$7,0,(IF(AG$3&gt;24,VLOOKUP($B42,Inputs!$F$3:$H$17,3,0)*((1+Inputs!$L$3)^Financials!AG$3),0)))</f>
        <v>0</v>
      </c>
      <c r="AH42" s="18">
        <f>IF(AH$1&lt;CapEx!$O$7,0,(IF(AH$3&gt;24,VLOOKUP($B42,Inputs!$F$3:$H$17,3,0)*((1+Inputs!$L$3)^Financials!AH$3),0)))</f>
        <v>0</v>
      </c>
      <c r="AI42" s="18">
        <f>IF(AI$1&lt;CapEx!$O$7,0,(IF(AI$3&gt;24,VLOOKUP($B42,Inputs!$F$3:$H$17,3,0)*((1+Inputs!$L$3)^Financials!AI$3),0)))</f>
        <v>0</v>
      </c>
      <c r="AJ42" s="18">
        <f>IF(AJ$1&lt;CapEx!$O$7,0,(IF(AJ$3&gt;24,VLOOKUP($B42,Inputs!$F$3:$H$17,3,0)*((1+Inputs!$L$3)^Financials!AJ$3),0)))</f>
        <v>0</v>
      </c>
      <c r="AK42" s="18">
        <f>IF(AK$1&lt;CapEx!$O$7,0,(IF(AK$3&gt;24,VLOOKUP($B42,Inputs!$F$3:$H$17,3,0)*((1+Inputs!$L$3)^Financials!AK$3),0)))</f>
        <v>0</v>
      </c>
      <c r="AL42" s="18">
        <f>IF(AL$1&lt;CapEx!$O$7,0,(IF(AL$3&gt;24,VLOOKUP($B42,Inputs!$F$3:$H$17,3,0)*((1+Inputs!$L$3)^Financials!AL$3),0)))</f>
        <v>0</v>
      </c>
      <c r="AM42" s="18">
        <f>IF(AM$1&lt;CapEx!$O$7,0,(IF(AM$3&gt;24,VLOOKUP($B42,Inputs!$F$3:$H$17,3,0)*((1+Inputs!$L$3)^Financials!AM$3),0)))</f>
        <v>0</v>
      </c>
      <c r="AN42" s="18">
        <f>IF(AN$1&lt;CapEx!$O$7,0,(IF(AN$3&gt;24,VLOOKUP($B42,Inputs!$F$3:$H$17,3,0)*((1+Inputs!$L$3)^Financials!AN$3),0)))</f>
        <v>0</v>
      </c>
      <c r="AO42" s="18">
        <f>IF(AO$1&lt;CapEx!$O$7,0,(IF(AO$3&gt;24,VLOOKUP($B42,Inputs!$F$3:$H$17,3,0)*((1+Inputs!$L$3)^Financials!AO$3),0)))</f>
        <v>0</v>
      </c>
      <c r="AP42" s="18">
        <f>IF(AP$1&lt;CapEx!$O$7,0,(IF(AP$3&gt;24,VLOOKUP($B42,Inputs!$F$3:$H$17,3,0)*((1+Inputs!$L$3)^Financials!AP$3),0)))</f>
        <v>0</v>
      </c>
      <c r="AQ42" s="18">
        <f>IF(AQ$1&lt;CapEx!$O$7,0,(IF(AQ$3&gt;24,VLOOKUP($B42,Inputs!$F$3:$H$17,3,0)*((1+Inputs!$L$3)^Financials!AQ$3),0)))</f>
        <v>21718.973884234241</v>
      </c>
      <c r="AR42" s="18">
        <f>IF(AR$1&lt;CapEx!$O$7,0,(IF(AR$3&gt;24,VLOOKUP($B42,Inputs!$F$3:$H$17,3,0)*((1+Inputs!$L$3)^Financials!AR$3),0)))</f>
        <v>21755.172174041301</v>
      </c>
      <c r="AS42" s="18">
        <f>IF(AS$1&lt;CapEx!$O$7,0,(IF(AS$3&gt;24,VLOOKUP($B42,Inputs!$F$3:$H$17,3,0)*((1+Inputs!$L$3)^Financials!AS$3),0)))</f>
        <v>21791.430794331372</v>
      </c>
      <c r="AT42" s="18">
        <f>IF(AT$1&lt;CapEx!$O$7,0,(IF(AT$3&gt;24,VLOOKUP($B42,Inputs!$F$3:$H$17,3,0)*((1+Inputs!$L$3)^Financials!AT$3),0)))</f>
        <v>21827.74984565526</v>
      </c>
      <c r="AU42" s="18">
        <f>IF(AU$1&lt;CapEx!$O$7,0,(IF(AU$3&gt;24,VLOOKUP($B42,Inputs!$F$3:$H$17,3,0)*((1+Inputs!$L$3)^Financials!AU$3),0)))</f>
        <v>21864.129428731354</v>
      </c>
      <c r="AV42" s="18">
        <f>IF(AV$1&lt;CapEx!$O$7,0,(IF(AV$3&gt;24,VLOOKUP($B42,Inputs!$F$3:$H$17,3,0)*((1+Inputs!$L$3)^Financials!AV$3),0)))</f>
        <v>21900.569644445906</v>
      </c>
      <c r="AW42" s="18">
        <f>IF(AW$1&lt;CapEx!$O$7,0,(IF(AW$3&gt;24,VLOOKUP($B42,Inputs!$F$3:$H$17,3,0)*((1+Inputs!$L$3)^Financials!AW$3),0)))</f>
        <v>21937.070593853321</v>
      </c>
      <c r="AX42" s="18">
        <f>IF(AX$1&lt;CapEx!$O$7,0,(IF(AX$3&gt;24,VLOOKUP($B42,Inputs!$F$3:$H$17,3,0)*((1+Inputs!$L$3)^Financials!AX$3),0)))</f>
        <v>21973.632378176411</v>
      </c>
      <c r="AY42" s="18">
        <f>IF(AY$1&lt;CapEx!$O$7,0,(IF(AY$3&gt;24,VLOOKUP($B42,Inputs!$F$3:$H$17,3,0)*((1+Inputs!$L$3)^Financials!AY$3),0)))</f>
        <v>22010.255098806709</v>
      </c>
      <c r="AZ42" s="18">
        <f>IF(AZ$1&lt;CapEx!$O$7,0,(IF(AZ$3&gt;24,VLOOKUP($B42,Inputs!$F$3:$H$17,3,0)*((1+Inputs!$L$3)^Financials!AZ$3),0)))</f>
        <v>22046.938857304718</v>
      </c>
      <c r="BA42" s="18">
        <f>IF(BA$1&lt;CapEx!$O$7,0,(IF(BA$3&gt;24,VLOOKUP($B42,Inputs!$F$3:$H$17,3,0)*((1+Inputs!$L$3)^Financials!BA$3),0)))</f>
        <v>22083.68375540023</v>
      </c>
      <c r="BB42" s="18">
        <f>IF(BB$1&lt;CapEx!$O$7,0,(IF(BB$3&gt;24,VLOOKUP($B42,Inputs!$F$3:$H$17,3,0)*((1+Inputs!$L$3)^Financials!BB$3),0)))</f>
        <v>22120.489894992563</v>
      </c>
      <c r="BC42" s="18">
        <f>IF(BC$1&lt;CapEx!$O$7,0,(IF(BC$3&gt;24,VLOOKUP($B42,Inputs!$F$3:$H$17,3,0)*((1+Inputs!$L$3)^Financials!BC$3),0)))</f>
        <v>22157.357378150886</v>
      </c>
      <c r="BD42" s="18">
        <f>IF(BD$1&lt;CapEx!$O$7,0,(IF(BD$3&gt;24,VLOOKUP($B42,Inputs!$F$3:$H$17,3,0)*((1+Inputs!$L$3)^Financials!BD$3),0)))</f>
        <v>22194.286307114471</v>
      </c>
      <c r="BE42" s="18">
        <f>IF(BE$1&lt;CapEx!$O$7,0,(IF(BE$3&gt;24,VLOOKUP($B42,Inputs!$F$3:$H$17,3,0)*((1+Inputs!$L$3)^Financials!BE$3),0)))</f>
        <v>22231.276784292997</v>
      </c>
      <c r="BF42" s="18">
        <f>IF(BF$1&lt;CapEx!$O$7,0,(IF(BF$3&gt;24,VLOOKUP($B42,Inputs!$F$3:$H$17,3,0)*((1+Inputs!$L$3)^Financials!BF$3),0)))</f>
        <v>22268.328912266825</v>
      </c>
      <c r="BG42" s="18">
        <f>IF(BG$1&lt;CapEx!$O$7,0,(IF(BG$3&gt;24,VLOOKUP($B42,Inputs!$F$3:$H$17,3,0)*((1+Inputs!$L$3)^Financials!BG$3),0)))</f>
        <v>22305.442793787264</v>
      </c>
      <c r="BH42" s="18">
        <f>IF(BH$1&lt;CapEx!$O$7,0,(IF(BH$3&gt;24,VLOOKUP($B42,Inputs!$F$3:$H$17,3,0)*((1+Inputs!$L$3)^Financials!BH$3),0)))</f>
        <v>22342.618531776912</v>
      </c>
      <c r="BI42" s="18">
        <f>IF(BI$1&lt;CapEx!$O$7,0,(IF(BI$3&gt;24,VLOOKUP($B42,Inputs!$F$3:$H$17,3,0)*((1+Inputs!$L$3)^Financials!BI$3),0)))</f>
        <v>22379.856229329878</v>
      </c>
      <c r="BJ42" s="18">
        <f>IF(BJ$1&lt;CapEx!$O$7,0,(IF(BJ$3&gt;24,VLOOKUP($B42,Inputs!$F$3:$H$17,3,0)*((1+Inputs!$L$3)^Financials!BJ$3),0)))</f>
        <v>22417.155989712093</v>
      </c>
      <c r="BK42" s="18">
        <f>IF(BK$1&lt;CapEx!$O$7,0,(IF(BK$3&gt;24,VLOOKUP($B42,Inputs!$F$3:$H$17,3,0)*((1+Inputs!$L$3)^Financials!BK$3),0)))</f>
        <v>22454.517916361616</v>
      </c>
      <c r="BL42" s="18">
        <f>IF(BL$1&lt;CapEx!$O$7,0,(IF(BL$3&gt;24,VLOOKUP($B42,Inputs!$F$3:$H$17,3,0)*((1+Inputs!$L$3)^Financials!BL$3),0)))</f>
        <v>22491.942112888886</v>
      </c>
      <c r="BM42" s="18">
        <f>IF(BM$1&lt;CapEx!$O$7,0,(IF(BM$3&gt;24,VLOOKUP($B42,Inputs!$F$3:$H$17,3,0)*((1+Inputs!$L$3)^Financials!BM$3),0)))</f>
        <v>22529.428683077036</v>
      </c>
      <c r="BN42" s="18">
        <f>IF(BN$1&lt;CapEx!$O$7,0,(IF(BN$3&gt;24,VLOOKUP($B42,Inputs!$F$3:$H$17,3,0)*((1+Inputs!$L$3)^Financials!BN$3),0)))</f>
        <v>22566.977730882169</v>
      </c>
      <c r="BO42" s="18">
        <f>IF(BO$1&lt;CapEx!$O$7,0,(IF(BO$3&gt;24,VLOOKUP($B42,Inputs!$F$3:$H$17,3,0)*((1+Inputs!$L$3)^Financials!BO$3),0)))</f>
        <v>22604.589360433638</v>
      </c>
      <c r="BP42" s="18">
        <f>IF(BP$1&lt;CapEx!$O$7,0,(IF(BP$3&gt;24,VLOOKUP($B42,Inputs!$F$3:$H$17,3,0)*((1+Inputs!$L$3)^Financials!BP$3),0)))</f>
        <v>22642.263676034363</v>
      </c>
      <c r="BQ42" s="18">
        <f>IF(BQ$1&lt;CapEx!$O$7,0,(IF(BQ$3&gt;24,VLOOKUP($B42,Inputs!$F$3:$H$17,3,0)*((1+Inputs!$L$3)^Financials!BQ$3),0)))</f>
        <v>22680.000782161089</v>
      </c>
      <c r="BR42" s="18">
        <f>IF(BR$1&lt;CapEx!$O$7,0,(IF(BR$3&gt;24,VLOOKUP($B42,Inputs!$F$3:$H$17,3,0)*((1+Inputs!$L$3)^Financials!BR$3),0)))</f>
        <v>22717.800783464692</v>
      </c>
      <c r="BS42" s="18">
        <f>IF(BS$1&lt;CapEx!$O$7,0,(IF(BS$3&gt;24,VLOOKUP($B42,Inputs!$F$3:$H$17,3,0)*((1+Inputs!$L$3)^Financials!BS$3),0)))</f>
        <v>22755.66378477047</v>
      </c>
      <c r="BT42" s="18">
        <f>IF(BT$1&lt;CapEx!$O$7,0,(IF(BT$3&gt;24,VLOOKUP($B42,Inputs!$F$3:$H$17,3,0)*((1+Inputs!$L$3)^Financials!BT$3),0)))</f>
        <v>22793.58989107842</v>
      </c>
      <c r="BU42" s="18">
        <f>IF(BU$1&lt;CapEx!$O$7,0,(IF(BU$3&gt;24,VLOOKUP($B42,Inputs!$F$3:$H$17,3,0)*((1+Inputs!$L$3)^Financials!BU$3),0)))</f>
        <v>22831.579207563555</v>
      </c>
      <c r="BV42" s="18">
        <f>IF(BV$1&lt;CapEx!$O$7,0,(IF(BV$3&gt;24,VLOOKUP($B42,Inputs!$F$3:$H$17,3,0)*((1+Inputs!$L$3)^Financials!BV$3),0)))</f>
        <v>22869.631839576163</v>
      </c>
      <c r="BW42" s="18">
        <f>IF(BW$1&lt;CapEx!$O$7,0,(IF(BW$3&gt;24,VLOOKUP($B42,Inputs!$F$3:$H$17,3,0)*((1+Inputs!$L$3)^Financials!BW$3),0)))</f>
        <v>22907.747892642121</v>
      </c>
      <c r="BX42" s="18">
        <f>IF(BX$1&lt;CapEx!$O$7,0,(IF(BX$3&gt;24,VLOOKUP($B42,Inputs!$F$3:$H$17,3,0)*((1+Inputs!$L$3)^Financials!BX$3),0)))</f>
        <v>22945.927472463194</v>
      </c>
      <c r="BY42" s="18">
        <f>IF(BY$1&lt;CapEx!$O$7,0,(IF(BY$3&gt;24,VLOOKUP($B42,Inputs!$F$3:$H$17,3,0)*((1+Inputs!$L$3)^Financials!BY$3),0)))</f>
        <v>22984.170684917299</v>
      </c>
      <c r="BZ42" s="18">
        <f>IF(BZ$1&lt;CapEx!$O$7,0,(IF(BZ$3&gt;24,VLOOKUP($B42,Inputs!$F$3:$H$17,3,0)*((1+Inputs!$L$3)^Financials!BZ$3),0)))</f>
        <v>23022.477636058829</v>
      </c>
      <c r="CA42" s="18">
        <f>IF(CA$1&lt;CapEx!$O$7,0,(IF(CA$3&gt;24,VLOOKUP($B42,Inputs!$F$3:$H$17,3,0)*((1+Inputs!$L$3)^Financials!CA$3),0)))</f>
        <v>23060.848432118932</v>
      </c>
      <c r="CB42" s="18">
        <f>IF(CB$1&lt;CapEx!$O$7,0,(IF(CB$3&gt;24,VLOOKUP($B42,Inputs!$F$3:$H$17,3,0)*((1+Inputs!$L$3)^Financials!CB$3),0)))</f>
        <v>23099.283179505797</v>
      </c>
      <c r="CC42" s="18">
        <f>IF(CC$1&lt;CapEx!$O$7,0,(IF(CC$3&gt;24,VLOOKUP($B42,Inputs!$F$3:$H$17,3,0)*((1+Inputs!$L$3)^Financials!CC$3),0)))</f>
        <v>23137.781984804977</v>
      </c>
      <c r="CD42" s="18">
        <f>IF(CD$1&lt;CapEx!$O$7,0,(IF(CD$3&gt;24,VLOOKUP($B42,Inputs!$F$3:$H$17,3,0)*((1+Inputs!$L$3)^Financials!CD$3),0)))</f>
        <v>23176.344954779655</v>
      </c>
      <c r="CE42" s="18">
        <f>IF(CE$1&lt;CapEx!$O$7,0,(IF(CE$3&gt;24,VLOOKUP($B42,Inputs!$F$3:$H$17,3,0)*((1+Inputs!$L$3)^Financials!CE$3),0)))</f>
        <v>23214.972196370956</v>
      </c>
      <c r="CF42" s="18">
        <f>IF(CF$1&lt;CapEx!$O$7,0,(IF(CF$3&gt;24,VLOOKUP($B42,Inputs!$F$3:$H$17,3,0)*((1+Inputs!$L$3)^Financials!CF$3),0)))</f>
        <v>23253.663816698237</v>
      </c>
      <c r="CG42" s="18">
        <f>IF(CG$1&lt;CapEx!$O$7,0,(IF(CG$3&gt;24,VLOOKUP($B42,Inputs!$F$3:$H$17,3,0)*((1+Inputs!$L$3)^Financials!CG$3),0)))</f>
        <v>23292.419923059406</v>
      </c>
      <c r="CH42" s="18">
        <f>IF(CH$1&lt;CapEx!$O$7,0,(IF(CH$3&gt;24,VLOOKUP($B42,Inputs!$F$3:$H$17,3,0)*((1+Inputs!$L$3)^Financials!CH$3),0)))</f>
        <v>23331.240622931171</v>
      </c>
      <c r="CI42" s="18">
        <f>IF(CI$1&lt;CapEx!$O$7,0,(IF(CI$3&gt;24,VLOOKUP($B42,Inputs!$F$3:$H$17,3,0)*((1+Inputs!$L$3)^Financials!CI$3),0)))</f>
        <v>23370.126023969391</v>
      </c>
      <c r="CJ42" s="18">
        <f>IF(CJ$1&lt;CapEx!$O$7,0,(IF(CJ$3&gt;24,VLOOKUP($B42,Inputs!$F$3:$H$17,3,0)*((1+Inputs!$L$3)^Financials!CJ$3),0)))</f>
        <v>23409.076234009339</v>
      </c>
      <c r="CK42" s="18">
        <f>IF(CK$1&lt;CapEx!$O$7,0,(IF(CK$3&gt;24,VLOOKUP($B42,Inputs!$F$3:$H$17,3,0)*((1+Inputs!$L$3)^Financials!CK$3),0)))</f>
        <v>23448.091361066021</v>
      </c>
      <c r="CL42" s="18">
        <f>IF(CL$1&lt;CapEx!$O$7,0,(IF(CL$3&gt;24,VLOOKUP($B42,Inputs!$F$3:$H$17,3,0)*((1+Inputs!$L$3)^Financials!CL$3),0)))</f>
        <v>23487.171513334473</v>
      </c>
      <c r="CM42" s="18">
        <f>IF(CM$1&lt;CapEx!$O$7,0,(IF(CM$3&gt;24,VLOOKUP($B42,Inputs!$F$3:$H$17,3,0)*((1+Inputs!$L$3)^Financials!CM$3),0)))</f>
        <v>23526.31679919003</v>
      </c>
      <c r="CN42" s="18">
        <f>IF(CN$1&lt;CapEx!$O$7,0,(IF(CN$3&gt;24,VLOOKUP($B42,Inputs!$F$3:$H$17,3,0)*((1+Inputs!$L$3)^Financials!CN$3),0)))</f>
        <v>23565.52732718868</v>
      </c>
      <c r="CO42" s="18">
        <f>IF(CO$1&lt;CapEx!$O$7,0,(IF(CO$3&gt;24,VLOOKUP($B42,Inputs!$F$3:$H$17,3,0)*((1+Inputs!$L$3)^Financials!CO$3),0)))</f>
        <v>23604.803206067332</v>
      </c>
      <c r="CP42" s="18">
        <f>IF(CP$1&lt;CapEx!$O$7,0,(IF(CP$3&gt;24,VLOOKUP($B42,Inputs!$F$3:$H$17,3,0)*((1+Inputs!$L$3)^Financials!CP$3),0)))</f>
        <v>23644.144544744111</v>
      </c>
      <c r="CQ42" s="18">
        <f>IF(CQ$1&lt;CapEx!$O$7,0,(IF(CQ$3&gt;24,VLOOKUP($B42,Inputs!$F$3:$H$17,3,0)*((1+Inputs!$L$3)^Financials!CQ$3),0)))</f>
        <v>23683.551452318687</v>
      </c>
      <c r="CR42" s="18">
        <f>IF(CR$1&lt;CapEx!$O$7,0,(IF(CR$3&gt;24,VLOOKUP($B42,Inputs!$F$3:$H$17,3,0)*((1+Inputs!$L$3)^Financials!CR$3),0)))</f>
        <v>23723.024038072552</v>
      </c>
      <c r="CS42" s="18">
        <f>IF(CS$1&lt;CapEx!$O$7,0,(IF(CS$3&gt;24,VLOOKUP($B42,Inputs!$F$3:$H$17,3,0)*((1+Inputs!$L$3)^Financials!CS$3),0)))</f>
        <v>23762.562411469338</v>
      </c>
      <c r="CT42" s="18">
        <f>IF(CT$1&lt;CapEx!$O$7,0,(IF(CT$3&gt;24,VLOOKUP($B42,Inputs!$F$3:$H$17,3,0)*((1+Inputs!$L$3)^Financials!CT$3),0)))</f>
        <v>23802.166682155126</v>
      </c>
      <c r="CU42" s="18">
        <f>IF(CU$1&lt;CapEx!$O$7,0,(IF(CU$3&gt;24,VLOOKUP($B42,Inputs!$F$3:$H$17,3,0)*((1+Inputs!$L$3)^Financials!CU$3),0)))</f>
        <v>23841.836959958717</v>
      </c>
      <c r="CV42" s="18">
        <f>IF(CV$1&lt;CapEx!$O$7,0,(IF(CV$3&gt;24,VLOOKUP($B42,Inputs!$F$3:$H$17,3,0)*((1+Inputs!$L$3)^Financials!CV$3),0)))</f>
        <v>23881.573354891982</v>
      </c>
      <c r="CW42" s="18">
        <f>IF(CW$1&lt;CapEx!$O$7,0,(IF(CW$3&gt;24,VLOOKUP($B42,Inputs!$F$3:$H$17,3,0)*((1+Inputs!$L$3)^Financials!CW$3),0)))</f>
        <v>23921.375977150143</v>
      </c>
      <c r="CX42" s="18">
        <f>IF(CX$1&lt;CapEx!$O$7,0,(IF(CX$3&gt;24,VLOOKUP($B42,Inputs!$F$3:$H$17,3,0)*((1+Inputs!$L$3)^Financials!CX$3),0)))</f>
        <v>23961.24493711206</v>
      </c>
      <c r="CY42" s="18">
        <f>IF(CY$1&lt;CapEx!$O$7,0,(IF(CY$3&gt;24,VLOOKUP($B42,Inputs!$F$3:$H$17,3,0)*((1+Inputs!$L$3)^Financials!CY$3),0)))</f>
        <v>24001.180345340585</v>
      </c>
      <c r="CZ42" s="18">
        <f>IF(CZ$1&lt;CapEx!$O$7,0,(IF(CZ$3&gt;24,VLOOKUP($B42,Inputs!$F$3:$H$17,3,0)*((1+Inputs!$L$3)^Financials!CZ$3),0)))</f>
        <v>24041.182312582812</v>
      </c>
      <c r="DA42" s="18">
        <f>IF(DA$1&lt;CapEx!$O$7,0,(IF(DA$3&gt;24,VLOOKUP($B42,Inputs!$F$3:$H$17,3,0)*((1+Inputs!$L$3)^Financials!DA$3),0)))</f>
        <v>24081.25094977046</v>
      </c>
      <c r="DB42" s="18">
        <f>IF(DB$1&lt;CapEx!$O$7,0,(IF(DB$3&gt;24,VLOOKUP($B42,Inputs!$F$3:$H$17,3,0)*((1+Inputs!$L$3)^Financials!DB$3),0)))</f>
        <v>24121.386368020081</v>
      </c>
      <c r="DC42" s="18">
        <f>IF(DC$1&lt;CapEx!$O$7,0,(IF(DC$3&gt;24,VLOOKUP($B42,Inputs!$F$3:$H$17,3,0)*((1+Inputs!$L$3)^Financials!DC$3),0)))</f>
        <v>24161.588678633441</v>
      </c>
      <c r="DD42" s="18">
        <f>IF(DD$1&lt;CapEx!$O$7,0,(IF(DD$3&gt;24,VLOOKUP($B42,Inputs!$F$3:$H$17,3,0)*((1+Inputs!$L$3)^Financials!DD$3),0)))</f>
        <v>24201.85799309783</v>
      </c>
      <c r="DE42" s="18">
        <f>IF(DE$1&lt;CapEx!$O$7,0,(IF(DE$3&gt;24,VLOOKUP($B42,Inputs!$F$3:$H$17,3,0)*((1+Inputs!$L$3)^Financials!DE$3),0)))</f>
        <v>24242.194423086334</v>
      </c>
      <c r="DF42" s="18">
        <f>IF(DF$1&lt;CapEx!$O$7,0,(IF(DF$3&gt;24,VLOOKUP($B42,Inputs!$F$3:$H$17,3,0)*((1+Inputs!$L$3)^Financials!DF$3),0)))</f>
        <v>24282.598080458145</v>
      </c>
      <c r="DG42" s="18">
        <f>IF(DG$1&lt;CapEx!$O$7,0,(IF(DG$3&gt;24,VLOOKUP($B42,Inputs!$F$3:$H$17,3,0)*((1+Inputs!$L$3)^Financials!DG$3),0)))</f>
        <v>24323.069077258915</v>
      </c>
      <c r="DH42" s="18">
        <f>IF(DH$1&lt;CapEx!$O$7,0,(IF(DH$3&gt;24,VLOOKUP($B42,Inputs!$F$3:$H$17,3,0)*((1+Inputs!$L$3)^Financials!DH$3),0)))</f>
        <v>24363.607525721007</v>
      </c>
      <c r="DI42" s="18">
        <f>IF(DI$1&lt;CapEx!$O$7,0,(IF(DI$3&gt;24,VLOOKUP($B42,Inputs!$F$3:$H$17,3,0)*((1+Inputs!$L$3)^Financials!DI$3),0)))</f>
        <v>24404.213538263881</v>
      </c>
      <c r="DJ42" s="18">
        <f>IF(DJ$1&lt;CapEx!$O$7,0,(IF(DJ$3&gt;24,VLOOKUP($B42,Inputs!$F$3:$H$17,3,0)*((1+Inputs!$L$3)^Financials!DJ$3),0)))</f>
        <v>24444.887227494324</v>
      </c>
      <c r="DK42" s="18">
        <f>IF(DK$1&lt;CapEx!$O$7,0,(IF(DK$3&gt;24,VLOOKUP($B42,Inputs!$F$3:$H$17,3,0)*((1+Inputs!$L$3)^Financials!DK$3),0)))</f>
        <v>24485.628706206819</v>
      </c>
      <c r="DL42" s="18">
        <f>IF(DL$1&lt;CapEx!$O$7,0,(IF(DL$3&gt;24,VLOOKUP($B42,Inputs!$F$3:$H$17,3,0)*((1+Inputs!$L$3)^Financials!DL$3),0)))</f>
        <v>24526.438087383827</v>
      </c>
      <c r="DM42" s="18">
        <f>IF(DM$1&lt;CapEx!$O$7,0,(IF(DM$3&gt;24,VLOOKUP($B42,Inputs!$F$3:$H$17,3,0)*((1+Inputs!$L$3)^Financials!DM$3),0)))</f>
        <v>24567.315484196137</v>
      </c>
      <c r="DN42" s="18">
        <f>IF(DN$1&lt;CapEx!$O$7,0,(IF(DN$3&gt;24,VLOOKUP($B42,Inputs!$F$3:$H$17,3,0)*((1+Inputs!$L$3)^Financials!DN$3),0)))</f>
        <v>24608.261010003134</v>
      </c>
      <c r="DO42" s="18">
        <f>IF(DO$1&lt;CapEx!$O$7,0,(IF(DO$3&gt;24,VLOOKUP($B42,Inputs!$F$3:$H$17,3,0)*((1+Inputs!$L$3)^Financials!DO$3),0)))</f>
        <v>24649.274778353138</v>
      </c>
      <c r="DP42" s="18">
        <f>IF(DP$1&lt;CapEx!$O$7,0,(IF(DP$3&gt;24,VLOOKUP($B42,Inputs!$F$3:$H$17,3,0)*((1+Inputs!$L$3)^Financials!DP$3),0)))</f>
        <v>24690.356902983724</v>
      </c>
      <c r="DQ42" s="18">
        <f>IF(DQ$1&lt;CapEx!$O$7,0,(IF(DQ$3&gt;24,VLOOKUP($B42,Inputs!$F$3:$H$17,3,0)*((1+Inputs!$L$3)^Financials!DQ$3),0)))</f>
        <v>24731.507497822036</v>
      </c>
      <c r="DR42" s="18">
        <f>IF(DR$1&lt;CapEx!$O$7,0,(IF(DR$3&gt;24,VLOOKUP($B42,Inputs!$F$3:$H$17,3,0)*((1+Inputs!$L$3)^Financials!DR$3),0)))</f>
        <v>24772.726676985076</v>
      </c>
      <c r="DS42" s="18">
        <f>IF(DS$1&lt;CapEx!$O$7,0,(IF(DS$3&gt;24,VLOOKUP($B42,Inputs!$F$3:$H$17,3,0)*((1+Inputs!$L$3)^Financials!DS$3),0)))</f>
        <v>24814.014554780049</v>
      </c>
      <c r="DT42" s="18">
        <f>IF(DT$1&lt;CapEx!$O$7,0,(IF(DT$3&gt;24,VLOOKUP($B42,Inputs!$F$3:$H$17,3,0)*((1+Inputs!$L$3)^Financials!DT$3),0)))</f>
        <v>24855.371245704682</v>
      </c>
      <c r="DU42" s="18">
        <f>IF(DU$1&lt;CapEx!$O$7,0,(IF(DU$3&gt;24,VLOOKUP($B42,Inputs!$F$3:$H$17,3,0)*((1+Inputs!$L$3)^Financials!DU$3),0)))</f>
        <v>24896.79686444753</v>
      </c>
      <c r="DV42" s="18">
        <f>IF(DV$1&lt;CapEx!$O$7,0,(IF(DV$3&gt;24,VLOOKUP($B42,Inputs!$F$3:$H$17,3,0)*((1+Inputs!$L$3)^Financials!DV$3),0)))</f>
        <v>24938.291525888271</v>
      </c>
      <c r="DW42" s="18">
        <f>IF(DW$1&lt;CapEx!$O$7,0,(IF(DW$3&gt;24,VLOOKUP($B42,Inputs!$F$3:$H$17,3,0)*((1+Inputs!$L$3)^Financials!DW$3),0)))</f>
        <v>24979.855345098091</v>
      </c>
      <c r="DX42" s="18">
        <f>IF(DX$1&lt;CapEx!$O$7,0,(IF(DX$3&gt;24,VLOOKUP($B42,Inputs!$F$3:$H$17,3,0)*((1+Inputs!$L$3)^Financials!DX$3),0)))</f>
        <v>25021.488437339925</v>
      </c>
      <c r="DY42" s="18">
        <f>IF(DY$1&lt;CapEx!$O$7,0,(IF(DY$3&gt;24,VLOOKUP($B42,Inputs!$F$3:$H$17,3,0)*((1+Inputs!$L$3)^Financials!DY$3),0)))</f>
        <v>25063.190918068827</v>
      </c>
      <c r="DZ42" s="18">
        <f>IF(DZ$1&lt;CapEx!$O$7,0,(IF(DZ$3&gt;24,VLOOKUP($B42,Inputs!$F$3:$H$17,3,0)*((1+Inputs!$L$3)^Financials!DZ$3),0)))</f>
        <v>25104.962902932279</v>
      </c>
      <c r="EA42" s="18">
        <f>IF(EA$1&lt;CapEx!$O$7,0,(IF(EA$3&gt;24,VLOOKUP($B42,Inputs!$F$3:$H$17,3,0)*((1+Inputs!$L$3)^Financials!EA$3),0)))</f>
        <v>25146.804507770499</v>
      </c>
      <c r="EB42" s="18">
        <f>IF(EB$1&lt;CapEx!$O$7,0,(IF(EB$3&gt;24,VLOOKUP($B42,Inputs!$F$3:$H$17,3,0)*((1+Inputs!$L$3)^Financials!EB$3),0)))</f>
        <v>25188.715848616783</v>
      </c>
      <c r="EC42" s="18">
        <f>IF(EC$1&lt;CapEx!$O$7,0,(IF(EC$3&gt;24,VLOOKUP($B42,Inputs!$F$3:$H$17,3,0)*((1+Inputs!$L$3)^Financials!EC$3),0)))</f>
        <v>25230.697041697815</v>
      </c>
      <c r="ED42" s="18">
        <f>IF(ED$1&lt;CapEx!$O$7,0,(IF(ED$3&gt;24,VLOOKUP($B42,Inputs!$F$3:$H$17,3,0)*((1+Inputs!$L$3)^Financials!ED$3),0)))</f>
        <v>25272.748203433977</v>
      </c>
      <c r="EE42" s="18">
        <f>IF(EE$1&lt;CapEx!$O$7,0,(IF(EE$3&gt;24,VLOOKUP($B42,Inputs!$F$3:$H$17,3,0)*((1+Inputs!$L$3)^Financials!EE$3),0)))</f>
        <v>25314.869450439706</v>
      </c>
      <c r="EF42" s="18">
        <f>IF(EF$1&lt;CapEx!$O$7,0,(IF(EF$3&gt;24,VLOOKUP($B42,Inputs!$F$3:$H$17,3,0)*((1+Inputs!$L$3)^Financials!EF$3),0)))</f>
        <v>25357.060899523771</v>
      </c>
      <c r="EG42" s="18">
        <f>IF(EG$1&lt;CapEx!$O$7,0,(IF(EG$3&gt;24,VLOOKUP($B42,Inputs!$F$3:$H$17,3,0)*((1+Inputs!$L$3)^Financials!EG$3),0)))</f>
        <v>25399.322667689645</v>
      </c>
      <c r="EH42" s="18">
        <f>IF(EH$1&lt;CapEx!$O$7,0,(IF(EH$3&gt;24,VLOOKUP($B42,Inputs!$F$3:$H$17,3,0)*((1+Inputs!$L$3)^Financials!EH$3),0)))</f>
        <v>25441.654872135801</v>
      </c>
      <c r="EI42" s="18">
        <f>IF(EI$1&lt;CapEx!$O$7,0,(IF(EI$3&gt;24,VLOOKUP($B42,Inputs!$F$3:$H$17,3,0)*((1+Inputs!$L$3)^Financials!EI$3),0)))</f>
        <v>25484.057630256026</v>
      </c>
      <c r="EJ42" s="18">
        <f>IF(EJ$1&lt;CapEx!$O$7,0,(IF(EJ$3&gt;24,VLOOKUP($B42,Inputs!$F$3:$H$17,3,0)*((1+Inputs!$L$3)^Financials!EJ$3),0)))</f>
        <v>25526.531059639787</v>
      </c>
      <c r="EK42" s="18">
        <f>IF(EK$1&lt;CapEx!$O$7,0,(IF(EK$3&gt;24,VLOOKUP($B42,Inputs!$F$3:$H$17,3,0)*((1+Inputs!$L$3)^Financials!EK$3),0)))</f>
        <v>25569.075278072523</v>
      </c>
      <c r="EL42" s="18">
        <f>IF(EL$1&lt;CapEx!$O$7,0,(IF(EL$3&gt;24,VLOOKUP($B42,Inputs!$F$3:$H$17,3,0)*((1+Inputs!$L$3)^Financials!EL$3),0)))</f>
        <v>25611.690403535973</v>
      </c>
      <c r="EM42" s="18">
        <f>IF(EM$1&lt;CapEx!$O$7,0,(IF(EM$3&gt;24,VLOOKUP($B42,Inputs!$F$3:$H$17,3,0)*((1+Inputs!$L$3)^Financials!EM$3),0)))</f>
        <v>25654.376554208542</v>
      </c>
      <c r="EN42" s="18">
        <f>IF(EN$1&lt;CapEx!$O$7,0,(IF(EN$3&gt;24,VLOOKUP($B42,Inputs!$F$3:$H$17,3,0)*((1+Inputs!$L$3)^Financials!EN$3),0)))</f>
        <v>25697.133848465553</v>
      </c>
      <c r="EO42" s="18">
        <f>IF(EO$1&lt;CapEx!$O$7,0,(IF(EO$3&gt;24,VLOOKUP($B42,Inputs!$F$3:$H$17,3,0)*((1+Inputs!$L$3)^Financials!EO$3),0)))</f>
        <v>25739.962404879672</v>
      </c>
      <c r="EP42" s="18">
        <f>IF(EP$1&lt;CapEx!$O$7,0,(IF(EP$3&gt;24,VLOOKUP($B42,Inputs!$F$3:$H$17,3,0)*((1+Inputs!$L$3)^Financials!EP$3),0)))</f>
        <v>25782.862342221139</v>
      </c>
      <c r="EQ42" s="18">
        <f>IF(EQ$1&lt;CapEx!$O$7,0,(IF(EQ$3&gt;24,VLOOKUP($B42,Inputs!$F$3:$H$17,3,0)*((1+Inputs!$L$3)^Financials!EQ$3),0)))</f>
        <v>25825.833779458175</v>
      </c>
      <c r="ER42" s="18">
        <f>IF(ER$1&lt;CapEx!$O$7,0,(IF(ER$3&gt;24,VLOOKUP($B42,Inputs!$F$3:$H$17,3,0)*((1+Inputs!$L$3)^Financials!ER$3),0)))</f>
        <v>25868.87683575727</v>
      </c>
      <c r="ES42" s="18">
        <f>IF(ES$1&lt;CapEx!$O$7,0,(IF(ES$3&gt;24,VLOOKUP($B42,Inputs!$F$3:$H$17,3,0)*((1+Inputs!$L$3)^Financials!ES$3),0)))</f>
        <v>25911.991630483535</v>
      </c>
      <c r="ET42" s="18">
        <f>IF(ET$1&lt;CapEx!$O$7,0,(IF(ET$3&gt;24,VLOOKUP($B42,Inputs!$F$3:$H$17,3,0)*((1+Inputs!$L$3)^Financials!ET$3),0)))</f>
        <v>25955.17828320101</v>
      </c>
      <c r="EU42" s="18">
        <f>IF(EU$1&lt;CapEx!$O$7,0,(IF(EU$3&gt;24,VLOOKUP($B42,Inputs!$F$3:$H$17,3,0)*((1+Inputs!$L$3)^Financials!EU$3),0)))</f>
        <v>25998.436913673009</v>
      </c>
      <c r="EV42" s="18">
        <f>IF(EV$1&lt;CapEx!$O$7,0,(IF(EV$3&gt;24,VLOOKUP($B42,Inputs!$F$3:$H$17,3,0)*((1+Inputs!$L$3)^Financials!EV$3),0)))</f>
        <v>26041.767641862469</v>
      </c>
      <c r="EW42" s="18">
        <f>IF(EW$1&lt;CapEx!$O$7,0,(IF(EW$3&gt;24,VLOOKUP($B42,Inputs!$F$3:$H$17,3,0)*((1+Inputs!$L$3)^Financials!EW$3),0)))</f>
        <v>26085.17058793224</v>
      </c>
      <c r="EX42" s="18">
        <f>IF(EX$1&lt;CapEx!$O$7,0,(IF(EX$3&gt;24,VLOOKUP($B42,Inputs!$F$3:$H$17,3,0)*((1+Inputs!$L$3)^Financials!EX$3),0)))</f>
        <v>26128.645872245466</v>
      </c>
      <c r="EY42" s="18">
        <f>IF(EY$1&lt;CapEx!$O$7,0,(IF(EY$3&gt;24,VLOOKUP($B42,Inputs!$F$3:$H$17,3,0)*((1+Inputs!$L$3)^Financials!EY$3),0)))</f>
        <v>26172.193615365872</v>
      </c>
      <c r="EZ42" s="18">
        <f>IF(EZ$1&lt;CapEx!$O$7,0,(IF(EZ$3&gt;24,VLOOKUP($B42,Inputs!$F$3:$H$17,3,0)*((1+Inputs!$L$3)^Financials!EZ$3),0)))</f>
        <v>26215.813938058152</v>
      </c>
      <c r="FA42" s="18">
        <f>IF(FA$1&lt;CapEx!$O$7,0,(IF(FA$3&gt;24,VLOOKUP($B42,Inputs!$F$3:$H$17,3,0)*((1+Inputs!$L$3)^Financials!FA$3),0)))</f>
        <v>26259.506961288254</v>
      </c>
      <c r="FB42" s="18">
        <f>IF(FB$1&lt;CapEx!$O$7,0,(IF(FB$3&gt;24,VLOOKUP($B42,Inputs!$F$3:$H$17,3,0)*((1+Inputs!$L$3)^Financials!FB$3),0)))</f>
        <v>26303.272806223733</v>
      </c>
      <c r="FC42" s="18">
        <f>IF(FC$1&lt;CapEx!$O$7,0,(IF(FC$3&gt;24,VLOOKUP($B42,Inputs!$F$3:$H$17,3,0)*((1+Inputs!$L$3)^Financials!FC$3),0)))</f>
        <v>26347.111594234106</v>
      </c>
      <c r="FD42" s="18">
        <f>IF(FD$1&lt;CapEx!$O$7,0,(IF(FD$3&gt;24,VLOOKUP($B42,Inputs!$F$3:$H$17,3,0)*((1+Inputs!$L$3)^Financials!FD$3),0)))</f>
        <v>26391.023446891169</v>
      </c>
      <c r="FE42" s="18">
        <f>IF(FE$1&lt;CapEx!$O$7,0,(IF(FE$3&gt;24,VLOOKUP($B42,Inputs!$F$3:$H$17,3,0)*((1+Inputs!$L$3)^Financials!FE$3),0)))</f>
        <v>26435.00848596932</v>
      </c>
      <c r="FF42" s="18">
        <f>IF(FF$1&lt;CapEx!$O$7,0,(IF(FF$3&gt;24,VLOOKUP($B42,Inputs!$F$3:$H$17,3,0)*((1+Inputs!$L$3)^Financials!FF$3),0)))</f>
        <v>26479.066833445941</v>
      </c>
      <c r="FG42" s="18">
        <f>IF(FG$1&lt;CapEx!$O$7,0,(IF(FG$3&gt;24,VLOOKUP($B42,Inputs!$F$3:$H$17,3,0)*((1+Inputs!$L$3)^Financials!FG$3),0)))</f>
        <v>26523.198611501684</v>
      </c>
      <c r="FH42" s="18">
        <f>IF(FH$1&lt;CapEx!$O$7,0,(IF(FH$3&gt;24,VLOOKUP($B42,Inputs!$F$3:$H$17,3,0)*((1+Inputs!$L$3)^Financials!FH$3),0)))</f>
        <v>26567.403942520854</v>
      </c>
      <c r="FI42" s="18">
        <f>IF(FI$1&lt;CapEx!$O$7,0,(IF(FI$3&gt;24,VLOOKUP($B42,Inputs!$F$3:$H$17,3,0)*((1+Inputs!$L$3)^Financials!FI$3),0)))</f>
        <v>26611.682949091726</v>
      </c>
      <c r="FJ42" s="18">
        <f>IF(FJ$1&lt;CapEx!$O$7,0,(IF(FJ$3&gt;24,VLOOKUP($B42,Inputs!$F$3:$H$17,3,0)*((1+Inputs!$L$3)^Financials!FJ$3),0)))</f>
        <v>26656.035754006876</v>
      </c>
      <c r="FK42" s="18">
        <f>IF(FK$1&lt;CapEx!$O$7,0,(IF(FK$3&gt;24,VLOOKUP($B42,Inputs!$F$3:$H$17,3,0)*((1+Inputs!$L$3)^Financials!FK$3),0)))</f>
        <v>26700.462480263563</v>
      </c>
      <c r="FL42" s="18">
        <f>IF(FL$1&lt;CapEx!$O$7,0,(IF(FL$3&gt;24,VLOOKUP($B42,Inputs!$F$3:$H$17,3,0)*((1+Inputs!$L$3)^Financials!FL$3),0)))</f>
        <v>26744.963251063997</v>
      </c>
      <c r="FM42" s="18">
        <f>IF(FM$1&lt;CapEx!$O$7,0,(IF(FM$3&gt;24,VLOOKUP($B42,Inputs!$F$3:$H$17,3,0)*((1+Inputs!$L$3)^Financials!FM$3),0)))</f>
        <v>26789.538189815776</v>
      </c>
      <c r="FN42" s="18">
        <f>IF(FN$1&lt;CapEx!$O$7,0,(IF(FN$3&gt;24,VLOOKUP($B42,Inputs!$F$3:$H$17,3,0)*((1+Inputs!$L$3)^Financials!FN$3),0)))</f>
        <v>26834.187420132141</v>
      </c>
      <c r="FO42" s="18">
        <f>IF(FO$1&lt;CapEx!$O$7,0,(IF(FO$3&gt;24,VLOOKUP($B42,Inputs!$F$3:$H$17,3,0)*((1+Inputs!$L$3)^Financials!FO$3),0)))</f>
        <v>26878.911065832359</v>
      </c>
      <c r="FP42" s="18">
        <f>IF(FP$1&lt;CapEx!$O$7,0,(IF(FP$3&gt;24,VLOOKUP($B42,Inputs!$F$3:$H$17,3,0)*((1+Inputs!$L$3)^Financials!FP$3),0)))</f>
        <v>26923.70925094208</v>
      </c>
      <c r="FQ42" s="18">
        <f>IF(FQ$1&lt;CapEx!$O$7,0,(IF(FQ$3&gt;24,VLOOKUP($B42,Inputs!$F$3:$H$17,3,0)*((1+Inputs!$L$3)^Financials!FQ$3),0)))</f>
        <v>26968.582099693656</v>
      </c>
      <c r="FR42" s="18">
        <f>IF(FR$1&lt;CapEx!$O$7,0,(IF(FR$3&gt;24,VLOOKUP($B42,Inputs!$F$3:$H$17,3,0)*((1+Inputs!$L$3)^Financials!FR$3),0)))</f>
        <v>27013.529736526478</v>
      </c>
      <c r="FS42" s="18">
        <f>IF(FS$1&lt;CapEx!$O$7,0,(IF(FS$3&gt;24,VLOOKUP($B42,Inputs!$F$3:$H$17,3,0)*((1+Inputs!$L$3)^Financials!FS$3),0)))</f>
        <v>27058.552286087361</v>
      </c>
      <c r="FT42" s="18">
        <f>IF(FT$1&lt;CapEx!$O$7,0,(IF(FT$3&gt;24,VLOOKUP($B42,Inputs!$F$3:$H$17,3,0)*((1+Inputs!$L$3)^Financials!FT$3),0)))</f>
        <v>27103.649873230836</v>
      </c>
      <c r="FU42" s="18">
        <f>IF(FU$1&lt;CapEx!$O$7,0,(IF(FU$3&gt;24,VLOOKUP($B42,Inputs!$F$3:$H$17,3,0)*((1+Inputs!$L$3)^Financials!FU$3),0)))</f>
        <v>27148.822623019558</v>
      </c>
      <c r="FV42" s="18">
        <f>IF(FV$1&lt;CapEx!$O$7,0,(IF(FV$3&gt;24,VLOOKUP($B42,Inputs!$F$3:$H$17,3,0)*((1+Inputs!$L$3)^Financials!FV$3),0)))</f>
        <v>27194.070660724596</v>
      </c>
      <c r="FW42" s="18">
        <f>IF(FW$1&lt;CapEx!$O$7,0,(IF(FW$3&gt;24,VLOOKUP($B42,Inputs!$F$3:$H$17,3,0)*((1+Inputs!$L$3)^Financials!FW$3),0)))</f>
        <v>27239.394111825808</v>
      </c>
      <c r="FX42" s="18">
        <f>IF(FX$1&lt;CapEx!$O$7,0,(IF(FX$3&gt;24,VLOOKUP($B42,Inputs!$F$3:$H$17,3,0)*((1+Inputs!$L$3)^Financials!FX$3),0)))</f>
        <v>27284.79310201218</v>
      </c>
      <c r="FY42" s="18">
        <f>IF(FY$1&lt;CapEx!$O$7,0,(IF(FY$3&gt;24,VLOOKUP($B42,Inputs!$F$3:$H$17,3,0)*((1+Inputs!$L$3)^Financials!FY$3),0)))</f>
        <v>27330.267757182206</v>
      </c>
      <c r="FZ42" s="18">
        <f>IF(FZ$1&lt;CapEx!$O$7,0,(IF(FZ$3&gt;24,VLOOKUP($B42,Inputs!$F$3:$H$17,3,0)*((1+Inputs!$L$3)^Financials!FZ$3),0)))</f>
        <v>27375.818203444178</v>
      </c>
      <c r="GA42" s="18">
        <f>IF(GA$1&lt;CapEx!$O$7,0,(IF(GA$3&gt;24,VLOOKUP($B42,Inputs!$F$3:$H$17,3,0)*((1+Inputs!$L$3)^Financials!GA$3),0)))</f>
        <v>27421.444567116585</v>
      </c>
      <c r="GB42" s="18">
        <f>IF(GB$1&lt;CapEx!$O$7,0,(IF(GB$3&gt;24,VLOOKUP($B42,Inputs!$F$3:$H$17,3,0)*((1+Inputs!$L$3)^Financials!GB$3),0)))</f>
        <v>27467.146974728446</v>
      </c>
      <c r="GC42" s="18">
        <f>IF(GC$1&lt;CapEx!$O$7,0,(IF(GC$3&gt;24,VLOOKUP($B42,Inputs!$F$3:$H$17,3,0)*((1+Inputs!$L$3)^Financials!GC$3),0)))</f>
        <v>27512.925553019664</v>
      </c>
      <c r="GD42" s="18">
        <f>IF(GD$1&lt;CapEx!$O$7,0,(IF(GD$3&gt;24,VLOOKUP($B42,Inputs!$F$3:$H$17,3,0)*((1+Inputs!$L$3)^Financials!GD$3),0)))</f>
        <v>27558.780428941373</v>
      </c>
      <c r="GE42" s="18">
        <f>IF(GE$1&lt;CapEx!$O$7,0,(IF(GE$3&gt;24,VLOOKUP($B42,Inputs!$F$3:$H$17,3,0)*((1+Inputs!$L$3)^Financials!GE$3),0)))</f>
        <v>27604.711729656268</v>
      </c>
      <c r="GF42" s="18">
        <f>IF(GF$1&lt;CapEx!$O$7,0,(IF(GF$3&gt;24,VLOOKUP($B42,Inputs!$F$3:$H$17,3,0)*((1+Inputs!$L$3)^Financials!GF$3),0)))</f>
        <v>27650.71958253903</v>
      </c>
      <c r="GG42" s="18">
        <f>IF(GG$1&lt;CapEx!$O$7,0,(IF(GG$3&gt;24,VLOOKUP($B42,Inputs!$F$3:$H$17,3,0)*((1+Inputs!$L$3)^Financials!GG$3),0)))</f>
        <v>27696.804115176597</v>
      </c>
      <c r="GH42" s="18">
        <f>IF(GH$1&lt;CapEx!$O$7,0,(IF(GH$3&gt;24,VLOOKUP($B42,Inputs!$F$3:$H$17,3,0)*((1+Inputs!$L$3)^Financials!GH$3),0)))</f>
        <v>27742.965455368561</v>
      </c>
      <c r="GI42" s="18">
        <f>IF(GI$1&lt;CapEx!$O$7,0,(IF(GI$3&gt;24,VLOOKUP($B42,Inputs!$F$3:$H$17,3,0)*((1+Inputs!$L$3)^Financials!GI$3),0)))</f>
        <v>27789.203731127513</v>
      </c>
      <c r="GJ42" s="18">
        <f>IF(GJ$1&lt;CapEx!$O$7,0,(IF(GJ$3&gt;24,VLOOKUP($B42,Inputs!$F$3:$H$17,3,0)*((1+Inputs!$L$3)^Financials!GJ$3),0)))</f>
        <v>27835.519070679391</v>
      </c>
      <c r="GK42" s="18">
        <f>IF(GK$1&lt;CapEx!$O$7,0,(IF(GK$3&gt;24,VLOOKUP($B42,Inputs!$F$3:$H$17,3,0)*((1+Inputs!$L$3)^Financials!GK$3),0)))</f>
        <v>27881.911602463861</v>
      </c>
      <c r="GL42" s="18">
        <f>IF(GL$1&lt;CapEx!$O$7,0,(IF(GL$3&gt;24,VLOOKUP($B42,Inputs!$F$3:$H$17,3,0)*((1+Inputs!$L$3)^Financials!GL$3),0)))</f>
        <v>27928.38145513464</v>
      </c>
      <c r="GM42" s="18">
        <f>IF(GM$1&lt;CapEx!$O$7,0,(IF(GM$3&gt;24,VLOOKUP($B42,Inputs!$F$3:$H$17,3,0)*((1+Inputs!$L$3)^Financials!GM$3),0)))</f>
        <v>27974.928757559861</v>
      </c>
      <c r="GN42" s="18">
        <f>IF(GN$1&lt;CapEx!$O$7,0,(IF(GN$3&gt;24,VLOOKUP($B42,Inputs!$F$3:$H$17,3,0)*((1+Inputs!$L$3)^Financials!GN$3),0)))</f>
        <v>28021.553638822461</v>
      </c>
      <c r="GO42" s="18">
        <f>IF(GO$1&lt;CapEx!$O$7,0,(IF(GO$3&gt;24,VLOOKUP($B42,Inputs!$F$3:$H$17,3,0)*((1+Inputs!$L$3)^Financials!GO$3),0)))</f>
        <v>28068.256228220507</v>
      </c>
      <c r="GP42" s="18">
        <f>IF(GP$1&lt;CapEx!$O$7,0,(IF(GP$3&gt;24,VLOOKUP($B42,Inputs!$F$3:$H$17,3,0)*((1+Inputs!$L$3)^Financials!GP$3),0)))</f>
        <v>28115.036655267537</v>
      </c>
      <c r="GQ42" s="18">
        <f>IF(GQ$1&lt;CapEx!$O$7,0,(IF(GQ$3&gt;24,VLOOKUP($B42,Inputs!$F$3:$H$17,3,0)*((1+Inputs!$L$3)^Financials!GQ$3),0)))</f>
        <v>28161.895049692987</v>
      </c>
      <c r="GR42" s="18">
        <f>IF(GR$1&lt;CapEx!$O$7,0,(IF(GR$3&gt;24,VLOOKUP($B42,Inputs!$F$3:$H$17,3,0)*((1+Inputs!$L$3)^Financials!GR$3),0)))</f>
        <v>28208.831541442476</v>
      </c>
      <c r="GS42" s="18">
        <f>IF(GS$1&lt;CapEx!$O$7,0,(IF(GS$3&gt;24,VLOOKUP($B42,Inputs!$F$3:$H$17,3,0)*((1+Inputs!$L$3)^Financials!GS$3),0)))</f>
        <v>28255.846260678216</v>
      </c>
      <c r="GT42" s="18">
        <f>IF(GT$1&lt;CapEx!$O$7,0,(IF(GT$3&gt;24,VLOOKUP($B42,Inputs!$F$3:$H$17,3,0)*((1+Inputs!$L$3)^Financials!GT$3),0)))</f>
        <v>28302.939337779353</v>
      </c>
      <c r="GU42" s="18">
        <f>IF(GU$1&lt;CapEx!$O$7,0,(IF(GU$3&gt;24,VLOOKUP($B42,Inputs!$F$3:$H$17,3,0)*((1+Inputs!$L$3)^Financials!GU$3),0)))</f>
        <v>28350.110903342313</v>
      </c>
      <c r="GV42" s="18">
        <f>IF(GV$1&lt;CapEx!$O$7,0,(IF(GV$3&gt;24,VLOOKUP($B42,Inputs!$F$3:$H$17,3,0)*((1+Inputs!$L$3)^Financials!GV$3),0)))</f>
        <v>28397.36108818122</v>
      </c>
      <c r="GW42" s="18">
        <f>IF(GW$1&lt;CapEx!$O$7,0,(IF(GW$3&gt;24,VLOOKUP($B42,Inputs!$F$3:$H$17,3,0)*((1+Inputs!$L$3)^Financials!GW$3),0)))</f>
        <v>28444.690023328189</v>
      </c>
      <c r="GX42" s="18">
        <f>IF(GX$1&lt;CapEx!$O$7,0,(IF(GX$3&gt;24,VLOOKUP($B42,Inputs!$F$3:$H$17,3,0)*((1+Inputs!$L$3)^Financials!GX$3),0)))</f>
        <v>28492.097840033737</v>
      </c>
      <c r="GY42" s="18">
        <f>IF(GY$1&lt;CapEx!$O$7,0,(IF(GY$3&gt;24,VLOOKUP($B42,Inputs!$F$3:$H$17,3,0)*((1+Inputs!$L$3)^Financials!GY$3),0)))</f>
        <v>28539.58466976713</v>
      </c>
      <c r="GZ42" s="18">
        <f>IF(GZ$1&lt;CapEx!$O$7,0,(IF(GZ$3&gt;24,VLOOKUP($B42,Inputs!$F$3:$H$17,3,0)*((1+Inputs!$L$3)^Financials!GZ$3),0)))</f>
        <v>28587.150644216745</v>
      </c>
      <c r="HA42" s="18">
        <f>IF(HA$1&lt;CapEx!$O$7,0,(IF(HA$3&gt;24,VLOOKUP($B42,Inputs!$F$3:$H$17,3,0)*((1+Inputs!$L$3)^Financials!HA$3),0)))</f>
        <v>28634.795895290448</v>
      </c>
      <c r="HB42" s="18">
        <f>IF(HB$1&lt;CapEx!$O$7,0,(IF(HB$3&gt;24,VLOOKUP($B42,Inputs!$F$3:$H$17,3,0)*((1+Inputs!$L$3)^Financials!HB$3),0)))</f>
        <v>28682.520555115931</v>
      </c>
      <c r="HC42" s="18">
        <f>IF(HC$1&lt;CapEx!$O$7,0,(IF(HC$3&gt;24,VLOOKUP($B42,Inputs!$F$3:$H$17,3,0)*((1+Inputs!$L$3)^Financials!HC$3),0)))</f>
        <v>28730.324756041129</v>
      </c>
      <c r="HD42" s="18">
        <f>IF(HD$1&lt;CapEx!$O$7,0,(IF(HD$3&gt;24,VLOOKUP($B42,Inputs!$F$3:$H$17,3,0)*((1+Inputs!$L$3)^Financials!HD$3),0)))</f>
        <v>28778.20863063453</v>
      </c>
      <c r="HE42" s="18">
        <f>IF(HE$1&lt;CapEx!$O$7,0,(IF(HE$3&gt;24,VLOOKUP($B42,Inputs!$F$3:$H$17,3,0)*((1+Inputs!$L$3)^Financials!HE$3),0)))</f>
        <v>28826.17231168559</v>
      </c>
      <c r="HF42" s="18">
        <f>IF(HF$1&lt;CapEx!$O$7,0,(IF(HF$3&gt;24,VLOOKUP($B42,Inputs!$F$3:$H$17,3,0)*((1+Inputs!$L$3)^Financials!HF$3),0)))</f>
        <v>28874.215932205065</v>
      </c>
      <c r="HG42" s="18">
        <f>IF(HG$1&lt;CapEx!$O$7,0,(IF(HG$3&gt;24,VLOOKUP($B42,Inputs!$F$3:$H$17,3,0)*((1+Inputs!$L$3)^Financials!HG$3),0)))</f>
        <v>28922.339625425404</v>
      </c>
      <c r="HH42" s="18">
        <f>IF(HH$1&lt;CapEx!$O$7,0,(IF(HH$3&gt;24,VLOOKUP($B42,Inputs!$F$3:$H$17,3,0)*((1+Inputs!$L$3)^Financials!HH$3),0)))</f>
        <v>28970.543524801113</v>
      </c>
      <c r="HI42" s="18">
        <f>IF(HI$1&lt;CapEx!$O$7,0,(IF(HI$3&gt;24,VLOOKUP($B42,Inputs!$F$3:$H$17,3,0)*((1+Inputs!$L$3)^Financials!HI$3),0)))</f>
        <v>29018.827764009118</v>
      </c>
      <c r="HJ42" s="18">
        <f>IF(HJ$1&lt;CapEx!$O$7,0,(IF(HJ$3&gt;24,VLOOKUP($B42,Inputs!$F$3:$H$17,3,0)*((1+Inputs!$L$3)^Financials!HJ$3),0)))</f>
        <v>29067.192476949142</v>
      </c>
      <c r="HK42" s="18">
        <f>IF(HK$1&lt;CapEx!$O$7,0,(IF(HK$3&gt;24,VLOOKUP($B42,Inputs!$F$3:$H$17,3,0)*((1+Inputs!$L$3)^Financials!HK$3),0)))</f>
        <v>29115.637797744053</v>
      </c>
      <c r="HL42" s="18">
        <f>IF(HL$1&lt;CapEx!$O$7,0,(IF(HL$3&gt;24,VLOOKUP($B42,Inputs!$F$3:$H$17,3,0)*((1+Inputs!$L$3)^Financials!HL$3),0)))</f>
        <v>29164.1638607403</v>
      </c>
      <c r="HM42" s="18">
        <f>IF(HM$1&lt;CapEx!$O$7,0,(IF(HM$3&gt;24,VLOOKUP($B42,Inputs!$F$3:$H$17,3,0)*((1+Inputs!$L$3)^Financials!HM$3),0)))</f>
        <v>29212.770800508202</v>
      </c>
      <c r="HN42" s="18">
        <f>IF(HN$1&lt;CapEx!$O$7,0,(IF(HN$3&gt;24,VLOOKUP($B42,Inputs!$F$3:$H$17,3,0)*((1+Inputs!$L$3)^Financials!HN$3),0)))</f>
        <v>29261.458751842383</v>
      </c>
      <c r="HO42" s="18">
        <f>IF(HO$1&lt;CapEx!$O$7,0,(IF(HO$3&gt;24,VLOOKUP($B42,Inputs!$F$3:$H$17,3,0)*((1+Inputs!$L$3)^Financials!HO$3),0)))</f>
        <v>29310.227849762123</v>
      </c>
      <c r="HP42" s="18">
        <f>IF(HP$1&lt;CapEx!$O$7,0,(IF(HP$3&gt;24,VLOOKUP($B42,Inputs!$F$3:$H$17,3,0)*((1+Inputs!$L$3)^Financials!HP$3),0)))</f>
        <v>29359.078229511728</v>
      </c>
      <c r="HQ42" s="18">
        <f>IF(HQ$1&lt;CapEx!$O$7,0,(IF(HQ$3&gt;24,VLOOKUP($B42,Inputs!$F$3:$H$17,3,0)*((1+Inputs!$L$3)^Financials!HQ$3),0)))</f>
        <v>29408.010026560911</v>
      </c>
      <c r="HR42" s="18">
        <f>IF(HR$1&lt;CapEx!$O$7,0,(IF(HR$3&gt;24,VLOOKUP($B42,Inputs!$F$3:$H$17,3,0)*((1+Inputs!$L$3)^Financials!HR$3),0)))</f>
        <v>29457.02337660519</v>
      </c>
      <c r="HS42" s="18">
        <f>IF(HS$1&lt;CapEx!$O$7,0,(IF(HS$3&gt;24,VLOOKUP($B42,Inputs!$F$3:$H$17,3,0)*((1+Inputs!$L$3)^Financials!HS$3),0)))</f>
        <v>29506.118415566198</v>
      </c>
      <c r="HT42" s="18">
        <f>IF(HT$1&lt;CapEx!$O$7,0,(IF(HT$3&gt;24,VLOOKUP($B42,Inputs!$F$3:$H$17,3,0)*((1+Inputs!$L$3)^Financials!HT$3),0)))</f>
        <v>29555.295279592141</v>
      </c>
      <c r="HU42" s="18">
        <f>IF(HU$1&lt;CapEx!$O$7,0,(IF(HU$3&gt;24,VLOOKUP($B42,Inputs!$F$3:$H$17,3,0)*((1+Inputs!$L$3)^Financials!HU$3),0)))</f>
        <v>29604.554105058131</v>
      </c>
      <c r="HV42" s="18">
        <f>IF(HV$1&lt;CapEx!$O$7,0,(IF(HV$3&gt;24,VLOOKUP($B42,Inputs!$F$3:$H$17,3,0)*((1+Inputs!$L$3)^Financials!HV$3),0)))</f>
        <v>29653.895028566567</v>
      </c>
      <c r="HW42" s="18">
        <f>IF(HW$1&lt;CapEx!$O$7,0,(IF(HW$3&gt;24,VLOOKUP($B42,Inputs!$F$3:$H$17,3,0)*((1+Inputs!$L$3)^Financials!HW$3),0)))</f>
        <v>29703.318186947519</v>
      </c>
      <c r="HX42" s="18">
        <f>IF(HX$1&lt;CapEx!$O$7,0,(IF(HX$3&gt;24,VLOOKUP($B42,Inputs!$F$3:$H$17,3,0)*((1+Inputs!$L$3)^Financials!HX$3),0)))</f>
        <v>29752.823717259089</v>
      </c>
      <c r="HY42" s="18">
        <f>IF(HY$1&lt;CapEx!$O$7,0,(IF(HY$3&gt;24,VLOOKUP($B42,Inputs!$F$3:$H$17,3,0)*((1+Inputs!$L$3)^Financials!HY$3),0)))</f>
        <v>29802.411756787864</v>
      </c>
      <c r="HZ42" s="18">
        <f>IF(HZ$1&lt;CapEx!$O$7,0,(IF(HZ$3&gt;24,VLOOKUP($B42,Inputs!$F$3:$H$17,3,0)*((1+Inputs!$L$3)^Financials!HZ$3),0)))</f>
        <v>29852.082443049181</v>
      </c>
      <c r="IA42" s="18">
        <f>IF(IA$1&lt;CapEx!$O$7,0,(IF(IA$3&gt;24,VLOOKUP($B42,Inputs!$F$3:$H$17,3,0)*((1+Inputs!$L$3)^Financials!IA$3),0)))</f>
        <v>29901.835913787592</v>
      </c>
      <c r="IB42" s="18">
        <f>IF(IB$1&lt;CapEx!$O$7,0,(IF(IB$3&gt;24,VLOOKUP($B42,Inputs!$F$3:$H$17,3,0)*((1+Inputs!$L$3)^Financials!IB$3),0)))</f>
        <v>29951.672306977238</v>
      </c>
      <c r="IC42" s="18">
        <f>IF(IC$1&lt;CapEx!$O$7,0,(IF(IC$3&gt;24,VLOOKUP($B42,Inputs!$F$3:$H$17,3,0)*((1+Inputs!$L$3)^Financials!IC$3),0)))</f>
        <v>30001.591760822204</v>
      </c>
      <c r="ID42" s="18">
        <f>IF(ID$1&lt;CapEx!$O$7,0,(IF(ID$3&gt;24,VLOOKUP($B42,Inputs!$F$3:$H$17,3,0)*((1+Inputs!$L$3)^Financials!ID$3),0)))</f>
        <v>30051.594413756913</v>
      </c>
      <c r="IE42" s="18">
        <f>IF(IE$1&lt;CapEx!$O$7,0,(IF(IE$3&gt;24,VLOOKUP($B42,Inputs!$F$3:$H$17,3,0)*((1+Inputs!$L$3)^Financials!IE$3),0)))</f>
        <v>30101.680404446513</v>
      </c>
      <c r="IF42" s="18">
        <f>IF(IF$1&lt;CapEx!$O$7,0,(IF(IF$3&gt;24,VLOOKUP($B42,Inputs!$F$3:$H$17,3,0)*((1+Inputs!$L$3)^Financials!IF$3),0)))</f>
        <v>30151.84987178725</v>
      </c>
      <c r="IG42" s="18">
        <f>IF(IG$1&lt;CapEx!$O$7,0,(IF(IG$3&gt;24,VLOOKUP($B42,Inputs!$F$3:$H$17,3,0)*((1+Inputs!$L$3)^Financials!IG$3),0)))</f>
        <v>30202.102954906903</v>
      </c>
      <c r="IH42" s="18">
        <f>IF(IH$1&lt;CapEx!$O$7,0,(IF(IH$3&gt;24,VLOOKUP($B42,Inputs!$F$3:$H$17,3,0)*((1+Inputs!$L$3)^Financials!IH$3),0)))</f>
        <v>30252.439793165089</v>
      </c>
      <c r="II42" s="18">
        <f>IF(II$1&lt;CapEx!$O$7,0,(IF(II$3&gt;24,VLOOKUP($B42,Inputs!$F$3:$H$17,3,0)*((1+Inputs!$L$3)^Financials!II$3),0)))</f>
        <v>30302.860526153698</v>
      </c>
      <c r="IJ42" s="18">
        <f>IF(IJ$1&lt;CapEx!$O$7,0,(IF(IJ$3&gt;24,VLOOKUP($B42,Inputs!$F$3:$H$17,3,0)*((1+Inputs!$L$3)^Financials!IJ$3),0)))</f>
        <v>30353.365293697283</v>
      </c>
      <c r="IK42" s="18">
        <f>IF(IK$1&lt;CapEx!$O$7,0,(IF(IK$3&gt;24,VLOOKUP($B42,Inputs!$F$3:$H$17,3,0)*((1+Inputs!$L$3)^Financials!IK$3),0)))</f>
        <v>30403.954235853453</v>
      </c>
      <c r="IL42" s="18">
        <f>IF(IL$1&lt;CapEx!$O$7,0,(IF(IL$3&gt;24,VLOOKUP($B42,Inputs!$F$3:$H$17,3,0)*((1+Inputs!$L$3)^Financials!IL$3),0)))</f>
        <v>30454.627492913205</v>
      </c>
      <c r="IM42" s="18">
        <f>IF(IM$1&lt;CapEx!$O$7,0,(IF(IM$3&gt;24,VLOOKUP($B42,Inputs!$F$3:$H$17,3,0)*((1+Inputs!$L$3)^Financials!IM$3),0)))</f>
        <v>30505.385205401399</v>
      </c>
      <c r="IN42" s="18">
        <f>IF(IN$1&lt;CapEx!$O$7,0,(IF(IN$3&gt;24,VLOOKUP($B42,Inputs!$F$3:$H$17,3,0)*((1+Inputs!$L$3)^Financials!IN$3),0)))</f>
        <v>30556.227514077062</v>
      </c>
      <c r="IO42" s="18">
        <f>IF(IO$1&lt;CapEx!$O$7,0,(IF(IO$3&gt;24,VLOOKUP($B42,Inputs!$F$3:$H$17,3,0)*((1+Inputs!$L$3)^Financials!IO$3),0)))</f>
        <v>30607.154559933868</v>
      </c>
      <c r="IP42" s="18">
        <f>IF(IP$1&lt;CapEx!$O$7,0,(IF(IP$3&gt;24,VLOOKUP($B42,Inputs!$F$3:$H$17,3,0)*((1+Inputs!$L$3)^Financials!IP$3),0)))</f>
        <v>30658.166484200428</v>
      </c>
      <c r="IQ42" s="18">
        <f>IF(IQ$1&lt;CapEx!$O$7,0,(IF(IQ$3&gt;24,VLOOKUP($B42,Inputs!$F$3:$H$17,3,0)*((1+Inputs!$L$3)^Financials!IQ$3),0)))</f>
        <v>30709.263428340753</v>
      </c>
      <c r="IR42" s="18">
        <f>IF(IR$1&lt;CapEx!$O$7,0,(IF(IR$3&gt;24,VLOOKUP($B42,Inputs!$F$3:$H$17,3,0)*((1+Inputs!$L$3)^Financials!IR$3),0)))</f>
        <v>30760.445534054656</v>
      </c>
      <c r="IS42" s="18">
        <f>IF(IS$1&lt;CapEx!$O$7,0,(IF(IS$3&gt;24,VLOOKUP($B42,Inputs!$F$3:$H$17,3,0)*((1+Inputs!$L$3)^Financials!IS$3),0)))</f>
        <v>30811.712943278089</v>
      </c>
      <c r="IT42" s="18">
        <f>IF(IT$1&lt;CapEx!$O$7,0,(IF(IT$3&gt;24,VLOOKUP($B42,Inputs!$F$3:$H$17,3,0)*((1+Inputs!$L$3)^Financials!IT$3),0)))</f>
        <v>30863.06579818355</v>
      </c>
      <c r="IU42" s="18">
        <f>IF(IU$1&lt;CapEx!$O$7,0,(IF(IU$3&gt;24,VLOOKUP($B42,Inputs!$F$3:$H$17,3,0)*((1+Inputs!$L$3)^Financials!IU$3),0)))</f>
        <v>30914.504241180533</v>
      </c>
      <c r="IV42" s="18">
        <f>IF(IV$1&lt;CapEx!$O$7,0,(IF(IV$3&gt;24,VLOOKUP($B42,Inputs!$F$3:$H$17,3,0)*((1+Inputs!$L$3)^Financials!IV$3),0)))</f>
        <v>30966.028414915832</v>
      </c>
      <c r="IW42" s="18">
        <f>IF(IW$1&lt;CapEx!$O$7,0,(IF(IW$3&gt;24,VLOOKUP($B42,Inputs!$F$3:$H$17,3,0)*((1+Inputs!$L$3)^Financials!IW$3),0)))</f>
        <v>31017.638462274026</v>
      </c>
      <c r="IX42" s="18">
        <f>IF(IX$1&lt;CapEx!$O$7,0,(IF(IX$3&gt;24,VLOOKUP($B42,Inputs!$F$3:$H$17,3,0)*((1+Inputs!$L$3)^Financials!IX$3),0)))</f>
        <v>31069.334526377825</v>
      </c>
      <c r="IY42" s="18">
        <f>IF(IY$1&lt;CapEx!$O$7,0,(IF(IY$3&gt;24,VLOOKUP($B42,Inputs!$F$3:$H$17,3,0)*((1+Inputs!$L$3)^Financials!IY$3),0)))</f>
        <v>31121.116750588455</v>
      </c>
      <c r="IZ42" s="18">
        <f>IF(IZ$1&lt;CapEx!$O$7,0,(IF(IZ$3&gt;24,VLOOKUP($B42,Inputs!$F$3:$H$17,3,0)*((1+Inputs!$L$3)^Financials!IZ$3),0)))</f>
        <v>31172.985278506101</v>
      </c>
      <c r="JA42" s="18">
        <f>IF(JA$1&lt;CapEx!$O$7,0,(IF(JA$3&gt;24,VLOOKUP($B42,Inputs!$F$3:$H$17,3,0)*((1+Inputs!$L$3)^Financials!JA$3),0)))</f>
        <v>31224.940253970286</v>
      </c>
      <c r="JB42" s="18">
        <f>IF(JB$1&lt;CapEx!$O$7,0,(IF(JB$3&gt;24,VLOOKUP($B42,Inputs!$F$3:$H$17,3,0)*((1+Inputs!$L$3)^Financials!JB$3),0)))</f>
        <v>31276.981821060235</v>
      </c>
      <c r="JC42" s="18">
        <f>IF(JC$1&lt;CapEx!$O$7,0,(IF(JC$3&gt;24,VLOOKUP($B42,Inputs!$F$3:$H$17,3,0)*((1+Inputs!$L$3)^Financials!JC$3),0)))</f>
        <v>31329.110124095343</v>
      </c>
      <c r="JD42" s="18">
        <f>IF(JD$1&lt;CapEx!$O$7,0,(IF(JD$3&gt;24,VLOOKUP($B42,Inputs!$F$3:$H$17,3,0)*((1+Inputs!$L$3)^Financials!JD$3),0)))</f>
        <v>31381.325307635496</v>
      </c>
      <c r="JE42" s="18">
        <f>IF(JE$1&lt;CapEx!$O$7,0,(IF(JE$3&gt;24,VLOOKUP($B42,Inputs!$F$3:$H$17,3,0)*((1+Inputs!$L$3)^Financials!JE$3),0)))</f>
        <v>31433.627516481556</v>
      </c>
      <c r="JF42" s="18">
        <f>IF(JF$1&lt;CapEx!$O$7,0,(IF(JF$3&gt;24,VLOOKUP($B42,Inputs!$F$3:$H$17,3,0)*((1+Inputs!$L$3)^Financials!JF$3),0)))</f>
        <v>31486.016895675701</v>
      </c>
      <c r="JG42" s="18">
        <f>IF(JG$1&lt;CapEx!$O$7,0,(IF(JG$3&gt;24,VLOOKUP($B42,Inputs!$F$3:$H$17,3,0)*((1+Inputs!$L$3)^Financials!JG$3),0)))</f>
        <v>31538.493590501828</v>
      </c>
      <c r="JH42" s="18">
        <f>IF(JH$1&lt;CapEx!$O$7,0,(IF(JH$3&gt;24,VLOOKUP($B42,Inputs!$F$3:$H$17,3,0)*((1+Inputs!$L$3)^Financials!JH$3),0)))</f>
        <v>31591.057746485996</v>
      </c>
      <c r="JI42" s="18">
        <f>IF(JI$1&lt;CapEx!$O$7,0,(IF(JI$3&gt;24,VLOOKUP($B42,Inputs!$F$3:$H$17,3,0)*((1+Inputs!$L$3)^Financials!JI$3),0)))</f>
        <v>31643.709509396813</v>
      </c>
      <c r="JJ42" s="18">
        <f>IF(JJ$1&lt;CapEx!$O$7,0,(IF(JJ$3&gt;24,VLOOKUP($B42,Inputs!$F$3:$H$17,3,0)*((1+Inputs!$L$3)^Financials!JJ$3),0)))</f>
        <v>31696.449025245802</v>
      </c>
      <c r="JK42" s="18">
        <f>IF(JK$1&lt;CapEx!$O$7,0,(IF(JK$3&gt;24,VLOOKUP($B42,Inputs!$F$3:$H$17,3,0)*((1+Inputs!$L$3)^Financials!JK$3),0)))</f>
        <v>31749.276440287886</v>
      </c>
      <c r="JL42" s="18">
        <f>IF(JL$1&lt;CapEx!$O$7,0,(IF(JL$3&gt;24,VLOOKUP($B42,Inputs!$F$3:$H$17,3,0)*((1+Inputs!$L$3)^Financials!JL$3),0)))</f>
        <v>31802.191901021699</v>
      </c>
      <c r="JM42" s="18">
        <f>IF(JM$1&lt;CapEx!$O$7,0,(IF(JM$3&gt;24,VLOOKUP($B42,Inputs!$F$3:$H$17,3,0)*((1+Inputs!$L$3)^Financials!JM$3),0)))</f>
        <v>31855.195554190075</v>
      </c>
      <c r="JN42" s="18">
        <f>IF(JN$1&lt;CapEx!$O$7,0,(IF(JN$3&gt;24,VLOOKUP($B42,Inputs!$F$3:$H$17,3,0)*((1+Inputs!$L$3)^Financials!JN$3),0)))</f>
        <v>31908.287546780393</v>
      </c>
      <c r="JO42" s="18">
        <f>IF(JO$1&lt;CapEx!$O$7,0,(IF(JO$3&gt;24,VLOOKUP($B42,Inputs!$F$3:$H$17,3,0)*((1+Inputs!$L$3)^Financials!JO$3),0)))</f>
        <v>31961.468026025028</v>
      </c>
      <c r="JP42" s="18">
        <f>IF(JP$1&lt;CapEx!$O$7,0,(IF(JP$3&gt;24,VLOOKUP($B42,Inputs!$F$3:$H$17,3,0)*((1+Inputs!$L$3)^Financials!JP$3),0)))</f>
        <v>32014.737139401739</v>
      </c>
      <c r="JQ42" s="18">
        <f>IF(JQ$1&lt;CapEx!$O$7,0,(IF(JQ$3&gt;24,VLOOKUP($B42,Inputs!$F$3:$H$17,3,0)*((1+Inputs!$L$3)^Financials!JQ$3),0)))</f>
        <v>32068.095034634076</v>
      </c>
      <c r="JR42" s="18">
        <f>IF(JR$1&lt;CapEx!$O$7,0,(IF(JR$3&gt;24,VLOOKUP($B42,Inputs!$F$3:$H$17,3,0)*((1+Inputs!$L$3)^Financials!JR$3),0)))</f>
        <v>32121.541859691806</v>
      </c>
    </row>
    <row r="43" spans="2:278" x14ac:dyDescent="0.2">
      <c r="B43" s="21" t="str">
        <f>'Data Sources'!A83</f>
        <v>Total O&amp;M</v>
      </c>
      <c r="C43" s="18">
        <f>IF(C$1&lt;CapEx!$O$7,0,(VLOOKUP($B43,Inputs!$F$3:$H$17,3,0)*((1+Inputs!$L$3)^Financials!C$3)))</f>
        <v>0</v>
      </c>
      <c r="D43" s="18">
        <f>IF(D$1&lt;CapEx!$O$7,0,(VLOOKUP($B43,Inputs!$F$3:$H$17,3,0)*((1+Inputs!$L$3)^Financials!D$3)))</f>
        <v>0</v>
      </c>
      <c r="E43" s="18">
        <f>IF(E$1&lt;CapEx!$O$7,0,(VLOOKUP($B43,Inputs!$F$3:$H$17,3,0)*((1+Inputs!$L$3)^Financials!E$3)))</f>
        <v>0</v>
      </c>
      <c r="F43" s="18">
        <f>IF(F$1&lt;CapEx!$O$7,0,(VLOOKUP($B43,Inputs!$F$3:$H$17,3,0)*((1+Inputs!$L$3)^Financials!F$3)))</f>
        <v>0</v>
      </c>
      <c r="G43" s="18">
        <f>IF(G$1&lt;CapEx!$O$7,0,(VLOOKUP($B43,Inputs!$F$3:$H$17,3,0)*((1+Inputs!$L$3)^Financials!G$3)))</f>
        <v>0</v>
      </c>
      <c r="H43" s="18">
        <f>IF(H$1&lt;CapEx!$O$7,0,(VLOOKUP($B43,Inputs!$F$3:$H$17,3,0)*((1+Inputs!$L$3)^Financials!H$3)))</f>
        <v>0</v>
      </c>
      <c r="I43" s="18">
        <f>IF(I$1&lt;CapEx!$O$7,0,(VLOOKUP($B43,Inputs!$F$3:$H$17,3,0)*((1+Inputs!$L$3)^Financials!I$3)))</f>
        <v>0</v>
      </c>
      <c r="J43" s="18">
        <f>IF(J$1&lt;CapEx!$O$7,0,(VLOOKUP($B43,Inputs!$F$3:$H$17,3,0)*((1+Inputs!$L$3)^Financials!J$3)))</f>
        <v>0</v>
      </c>
      <c r="K43" s="18">
        <f>IF(K$1&lt;CapEx!$O$7,0,(VLOOKUP($B43,Inputs!$F$3:$H$17,3,0)*((1+Inputs!$L$3)^Financials!K$3)))</f>
        <v>0</v>
      </c>
      <c r="L43" s="18">
        <f>IF(L$1&lt;CapEx!$O$7,0,(VLOOKUP($B43,Inputs!$F$3:$H$17,3,0)*((1+Inputs!$L$3)^Financials!L$3)))</f>
        <v>0</v>
      </c>
      <c r="M43" s="18">
        <f>IF(M$1&lt;CapEx!$O$7,0,(VLOOKUP($B43,Inputs!$F$3:$H$17,3,0)*((1+Inputs!$L$3)^Financials!M$3)))</f>
        <v>0</v>
      </c>
      <c r="N43" s="18">
        <f>IF(N$1&lt;CapEx!$O$7,0,(VLOOKUP($B43,Inputs!$F$3:$H$17,3,0)*((1+Inputs!$L$3)^Financials!N$3)))</f>
        <v>0</v>
      </c>
      <c r="O43" s="18">
        <f>IF(O$1&lt;CapEx!$O$7,0,(VLOOKUP($B43,Inputs!$F$3:$H$17,3,0)*((1+Inputs!$L$3)^Financials!O$3)))</f>
        <v>0</v>
      </c>
      <c r="P43" s="18">
        <f>IF(P$1&lt;CapEx!$O$7,0,(VLOOKUP($B43,Inputs!$F$3:$H$17,3,0)*((1+Inputs!$L$3)^Financials!P$3)))</f>
        <v>0</v>
      </c>
      <c r="Q43" s="18">
        <f>IF(Q$1&lt;CapEx!$O$7,0,(VLOOKUP($B43,Inputs!$F$3:$H$17,3,0)*((1+Inputs!$L$3)^Financials!Q$3)))</f>
        <v>0</v>
      </c>
      <c r="R43" s="18">
        <f>IF(R$1&lt;CapEx!$O$7,0,(VLOOKUP($B43,Inputs!$F$3:$H$17,3,0)*((1+Inputs!$L$3)^Financials!R$3)))</f>
        <v>128083.33333333333</v>
      </c>
      <c r="S43" s="18">
        <f>IF(S$1&lt;CapEx!$O$7,0,(VLOOKUP($B43,Inputs!$F$3:$H$17,3,0)*((1+Inputs!$L$3)^Financials!S$3)))</f>
        <v>128296.80555555556</v>
      </c>
      <c r="T43" s="18">
        <f>IF(T$1&lt;CapEx!$O$7,0,(VLOOKUP($B43,Inputs!$F$3:$H$17,3,0)*((1+Inputs!$L$3)^Financials!T$3)))</f>
        <v>128510.63356481482</v>
      </c>
      <c r="U43" s="18">
        <f>IF(U$1&lt;CapEx!$O$7,0,(VLOOKUP($B43,Inputs!$F$3:$H$17,3,0)*((1+Inputs!$L$3)^Financials!U$3)))</f>
        <v>128724.81795408952</v>
      </c>
      <c r="V43" s="18">
        <f>IF(V$1&lt;CapEx!$O$7,0,(VLOOKUP($B43,Inputs!$F$3:$H$17,3,0)*((1+Inputs!$L$3)^Financials!V$3)))</f>
        <v>128939.35931734635</v>
      </c>
      <c r="W43" s="18">
        <f>IF(W$1&lt;CapEx!$O$7,0,(VLOOKUP($B43,Inputs!$F$3:$H$17,3,0)*((1+Inputs!$L$3)^Financials!W$3)))</f>
        <v>129154.25824954192</v>
      </c>
      <c r="X43" s="18">
        <f>IF(X$1&lt;CapEx!$O$7,0,(VLOOKUP($B43,Inputs!$F$3:$H$17,3,0)*((1+Inputs!$L$3)^Financials!X$3)))</f>
        <v>129369.5153466245</v>
      </c>
      <c r="Y43" s="18">
        <f>IF(Y$1&lt;CapEx!$O$7,0,(VLOOKUP($B43,Inputs!$F$3:$H$17,3,0)*((1+Inputs!$L$3)^Financials!Y$3)))</f>
        <v>129585.13120553555</v>
      </c>
      <c r="Z43" s="18">
        <f>IF(Z$1&lt;CapEx!$O$7,0,(VLOOKUP($B43,Inputs!$F$3:$H$17,3,0)*((1+Inputs!$L$3)^Financials!Z$3)))</f>
        <v>129801.10642421147</v>
      </c>
      <c r="AA43" s="18">
        <f>IF(AA$1&lt;CapEx!$O$7,0,(VLOOKUP($B43,Inputs!$F$3:$H$17,3,0)*((1+Inputs!$L$3)^Financials!AA$3)))</f>
        <v>130017.44160158515</v>
      </c>
      <c r="AB43" s="18">
        <f>IF(AB$1&lt;CapEx!$O$7,0,(VLOOKUP($B43,Inputs!$F$3:$H$17,3,0)*((1+Inputs!$L$3)^Financials!AB$3)))</f>
        <v>130234.1373375878</v>
      </c>
      <c r="AC43" s="18">
        <f>IF(AC$1&lt;CapEx!$O$7,0,(VLOOKUP($B43,Inputs!$F$3:$H$17,3,0)*((1+Inputs!$L$3)^Financials!AC$3)))</f>
        <v>130451.19423315045</v>
      </c>
      <c r="AD43" s="18">
        <f>IF(AD$1&lt;CapEx!$O$7,0,(VLOOKUP($B43,Inputs!$F$3:$H$17,3,0)*((1+Inputs!$L$3)^Financials!AD$3)))</f>
        <v>130668.61289020571</v>
      </c>
      <c r="AE43" s="18">
        <f>IF(AE$1&lt;CapEx!$O$7,0,(VLOOKUP($B43,Inputs!$F$3:$H$17,3,0)*((1+Inputs!$L$3)^Financials!AE$3)))</f>
        <v>130886.39391168939</v>
      </c>
      <c r="AF43" s="18">
        <f>IF(AF$1&lt;CapEx!$O$7,0,(VLOOKUP($B43,Inputs!$F$3:$H$17,3,0)*((1+Inputs!$L$3)^Financials!AF$3)))</f>
        <v>131104.53790154224</v>
      </c>
      <c r="AG43" s="18">
        <f>IF(AG$1&lt;CapEx!$O$7,0,(VLOOKUP($B43,Inputs!$F$3:$H$17,3,0)*((1+Inputs!$L$3)^Financials!AG$3)))</f>
        <v>131323.04546471147</v>
      </c>
      <c r="AH43" s="18">
        <f>IF(AH$1&lt;CapEx!$O$7,0,(VLOOKUP($B43,Inputs!$F$3:$H$17,3,0)*((1+Inputs!$L$3)^Financials!AH$3)))</f>
        <v>131541.91720715267</v>
      </c>
      <c r="AI43" s="18">
        <f>IF(AI$1&lt;CapEx!$O$7,0,(VLOOKUP($B43,Inputs!$F$3:$H$17,3,0)*((1+Inputs!$L$3)^Financials!AI$3)))</f>
        <v>131761.15373583126</v>
      </c>
      <c r="AJ43" s="18">
        <f>IF(AJ$1&lt;CapEx!$O$7,0,(VLOOKUP($B43,Inputs!$F$3:$H$17,3,0)*((1+Inputs!$L$3)^Financials!AJ$3)))</f>
        <v>131980.75565872432</v>
      </c>
      <c r="AK43" s="18">
        <f>IF(AK$1&lt;CapEx!$O$7,0,(VLOOKUP($B43,Inputs!$F$3:$H$17,3,0)*((1+Inputs!$L$3)^Financials!AK$3)))</f>
        <v>132200.72358482223</v>
      </c>
      <c r="AL43" s="18">
        <f>IF(AL$1&lt;CapEx!$O$7,0,(VLOOKUP($B43,Inputs!$F$3:$H$17,3,0)*((1+Inputs!$L$3)^Financials!AL$3)))</f>
        <v>132421.05812413024</v>
      </c>
      <c r="AM43" s="18">
        <f>IF(AM$1&lt;CapEx!$O$7,0,(VLOOKUP($B43,Inputs!$F$3:$H$17,3,0)*((1+Inputs!$L$3)^Financials!AM$3)))</f>
        <v>132641.75988767049</v>
      </c>
      <c r="AN43" s="18">
        <f>IF(AN$1&lt;CapEx!$O$7,0,(VLOOKUP($B43,Inputs!$F$3:$H$17,3,0)*((1+Inputs!$L$3)^Financials!AN$3)))</f>
        <v>132862.82948748328</v>
      </c>
      <c r="AO43" s="18">
        <f>IF(AO$1&lt;CapEx!$O$7,0,(VLOOKUP($B43,Inputs!$F$3:$H$17,3,0)*((1+Inputs!$L$3)^Financials!AO$3)))</f>
        <v>133084.26753662908</v>
      </c>
      <c r="AP43" s="18">
        <f>IF(AP$1&lt;CapEx!$O$7,0,(VLOOKUP($B43,Inputs!$F$3:$H$17,3,0)*((1+Inputs!$L$3)^Financials!AP$3)))</f>
        <v>133306.07464919018</v>
      </c>
      <c r="AQ43" s="18">
        <f>IF(AQ$1&lt;CapEx!$O$7,0,(VLOOKUP($B43,Inputs!$F$3:$H$17,3,0)*((1+Inputs!$L$3)^Financials!AQ$3)))</f>
        <v>133528.25144027211</v>
      </c>
      <c r="AR43" s="18">
        <f>IF(AR$1&lt;CapEx!$O$7,0,(VLOOKUP($B43,Inputs!$F$3:$H$17,3,0)*((1+Inputs!$L$3)^Financials!AR$3)))</f>
        <v>133750.79852600594</v>
      </c>
      <c r="AS43" s="18">
        <f>IF(AS$1&lt;CapEx!$O$7,0,(VLOOKUP($B43,Inputs!$F$3:$H$17,3,0)*((1+Inputs!$L$3)^Financials!AS$3)))</f>
        <v>133973.71652354929</v>
      </c>
      <c r="AT43" s="18">
        <f>IF(AT$1&lt;CapEx!$O$7,0,(VLOOKUP($B43,Inputs!$F$3:$H$17,3,0)*((1+Inputs!$L$3)^Financials!AT$3)))</f>
        <v>134197.00605108854</v>
      </c>
      <c r="AU43" s="18">
        <f>IF(AU$1&lt;CapEx!$O$7,0,(VLOOKUP($B43,Inputs!$F$3:$H$17,3,0)*((1+Inputs!$L$3)^Financials!AU$3)))</f>
        <v>134420.66772784037</v>
      </c>
      <c r="AV43" s="18">
        <f>IF(AV$1&lt;CapEx!$O$7,0,(VLOOKUP($B43,Inputs!$F$3:$H$17,3,0)*((1+Inputs!$L$3)^Financials!AV$3)))</f>
        <v>134644.70217405344</v>
      </c>
      <c r="AW43" s="18">
        <f>IF(AW$1&lt;CapEx!$O$7,0,(VLOOKUP($B43,Inputs!$F$3:$H$17,3,0)*((1+Inputs!$L$3)^Financials!AW$3)))</f>
        <v>134869.11001101023</v>
      </c>
      <c r="AX43" s="18">
        <f>IF(AX$1&lt;CapEx!$O$7,0,(VLOOKUP($B43,Inputs!$F$3:$H$17,3,0)*((1+Inputs!$L$3)^Financials!AX$3)))</f>
        <v>135093.89186102859</v>
      </c>
      <c r="AY43" s="18">
        <f>IF(AY$1&lt;CapEx!$O$7,0,(VLOOKUP($B43,Inputs!$F$3:$H$17,3,0)*((1+Inputs!$L$3)^Financials!AY$3)))</f>
        <v>135319.04834746366</v>
      </c>
      <c r="AZ43" s="18">
        <f>IF(AZ$1&lt;CapEx!$O$7,0,(VLOOKUP($B43,Inputs!$F$3:$H$17,3,0)*((1+Inputs!$L$3)^Financials!AZ$3)))</f>
        <v>135544.58009470941</v>
      </c>
      <c r="BA43" s="18">
        <f>IF(BA$1&lt;CapEx!$O$7,0,(VLOOKUP($B43,Inputs!$F$3:$H$17,3,0)*((1+Inputs!$L$3)^Financials!BA$3)))</f>
        <v>135770.48772820062</v>
      </c>
      <c r="BB43" s="18">
        <f>IF(BB$1&lt;CapEx!$O$7,0,(VLOOKUP($B43,Inputs!$F$3:$H$17,3,0)*((1+Inputs!$L$3)^Financials!BB$3)))</f>
        <v>135996.77187441429</v>
      </c>
      <c r="BC43" s="18">
        <f>IF(BC$1&lt;CapEx!$O$7,0,(VLOOKUP($B43,Inputs!$F$3:$H$17,3,0)*((1+Inputs!$L$3)^Financials!BC$3)))</f>
        <v>136223.43316087165</v>
      </c>
      <c r="BD43" s="18">
        <f>IF(BD$1&lt;CapEx!$O$7,0,(VLOOKUP($B43,Inputs!$F$3:$H$17,3,0)*((1+Inputs!$L$3)^Financials!BD$3)))</f>
        <v>136450.47221613975</v>
      </c>
      <c r="BE43" s="18">
        <f>IF(BE$1&lt;CapEx!$O$7,0,(VLOOKUP($B43,Inputs!$F$3:$H$17,3,0)*((1+Inputs!$L$3)^Financials!BE$3)))</f>
        <v>136677.88966983336</v>
      </c>
      <c r="BF43" s="18">
        <f>IF(BF$1&lt;CapEx!$O$7,0,(VLOOKUP($B43,Inputs!$F$3:$H$17,3,0)*((1+Inputs!$L$3)^Financials!BF$3)))</f>
        <v>136905.68615261643</v>
      </c>
      <c r="BG43" s="18">
        <f>IF(BG$1&lt;CapEx!$O$7,0,(VLOOKUP($B43,Inputs!$F$3:$H$17,3,0)*((1+Inputs!$L$3)^Financials!BG$3)))</f>
        <v>137133.86229620411</v>
      </c>
      <c r="BH43" s="18">
        <f>IF(BH$1&lt;CapEx!$O$7,0,(VLOOKUP($B43,Inputs!$F$3:$H$17,3,0)*((1+Inputs!$L$3)^Financials!BH$3)))</f>
        <v>137362.41873336447</v>
      </c>
      <c r="BI43" s="18">
        <f>IF(BI$1&lt;CapEx!$O$7,0,(VLOOKUP($B43,Inputs!$F$3:$H$17,3,0)*((1+Inputs!$L$3)^Financials!BI$3)))</f>
        <v>137591.3560979201</v>
      </c>
      <c r="BJ43" s="18">
        <f>IF(BJ$1&lt;CapEx!$O$7,0,(VLOOKUP($B43,Inputs!$F$3:$H$17,3,0)*((1+Inputs!$L$3)^Financials!BJ$3)))</f>
        <v>137820.67502474994</v>
      </c>
      <c r="BK43" s="18">
        <f>IF(BK$1&lt;CapEx!$O$7,0,(VLOOKUP($B43,Inputs!$F$3:$H$17,3,0)*((1+Inputs!$L$3)^Financials!BK$3)))</f>
        <v>138050.37614979123</v>
      </c>
      <c r="BL43" s="18">
        <f>IF(BL$1&lt;CapEx!$O$7,0,(VLOOKUP($B43,Inputs!$F$3:$H$17,3,0)*((1+Inputs!$L$3)^Financials!BL$3)))</f>
        <v>138280.46011004088</v>
      </c>
      <c r="BM43" s="18">
        <f>IF(BM$1&lt;CapEx!$O$7,0,(VLOOKUP($B43,Inputs!$F$3:$H$17,3,0)*((1+Inputs!$L$3)^Financials!BM$3)))</f>
        <v>138510.92754355763</v>
      </c>
      <c r="BN43" s="18">
        <f>IF(BN$1&lt;CapEx!$O$7,0,(VLOOKUP($B43,Inputs!$F$3:$H$17,3,0)*((1+Inputs!$L$3)^Financials!BN$3)))</f>
        <v>138741.77908946358</v>
      </c>
      <c r="BO43" s="18">
        <f>IF(BO$1&lt;CapEx!$O$7,0,(VLOOKUP($B43,Inputs!$F$3:$H$17,3,0)*((1+Inputs!$L$3)^Financials!BO$3)))</f>
        <v>138973.01538794601</v>
      </c>
      <c r="BP43" s="18">
        <f>IF(BP$1&lt;CapEx!$O$7,0,(VLOOKUP($B43,Inputs!$F$3:$H$17,3,0)*((1+Inputs!$L$3)^Financials!BP$3)))</f>
        <v>139204.63708025927</v>
      </c>
      <c r="BQ43" s="18">
        <f>IF(BQ$1&lt;CapEx!$O$7,0,(VLOOKUP($B43,Inputs!$F$3:$H$17,3,0)*((1+Inputs!$L$3)^Financials!BQ$3)))</f>
        <v>139436.64480872639</v>
      </c>
      <c r="BR43" s="18">
        <f>IF(BR$1&lt;CapEx!$O$7,0,(VLOOKUP($B43,Inputs!$F$3:$H$17,3,0)*((1+Inputs!$L$3)^Financials!BR$3)))</f>
        <v>139669.03921674093</v>
      </c>
      <c r="BS43" s="18">
        <f>IF(BS$1&lt;CapEx!$O$7,0,(VLOOKUP($B43,Inputs!$F$3:$H$17,3,0)*((1+Inputs!$L$3)^Financials!BS$3)))</f>
        <v>139901.82094876884</v>
      </c>
      <c r="BT43" s="18">
        <f>IF(BT$1&lt;CapEx!$O$7,0,(VLOOKUP($B43,Inputs!$F$3:$H$17,3,0)*((1+Inputs!$L$3)^Financials!BT$3)))</f>
        <v>140134.99065035014</v>
      </c>
      <c r="BU43" s="18">
        <f>IF(BU$1&lt;CapEx!$O$7,0,(VLOOKUP($B43,Inputs!$F$3:$H$17,3,0)*((1+Inputs!$L$3)^Financials!BU$3)))</f>
        <v>140368.54896810072</v>
      </c>
      <c r="BV43" s="18">
        <f>IF(BV$1&lt;CapEx!$O$7,0,(VLOOKUP($B43,Inputs!$F$3:$H$17,3,0)*((1+Inputs!$L$3)^Financials!BV$3)))</f>
        <v>140602.49654971424</v>
      </c>
      <c r="BW43" s="18">
        <f>IF(BW$1&lt;CapEx!$O$7,0,(VLOOKUP($B43,Inputs!$F$3:$H$17,3,0)*((1+Inputs!$L$3)^Financials!BW$3)))</f>
        <v>140836.83404396378</v>
      </c>
      <c r="BX43" s="18">
        <f>IF(BX$1&lt;CapEx!$O$7,0,(VLOOKUP($B43,Inputs!$F$3:$H$17,3,0)*((1+Inputs!$L$3)^Financials!BX$3)))</f>
        <v>141071.56210070371</v>
      </c>
      <c r="BY43" s="18">
        <f>IF(BY$1&lt;CapEx!$O$7,0,(VLOOKUP($B43,Inputs!$F$3:$H$17,3,0)*((1+Inputs!$L$3)^Financials!BY$3)))</f>
        <v>141306.68137087158</v>
      </c>
      <c r="BZ43" s="18">
        <f>IF(BZ$1&lt;CapEx!$O$7,0,(VLOOKUP($B43,Inputs!$F$3:$H$17,3,0)*((1+Inputs!$L$3)^Financials!BZ$3)))</f>
        <v>141542.19250648969</v>
      </c>
      <c r="CA43" s="18">
        <f>IF(CA$1&lt;CapEx!$O$7,0,(VLOOKUP($B43,Inputs!$F$3:$H$17,3,0)*((1+Inputs!$L$3)^Financials!CA$3)))</f>
        <v>141778.09616066719</v>
      </c>
      <c r="CB43" s="18">
        <f>IF(CB$1&lt;CapEx!$O$7,0,(VLOOKUP($B43,Inputs!$F$3:$H$17,3,0)*((1+Inputs!$L$3)^Financials!CB$3)))</f>
        <v>142014.39298760163</v>
      </c>
      <c r="CC43" s="18">
        <f>IF(CC$1&lt;CapEx!$O$7,0,(VLOOKUP($B43,Inputs!$F$3:$H$17,3,0)*((1+Inputs!$L$3)^Financials!CC$3)))</f>
        <v>142251.08364258101</v>
      </c>
      <c r="CD43" s="18">
        <f>IF(CD$1&lt;CapEx!$O$7,0,(VLOOKUP($B43,Inputs!$F$3:$H$17,3,0)*((1+Inputs!$L$3)^Financials!CD$3)))</f>
        <v>142488.16878198533</v>
      </c>
      <c r="CE43" s="18">
        <f>IF(CE$1&lt;CapEx!$O$7,0,(VLOOKUP($B43,Inputs!$F$3:$H$17,3,0)*((1+Inputs!$L$3)^Financials!CE$3)))</f>
        <v>142725.64906328864</v>
      </c>
      <c r="CF43" s="18">
        <f>IF(CF$1&lt;CapEx!$O$7,0,(VLOOKUP($B43,Inputs!$F$3:$H$17,3,0)*((1+Inputs!$L$3)^Financials!CF$3)))</f>
        <v>142963.52514506076</v>
      </c>
      <c r="CG43" s="18">
        <f>IF(CG$1&lt;CapEx!$O$7,0,(VLOOKUP($B43,Inputs!$F$3:$H$17,3,0)*((1+Inputs!$L$3)^Financials!CG$3)))</f>
        <v>143201.79768696922</v>
      </c>
      <c r="CH43" s="18">
        <f>IF(CH$1&lt;CapEx!$O$7,0,(VLOOKUP($B43,Inputs!$F$3:$H$17,3,0)*((1+Inputs!$L$3)^Financials!CH$3)))</f>
        <v>143440.46734978084</v>
      </c>
      <c r="CI43" s="18">
        <f>IF(CI$1&lt;CapEx!$O$7,0,(VLOOKUP($B43,Inputs!$F$3:$H$17,3,0)*((1+Inputs!$L$3)^Financials!CI$3)))</f>
        <v>143679.53479536381</v>
      </c>
      <c r="CJ43" s="18">
        <f>IF(CJ$1&lt;CapEx!$O$7,0,(VLOOKUP($B43,Inputs!$F$3:$H$17,3,0)*((1+Inputs!$L$3)^Financials!CJ$3)))</f>
        <v>143919.00068668943</v>
      </c>
      <c r="CK43" s="18">
        <f>IF(CK$1&lt;CapEx!$O$7,0,(VLOOKUP($B43,Inputs!$F$3:$H$17,3,0)*((1+Inputs!$L$3)^Financials!CK$3)))</f>
        <v>144158.8656878339</v>
      </c>
      <c r="CL43" s="18">
        <f>IF(CL$1&lt;CapEx!$O$7,0,(VLOOKUP($B43,Inputs!$F$3:$H$17,3,0)*((1+Inputs!$L$3)^Financials!CL$3)))</f>
        <v>144399.13046398034</v>
      </c>
      <c r="CM43" s="18">
        <f>IF(CM$1&lt;CapEx!$O$7,0,(VLOOKUP($B43,Inputs!$F$3:$H$17,3,0)*((1+Inputs!$L$3)^Financials!CM$3)))</f>
        <v>144639.79568142031</v>
      </c>
      <c r="CN43" s="18">
        <f>IF(CN$1&lt;CapEx!$O$7,0,(VLOOKUP($B43,Inputs!$F$3:$H$17,3,0)*((1+Inputs!$L$3)^Financials!CN$3)))</f>
        <v>144880.86200755602</v>
      </c>
      <c r="CO43" s="18">
        <f>IF(CO$1&lt;CapEx!$O$7,0,(VLOOKUP($B43,Inputs!$F$3:$H$17,3,0)*((1+Inputs!$L$3)^Financials!CO$3)))</f>
        <v>145122.33011090197</v>
      </c>
      <c r="CP43" s="18">
        <f>IF(CP$1&lt;CapEx!$O$7,0,(VLOOKUP($B43,Inputs!$F$3:$H$17,3,0)*((1+Inputs!$L$3)^Financials!CP$3)))</f>
        <v>145364.2006610868</v>
      </c>
      <c r="CQ43" s="18">
        <f>IF(CQ$1&lt;CapEx!$O$7,0,(VLOOKUP($B43,Inputs!$F$3:$H$17,3,0)*((1+Inputs!$L$3)^Financials!CQ$3)))</f>
        <v>145606.47432885529</v>
      </c>
      <c r="CR43" s="18">
        <f>IF(CR$1&lt;CapEx!$O$7,0,(VLOOKUP($B43,Inputs!$F$3:$H$17,3,0)*((1+Inputs!$L$3)^Financials!CR$3)))</f>
        <v>145849.15178607006</v>
      </c>
      <c r="CS43" s="18">
        <f>IF(CS$1&lt;CapEx!$O$7,0,(VLOOKUP($B43,Inputs!$F$3:$H$17,3,0)*((1+Inputs!$L$3)^Financials!CS$3)))</f>
        <v>146092.2337057135</v>
      </c>
      <c r="CT43" s="18">
        <f>IF(CT$1&lt;CapEx!$O$7,0,(VLOOKUP($B43,Inputs!$F$3:$H$17,3,0)*((1+Inputs!$L$3)^Financials!CT$3)))</f>
        <v>146335.72076188974</v>
      </c>
      <c r="CU43" s="18">
        <f>IF(CU$1&lt;CapEx!$O$7,0,(VLOOKUP($B43,Inputs!$F$3:$H$17,3,0)*((1+Inputs!$L$3)^Financials!CU$3)))</f>
        <v>146579.6136298262</v>
      </c>
      <c r="CV43" s="18">
        <f>IF(CV$1&lt;CapEx!$O$7,0,(VLOOKUP($B43,Inputs!$F$3:$H$17,3,0)*((1+Inputs!$L$3)^Financials!CV$3)))</f>
        <v>146823.91298587591</v>
      </c>
      <c r="CW43" s="18">
        <f>IF(CW$1&lt;CapEx!$O$7,0,(VLOOKUP($B43,Inputs!$F$3:$H$17,3,0)*((1+Inputs!$L$3)^Financials!CW$3)))</f>
        <v>147068.61950751906</v>
      </c>
      <c r="CX43" s="18">
        <f>IF(CX$1&lt;CapEx!$O$7,0,(VLOOKUP($B43,Inputs!$F$3:$H$17,3,0)*((1+Inputs!$L$3)^Financials!CX$3)))</f>
        <v>147313.73387336495</v>
      </c>
      <c r="CY43" s="18">
        <f>IF(CY$1&lt;CapEx!$O$7,0,(VLOOKUP($B43,Inputs!$F$3:$H$17,3,0)*((1+Inputs!$L$3)^Financials!CY$3)))</f>
        <v>147559.25676315391</v>
      </c>
      <c r="CZ43" s="18">
        <f>IF(CZ$1&lt;CapEx!$O$7,0,(VLOOKUP($B43,Inputs!$F$3:$H$17,3,0)*((1+Inputs!$L$3)^Financials!CZ$3)))</f>
        <v>147805.18885775915</v>
      </c>
      <c r="DA43" s="18">
        <f>IF(DA$1&lt;CapEx!$O$7,0,(VLOOKUP($B43,Inputs!$F$3:$H$17,3,0)*((1+Inputs!$L$3)^Financials!DA$3)))</f>
        <v>148051.53083918878</v>
      </c>
      <c r="DB43" s="18">
        <f>IF(DB$1&lt;CapEx!$O$7,0,(VLOOKUP($B43,Inputs!$F$3:$H$17,3,0)*((1+Inputs!$L$3)^Financials!DB$3)))</f>
        <v>148298.28339058746</v>
      </c>
      <c r="DC43" s="18">
        <f>IF(DC$1&lt;CapEx!$O$7,0,(VLOOKUP($B43,Inputs!$F$3:$H$17,3,0)*((1+Inputs!$L$3)^Financials!DC$3)))</f>
        <v>148545.44719623841</v>
      </c>
      <c r="DD43" s="18">
        <f>IF(DD$1&lt;CapEx!$O$7,0,(VLOOKUP($B43,Inputs!$F$3:$H$17,3,0)*((1+Inputs!$L$3)^Financials!DD$3)))</f>
        <v>148793.02294156546</v>
      </c>
      <c r="DE43" s="18">
        <f>IF(DE$1&lt;CapEx!$O$7,0,(VLOOKUP($B43,Inputs!$F$3:$H$17,3,0)*((1+Inputs!$L$3)^Financials!DE$3)))</f>
        <v>149041.01131313478</v>
      </c>
      <c r="DF43" s="18">
        <f>IF(DF$1&lt;CapEx!$O$7,0,(VLOOKUP($B43,Inputs!$F$3:$H$17,3,0)*((1+Inputs!$L$3)^Financials!DF$3)))</f>
        <v>149289.41299865668</v>
      </c>
      <c r="DG43" s="18">
        <f>IF(DG$1&lt;CapEx!$O$7,0,(VLOOKUP($B43,Inputs!$F$3:$H$17,3,0)*((1+Inputs!$L$3)^Financials!DG$3)))</f>
        <v>149538.2286869878</v>
      </c>
      <c r="DH43" s="18">
        <f>IF(DH$1&lt;CapEx!$O$7,0,(VLOOKUP($B43,Inputs!$F$3:$H$17,3,0)*((1+Inputs!$L$3)^Financials!DH$3)))</f>
        <v>149787.45906813277</v>
      </c>
      <c r="DI43" s="18">
        <f>IF(DI$1&lt;CapEx!$O$7,0,(VLOOKUP($B43,Inputs!$F$3:$H$17,3,0)*((1+Inputs!$L$3)^Financials!DI$3)))</f>
        <v>150037.10483324633</v>
      </c>
      <c r="DJ43" s="18">
        <f>IF(DJ$1&lt;CapEx!$O$7,0,(VLOOKUP($B43,Inputs!$F$3:$H$17,3,0)*((1+Inputs!$L$3)^Financials!DJ$3)))</f>
        <v>150287.16667463511</v>
      </c>
      <c r="DK43" s="18">
        <f>IF(DK$1&lt;CapEx!$O$7,0,(VLOOKUP($B43,Inputs!$F$3:$H$17,3,0)*((1+Inputs!$L$3)^Financials!DK$3)))</f>
        <v>150537.64528575953</v>
      </c>
      <c r="DL43" s="18">
        <f>IF(DL$1&lt;CapEx!$O$7,0,(VLOOKUP($B43,Inputs!$F$3:$H$17,3,0)*((1+Inputs!$L$3)^Financials!DL$3)))</f>
        <v>150788.54136123578</v>
      </c>
      <c r="DM43" s="18">
        <f>IF(DM$1&lt;CapEx!$O$7,0,(VLOOKUP($B43,Inputs!$F$3:$H$17,3,0)*((1+Inputs!$L$3)^Financials!DM$3)))</f>
        <v>151039.85559683785</v>
      </c>
      <c r="DN43" s="18">
        <f>IF(DN$1&lt;CapEx!$O$7,0,(VLOOKUP($B43,Inputs!$F$3:$H$17,3,0)*((1+Inputs!$L$3)^Financials!DN$3)))</f>
        <v>151291.58868949927</v>
      </c>
      <c r="DO43" s="18">
        <f>IF(DO$1&lt;CapEx!$O$7,0,(VLOOKUP($B43,Inputs!$F$3:$H$17,3,0)*((1+Inputs!$L$3)^Financials!DO$3)))</f>
        <v>151543.74133731509</v>
      </c>
      <c r="DP43" s="18">
        <f>IF(DP$1&lt;CapEx!$O$7,0,(VLOOKUP($B43,Inputs!$F$3:$H$17,3,0)*((1+Inputs!$L$3)^Financials!DP$3)))</f>
        <v>151796.31423954395</v>
      </c>
      <c r="DQ43" s="18">
        <f>IF(DQ$1&lt;CapEx!$O$7,0,(VLOOKUP($B43,Inputs!$F$3:$H$17,3,0)*((1+Inputs!$L$3)^Financials!DQ$3)))</f>
        <v>152049.30809660989</v>
      </c>
      <c r="DR43" s="18">
        <f>IF(DR$1&lt;CapEx!$O$7,0,(VLOOKUP($B43,Inputs!$F$3:$H$17,3,0)*((1+Inputs!$L$3)^Financials!DR$3)))</f>
        <v>152302.72361010427</v>
      </c>
      <c r="DS43" s="18">
        <f>IF(DS$1&lt;CapEx!$O$7,0,(VLOOKUP($B43,Inputs!$F$3:$H$17,3,0)*((1+Inputs!$L$3)^Financials!DS$3)))</f>
        <v>152556.56148278774</v>
      </c>
      <c r="DT43" s="18">
        <f>IF(DT$1&lt;CapEx!$O$7,0,(VLOOKUP($B43,Inputs!$F$3:$H$17,3,0)*((1+Inputs!$L$3)^Financials!DT$3)))</f>
        <v>152810.8224185924</v>
      </c>
      <c r="DU43" s="18">
        <f>IF(DU$1&lt;CapEx!$O$7,0,(VLOOKUP($B43,Inputs!$F$3:$H$17,3,0)*((1+Inputs!$L$3)^Financials!DU$3)))</f>
        <v>153065.50712262341</v>
      </c>
      <c r="DV43" s="18">
        <f>IF(DV$1&lt;CapEx!$O$7,0,(VLOOKUP($B43,Inputs!$F$3:$H$17,3,0)*((1+Inputs!$L$3)^Financials!DV$3)))</f>
        <v>153320.61630116109</v>
      </c>
      <c r="DW43" s="18">
        <f>IF(DW$1&lt;CapEx!$O$7,0,(VLOOKUP($B43,Inputs!$F$3:$H$17,3,0)*((1+Inputs!$L$3)^Financials!DW$3)))</f>
        <v>153576.15066166306</v>
      </c>
      <c r="DX43" s="18">
        <f>IF(DX$1&lt;CapEx!$O$7,0,(VLOOKUP($B43,Inputs!$F$3:$H$17,3,0)*((1+Inputs!$L$3)^Financials!DX$3)))</f>
        <v>153832.11091276587</v>
      </c>
      <c r="DY43" s="18">
        <f>IF(DY$1&lt;CapEx!$O$7,0,(VLOOKUP($B43,Inputs!$F$3:$H$17,3,0)*((1+Inputs!$L$3)^Financials!DY$3)))</f>
        <v>154088.49776428714</v>
      </c>
      <c r="DZ43" s="18">
        <f>IF(DZ$1&lt;CapEx!$O$7,0,(VLOOKUP($B43,Inputs!$F$3:$H$17,3,0)*((1+Inputs!$L$3)^Financials!DZ$3)))</f>
        <v>154345.31192722765</v>
      </c>
      <c r="EA43" s="18">
        <f>IF(EA$1&lt;CapEx!$O$7,0,(VLOOKUP($B43,Inputs!$F$3:$H$17,3,0)*((1+Inputs!$L$3)^Financials!EA$3)))</f>
        <v>154602.55411377305</v>
      </c>
      <c r="EB43" s="18">
        <f>IF(EB$1&lt;CapEx!$O$7,0,(VLOOKUP($B43,Inputs!$F$3:$H$17,3,0)*((1+Inputs!$L$3)^Financials!EB$3)))</f>
        <v>154860.22503729598</v>
      </c>
      <c r="EC43" s="18">
        <f>IF(EC$1&lt;CapEx!$O$7,0,(VLOOKUP($B43,Inputs!$F$3:$H$17,3,0)*((1+Inputs!$L$3)^Financials!EC$3)))</f>
        <v>155118.32541235819</v>
      </c>
      <c r="ED43" s="18">
        <f>IF(ED$1&lt;CapEx!$O$7,0,(VLOOKUP($B43,Inputs!$F$3:$H$17,3,0)*((1+Inputs!$L$3)^Financials!ED$3)))</f>
        <v>155376.85595471211</v>
      </c>
      <c r="EE43" s="18">
        <f>IF(EE$1&lt;CapEx!$O$7,0,(VLOOKUP($B43,Inputs!$F$3:$H$17,3,0)*((1+Inputs!$L$3)^Financials!EE$3)))</f>
        <v>155635.81738130332</v>
      </c>
      <c r="EF43" s="18">
        <f>IF(EF$1&lt;CapEx!$O$7,0,(VLOOKUP($B43,Inputs!$F$3:$H$17,3,0)*((1+Inputs!$L$3)^Financials!EF$3)))</f>
        <v>155895.21041027215</v>
      </c>
      <c r="EG43" s="18">
        <f>IF(EG$1&lt;CapEx!$O$7,0,(VLOOKUP($B43,Inputs!$F$3:$H$17,3,0)*((1+Inputs!$L$3)^Financials!EG$3)))</f>
        <v>156155.03576095594</v>
      </c>
      <c r="EH43" s="18">
        <f>IF(EH$1&lt;CapEx!$O$7,0,(VLOOKUP($B43,Inputs!$F$3:$H$17,3,0)*((1+Inputs!$L$3)^Financials!EH$3)))</f>
        <v>156415.29415389089</v>
      </c>
      <c r="EI43" s="18">
        <f>IF(EI$1&lt;CapEx!$O$7,0,(VLOOKUP($B43,Inputs!$F$3:$H$17,3,0)*((1+Inputs!$L$3)^Financials!EI$3)))</f>
        <v>156675.98631081404</v>
      </c>
      <c r="EJ43" s="18">
        <f>IF(EJ$1&lt;CapEx!$O$7,0,(VLOOKUP($B43,Inputs!$F$3:$H$17,3,0)*((1+Inputs!$L$3)^Financials!EJ$3)))</f>
        <v>156937.11295466541</v>
      </c>
      <c r="EK43" s="18">
        <f>IF(EK$1&lt;CapEx!$O$7,0,(VLOOKUP($B43,Inputs!$F$3:$H$17,3,0)*((1+Inputs!$L$3)^Financials!EK$3)))</f>
        <v>157198.67480958987</v>
      </c>
      <c r="EL43" s="18">
        <f>IF(EL$1&lt;CapEx!$O$7,0,(VLOOKUP($B43,Inputs!$F$3:$H$17,3,0)*((1+Inputs!$L$3)^Financials!EL$3)))</f>
        <v>157460.67260093917</v>
      </c>
      <c r="EM43" s="18">
        <f>IF(EM$1&lt;CapEx!$O$7,0,(VLOOKUP($B43,Inputs!$F$3:$H$17,3,0)*((1+Inputs!$L$3)^Financials!EM$3)))</f>
        <v>157723.1070552741</v>
      </c>
      <c r="EN43" s="18">
        <f>IF(EN$1&lt;CapEx!$O$7,0,(VLOOKUP($B43,Inputs!$F$3:$H$17,3,0)*((1+Inputs!$L$3)^Financials!EN$3)))</f>
        <v>157985.97890036623</v>
      </c>
      <c r="EO43" s="18">
        <f>IF(EO$1&lt;CapEx!$O$7,0,(VLOOKUP($B43,Inputs!$F$3:$H$17,3,0)*((1+Inputs!$L$3)^Financials!EO$3)))</f>
        <v>158249.28886520021</v>
      </c>
      <c r="EP43" s="18">
        <f>IF(EP$1&lt;CapEx!$O$7,0,(VLOOKUP($B43,Inputs!$F$3:$H$17,3,0)*((1+Inputs!$L$3)^Financials!EP$3)))</f>
        <v>158513.03767997556</v>
      </c>
      <c r="EQ43" s="18">
        <f>IF(EQ$1&lt;CapEx!$O$7,0,(VLOOKUP($B43,Inputs!$F$3:$H$17,3,0)*((1+Inputs!$L$3)^Financials!EQ$3)))</f>
        <v>158777.22607610887</v>
      </c>
      <c r="ER43" s="18">
        <f>IF(ER$1&lt;CapEx!$O$7,0,(VLOOKUP($B43,Inputs!$F$3:$H$17,3,0)*((1+Inputs!$L$3)^Financials!ER$3)))</f>
        <v>159041.85478623569</v>
      </c>
      <c r="ES43" s="18">
        <f>IF(ES$1&lt;CapEx!$O$7,0,(VLOOKUP($B43,Inputs!$F$3:$H$17,3,0)*((1+Inputs!$L$3)^Financials!ES$3)))</f>
        <v>159306.92454421276</v>
      </c>
      <c r="ET43" s="18">
        <f>IF(ET$1&lt;CapEx!$O$7,0,(VLOOKUP($B43,Inputs!$F$3:$H$17,3,0)*((1+Inputs!$L$3)^Financials!ET$3)))</f>
        <v>159572.43608511981</v>
      </c>
      <c r="EU43" s="18">
        <f>IF(EU$1&lt;CapEx!$O$7,0,(VLOOKUP($B43,Inputs!$F$3:$H$17,3,0)*((1+Inputs!$L$3)^Financials!EU$3)))</f>
        <v>159838.39014526168</v>
      </c>
      <c r="EV43" s="18">
        <f>IF(EV$1&lt;CapEx!$O$7,0,(VLOOKUP($B43,Inputs!$F$3:$H$17,3,0)*((1+Inputs!$L$3)^Financials!EV$3)))</f>
        <v>160104.78746217044</v>
      </c>
      <c r="EW43" s="18">
        <f>IF(EW$1&lt;CapEx!$O$7,0,(VLOOKUP($B43,Inputs!$F$3:$H$17,3,0)*((1+Inputs!$L$3)^Financials!EW$3)))</f>
        <v>160371.62877460741</v>
      </c>
      <c r="EX43" s="18">
        <f>IF(EX$1&lt;CapEx!$O$7,0,(VLOOKUP($B43,Inputs!$F$3:$H$17,3,0)*((1+Inputs!$L$3)^Financials!EX$3)))</f>
        <v>160638.91482256513</v>
      </c>
      <c r="EY43" s="18">
        <f>IF(EY$1&lt;CapEx!$O$7,0,(VLOOKUP($B43,Inputs!$F$3:$H$17,3,0)*((1+Inputs!$L$3)^Financials!EY$3)))</f>
        <v>160906.64634726939</v>
      </c>
      <c r="EZ43" s="18">
        <f>IF(EZ$1&lt;CapEx!$O$7,0,(VLOOKUP($B43,Inputs!$F$3:$H$17,3,0)*((1+Inputs!$L$3)^Financials!EZ$3)))</f>
        <v>161174.82409118154</v>
      </c>
      <c r="FA43" s="18">
        <f>IF(FA$1&lt;CapEx!$O$7,0,(VLOOKUP($B43,Inputs!$F$3:$H$17,3,0)*((1+Inputs!$L$3)^Financials!FA$3)))</f>
        <v>161443.44879800017</v>
      </c>
      <c r="FB43" s="18">
        <f>IF(FB$1&lt;CapEx!$O$7,0,(VLOOKUP($B43,Inputs!$F$3:$H$17,3,0)*((1+Inputs!$L$3)^Financials!FB$3)))</f>
        <v>161712.5212126635</v>
      </c>
      <c r="FC43" s="18">
        <f>IF(FC$1&lt;CapEx!$O$7,0,(VLOOKUP($B43,Inputs!$F$3:$H$17,3,0)*((1+Inputs!$L$3)^Financials!FC$3)))</f>
        <v>161982.0420813513</v>
      </c>
      <c r="FD43" s="18">
        <f>IF(FD$1&lt;CapEx!$O$7,0,(VLOOKUP($B43,Inputs!$F$3:$H$17,3,0)*((1+Inputs!$L$3)^Financials!FD$3)))</f>
        <v>162252.01215148691</v>
      </c>
      <c r="FE43" s="18">
        <f>IF(FE$1&lt;CapEx!$O$7,0,(VLOOKUP($B43,Inputs!$F$3:$H$17,3,0)*((1+Inputs!$L$3)^Financials!FE$3)))</f>
        <v>162522.43217173938</v>
      </c>
      <c r="FF43" s="18">
        <f>IF(FF$1&lt;CapEx!$O$7,0,(VLOOKUP($B43,Inputs!$F$3:$H$17,3,0)*((1+Inputs!$L$3)^Financials!FF$3)))</f>
        <v>162793.30289202565</v>
      </c>
      <c r="FG43" s="18">
        <f>IF(FG$1&lt;CapEx!$O$7,0,(VLOOKUP($B43,Inputs!$F$3:$H$17,3,0)*((1+Inputs!$L$3)^Financials!FG$3)))</f>
        <v>163064.62506351236</v>
      </c>
      <c r="FH43" s="18">
        <f>IF(FH$1&lt;CapEx!$O$7,0,(VLOOKUP($B43,Inputs!$F$3:$H$17,3,0)*((1+Inputs!$L$3)^Financials!FH$3)))</f>
        <v>163336.39943861822</v>
      </c>
      <c r="FI43" s="18">
        <f>IF(FI$1&lt;CapEx!$O$7,0,(VLOOKUP($B43,Inputs!$F$3:$H$17,3,0)*((1+Inputs!$L$3)^Financials!FI$3)))</f>
        <v>163608.62677101593</v>
      </c>
      <c r="FJ43" s="18">
        <f>IF(FJ$1&lt;CapEx!$O$7,0,(VLOOKUP($B43,Inputs!$F$3:$H$17,3,0)*((1+Inputs!$L$3)^Financials!FJ$3)))</f>
        <v>163881.3078156343</v>
      </c>
      <c r="FK43" s="18">
        <f>IF(FK$1&lt;CapEx!$O$7,0,(VLOOKUP($B43,Inputs!$F$3:$H$17,3,0)*((1+Inputs!$L$3)^Financials!FK$3)))</f>
        <v>164154.44332866039</v>
      </c>
      <c r="FL43" s="18">
        <f>IF(FL$1&lt;CapEx!$O$7,0,(VLOOKUP($B43,Inputs!$F$3:$H$17,3,0)*((1+Inputs!$L$3)^Financials!FL$3)))</f>
        <v>164428.03406754148</v>
      </c>
      <c r="FM43" s="18">
        <f>IF(FM$1&lt;CapEx!$O$7,0,(VLOOKUP($B43,Inputs!$F$3:$H$17,3,0)*((1+Inputs!$L$3)^Financials!FM$3)))</f>
        <v>164702.08079098738</v>
      </c>
      <c r="FN43" s="18">
        <f>IF(FN$1&lt;CapEx!$O$7,0,(VLOOKUP($B43,Inputs!$F$3:$H$17,3,0)*((1+Inputs!$L$3)^Financials!FN$3)))</f>
        <v>164976.58425897241</v>
      </c>
      <c r="FO43" s="18">
        <f>IF(FO$1&lt;CapEx!$O$7,0,(VLOOKUP($B43,Inputs!$F$3:$H$17,3,0)*((1+Inputs!$L$3)^Financials!FO$3)))</f>
        <v>165251.54523273735</v>
      </c>
      <c r="FP43" s="18">
        <f>IF(FP$1&lt;CapEx!$O$7,0,(VLOOKUP($B43,Inputs!$F$3:$H$17,3,0)*((1+Inputs!$L$3)^Financials!FP$3)))</f>
        <v>165526.96447479192</v>
      </c>
      <c r="FQ43" s="18">
        <f>IF(FQ$1&lt;CapEx!$O$7,0,(VLOOKUP($B43,Inputs!$F$3:$H$17,3,0)*((1+Inputs!$L$3)^Financials!FQ$3)))</f>
        <v>165802.84274891659</v>
      </c>
      <c r="FR43" s="18">
        <f>IF(FR$1&lt;CapEx!$O$7,0,(VLOOKUP($B43,Inputs!$F$3:$H$17,3,0)*((1+Inputs!$L$3)^Financials!FR$3)))</f>
        <v>166079.18082016477</v>
      </c>
      <c r="FS43" s="18">
        <f>IF(FS$1&lt;CapEx!$O$7,0,(VLOOKUP($B43,Inputs!$F$3:$H$17,3,0)*((1+Inputs!$L$3)^Financials!FS$3)))</f>
        <v>166355.9794548651</v>
      </c>
      <c r="FT43" s="18">
        <f>IF(FT$1&lt;CapEx!$O$7,0,(VLOOKUP($B43,Inputs!$F$3:$H$17,3,0)*((1+Inputs!$L$3)^Financials!FT$3)))</f>
        <v>166633.23942062317</v>
      </c>
      <c r="FU43" s="18">
        <f>IF(FU$1&lt;CapEx!$O$7,0,(VLOOKUP($B43,Inputs!$F$3:$H$17,3,0)*((1+Inputs!$L$3)^Financials!FU$3)))</f>
        <v>166910.96148632426</v>
      </c>
      <c r="FV43" s="18">
        <f>IF(FV$1&lt;CapEx!$O$7,0,(VLOOKUP($B43,Inputs!$F$3:$H$17,3,0)*((1+Inputs!$L$3)^Financials!FV$3)))</f>
        <v>167189.1464221348</v>
      </c>
      <c r="FW43" s="18">
        <f>IF(FW$1&lt;CapEx!$O$7,0,(VLOOKUP($B43,Inputs!$F$3:$H$17,3,0)*((1+Inputs!$L$3)^Financials!FW$3)))</f>
        <v>167467.79499950507</v>
      </c>
      <c r="FX43" s="18">
        <f>IF(FX$1&lt;CapEx!$O$7,0,(VLOOKUP($B43,Inputs!$F$3:$H$17,3,0)*((1+Inputs!$L$3)^Financials!FX$3)))</f>
        <v>167746.90799117088</v>
      </c>
      <c r="FY43" s="18">
        <f>IF(FY$1&lt;CapEx!$O$7,0,(VLOOKUP($B43,Inputs!$F$3:$H$17,3,0)*((1+Inputs!$L$3)^Financials!FY$3)))</f>
        <v>168026.4861711562</v>
      </c>
      <c r="FZ43" s="18">
        <f>IF(FZ$1&lt;CapEx!$O$7,0,(VLOOKUP($B43,Inputs!$F$3:$H$17,3,0)*((1+Inputs!$L$3)^Financials!FZ$3)))</f>
        <v>168306.53031477481</v>
      </c>
      <c r="GA43" s="18">
        <f>IF(GA$1&lt;CapEx!$O$7,0,(VLOOKUP($B43,Inputs!$F$3:$H$17,3,0)*((1+Inputs!$L$3)^Financials!GA$3)))</f>
        <v>168587.04119863277</v>
      </c>
      <c r="GB43" s="18">
        <f>IF(GB$1&lt;CapEx!$O$7,0,(VLOOKUP($B43,Inputs!$F$3:$H$17,3,0)*((1+Inputs!$L$3)^Financials!GB$3)))</f>
        <v>168868.01960063051</v>
      </c>
      <c r="GC43" s="18">
        <f>IF(GC$1&lt;CapEx!$O$7,0,(VLOOKUP($B43,Inputs!$F$3:$H$17,3,0)*((1+Inputs!$L$3)^Financials!GC$3)))</f>
        <v>169149.4662999649</v>
      </c>
      <c r="GD43" s="18">
        <f>IF(GD$1&lt;CapEx!$O$7,0,(VLOOKUP($B43,Inputs!$F$3:$H$17,3,0)*((1+Inputs!$L$3)^Financials!GD$3)))</f>
        <v>169431.38207713157</v>
      </c>
      <c r="GE43" s="18">
        <f>IF(GE$1&lt;CapEx!$O$7,0,(VLOOKUP($B43,Inputs!$F$3:$H$17,3,0)*((1+Inputs!$L$3)^Financials!GE$3)))</f>
        <v>169713.76771392673</v>
      </c>
      <c r="GF43" s="18">
        <f>IF(GF$1&lt;CapEx!$O$7,0,(VLOOKUP($B43,Inputs!$F$3:$H$17,3,0)*((1+Inputs!$L$3)^Financials!GF$3)))</f>
        <v>169996.62399344996</v>
      </c>
      <c r="GG43" s="18">
        <f>IF(GG$1&lt;CapEx!$O$7,0,(VLOOKUP($B43,Inputs!$F$3:$H$17,3,0)*((1+Inputs!$L$3)^Financials!GG$3)))</f>
        <v>170279.95170010574</v>
      </c>
      <c r="GH43" s="18">
        <f>IF(GH$1&lt;CapEx!$O$7,0,(VLOOKUP($B43,Inputs!$F$3:$H$17,3,0)*((1+Inputs!$L$3)^Financials!GH$3)))</f>
        <v>170563.7516196059</v>
      </c>
      <c r="GI43" s="18">
        <f>IF(GI$1&lt;CapEx!$O$7,0,(VLOOKUP($B43,Inputs!$F$3:$H$17,3,0)*((1+Inputs!$L$3)^Financials!GI$3)))</f>
        <v>170848.02453897195</v>
      </c>
      <c r="GJ43" s="18">
        <f>IF(GJ$1&lt;CapEx!$O$7,0,(VLOOKUP($B43,Inputs!$F$3:$H$17,3,0)*((1+Inputs!$L$3)^Financials!GJ$3)))</f>
        <v>171132.7712465369</v>
      </c>
      <c r="GK43" s="18">
        <f>IF(GK$1&lt;CapEx!$O$7,0,(VLOOKUP($B43,Inputs!$F$3:$H$17,3,0)*((1+Inputs!$L$3)^Financials!GK$3)))</f>
        <v>171417.99253194782</v>
      </c>
      <c r="GL43" s="18">
        <f>IF(GL$1&lt;CapEx!$O$7,0,(VLOOKUP($B43,Inputs!$F$3:$H$17,3,0)*((1+Inputs!$L$3)^Financials!GL$3)))</f>
        <v>171703.68918616776</v>
      </c>
      <c r="GM43" s="18">
        <f>IF(GM$1&lt;CapEx!$O$7,0,(VLOOKUP($B43,Inputs!$F$3:$H$17,3,0)*((1+Inputs!$L$3)^Financials!GM$3)))</f>
        <v>171989.86200147803</v>
      </c>
      <c r="GN43" s="18">
        <f>IF(GN$1&lt;CapEx!$O$7,0,(VLOOKUP($B43,Inputs!$F$3:$H$17,3,0)*((1+Inputs!$L$3)^Financials!GN$3)))</f>
        <v>172276.51177148049</v>
      </c>
      <c r="GO43" s="18">
        <f>IF(GO$1&lt;CapEx!$O$7,0,(VLOOKUP($B43,Inputs!$F$3:$H$17,3,0)*((1+Inputs!$L$3)^Financials!GO$3)))</f>
        <v>172563.63929109968</v>
      </c>
      <c r="GP43" s="18">
        <f>IF(GP$1&lt;CapEx!$O$7,0,(VLOOKUP($B43,Inputs!$F$3:$H$17,3,0)*((1+Inputs!$L$3)^Financials!GP$3)))</f>
        <v>172851.24535658484</v>
      </c>
      <c r="GQ43" s="18">
        <f>IF(GQ$1&lt;CapEx!$O$7,0,(VLOOKUP($B43,Inputs!$F$3:$H$17,3,0)*((1+Inputs!$L$3)^Financials!GQ$3)))</f>
        <v>173139.33076551248</v>
      </c>
      <c r="GR43" s="18">
        <f>IF(GR$1&lt;CapEx!$O$7,0,(VLOOKUP($B43,Inputs!$F$3:$H$17,3,0)*((1+Inputs!$L$3)^Financials!GR$3)))</f>
        <v>173427.89631678833</v>
      </c>
      <c r="GS43" s="18">
        <f>IF(GS$1&lt;CapEx!$O$7,0,(VLOOKUP($B43,Inputs!$F$3:$H$17,3,0)*((1+Inputs!$L$3)^Financials!GS$3)))</f>
        <v>173716.94281064966</v>
      </c>
      <c r="GT43" s="18">
        <f>IF(GT$1&lt;CapEx!$O$7,0,(VLOOKUP($B43,Inputs!$F$3:$H$17,3,0)*((1+Inputs!$L$3)^Financials!GT$3)))</f>
        <v>174006.47104866747</v>
      </c>
      <c r="GU43" s="18">
        <f>IF(GU$1&lt;CapEx!$O$7,0,(VLOOKUP($B43,Inputs!$F$3:$H$17,3,0)*((1+Inputs!$L$3)^Financials!GU$3)))</f>
        <v>174296.48183374855</v>
      </c>
      <c r="GV43" s="18">
        <f>IF(GV$1&lt;CapEx!$O$7,0,(VLOOKUP($B43,Inputs!$F$3:$H$17,3,0)*((1+Inputs!$L$3)^Financials!GV$3)))</f>
        <v>174586.97597013816</v>
      </c>
      <c r="GW43" s="18">
        <f>IF(GW$1&lt;CapEx!$O$7,0,(VLOOKUP($B43,Inputs!$F$3:$H$17,3,0)*((1+Inputs!$L$3)^Financials!GW$3)))</f>
        <v>174877.95426342171</v>
      </c>
      <c r="GX43" s="18">
        <f>IF(GX$1&lt;CapEx!$O$7,0,(VLOOKUP($B43,Inputs!$F$3:$H$17,3,0)*((1+Inputs!$L$3)^Financials!GX$3)))</f>
        <v>175169.41752052744</v>
      </c>
      <c r="GY43" s="18">
        <f>IF(GY$1&lt;CapEx!$O$7,0,(VLOOKUP($B43,Inputs!$F$3:$H$17,3,0)*((1+Inputs!$L$3)^Financials!GY$3)))</f>
        <v>175461.36654972832</v>
      </c>
      <c r="GZ43" s="18">
        <f>IF(GZ$1&lt;CapEx!$O$7,0,(VLOOKUP($B43,Inputs!$F$3:$H$17,3,0)*((1+Inputs!$L$3)^Financials!GZ$3)))</f>
        <v>175753.80216064455</v>
      </c>
      <c r="HA43" s="18">
        <f>IF(HA$1&lt;CapEx!$O$7,0,(VLOOKUP($B43,Inputs!$F$3:$H$17,3,0)*((1+Inputs!$L$3)^Financials!HA$3)))</f>
        <v>176046.72516424567</v>
      </c>
      <c r="HB43" s="18">
        <f>IF(HB$1&lt;CapEx!$O$7,0,(VLOOKUP($B43,Inputs!$F$3:$H$17,3,0)*((1+Inputs!$L$3)^Financials!HB$3)))</f>
        <v>176340.13637285275</v>
      </c>
      <c r="HC43" s="18">
        <f>IF(HC$1&lt;CapEx!$O$7,0,(VLOOKUP($B43,Inputs!$F$3:$H$17,3,0)*((1+Inputs!$L$3)^Financials!HC$3)))</f>
        <v>176634.03660014085</v>
      </c>
      <c r="HD43" s="18">
        <f>IF(HD$1&lt;CapEx!$O$7,0,(VLOOKUP($B43,Inputs!$F$3:$H$17,3,0)*((1+Inputs!$L$3)^Financials!HD$3)))</f>
        <v>176928.42666114107</v>
      </c>
      <c r="HE43" s="18">
        <f>IF(HE$1&lt;CapEx!$O$7,0,(VLOOKUP($B43,Inputs!$F$3:$H$17,3,0)*((1+Inputs!$L$3)^Financials!HE$3)))</f>
        <v>177223.307372243</v>
      </c>
      <c r="HF43" s="18">
        <f>IF(HF$1&lt;CapEx!$O$7,0,(VLOOKUP($B43,Inputs!$F$3:$H$17,3,0)*((1+Inputs!$L$3)^Financials!HF$3)))</f>
        <v>177518.67955119675</v>
      </c>
      <c r="HG43" s="18">
        <f>IF(HG$1&lt;CapEx!$O$7,0,(VLOOKUP($B43,Inputs!$F$3:$H$17,3,0)*((1+Inputs!$L$3)^Financials!HG$3)))</f>
        <v>177814.5440171154</v>
      </c>
      <c r="HH43" s="18">
        <f>IF(HH$1&lt;CapEx!$O$7,0,(VLOOKUP($B43,Inputs!$F$3:$H$17,3,0)*((1+Inputs!$L$3)^Financials!HH$3)))</f>
        <v>178110.90159047727</v>
      </c>
      <c r="HI43" s="18">
        <f>IF(HI$1&lt;CapEx!$O$7,0,(VLOOKUP($B43,Inputs!$F$3:$H$17,3,0)*((1+Inputs!$L$3)^Financials!HI$3)))</f>
        <v>178407.75309312806</v>
      </c>
      <c r="HJ43" s="18">
        <f>IF(HJ$1&lt;CapEx!$O$7,0,(VLOOKUP($B43,Inputs!$F$3:$H$17,3,0)*((1+Inputs!$L$3)^Financials!HJ$3)))</f>
        <v>178705.09934828331</v>
      </c>
      <c r="HK43" s="18">
        <f>IF(HK$1&lt;CapEx!$O$7,0,(VLOOKUP($B43,Inputs!$F$3:$H$17,3,0)*((1+Inputs!$L$3)^Financials!HK$3)))</f>
        <v>179002.94118053044</v>
      </c>
      <c r="HL43" s="18">
        <f>IF(HL$1&lt;CapEx!$O$7,0,(VLOOKUP($B43,Inputs!$F$3:$H$17,3,0)*((1+Inputs!$L$3)^Financials!HL$3)))</f>
        <v>179301.27941583135</v>
      </c>
      <c r="HM43" s="18">
        <f>IF(HM$1&lt;CapEx!$O$7,0,(VLOOKUP($B43,Inputs!$F$3:$H$17,3,0)*((1+Inputs!$L$3)^Financials!HM$3)))</f>
        <v>179600.11488152444</v>
      </c>
      <c r="HN43" s="18">
        <f>IF(HN$1&lt;CapEx!$O$7,0,(VLOOKUP($B43,Inputs!$F$3:$H$17,3,0)*((1+Inputs!$L$3)^Financials!HN$3)))</f>
        <v>179899.44840632696</v>
      </c>
      <c r="HO43" s="18">
        <f>IF(HO$1&lt;CapEx!$O$7,0,(VLOOKUP($B43,Inputs!$F$3:$H$17,3,0)*((1+Inputs!$L$3)^Financials!HO$3)))</f>
        <v>180199.28082033753</v>
      </c>
      <c r="HP43" s="18">
        <f>IF(HP$1&lt;CapEx!$O$7,0,(VLOOKUP($B43,Inputs!$F$3:$H$17,3,0)*((1+Inputs!$L$3)^Financials!HP$3)))</f>
        <v>180499.61295503812</v>
      </c>
      <c r="HQ43" s="18">
        <f>IF(HQ$1&lt;CapEx!$O$7,0,(VLOOKUP($B43,Inputs!$F$3:$H$17,3,0)*((1+Inputs!$L$3)^Financials!HQ$3)))</f>
        <v>180800.44564329649</v>
      </c>
      <c r="HR43" s="18">
        <f>IF(HR$1&lt;CapEx!$O$7,0,(VLOOKUP($B43,Inputs!$F$3:$H$17,3,0)*((1+Inputs!$L$3)^Financials!HR$3)))</f>
        <v>181101.7797193687</v>
      </c>
      <c r="HS43" s="18">
        <f>IF(HS$1&lt;CapEx!$O$7,0,(VLOOKUP($B43,Inputs!$F$3:$H$17,3,0)*((1+Inputs!$L$3)^Financials!HS$3)))</f>
        <v>181403.616018901</v>
      </c>
      <c r="HT43" s="18">
        <f>IF(HT$1&lt;CapEx!$O$7,0,(VLOOKUP($B43,Inputs!$F$3:$H$17,3,0)*((1+Inputs!$L$3)^Financials!HT$3)))</f>
        <v>181705.95537893247</v>
      </c>
      <c r="HU43" s="18">
        <f>IF(HU$1&lt;CapEx!$O$7,0,(VLOOKUP($B43,Inputs!$F$3:$H$17,3,0)*((1+Inputs!$L$3)^Financials!HU$3)))</f>
        <v>182008.79863789739</v>
      </c>
      <c r="HV43" s="18">
        <f>IF(HV$1&lt;CapEx!$O$7,0,(VLOOKUP($B43,Inputs!$F$3:$H$17,3,0)*((1+Inputs!$L$3)^Financials!HV$3)))</f>
        <v>182312.14663562726</v>
      </c>
      <c r="HW43" s="18">
        <f>IF(HW$1&lt;CapEx!$O$7,0,(VLOOKUP($B43,Inputs!$F$3:$H$17,3,0)*((1+Inputs!$L$3)^Financials!HW$3)))</f>
        <v>182616.00021335334</v>
      </c>
      <c r="HX43" s="18">
        <f>IF(HX$1&lt;CapEx!$O$7,0,(VLOOKUP($B43,Inputs!$F$3:$H$17,3,0)*((1+Inputs!$L$3)^Financials!HX$3)))</f>
        <v>182920.36021370889</v>
      </c>
      <c r="HY43" s="18">
        <f>IF(HY$1&lt;CapEx!$O$7,0,(VLOOKUP($B43,Inputs!$F$3:$H$17,3,0)*((1+Inputs!$L$3)^Financials!HY$3)))</f>
        <v>183225.22748073179</v>
      </c>
      <c r="HZ43" s="18">
        <f>IF(HZ$1&lt;CapEx!$O$7,0,(VLOOKUP($B43,Inputs!$F$3:$H$17,3,0)*((1+Inputs!$L$3)^Financials!HZ$3)))</f>
        <v>183530.60285986637</v>
      </c>
      <c r="IA43" s="18">
        <f>IF(IA$1&lt;CapEx!$O$7,0,(VLOOKUP($B43,Inputs!$F$3:$H$17,3,0)*((1+Inputs!$L$3)^Financials!IA$3)))</f>
        <v>183836.48719796611</v>
      </c>
      <c r="IB43" s="18">
        <f>IF(IB$1&lt;CapEx!$O$7,0,(VLOOKUP($B43,Inputs!$F$3:$H$17,3,0)*((1+Inputs!$L$3)^Financials!IB$3)))</f>
        <v>184142.88134329606</v>
      </c>
      <c r="IC43" s="18">
        <f>IF(IC$1&lt;CapEx!$O$7,0,(VLOOKUP($B43,Inputs!$F$3:$H$17,3,0)*((1+Inputs!$L$3)^Financials!IC$3)))</f>
        <v>184449.78614553492</v>
      </c>
      <c r="ID43" s="18">
        <f>IF(ID$1&lt;CapEx!$O$7,0,(VLOOKUP($B43,Inputs!$F$3:$H$17,3,0)*((1+Inputs!$L$3)^Financials!ID$3)))</f>
        <v>184757.2024557775</v>
      </c>
      <c r="IE43" s="18">
        <f>IF(IE$1&lt;CapEx!$O$7,0,(VLOOKUP($B43,Inputs!$F$3:$H$17,3,0)*((1+Inputs!$L$3)^Financials!IE$3)))</f>
        <v>185065.13112653716</v>
      </c>
      <c r="IF43" s="18">
        <f>IF(IF$1&lt;CapEx!$O$7,0,(VLOOKUP($B43,Inputs!$F$3:$H$17,3,0)*((1+Inputs!$L$3)^Financials!IF$3)))</f>
        <v>185373.57301174803</v>
      </c>
      <c r="IG43" s="18">
        <f>IF(IG$1&lt;CapEx!$O$7,0,(VLOOKUP($B43,Inputs!$F$3:$H$17,3,0)*((1+Inputs!$L$3)^Financials!IG$3)))</f>
        <v>185682.52896676763</v>
      </c>
      <c r="IH43" s="18">
        <f>IF(IH$1&lt;CapEx!$O$7,0,(VLOOKUP($B43,Inputs!$F$3:$H$17,3,0)*((1+Inputs!$L$3)^Financials!IH$3)))</f>
        <v>185991.99984837897</v>
      </c>
      <c r="II43" s="18">
        <f>IF(II$1&lt;CapEx!$O$7,0,(VLOOKUP($B43,Inputs!$F$3:$H$17,3,0)*((1+Inputs!$L$3)^Financials!II$3)))</f>
        <v>186301.98651479295</v>
      </c>
      <c r="IJ43" s="18">
        <f>IF(IJ$1&lt;CapEx!$O$7,0,(VLOOKUP($B43,Inputs!$F$3:$H$17,3,0)*((1+Inputs!$L$3)^Financials!IJ$3)))</f>
        <v>186612.4898256509</v>
      </c>
      <c r="IK43" s="18">
        <f>IF(IK$1&lt;CapEx!$O$7,0,(VLOOKUP($B43,Inputs!$F$3:$H$17,3,0)*((1+Inputs!$L$3)^Financials!IK$3)))</f>
        <v>186923.51064202702</v>
      </c>
      <c r="IL43" s="18">
        <f>IF(IL$1&lt;CapEx!$O$7,0,(VLOOKUP($B43,Inputs!$F$3:$H$17,3,0)*((1+Inputs!$L$3)^Financials!IL$3)))</f>
        <v>187235.04982643039</v>
      </c>
      <c r="IM43" s="18">
        <f>IF(IM$1&lt;CapEx!$O$7,0,(VLOOKUP($B43,Inputs!$F$3:$H$17,3,0)*((1+Inputs!$L$3)^Financials!IM$3)))</f>
        <v>187547.10824280779</v>
      </c>
      <c r="IN43" s="18">
        <f>IF(IN$1&lt;CapEx!$O$7,0,(VLOOKUP($B43,Inputs!$F$3:$H$17,3,0)*((1+Inputs!$L$3)^Financials!IN$3)))</f>
        <v>187859.68675654579</v>
      </c>
      <c r="IO43" s="18">
        <f>IF(IO$1&lt;CapEx!$O$7,0,(VLOOKUP($B43,Inputs!$F$3:$H$17,3,0)*((1+Inputs!$L$3)^Financials!IO$3)))</f>
        <v>188172.78623447343</v>
      </c>
      <c r="IP43" s="18">
        <f>IF(IP$1&lt;CapEx!$O$7,0,(VLOOKUP($B43,Inputs!$F$3:$H$17,3,0)*((1+Inputs!$L$3)^Financials!IP$3)))</f>
        <v>188486.40754486423</v>
      </c>
      <c r="IQ43" s="18">
        <f>IF(IQ$1&lt;CapEx!$O$7,0,(VLOOKUP($B43,Inputs!$F$3:$H$17,3,0)*((1+Inputs!$L$3)^Financials!IQ$3)))</f>
        <v>188800.55155743897</v>
      </c>
      <c r="IR43" s="18">
        <f>IF(IR$1&lt;CapEx!$O$7,0,(VLOOKUP($B43,Inputs!$F$3:$H$17,3,0)*((1+Inputs!$L$3)^Financials!IR$3)))</f>
        <v>189115.21914336804</v>
      </c>
      <c r="IS43" s="18">
        <f>IF(IS$1&lt;CapEx!$O$7,0,(VLOOKUP($B43,Inputs!$F$3:$H$17,3,0)*((1+Inputs!$L$3)^Financials!IS$3)))</f>
        <v>189430.41117527368</v>
      </c>
      <c r="IT43" s="18">
        <f>IF(IT$1&lt;CapEx!$O$7,0,(VLOOKUP($B43,Inputs!$F$3:$H$17,3,0)*((1+Inputs!$L$3)^Financials!IT$3)))</f>
        <v>189746.12852723247</v>
      </c>
      <c r="IU43" s="18">
        <f>IF(IU$1&lt;CapEx!$O$7,0,(VLOOKUP($B43,Inputs!$F$3:$H$17,3,0)*((1+Inputs!$L$3)^Financials!IU$3)))</f>
        <v>190062.37207477793</v>
      </c>
      <c r="IV43" s="18">
        <f>IF(IV$1&lt;CapEx!$O$7,0,(VLOOKUP($B43,Inputs!$F$3:$H$17,3,0)*((1+Inputs!$L$3)^Financials!IV$3)))</f>
        <v>190379.14269490255</v>
      </c>
      <c r="IW43" s="18">
        <f>IF(IW$1&lt;CapEx!$O$7,0,(VLOOKUP($B43,Inputs!$F$3:$H$17,3,0)*((1+Inputs!$L$3)^Financials!IW$3)))</f>
        <v>190696.44126606072</v>
      </c>
      <c r="IX43" s="18">
        <f>IF(IX$1&lt;CapEx!$O$7,0,(VLOOKUP($B43,Inputs!$F$3:$H$17,3,0)*((1+Inputs!$L$3)^Financials!IX$3)))</f>
        <v>191014.26866817087</v>
      </c>
      <c r="IY43" s="18">
        <f>IF(IY$1&lt;CapEx!$O$7,0,(VLOOKUP($B43,Inputs!$F$3:$H$17,3,0)*((1+Inputs!$L$3)^Financials!IY$3)))</f>
        <v>191332.62578261783</v>
      </c>
      <c r="IZ43" s="18">
        <f>IF(IZ$1&lt;CapEx!$O$7,0,(VLOOKUP($B43,Inputs!$F$3:$H$17,3,0)*((1+Inputs!$L$3)^Financials!IZ$3)))</f>
        <v>191651.5134922555</v>
      </c>
      <c r="JA43" s="18">
        <f>IF(JA$1&lt;CapEx!$O$7,0,(VLOOKUP($B43,Inputs!$F$3:$H$17,3,0)*((1+Inputs!$L$3)^Financials!JA$3)))</f>
        <v>191970.93268140932</v>
      </c>
      <c r="JB43" s="18">
        <f>IF(JB$1&lt;CapEx!$O$7,0,(VLOOKUP($B43,Inputs!$F$3:$H$17,3,0)*((1+Inputs!$L$3)^Financials!JB$3)))</f>
        <v>192290.88423587833</v>
      </c>
      <c r="JC43" s="18">
        <f>IF(JC$1&lt;CapEx!$O$7,0,(VLOOKUP($B43,Inputs!$F$3:$H$17,3,0)*((1+Inputs!$L$3)^Financials!JC$3)))</f>
        <v>192611.36904293817</v>
      </c>
      <c r="JD43" s="18">
        <f>IF(JD$1&lt;CapEx!$O$7,0,(VLOOKUP($B43,Inputs!$F$3:$H$17,3,0)*((1+Inputs!$L$3)^Financials!JD$3)))</f>
        <v>192932.38799134304</v>
      </c>
      <c r="JE43" s="18">
        <f>IF(JE$1&lt;CapEx!$O$7,0,(VLOOKUP($B43,Inputs!$F$3:$H$17,3,0)*((1+Inputs!$L$3)^Financials!JE$3)))</f>
        <v>193253.9419713286</v>
      </c>
      <c r="JF43" s="18">
        <f>IF(JF$1&lt;CapEx!$O$7,0,(VLOOKUP($B43,Inputs!$F$3:$H$17,3,0)*((1+Inputs!$L$3)^Financials!JF$3)))</f>
        <v>193576.03187461421</v>
      </c>
      <c r="JG43" s="18">
        <f>IF(JG$1&lt;CapEx!$O$7,0,(VLOOKUP($B43,Inputs!$F$3:$H$17,3,0)*((1+Inputs!$L$3)^Financials!JG$3)))</f>
        <v>193898.65859440525</v>
      </c>
      <c r="JH43" s="18">
        <f>IF(JH$1&lt;CapEx!$O$7,0,(VLOOKUP($B43,Inputs!$F$3:$H$17,3,0)*((1+Inputs!$L$3)^Financials!JH$3)))</f>
        <v>194221.82302539592</v>
      </c>
      <c r="JI43" s="18">
        <f>IF(JI$1&lt;CapEx!$O$7,0,(VLOOKUP($B43,Inputs!$F$3:$H$17,3,0)*((1+Inputs!$L$3)^Financials!JI$3)))</f>
        <v>194545.5260637716</v>
      </c>
      <c r="JJ43" s="18">
        <f>IF(JJ$1&lt;CapEx!$O$7,0,(VLOOKUP($B43,Inputs!$F$3:$H$17,3,0)*((1+Inputs!$L$3)^Financials!JJ$3)))</f>
        <v>194869.76860721118</v>
      </c>
      <c r="JK43" s="18">
        <f>IF(JK$1&lt;CapEx!$O$7,0,(VLOOKUP($B43,Inputs!$F$3:$H$17,3,0)*((1+Inputs!$L$3)^Financials!JK$3)))</f>
        <v>195194.55155488991</v>
      </c>
      <c r="JL43" s="18">
        <f>IF(JL$1&lt;CapEx!$O$7,0,(VLOOKUP($B43,Inputs!$F$3:$H$17,3,0)*((1+Inputs!$L$3)^Financials!JL$3)))</f>
        <v>195519.87580748141</v>
      </c>
      <c r="JM43" s="18">
        <f>IF(JM$1&lt;CapEx!$O$7,0,(VLOOKUP($B43,Inputs!$F$3:$H$17,3,0)*((1+Inputs!$L$3)^Financials!JM$3)))</f>
        <v>195845.74226716059</v>
      </c>
      <c r="JN43" s="18">
        <f>IF(JN$1&lt;CapEx!$O$7,0,(VLOOKUP($B43,Inputs!$F$3:$H$17,3,0)*((1+Inputs!$L$3)^Financials!JN$3)))</f>
        <v>196172.15183760587</v>
      </c>
      <c r="JO43" s="18">
        <f>IF(JO$1&lt;CapEx!$O$7,0,(VLOOKUP($B43,Inputs!$F$3:$H$17,3,0)*((1+Inputs!$L$3)^Financials!JO$3)))</f>
        <v>196499.1054240019</v>
      </c>
      <c r="JP43" s="18">
        <f>IF(JP$1&lt;CapEx!$O$7,0,(VLOOKUP($B43,Inputs!$F$3:$H$17,3,0)*((1+Inputs!$L$3)^Financials!JP$3)))</f>
        <v>196826.60393304189</v>
      </c>
      <c r="JQ43" s="18">
        <f>IF(JQ$1&lt;CapEx!$O$7,0,(VLOOKUP($B43,Inputs!$F$3:$H$17,3,0)*((1+Inputs!$L$3)^Financials!JQ$3)))</f>
        <v>197154.6482729303</v>
      </c>
      <c r="JR43" s="18">
        <f>IF(JR$1&lt;CapEx!$O$7,0,(VLOOKUP($B43,Inputs!$F$3:$H$17,3,0)*((1+Inputs!$L$3)^Financials!JR$3)))</f>
        <v>197483.23935338523</v>
      </c>
    </row>
    <row r="44" spans="2:278" x14ac:dyDescent="0.2">
      <c r="B44" s="21" t="str">
        <f>'Data Sources'!A91</f>
        <v>All insurance for the plant and risks</v>
      </c>
      <c r="C44" s="18">
        <f>SUM(Insurance!$D$12/12)</f>
        <v>601983.14987559081</v>
      </c>
      <c r="D44" s="18">
        <f>SUM(Insurance!$D$12/12)</f>
        <v>601983.14987559081</v>
      </c>
      <c r="E44" s="18">
        <f>SUM(Insurance!$D$12/12)</f>
        <v>601983.14987559081</v>
      </c>
      <c r="F44" s="18">
        <f>SUM(Insurance!$D$12/12)</f>
        <v>601983.14987559081</v>
      </c>
      <c r="G44" s="18">
        <f>SUM(Insurance!$D$12/12)</f>
        <v>601983.14987559081</v>
      </c>
      <c r="H44" s="18">
        <f>SUM(Insurance!$D$12/12)</f>
        <v>601983.14987559081</v>
      </c>
      <c r="I44" s="18">
        <f>SUM(Insurance!$D$12/12)</f>
        <v>601983.14987559081</v>
      </c>
      <c r="J44" s="18">
        <f>SUM(Insurance!$D$12/12)</f>
        <v>601983.14987559081</v>
      </c>
      <c r="K44" s="18">
        <f>SUM(Insurance!$D$12/12)</f>
        <v>601983.14987559081</v>
      </c>
      <c r="L44" s="18">
        <f>SUM(Insurance!$D$12/12)</f>
        <v>601983.14987559081</v>
      </c>
      <c r="M44" s="18">
        <f>SUM(Insurance!$D$12/12)</f>
        <v>601983.14987559081</v>
      </c>
      <c r="N44" s="18">
        <f>SUM(Insurance!$D$12/12)</f>
        <v>601983.14987559081</v>
      </c>
      <c r="O44" s="18">
        <f>SUM(Insurance!$E$12/12)</f>
        <v>625951.35646225046</v>
      </c>
      <c r="P44" s="18">
        <f>SUM(Insurance!$E$12/12)</f>
        <v>625951.35646225046</v>
      </c>
      <c r="Q44" s="18">
        <f>SUM(Insurance!$E$12/12)</f>
        <v>625951.35646225046</v>
      </c>
      <c r="R44" s="18">
        <f>SUM(Insurance!$E$12/12)</f>
        <v>625951.35646225046</v>
      </c>
      <c r="S44" s="18">
        <f>SUM(Insurance!$E$12/12)</f>
        <v>625951.35646225046</v>
      </c>
      <c r="T44" s="18">
        <f>SUM(Insurance!$E$12/12)</f>
        <v>625951.35646225046</v>
      </c>
      <c r="U44" s="18">
        <f>SUM(Insurance!$E$12/12)</f>
        <v>625951.35646225046</v>
      </c>
      <c r="V44" s="18">
        <f>SUM(Insurance!$E$12/12)</f>
        <v>625951.35646225046</v>
      </c>
      <c r="W44" s="18">
        <f>SUM(Insurance!$E$12/12)</f>
        <v>625951.35646225046</v>
      </c>
      <c r="X44" s="18">
        <f>SUM(Insurance!$E$12/12)</f>
        <v>625951.35646225046</v>
      </c>
      <c r="Y44" s="18">
        <f>SUM(Insurance!$E$12/12)</f>
        <v>625951.35646225046</v>
      </c>
      <c r="Z44" s="18">
        <f>SUM(Insurance!$E$12/12)</f>
        <v>625951.35646225046</v>
      </c>
      <c r="AA44" s="18">
        <f>SUM(Insurance!$F$12/12)</f>
        <v>595655.92953841493</v>
      </c>
      <c r="AB44" s="18">
        <f>SUM(Insurance!$F$12/12)</f>
        <v>595655.92953841493</v>
      </c>
      <c r="AC44" s="18">
        <f>SUM(Insurance!$F$12/12)</f>
        <v>595655.92953841493</v>
      </c>
      <c r="AD44" s="18">
        <f>SUM(Insurance!$F$12/12)</f>
        <v>595655.92953841493</v>
      </c>
      <c r="AE44" s="18">
        <f>SUM(Insurance!$F$12/12)</f>
        <v>595655.92953841493</v>
      </c>
      <c r="AF44" s="18">
        <f>SUM(Insurance!$F$12/12)</f>
        <v>595655.92953841493</v>
      </c>
      <c r="AG44" s="18">
        <f>SUM(Insurance!$F$12/12)</f>
        <v>595655.92953841493</v>
      </c>
      <c r="AH44" s="18">
        <f>SUM(Insurance!$F$12/12)</f>
        <v>595655.92953841493</v>
      </c>
      <c r="AI44" s="18">
        <f>SUM(Insurance!$F$12/12)</f>
        <v>595655.92953841493</v>
      </c>
      <c r="AJ44" s="18">
        <f>SUM(Insurance!$F$12/12)</f>
        <v>595655.92953841493</v>
      </c>
      <c r="AK44" s="18">
        <f>SUM(Insurance!$F$12/12)</f>
        <v>595655.92953841493</v>
      </c>
      <c r="AL44" s="18">
        <f>SUM(Insurance!$F$12/12)</f>
        <v>595655.92953841493</v>
      </c>
      <c r="AM44" s="18">
        <f>SUM(Insurance!$G$12/12)</f>
        <v>563170.44375268102</v>
      </c>
      <c r="AN44" s="18">
        <f>SUM(Insurance!$G$12/12)</f>
        <v>563170.44375268102</v>
      </c>
      <c r="AO44" s="18">
        <f>SUM(Insurance!$G$12/12)</f>
        <v>563170.44375268102</v>
      </c>
      <c r="AP44" s="18">
        <f>SUM(Insurance!$G$12/12)</f>
        <v>563170.44375268102</v>
      </c>
      <c r="AQ44" s="18">
        <f>SUM(Insurance!$G$12/12)</f>
        <v>563170.44375268102</v>
      </c>
      <c r="AR44" s="18">
        <f>SUM(Insurance!$G$12/12)</f>
        <v>563170.44375268102</v>
      </c>
      <c r="AS44" s="18">
        <f>SUM(Insurance!$G$12/12)</f>
        <v>563170.44375268102</v>
      </c>
      <c r="AT44" s="18">
        <f>SUM(Insurance!$G$12/12)</f>
        <v>563170.44375268102</v>
      </c>
      <c r="AU44" s="18">
        <f>SUM(Insurance!$G$12/12)</f>
        <v>563170.44375268102</v>
      </c>
      <c r="AV44" s="18">
        <f>SUM(Insurance!$G$12/12)</f>
        <v>563170.44375268102</v>
      </c>
      <c r="AW44" s="18">
        <f>SUM(Insurance!$G$12/12)</f>
        <v>563170.44375268102</v>
      </c>
      <c r="AX44" s="18">
        <f>SUM(Insurance!$G$12/12)</f>
        <v>563170.44375268102</v>
      </c>
      <c r="AY44" s="18">
        <f>SUM(Insurance!$H$12/12)</f>
        <v>528336.57957284234</v>
      </c>
      <c r="AZ44" s="18">
        <f>SUM(Insurance!$H$12/12)</f>
        <v>528336.57957284234</v>
      </c>
      <c r="BA44" s="18">
        <f>SUM(Insurance!$H$12/12)</f>
        <v>528336.57957284234</v>
      </c>
      <c r="BB44" s="18">
        <f>SUM(Insurance!$H$12/12)</f>
        <v>528336.57957284234</v>
      </c>
      <c r="BC44" s="18">
        <f>SUM(Insurance!$H$12/12)</f>
        <v>528336.57957284234</v>
      </c>
      <c r="BD44" s="18">
        <f>SUM(Insurance!$H$12/12)</f>
        <v>528336.57957284234</v>
      </c>
      <c r="BE44" s="18">
        <f>SUM(Insurance!$H$12/12)</f>
        <v>528336.57957284234</v>
      </c>
      <c r="BF44" s="18">
        <f>SUM(Insurance!$H$12/12)</f>
        <v>528336.57957284234</v>
      </c>
      <c r="BG44" s="18">
        <f>SUM(Insurance!$H$12/12)</f>
        <v>528336.57957284234</v>
      </c>
      <c r="BH44" s="18">
        <f>SUM(Insurance!$H$12/12)</f>
        <v>528336.57957284234</v>
      </c>
      <c r="BI44" s="18">
        <f>SUM(Insurance!$H$12/12)</f>
        <v>528336.57957284234</v>
      </c>
      <c r="BJ44" s="18">
        <f>SUM(Insurance!$H$12/12)</f>
        <v>528336.57957284234</v>
      </c>
      <c r="BK44" s="18">
        <f>SUM(Insurance!$I$12/12)</f>
        <v>490984.5725349079</v>
      </c>
      <c r="BL44" s="18">
        <f>SUM(Insurance!$I$12/12)</f>
        <v>490984.5725349079</v>
      </c>
      <c r="BM44" s="18">
        <f>SUM(Insurance!$I$12/12)</f>
        <v>490984.5725349079</v>
      </c>
      <c r="BN44" s="18">
        <f>SUM(Insurance!$I$12/12)</f>
        <v>490984.5725349079</v>
      </c>
      <c r="BO44" s="18">
        <f>SUM(Insurance!$I$12/12)</f>
        <v>490984.5725349079</v>
      </c>
      <c r="BP44" s="18">
        <f>SUM(Insurance!$I$12/12)</f>
        <v>490984.5725349079</v>
      </c>
      <c r="BQ44" s="18">
        <f>SUM(Insurance!$I$12/12)</f>
        <v>490984.5725349079</v>
      </c>
      <c r="BR44" s="18">
        <f>SUM(Insurance!$I$12/12)</f>
        <v>490984.5725349079</v>
      </c>
      <c r="BS44" s="18">
        <f>SUM(Insurance!$I$12/12)</f>
        <v>490984.5725349079</v>
      </c>
      <c r="BT44" s="18">
        <f>SUM(Insurance!$I$12/12)</f>
        <v>490984.5725349079</v>
      </c>
      <c r="BU44" s="18">
        <f>SUM(Insurance!$I$12/12)</f>
        <v>490984.5725349079</v>
      </c>
      <c r="BV44" s="18">
        <f>SUM(Insurance!$I$12/12)</f>
        <v>490984.5725349079</v>
      </c>
      <c r="BW44" s="18">
        <f>SUM(Insurance!$J$12/12)</f>
        <v>450932.38588805852</v>
      </c>
      <c r="BX44" s="18">
        <f>SUM(Insurance!$J$12/12)</f>
        <v>450932.38588805852</v>
      </c>
      <c r="BY44" s="18">
        <f>SUM(Insurance!$J$12/12)</f>
        <v>450932.38588805852</v>
      </c>
      <c r="BZ44" s="18">
        <f>SUM(Insurance!$J$12/12)</f>
        <v>450932.38588805852</v>
      </c>
      <c r="CA44" s="18">
        <f>SUM(Insurance!$J$12/12)</f>
        <v>450932.38588805852</v>
      </c>
      <c r="CB44" s="18">
        <f>SUM(Insurance!$J$12/12)</f>
        <v>450932.38588805852</v>
      </c>
      <c r="CC44" s="18">
        <f>SUM(Insurance!$J$12/12)</f>
        <v>450932.38588805852</v>
      </c>
      <c r="CD44" s="18">
        <f>SUM(Insurance!$J$12/12)</f>
        <v>450932.38588805852</v>
      </c>
      <c r="CE44" s="18">
        <f>SUM(Insurance!$J$12/12)</f>
        <v>450932.38588805852</v>
      </c>
      <c r="CF44" s="18">
        <f>SUM(Insurance!$J$12/12)</f>
        <v>450932.38588805852</v>
      </c>
      <c r="CG44" s="18">
        <f>SUM(Insurance!$J$12/12)</f>
        <v>450932.38588805852</v>
      </c>
      <c r="CH44" s="18">
        <f>SUM(Insurance!$J$12/12)</f>
        <v>450932.38588805852</v>
      </c>
      <c r="CI44" s="18">
        <f>SUM(Insurance!$K$12/12)</f>
        <v>407984.8234300394</v>
      </c>
      <c r="CJ44" s="18">
        <f>SUM(Insurance!$K$12/12)</f>
        <v>407984.8234300394</v>
      </c>
      <c r="CK44" s="18">
        <f>SUM(Insurance!$K$12/12)</f>
        <v>407984.8234300394</v>
      </c>
      <c r="CL44" s="18">
        <f>SUM(Insurance!$K$12/12)</f>
        <v>407984.8234300394</v>
      </c>
      <c r="CM44" s="18">
        <f>SUM(Insurance!$K$12/12)</f>
        <v>407984.8234300394</v>
      </c>
      <c r="CN44" s="18">
        <f>SUM(Insurance!$K$12/12)</f>
        <v>407984.8234300394</v>
      </c>
      <c r="CO44" s="18">
        <f>SUM(Insurance!$K$12/12)</f>
        <v>407984.8234300394</v>
      </c>
      <c r="CP44" s="18">
        <f>SUM(Insurance!$K$12/12)</f>
        <v>407984.8234300394</v>
      </c>
      <c r="CQ44" s="18">
        <f>SUM(Insurance!$K$12/12)</f>
        <v>407984.8234300394</v>
      </c>
      <c r="CR44" s="18">
        <f>SUM(Insurance!$K$12/12)</f>
        <v>407984.8234300394</v>
      </c>
      <c r="CS44" s="18">
        <f>SUM(Insurance!$K$12/12)</f>
        <v>407984.8234300394</v>
      </c>
      <c r="CT44" s="18">
        <f>SUM(Insurance!$K$12/12)</f>
        <v>407984.8234300394</v>
      </c>
      <c r="CU44" s="18">
        <f>SUM(Insurance!$L$12/12)</f>
        <v>361932.57820935181</v>
      </c>
      <c r="CV44" s="18">
        <f>SUM(Insurance!$L$12/12)</f>
        <v>361932.57820935181</v>
      </c>
      <c r="CW44" s="18">
        <f>SUM(Insurance!$L$12/12)</f>
        <v>361932.57820935181</v>
      </c>
      <c r="CX44" s="18">
        <f>SUM(Insurance!$L$12/12)</f>
        <v>361932.57820935181</v>
      </c>
      <c r="CY44" s="18">
        <f>SUM(Insurance!$L$12/12)</f>
        <v>361932.57820935181</v>
      </c>
      <c r="CZ44" s="18">
        <f>SUM(Insurance!$L$12/12)</f>
        <v>361932.57820935181</v>
      </c>
      <c r="DA44" s="18">
        <f>SUM(Insurance!$L$12/12)</f>
        <v>361932.57820935181</v>
      </c>
      <c r="DB44" s="18">
        <f>SUM(Insurance!$L$12/12)</f>
        <v>361932.57820935181</v>
      </c>
      <c r="DC44" s="18">
        <f>SUM(Insurance!$L$12/12)</f>
        <v>361932.57820935181</v>
      </c>
      <c r="DD44" s="18">
        <f>SUM(Insurance!$L$12/12)</f>
        <v>361932.57820935181</v>
      </c>
      <c r="DE44" s="18">
        <f>SUM(Insurance!$L$12/12)</f>
        <v>361932.57820935181</v>
      </c>
      <c r="DF44" s="18">
        <f>SUM(Insurance!$L$12/12)</f>
        <v>361932.57820935181</v>
      </c>
      <c r="DG44" s="18">
        <f>SUM(Insurance!$M$12/12)</f>
        <v>312551.21245804947</v>
      </c>
      <c r="DH44" s="18">
        <f>SUM(Insurance!$M$12/12)</f>
        <v>312551.21245804947</v>
      </c>
      <c r="DI44" s="18">
        <f>SUM(Insurance!$M$12/12)</f>
        <v>312551.21245804947</v>
      </c>
      <c r="DJ44" s="18">
        <f>SUM(Insurance!$M$12/12)</f>
        <v>312551.21245804947</v>
      </c>
      <c r="DK44" s="18">
        <f>SUM(Insurance!$M$12/12)</f>
        <v>312551.21245804947</v>
      </c>
      <c r="DL44" s="18">
        <f>SUM(Insurance!$M$12/12)</f>
        <v>312551.21245804947</v>
      </c>
      <c r="DM44" s="18">
        <f>SUM(Insurance!$M$12/12)</f>
        <v>312551.21245804947</v>
      </c>
      <c r="DN44" s="18">
        <f>SUM(Insurance!$M$12/12)</f>
        <v>312551.21245804947</v>
      </c>
      <c r="DO44" s="18">
        <f>SUM(Insurance!$M$12/12)</f>
        <v>312551.21245804947</v>
      </c>
      <c r="DP44" s="18">
        <f>SUM(Insurance!$M$12/12)</f>
        <v>312551.21245804947</v>
      </c>
      <c r="DQ44" s="18">
        <f>SUM(Insurance!$M$12/12)</f>
        <v>312551.21245804947</v>
      </c>
      <c r="DR44" s="18">
        <f>SUM(Insurance!$M$12/12)</f>
        <v>312551.21245804947</v>
      </c>
      <c r="DS44" s="18">
        <f>SUM(Insurance!$N$12/12)</f>
        <v>259600.06378379426</v>
      </c>
      <c r="DT44" s="18">
        <f>SUM(Insurance!$N$12/12)</f>
        <v>259600.06378379426</v>
      </c>
      <c r="DU44" s="18">
        <f>SUM(Insurance!$N$12/12)</f>
        <v>259600.06378379426</v>
      </c>
      <c r="DV44" s="18">
        <f>SUM(Insurance!$N$12/12)</f>
        <v>259600.06378379426</v>
      </c>
      <c r="DW44" s="18">
        <f>SUM(Insurance!$N$12/12)</f>
        <v>259600.06378379426</v>
      </c>
      <c r="DX44" s="18">
        <f>SUM(Insurance!$N$12/12)</f>
        <v>259600.06378379426</v>
      </c>
      <c r="DY44" s="18">
        <f>SUM(Insurance!$N$12/12)</f>
        <v>259600.06378379426</v>
      </c>
      <c r="DZ44" s="18">
        <f>SUM(Insurance!$N$12/12)</f>
        <v>259600.06378379426</v>
      </c>
      <c r="EA44" s="18">
        <f>SUM(Insurance!$N$12/12)</f>
        <v>259600.06378379426</v>
      </c>
      <c r="EB44" s="18">
        <f>SUM(Insurance!$N$12/12)</f>
        <v>259600.06378379426</v>
      </c>
      <c r="EC44" s="18">
        <f>SUM(Insurance!$N$12/12)</f>
        <v>259600.06378379426</v>
      </c>
      <c r="ED44" s="18">
        <f>SUM(Insurance!$N$12/12)</f>
        <v>259600.06378379426</v>
      </c>
      <c r="EE44" s="18">
        <f>SUM(Insurance!$O$12/12)</f>
        <v>227910.59205093468</v>
      </c>
      <c r="EF44" s="18">
        <f>SUM(Insurance!$O$12/12)</f>
        <v>227910.59205093468</v>
      </c>
      <c r="EG44" s="18">
        <f>SUM(Insurance!$O$12/12)</f>
        <v>227910.59205093468</v>
      </c>
      <c r="EH44" s="18">
        <f>SUM(Insurance!$O$12/12)</f>
        <v>227910.59205093468</v>
      </c>
      <c r="EI44" s="18">
        <f>SUM(Insurance!$O$12/12)</f>
        <v>227910.59205093468</v>
      </c>
      <c r="EJ44" s="18">
        <f>SUM(Insurance!$O$12/12)</f>
        <v>227910.59205093468</v>
      </c>
      <c r="EK44" s="18">
        <f>SUM(Insurance!$O$12/12)</f>
        <v>227910.59205093468</v>
      </c>
      <c r="EL44" s="18">
        <f>SUM(Insurance!$O$12/12)</f>
        <v>227910.59205093468</v>
      </c>
      <c r="EM44" s="18">
        <f>SUM(Insurance!$O$12/12)</f>
        <v>227910.59205093468</v>
      </c>
      <c r="EN44" s="18">
        <f>SUM(Insurance!$O$12/12)</f>
        <v>227910.59205093468</v>
      </c>
      <c r="EO44" s="18">
        <f>SUM(Insurance!$O$12/12)</f>
        <v>227910.59205093468</v>
      </c>
      <c r="EP44" s="18">
        <f>SUM(Insurance!$O$12/12)</f>
        <v>227910.59205093468</v>
      </c>
      <c r="EQ44" s="18">
        <f>SUM(Insurance!$P$12/12)</f>
        <v>206919.68651316976</v>
      </c>
      <c r="ER44" s="18">
        <f>SUM(Insurance!$P$12/12)</f>
        <v>206919.68651316976</v>
      </c>
      <c r="ES44" s="18">
        <f>SUM(Insurance!$P$12/12)</f>
        <v>206919.68651316976</v>
      </c>
      <c r="ET44" s="18">
        <f>SUM(Insurance!$P$12/12)</f>
        <v>206919.68651316976</v>
      </c>
      <c r="EU44" s="18">
        <f>SUM(Insurance!$P$12/12)</f>
        <v>206919.68651316976</v>
      </c>
      <c r="EV44" s="18">
        <f>SUM(Insurance!$P$12/12)</f>
        <v>206919.68651316976</v>
      </c>
      <c r="EW44" s="18">
        <f>SUM(Insurance!$P$12/12)</f>
        <v>206919.68651316976</v>
      </c>
      <c r="EX44" s="18">
        <f>SUM(Insurance!$P$12/12)</f>
        <v>206919.68651316976</v>
      </c>
      <c r="EY44" s="18">
        <f>SUM(Insurance!$P$12/12)</f>
        <v>206919.68651316976</v>
      </c>
      <c r="EZ44" s="18">
        <f>SUM(Insurance!$P$12/12)</f>
        <v>206919.68651316976</v>
      </c>
      <c r="FA44" s="18">
        <f>SUM(Insurance!$P$12/12)</f>
        <v>206919.68651316976</v>
      </c>
      <c r="FB44" s="18">
        <f>SUM(Insurance!$P$12/12)</f>
        <v>206919.68651316976</v>
      </c>
      <c r="FC44" s="18">
        <f>SUM(Insurance!$Q$12/12)</f>
        <v>184411.34671683423</v>
      </c>
      <c r="FD44" s="18">
        <f>SUM(Insurance!$Q$12/12)</f>
        <v>184411.34671683423</v>
      </c>
      <c r="FE44" s="18">
        <f>SUM(Insurance!$Q$12/12)</f>
        <v>184411.34671683423</v>
      </c>
      <c r="FF44" s="18">
        <f>SUM(Insurance!$Q$12/12)</f>
        <v>184411.34671683423</v>
      </c>
      <c r="FG44" s="18">
        <f>SUM(Insurance!$Q$12/12)</f>
        <v>184411.34671683423</v>
      </c>
      <c r="FH44" s="18">
        <f>SUM(Insurance!$Q$12/12)</f>
        <v>184411.34671683423</v>
      </c>
      <c r="FI44" s="18">
        <f>SUM(Insurance!$Q$12/12)</f>
        <v>184411.34671683423</v>
      </c>
      <c r="FJ44" s="18">
        <f>SUM(Insurance!$Q$12/12)</f>
        <v>184411.34671683423</v>
      </c>
      <c r="FK44" s="18">
        <f>SUM(Insurance!$Q$12/12)</f>
        <v>184411.34671683423</v>
      </c>
      <c r="FL44" s="18">
        <f>SUM(Insurance!$Q$12/12)</f>
        <v>184411.34671683423</v>
      </c>
      <c r="FM44" s="18">
        <f>SUM(Insurance!$Q$12/12)</f>
        <v>184411.34671683423</v>
      </c>
      <c r="FN44" s="18">
        <f>SUM(Insurance!$Q$12/12)</f>
        <v>184411.34671683423</v>
      </c>
      <c r="FO44" s="18">
        <f>SUM(Insurance!$R$12/12)</f>
        <v>160275.87721668198</v>
      </c>
      <c r="FP44" s="18">
        <f>SUM(Insurance!$R$12/12)</f>
        <v>160275.87721668198</v>
      </c>
      <c r="FQ44" s="18">
        <f>SUM(Insurance!$R$12/12)</f>
        <v>160275.87721668198</v>
      </c>
      <c r="FR44" s="18">
        <f>SUM(Insurance!$R$12/12)</f>
        <v>160275.87721668198</v>
      </c>
      <c r="FS44" s="18">
        <f>SUM(Insurance!$R$12/12)</f>
        <v>160275.87721668198</v>
      </c>
      <c r="FT44" s="18">
        <f>SUM(Insurance!$R$12/12)</f>
        <v>160275.87721668198</v>
      </c>
      <c r="FU44" s="18">
        <f>SUM(Insurance!$R$12/12)</f>
        <v>160275.87721668198</v>
      </c>
      <c r="FV44" s="18">
        <f>SUM(Insurance!$R$12/12)</f>
        <v>160275.87721668198</v>
      </c>
      <c r="FW44" s="18">
        <f>SUM(Insurance!$R$12/12)</f>
        <v>160275.87721668198</v>
      </c>
      <c r="FX44" s="18">
        <f>SUM(Insurance!$R$12/12)</f>
        <v>160275.87721668198</v>
      </c>
      <c r="FY44" s="18">
        <f>SUM(Insurance!$R$12/12)</f>
        <v>160275.87721668198</v>
      </c>
      <c r="FZ44" s="18">
        <f>SUM(Insurance!$R$12/12)</f>
        <v>160275.87721668198</v>
      </c>
      <c r="GA44" s="18">
        <f>SUM(Insurance!$S$12/12)</f>
        <v>134395.65267486052</v>
      </c>
      <c r="GB44" s="18">
        <f>SUM(Insurance!$S$12/12)</f>
        <v>134395.65267486052</v>
      </c>
      <c r="GC44" s="18">
        <f>SUM(Insurance!$S$12/12)</f>
        <v>134395.65267486052</v>
      </c>
      <c r="GD44" s="18">
        <f>SUM(Insurance!$S$12/12)</f>
        <v>134395.65267486052</v>
      </c>
      <c r="GE44" s="18">
        <f>SUM(Insurance!$S$12/12)</f>
        <v>134395.65267486052</v>
      </c>
      <c r="GF44" s="18">
        <f>SUM(Insurance!$S$12/12)</f>
        <v>134395.65267486052</v>
      </c>
      <c r="GG44" s="18">
        <f>SUM(Insurance!$S$12/12)</f>
        <v>134395.65267486052</v>
      </c>
      <c r="GH44" s="18">
        <f>SUM(Insurance!$S$12/12)</f>
        <v>134395.65267486052</v>
      </c>
      <c r="GI44" s="18">
        <f>SUM(Insurance!$S$12/12)</f>
        <v>134395.65267486052</v>
      </c>
      <c r="GJ44" s="18">
        <f>SUM(Insurance!$S$12/12)</f>
        <v>134395.65267486052</v>
      </c>
      <c r="GK44" s="18">
        <f>SUM(Insurance!$S$12/12)</f>
        <v>134395.65267486052</v>
      </c>
      <c r="GL44" s="18">
        <f>SUM(Insurance!$S$12/12)</f>
        <v>134395.65267486052</v>
      </c>
      <c r="GM44" s="18">
        <f>SUM(Insurance!$T$12/12)</f>
        <v>125359.64435425088</v>
      </c>
      <c r="GN44" s="18">
        <f>SUM(Insurance!$T$12/12)</f>
        <v>125359.64435425088</v>
      </c>
      <c r="GO44" s="18">
        <f>SUM(Insurance!$T$12/12)</f>
        <v>125359.64435425088</v>
      </c>
      <c r="GP44" s="18">
        <f>SUM(Insurance!$T$12/12)</f>
        <v>125359.64435425088</v>
      </c>
      <c r="GQ44" s="18">
        <f>SUM(Insurance!$T$12/12)</f>
        <v>125359.64435425088</v>
      </c>
      <c r="GR44" s="18">
        <f>SUM(Insurance!$T$12/12)</f>
        <v>125359.64435425088</v>
      </c>
      <c r="GS44" s="18">
        <f>SUM(Insurance!$T$12/12)</f>
        <v>125359.64435425088</v>
      </c>
      <c r="GT44" s="18">
        <f>SUM(Insurance!$T$12/12)</f>
        <v>125359.64435425088</v>
      </c>
      <c r="GU44" s="18">
        <f>SUM(Insurance!$T$12/12)</f>
        <v>125359.64435425088</v>
      </c>
      <c r="GV44" s="18">
        <f>SUM(Insurance!$T$12/12)</f>
        <v>125359.64435425088</v>
      </c>
      <c r="GW44" s="18">
        <f>SUM(Insurance!$T$12/12)</f>
        <v>125359.64435425088</v>
      </c>
      <c r="GX44" s="18">
        <f>SUM(Insurance!$T$12/12)</f>
        <v>125359.64435425088</v>
      </c>
      <c r="GY44" s="18">
        <f>SUM(Insurance!$U$12/12)</f>
        <v>125359.64435425088</v>
      </c>
      <c r="GZ44" s="18">
        <f>SUM(Insurance!$U$12/12)</f>
        <v>125359.64435425088</v>
      </c>
      <c r="HA44" s="18">
        <f>SUM(Insurance!$U$12/12)</f>
        <v>125359.64435425088</v>
      </c>
      <c r="HB44" s="18">
        <f>SUM(Insurance!$U$12/12)</f>
        <v>125359.64435425088</v>
      </c>
      <c r="HC44" s="18">
        <f>SUM(Insurance!$U$12/12)</f>
        <v>125359.64435425088</v>
      </c>
      <c r="HD44" s="18">
        <f>SUM(Insurance!$U$12/12)</f>
        <v>125359.64435425088</v>
      </c>
      <c r="HE44" s="18">
        <f>SUM(Insurance!$U$12/12)</f>
        <v>125359.64435425088</v>
      </c>
      <c r="HF44" s="18">
        <f>SUM(Insurance!$U$12/12)</f>
        <v>125359.64435425088</v>
      </c>
      <c r="HG44" s="18">
        <f>SUM(Insurance!$U$12/12)</f>
        <v>125359.64435425088</v>
      </c>
      <c r="HH44" s="18">
        <f>SUM(Insurance!$U$12/12)</f>
        <v>125359.64435425088</v>
      </c>
      <c r="HI44" s="18">
        <f>SUM(Insurance!$U$12/12)</f>
        <v>125359.64435425088</v>
      </c>
      <c r="HJ44" s="18">
        <f>SUM(Insurance!$U$12/12)</f>
        <v>125359.64435425088</v>
      </c>
      <c r="HK44" s="18">
        <f>SUM(Insurance!$U$12/12)</f>
        <v>125359.64435425088</v>
      </c>
      <c r="HL44" s="18">
        <f>SUM(Insurance!$U$12/12)</f>
        <v>125359.64435425088</v>
      </c>
      <c r="HM44" s="18">
        <f>SUM(Insurance!$U$12/12)</f>
        <v>125359.64435425088</v>
      </c>
      <c r="HN44" s="18">
        <f>SUM(Insurance!$U$12/12)</f>
        <v>125359.64435425088</v>
      </c>
      <c r="HO44" s="18">
        <f>SUM(Insurance!$U$12/12)</f>
        <v>125359.64435425088</v>
      </c>
      <c r="HP44" s="18">
        <f>SUM(Insurance!$U$12/12)</f>
        <v>125359.64435425088</v>
      </c>
      <c r="HQ44" s="18">
        <f>SUM(Insurance!$U$12/12)</f>
        <v>125359.64435425088</v>
      </c>
      <c r="HR44" s="18">
        <f>SUM(Insurance!$U$12/12)</f>
        <v>125359.64435425088</v>
      </c>
      <c r="HS44" s="18">
        <f>SUM(Insurance!$U$12/12)</f>
        <v>125359.64435425088</v>
      </c>
      <c r="HT44" s="18">
        <f>SUM(Insurance!$U$12/12)</f>
        <v>125359.64435425088</v>
      </c>
      <c r="HU44" s="18">
        <f>SUM(Insurance!$U$12/12)</f>
        <v>125359.64435425088</v>
      </c>
      <c r="HV44" s="18">
        <f>SUM(Insurance!$U$12/12)</f>
        <v>125359.64435425088</v>
      </c>
      <c r="HW44" s="18">
        <f>SUM(Insurance!$V$12/12)</f>
        <v>125359.64435425088</v>
      </c>
      <c r="HX44" s="18">
        <f>SUM(Insurance!$V$12/12)</f>
        <v>125359.64435425088</v>
      </c>
      <c r="HY44" s="18">
        <f>SUM(Insurance!$V$12/12)</f>
        <v>125359.64435425088</v>
      </c>
      <c r="HZ44" s="18">
        <f>SUM(Insurance!$V$12/12)</f>
        <v>125359.64435425088</v>
      </c>
      <c r="IA44" s="18">
        <f>SUM(Insurance!$V$12/12)</f>
        <v>125359.64435425088</v>
      </c>
      <c r="IB44" s="18">
        <f>SUM(Insurance!$V$12/12)</f>
        <v>125359.64435425088</v>
      </c>
      <c r="IC44" s="18">
        <f>SUM(Insurance!$V$12/12)</f>
        <v>125359.64435425088</v>
      </c>
      <c r="ID44" s="18">
        <f>SUM(Insurance!$V$12/12)</f>
        <v>125359.64435425088</v>
      </c>
      <c r="IE44" s="18">
        <f>SUM(Insurance!$V$12/12)</f>
        <v>125359.64435425088</v>
      </c>
      <c r="IF44" s="18">
        <f>SUM(Insurance!$V$12/12)</f>
        <v>125359.64435425088</v>
      </c>
      <c r="IG44" s="18">
        <f>SUM(Insurance!$V$12/12)</f>
        <v>125359.64435425088</v>
      </c>
      <c r="IH44" s="18">
        <f>SUM(Insurance!$V$12/12)</f>
        <v>125359.64435425088</v>
      </c>
      <c r="II44" s="18">
        <f>SUM(Insurance!$W$12/12)</f>
        <v>125359.64435425088</v>
      </c>
      <c r="IJ44" s="18">
        <f>SUM(Insurance!$W$12/12)</f>
        <v>125359.64435425088</v>
      </c>
      <c r="IK44" s="18">
        <f>SUM(Insurance!$W$12/12)</f>
        <v>125359.64435425088</v>
      </c>
      <c r="IL44" s="18">
        <f>SUM(Insurance!$W$12/12)</f>
        <v>125359.64435425088</v>
      </c>
      <c r="IM44" s="18">
        <f>SUM(Insurance!$W$12/12)</f>
        <v>125359.64435425088</v>
      </c>
      <c r="IN44" s="18">
        <f>SUM(Insurance!$W$12/12)</f>
        <v>125359.64435425088</v>
      </c>
      <c r="IO44" s="18">
        <f>SUM(Insurance!$W$12/12)</f>
        <v>125359.64435425088</v>
      </c>
      <c r="IP44" s="18">
        <f>SUM(Insurance!$W$12/12)</f>
        <v>125359.64435425088</v>
      </c>
      <c r="IQ44" s="18">
        <f>SUM(Insurance!$W$12/12)</f>
        <v>125359.64435425088</v>
      </c>
      <c r="IR44" s="18">
        <f>SUM(Insurance!$W$12/12)</f>
        <v>125359.64435425088</v>
      </c>
      <c r="IS44" s="18">
        <f>SUM(Insurance!$W$12/12)</f>
        <v>125359.64435425088</v>
      </c>
      <c r="IT44" s="18">
        <f>SUM(Insurance!$W$12/12)</f>
        <v>125359.64435425088</v>
      </c>
      <c r="IU44" s="18">
        <f>SUM(Insurance!$X$12/12)</f>
        <v>125359.64435425088</v>
      </c>
      <c r="IV44" s="18">
        <f>SUM(Insurance!$X$12/12)</f>
        <v>125359.64435425088</v>
      </c>
      <c r="IW44" s="18">
        <f>SUM(Insurance!$X$12/12)</f>
        <v>125359.64435425088</v>
      </c>
      <c r="IX44" s="18">
        <f>SUM(Insurance!$X$12/12)</f>
        <v>125359.64435425088</v>
      </c>
      <c r="IY44" s="18">
        <f>SUM(Insurance!$X$12/12)</f>
        <v>125359.64435425088</v>
      </c>
      <c r="IZ44" s="18">
        <f>SUM(Insurance!$X$12/12)</f>
        <v>125359.64435425088</v>
      </c>
      <c r="JA44" s="18">
        <f>SUM(Insurance!$X$12/12)</f>
        <v>125359.64435425088</v>
      </c>
      <c r="JB44" s="18">
        <f>SUM(Insurance!$X$12/12)</f>
        <v>125359.64435425088</v>
      </c>
      <c r="JC44" s="18">
        <f>SUM(Insurance!$X$12/12)</f>
        <v>125359.64435425088</v>
      </c>
      <c r="JD44" s="18">
        <f>SUM(Insurance!$X$12/12)</f>
        <v>125359.64435425088</v>
      </c>
      <c r="JE44" s="18">
        <f>SUM(Insurance!$X$12/12)</f>
        <v>125359.64435425088</v>
      </c>
      <c r="JF44" s="18">
        <f>SUM(Insurance!$X$12/12)</f>
        <v>125359.64435425088</v>
      </c>
      <c r="JG44" s="18">
        <f>SUM(Insurance!$Y$12/12)</f>
        <v>125359.64435425088</v>
      </c>
      <c r="JH44" s="18">
        <f>SUM(Insurance!$Y$12/12)</f>
        <v>125359.64435425088</v>
      </c>
      <c r="JI44" s="18">
        <f>SUM(Insurance!$Y$12/12)</f>
        <v>125359.64435425088</v>
      </c>
      <c r="JJ44" s="18">
        <f>SUM(Insurance!$Y$12/12)</f>
        <v>125359.64435425088</v>
      </c>
      <c r="JK44" s="18">
        <f>SUM(Insurance!$Y$12/12)</f>
        <v>125359.64435425088</v>
      </c>
      <c r="JL44" s="18">
        <f>SUM(Insurance!$Y$12/12)</f>
        <v>125359.64435425088</v>
      </c>
      <c r="JM44" s="18">
        <f>SUM(Insurance!$Y$12/12)</f>
        <v>125359.64435425088</v>
      </c>
      <c r="JN44" s="18">
        <f>SUM(Insurance!$Y$12/12)</f>
        <v>125359.64435425088</v>
      </c>
      <c r="JO44" s="18">
        <f>SUM(Insurance!$Y$12/12)</f>
        <v>125359.64435425088</v>
      </c>
      <c r="JP44" s="18">
        <f>SUM(Insurance!$Y$12/12)</f>
        <v>125359.64435425088</v>
      </c>
      <c r="JQ44" s="18">
        <f>SUM(Insurance!$Y$12/12)</f>
        <v>125359.64435425088</v>
      </c>
      <c r="JR44" s="18">
        <f>SUM(Insurance!$Y$12/12)</f>
        <v>125359.64435425088</v>
      </c>
    </row>
    <row r="45" spans="2:278" x14ac:dyDescent="0.2">
      <c r="B45" s="21" t="str">
        <f>'Data Sources'!A103</f>
        <v xml:space="preserve">Land Rental </v>
      </c>
      <c r="C45" s="18">
        <f>IF(C$1&lt;CapEx!$O$7,0,(VLOOKUP($B45,Inputs!$F$3:$H$18,3,0)*((1+Inputs!$L$3)^Financials!C$3)))</f>
        <v>0</v>
      </c>
      <c r="D45" s="18">
        <f>IF(D$1&lt;CapEx!$O$7,0,(VLOOKUP($B45,Inputs!$F$3:$H$18,3,0)*((1+Inputs!$L$3)^Financials!D$3)))</f>
        <v>0</v>
      </c>
      <c r="E45" s="18">
        <f>IF(E$1&lt;CapEx!$O$7,0,(VLOOKUP($B45,Inputs!$F$3:$H$18,3,0)*((1+Inputs!$L$3)^Financials!E$3)))</f>
        <v>0</v>
      </c>
      <c r="F45" s="18">
        <f>IF(F$1&lt;CapEx!$O$7,0,(VLOOKUP($B45,Inputs!$F$3:$H$18,3,0)*((1+Inputs!$L$3)^Financials!F$3)))</f>
        <v>0</v>
      </c>
      <c r="G45" s="18">
        <f>IF(G$1&lt;CapEx!$O$7,0,(VLOOKUP($B45,Inputs!$F$3:$H$18,3,0)*((1+Inputs!$L$3)^Financials!G$3)))</f>
        <v>0</v>
      </c>
      <c r="H45" s="18">
        <f>IF(H$1&lt;CapEx!$O$7,0,(VLOOKUP($B45,Inputs!$F$3:$H$18,3,0)*((1+Inputs!$L$3)^Financials!H$3)))</f>
        <v>0</v>
      </c>
      <c r="I45" s="18">
        <f>IF(I$1&lt;CapEx!$O$7,0,(VLOOKUP($B45,Inputs!$F$3:$H$18,3,0)*((1+Inputs!$L$3)^Financials!I$3)))</f>
        <v>0</v>
      </c>
      <c r="J45" s="18">
        <f>IF(J$1&lt;CapEx!$O$7,0,(VLOOKUP($B45,Inputs!$F$3:$H$18,3,0)*((1+Inputs!$L$3)^Financials!J$3)))</f>
        <v>0</v>
      </c>
      <c r="K45" s="18">
        <f>IF(K$1&lt;CapEx!$O$7,0,(VLOOKUP($B45,Inputs!$F$3:$H$18,3,0)*((1+Inputs!$L$3)^Financials!K$3)))</f>
        <v>0</v>
      </c>
      <c r="L45" s="18">
        <f>IF(L$1&lt;CapEx!$O$7,0,(VLOOKUP($B45,Inputs!$F$3:$H$18,3,0)*((1+Inputs!$L$3)^Financials!L$3)))</f>
        <v>0</v>
      </c>
      <c r="M45" s="18">
        <f>IF(M$1&lt;CapEx!$O$7,0,(VLOOKUP($B45,Inputs!$F$3:$H$18,3,0)*((1+Inputs!$L$3)^Financials!M$3)))</f>
        <v>0</v>
      </c>
      <c r="N45" s="18">
        <f>IF(N$1&lt;CapEx!$O$7,0,(VLOOKUP($B45,Inputs!$F$3:$H$18,3,0)*((1+Inputs!$L$3)^Financials!N$3)))</f>
        <v>0</v>
      </c>
      <c r="O45" s="18">
        <f>IF(O$1&lt;CapEx!$O$7,0,(VLOOKUP($B45,Inputs!$F$3:$H$18,3,0)*((1+Inputs!$L$3)^Financials!O$3)))</f>
        <v>0</v>
      </c>
      <c r="P45" s="18">
        <f>IF(P$1&lt;CapEx!$O$7,0,(VLOOKUP($B45,Inputs!$F$3:$H$18,3,0)*((1+Inputs!$L$3)^Financials!P$3)))</f>
        <v>0</v>
      </c>
      <c r="Q45" s="18">
        <f>IF(Q$1&lt;CapEx!$O$7,0,(VLOOKUP($B45,Inputs!$F$3:$H$18,3,0)*((1+Inputs!$L$3)^Financials!Q$3)))</f>
        <v>0</v>
      </c>
      <c r="R45" s="18">
        <f>IF(R$1&lt;CapEx!$O$7,0,(VLOOKUP($B45,Inputs!$F$3:$H$18,3,0)*((1+Inputs!$L$3)^Financials!R$3)))</f>
        <v>8333.3333333333339</v>
      </c>
      <c r="S45" s="18">
        <f>IF(S$1&lt;CapEx!$O$7,0,(VLOOKUP($B45,Inputs!$F$3:$H$18,3,0)*((1+Inputs!$L$3)^Financials!S$3)))</f>
        <v>8347.2222222222226</v>
      </c>
      <c r="T45" s="18">
        <f>IF(T$1&lt;CapEx!$O$7,0,(VLOOKUP($B45,Inputs!$F$3:$H$18,3,0)*((1+Inputs!$L$3)^Financials!T$3)))</f>
        <v>8361.1342592592609</v>
      </c>
      <c r="U45" s="18">
        <f>IF(U$1&lt;CapEx!$O$7,0,(VLOOKUP($B45,Inputs!$F$3:$H$18,3,0)*((1+Inputs!$L$3)^Financials!U$3)))</f>
        <v>8375.0694830246921</v>
      </c>
      <c r="V45" s="18">
        <f>IF(V$1&lt;CapEx!$O$7,0,(VLOOKUP($B45,Inputs!$F$3:$H$18,3,0)*((1+Inputs!$L$3)^Financials!V$3)))</f>
        <v>8389.0279321630678</v>
      </c>
      <c r="W45" s="18">
        <f>IF(W$1&lt;CapEx!$O$7,0,(VLOOKUP($B45,Inputs!$F$3:$H$18,3,0)*((1+Inputs!$L$3)^Financials!W$3)))</f>
        <v>8403.0096453833394</v>
      </c>
      <c r="X45" s="18">
        <f>IF(X$1&lt;CapEx!$O$7,0,(VLOOKUP($B45,Inputs!$F$3:$H$18,3,0)*((1+Inputs!$L$3)^Financials!X$3)))</f>
        <v>8417.0146614589794</v>
      </c>
      <c r="Y45" s="18">
        <f>IF(Y$1&lt;CapEx!$O$7,0,(VLOOKUP($B45,Inputs!$F$3:$H$18,3,0)*((1+Inputs!$L$3)^Financials!Y$3)))</f>
        <v>8431.0430192280783</v>
      </c>
      <c r="Z45" s="18">
        <f>IF(Z$1&lt;CapEx!$O$7,0,(VLOOKUP($B45,Inputs!$F$3:$H$18,3,0)*((1+Inputs!$L$3)^Financials!Z$3)))</f>
        <v>8445.0947575934606</v>
      </c>
      <c r="AA45" s="18">
        <f>IF(AA$1&lt;CapEx!$O$7,0,(VLOOKUP($B45,Inputs!$F$3:$H$18,3,0)*((1+Inputs!$L$3)^Financials!AA$3)))</f>
        <v>8459.1699155227816</v>
      </c>
      <c r="AB45" s="18">
        <f>IF(AB$1&lt;CapEx!$O$7,0,(VLOOKUP($B45,Inputs!$F$3:$H$18,3,0)*((1+Inputs!$L$3)^Financials!AB$3)))</f>
        <v>8473.2685320486544</v>
      </c>
      <c r="AC45" s="18">
        <f>IF(AC$1&lt;CapEx!$O$7,0,(VLOOKUP($B45,Inputs!$F$3:$H$18,3,0)*((1+Inputs!$L$3)^Financials!AC$3)))</f>
        <v>8487.3906462687355</v>
      </c>
      <c r="AD45" s="18">
        <f>IF(AD$1&lt;CapEx!$O$7,0,(VLOOKUP($B45,Inputs!$F$3:$H$18,3,0)*((1+Inputs!$L$3)^Financials!AD$3)))</f>
        <v>8501.5362973458505</v>
      </c>
      <c r="AE45" s="18">
        <f>IF(AE$1&lt;CapEx!$O$7,0,(VLOOKUP($B45,Inputs!$F$3:$H$18,3,0)*((1+Inputs!$L$3)^Financials!AE$3)))</f>
        <v>8515.7055245080937</v>
      </c>
      <c r="AF45" s="18">
        <f>IF(AF$1&lt;CapEx!$O$7,0,(VLOOKUP($B45,Inputs!$F$3:$H$18,3,0)*((1+Inputs!$L$3)^Financials!AF$3)))</f>
        <v>8529.8983670489433</v>
      </c>
      <c r="AG45" s="18">
        <f>IF(AG$1&lt;CapEx!$O$7,0,(VLOOKUP($B45,Inputs!$F$3:$H$18,3,0)*((1+Inputs!$L$3)^Financials!AG$3)))</f>
        <v>8544.1148643273573</v>
      </c>
      <c r="AH45" s="18">
        <f>IF(AH$1&lt;CapEx!$O$7,0,(VLOOKUP($B45,Inputs!$F$3:$H$18,3,0)*((1+Inputs!$L$3)^Financials!AH$3)))</f>
        <v>8558.3550557679046</v>
      </c>
      <c r="AI45" s="18">
        <f>IF(AI$1&lt;CapEx!$O$7,0,(VLOOKUP($B45,Inputs!$F$3:$H$18,3,0)*((1+Inputs!$L$3)^Financials!AI$3)))</f>
        <v>8572.6189808608506</v>
      </c>
      <c r="AJ45" s="18">
        <f>IF(AJ$1&lt;CapEx!$O$7,0,(VLOOKUP($B45,Inputs!$F$3:$H$18,3,0)*((1+Inputs!$L$3)^Financials!AJ$3)))</f>
        <v>8586.9066791622863</v>
      </c>
      <c r="AK45" s="18">
        <f>IF(AK$1&lt;CapEx!$O$7,0,(VLOOKUP($B45,Inputs!$F$3:$H$18,3,0)*((1+Inputs!$L$3)^Financials!AK$3)))</f>
        <v>8601.2181902942248</v>
      </c>
      <c r="AL45" s="18">
        <f>IF(AL$1&lt;CapEx!$O$7,0,(VLOOKUP($B45,Inputs!$F$3:$H$18,3,0)*((1+Inputs!$L$3)^Financials!AL$3)))</f>
        <v>8615.5535539447155</v>
      </c>
      <c r="AM45" s="18">
        <f>IF(AM$1&lt;CapEx!$O$7,0,(VLOOKUP($B45,Inputs!$F$3:$H$18,3,0)*((1+Inputs!$L$3)^Financials!AM$3)))</f>
        <v>8629.9128098679575</v>
      </c>
      <c r="AN45" s="18">
        <f>IF(AN$1&lt;CapEx!$O$7,0,(VLOOKUP($B45,Inputs!$F$3:$H$18,3,0)*((1+Inputs!$L$3)^Financials!AN$3)))</f>
        <v>8644.2959978844028</v>
      </c>
      <c r="AO45" s="18">
        <f>IF(AO$1&lt;CapEx!$O$7,0,(VLOOKUP($B45,Inputs!$F$3:$H$18,3,0)*((1+Inputs!$L$3)^Financials!AO$3)))</f>
        <v>8658.7031578808783</v>
      </c>
      <c r="AP45" s="18">
        <f>IF(AP$1&lt;CapEx!$O$7,0,(VLOOKUP($B45,Inputs!$F$3:$H$18,3,0)*((1+Inputs!$L$3)^Financials!AP$3)))</f>
        <v>8673.1343298106822</v>
      </c>
      <c r="AQ45" s="18">
        <f>IF(AQ$1&lt;CapEx!$O$7,0,(VLOOKUP($B45,Inputs!$F$3:$H$18,3,0)*((1+Inputs!$L$3)^Financials!AQ$3)))</f>
        <v>8687.5895536936987</v>
      </c>
      <c r="AR45" s="18">
        <f>IF(AR$1&lt;CapEx!$O$7,0,(VLOOKUP($B45,Inputs!$F$3:$H$18,3,0)*((1+Inputs!$L$3)^Financials!AR$3)))</f>
        <v>8702.0688696165216</v>
      </c>
      <c r="AS45" s="18">
        <f>IF(AS$1&lt;CapEx!$O$7,0,(VLOOKUP($B45,Inputs!$F$3:$H$18,3,0)*((1+Inputs!$L$3)^Financials!AS$3)))</f>
        <v>8716.5723177325508</v>
      </c>
      <c r="AT45" s="18">
        <f>IF(AT$1&lt;CapEx!$O$7,0,(VLOOKUP($B45,Inputs!$F$3:$H$18,3,0)*((1+Inputs!$L$3)^Financials!AT$3)))</f>
        <v>8731.0999382621048</v>
      </c>
      <c r="AU45" s="18">
        <f>IF(AU$1&lt;CapEx!$O$7,0,(VLOOKUP($B45,Inputs!$F$3:$H$18,3,0)*((1+Inputs!$L$3)^Financials!AU$3)))</f>
        <v>8745.651771492543</v>
      </c>
      <c r="AV45" s="18">
        <f>IF(AV$1&lt;CapEx!$O$7,0,(VLOOKUP($B45,Inputs!$F$3:$H$18,3,0)*((1+Inputs!$L$3)^Financials!AV$3)))</f>
        <v>8760.2278577783636</v>
      </c>
      <c r="AW45" s="18">
        <f>IF(AW$1&lt;CapEx!$O$7,0,(VLOOKUP($B45,Inputs!$F$3:$H$18,3,0)*((1+Inputs!$L$3)^Financials!AW$3)))</f>
        <v>8774.8282375413291</v>
      </c>
      <c r="AX45" s="18">
        <f>IF(AX$1&lt;CapEx!$O$7,0,(VLOOKUP($B45,Inputs!$F$3:$H$18,3,0)*((1+Inputs!$L$3)^Financials!AX$3)))</f>
        <v>8789.4529512705667</v>
      </c>
      <c r="AY45" s="18">
        <f>IF(AY$1&lt;CapEx!$O$7,0,(VLOOKUP($B45,Inputs!$F$3:$H$18,3,0)*((1+Inputs!$L$3)^Financials!AY$3)))</f>
        <v>8804.1020395226842</v>
      </c>
      <c r="AZ45" s="18">
        <f>IF(AZ$1&lt;CapEx!$O$7,0,(VLOOKUP($B45,Inputs!$F$3:$H$18,3,0)*((1+Inputs!$L$3)^Financials!AZ$3)))</f>
        <v>8818.7755429218887</v>
      </c>
      <c r="BA45" s="18">
        <f>IF(BA$1&lt;CapEx!$O$7,0,(VLOOKUP($B45,Inputs!$F$3:$H$18,3,0)*((1+Inputs!$L$3)^Financials!BA$3)))</f>
        <v>8833.4735021600936</v>
      </c>
      <c r="BB45" s="18">
        <f>IF(BB$1&lt;CapEx!$O$7,0,(VLOOKUP($B45,Inputs!$F$3:$H$18,3,0)*((1+Inputs!$L$3)^Financials!BB$3)))</f>
        <v>8848.1959579970262</v>
      </c>
      <c r="BC45" s="18">
        <f>IF(BC$1&lt;CapEx!$O$7,0,(VLOOKUP($B45,Inputs!$F$3:$H$18,3,0)*((1+Inputs!$L$3)^Financials!BC$3)))</f>
        <v>8862.9429512603565</v>
      </c>
      <c r="BD45" s="18">
        <f>IF(BD$1&lt;CapEx!$O$7,0,(VLOOKUP($B45,Inputs!$F$3:$H$18,3,0)*((1+Inputs!$L$3)^Financials!BD$3)))</f>
        <v>8877.7145228457885</v>
      </c>
      <c r="BE45" s="18">
        <f>IF(BE$1&lt;CapEx!$O$7,0,(VLOOKUP($B45,Inputs!$F$3:$H$18,3,0)*((1+Inputs!$L$3)^Financials!BE$3)))</f>
        <v>8892.5107137171999</v>
      </c>
      <c r="BF45" s="18">
        <f>IF(BF$1&lt;CapEx!$O$7,0,(VLOOKUP($B45,Inputs!$F$3:$H$18,3,0)*((1+Inputs!$L$3)^Financials!BF$3)))</f>
        <v>8907.3315649067317</v>
      </c>
      <c r="BG45" s="18">
        <f>IF(BG$1&lt;CapEx!$O$7,0,(VLOOKUP($B45,Inputs!$F$3:$H$18,3,0)*((1+Inputs!$L$3)^Financials!BG$3)))</f>
        <v>8922.1771175149079</v>
      </c>
      <c r="BH45" s="18">
        <f>IF(BH$1&lt;CapEx!$O$7,0,(VLOOKUP($B45,Inputs!$F$3:$H$18,3,0)*((1+Inputs!$L$3)^Financials!BH$3)))</f>
        <v>8937.0474127107664</v>
      </c>
      <c r="BI45" s="18">
        <f>IF(BI$1&lt;CapEx!$O$7,0,(VLOOKUP($B45,Inputs!$F$3:$H$18,3,0)*((1+Inputs!$L$3)^Financials!BI$3)))</f>
        <v>8951.942491731952</v>
      </c>
      <c r="BJ45" s="18">
        <f>IF(BJ$1&lt;CapEx!$O$7,0,(VLOOKUP($B45,Inputs!$F$3:$H$18,3,0)*((1+Inputs!$L$3)^Financials!BJ$3)))</f>
        <v>8966.8623958848384</v>
      </c>
      <c r="BK45" s="18">
        <f>IF(BK$1&lt;CapEx!$O$7,0,(VLOOKUP($B45,Inputs!$F$3:$H$18,3,0)*((1+Inputs!$L$3)^Financials!BK$3)))</f>
        <v>8981.8071665446478</v>
      </c>
      <c r="BL45" s="18">
        <f>IF(BL$1&lt;CapEx!$O$7,0,(VLOOKUP($B45,Inputs!$F$3:$H$18,3,0)*((1+Inputs!$L$3)^Financials!BL$3)))</f>
        <v>8996.7768451555567</v>
      </c>
      <c r="BM45" s="18">
        <f>IF(BM$1&lt;CapEx!$O$7,0,(VLOOKUP($B45,Inputs!$F$3:$H$18,3,0)*((1+Inputs!$L$3)^Financials!BM$3)))</f>
        <v>9011.7714732308159</v>
      </c>
      <c r="BN45" s="18">
        <f>IF(BN$1&lt;CapEx!$O$7,0,(VLOOKUP($B45,Inputs!$F$3:$H$18,3,0)*((1+Inputs!$L$3)^Financials!BN$3)))</f>
        <v>9026.7910923528689</v>
      </c>
      <c r="BO45" s="18">
        <f>IF(BO$1&lt;CapEx!$O$7,0,(VLOOKUP($B45,Inputs!$F$3:$H$18,3,0)*((1+Inputs!$L$3)^Financials!BO$3)))</f>
        <v>9041.835744173457</v>
      </c>
      <c r="BP45" s="18">
        <f>IF(BP$1&lt;CapEx!$O$7,0,(VLOOKUP($B45,Inputs!$F$3:$H$18,3,0)*((1+Inputs!$L$3)^Financials!BP$3)))</f>
        <v>9056.9054704137452</v>
      </c>
      <c r="BQ45" s="18">
        <f>IF(BQ$1&lt;CapEx!$O$7,0,(VLOOKUP($B45,Inputs!$F$3:$H$18,3,0)*((1+Inputs!$L$3)^Financials!BQ$3)))</f>
        <v>9072.0003128644366</v>
      </c>
      <c r="BR45" s="18">
        <f>IF(BR$1&lt;CapEx!$O$7,0,(VLOOKUP($B45,Inputs!$F$3:$H$18,3,0)*((1+Inputs!$L$3)^Financials!BR$3)))</f>
        <v>9087.120313385878</v>
      </c>
      <c r="BS45" s="18">
        <f>IF(BS$1&lt;CapEx!$O$7,0,(VLOOKUP($B45,Inputs!$F$3:$H$18,3,0)*((1+Inputs!$L$3)^Financials!BS$3)))</f>
        <v>9102.265513908189</v>
      </c>
      <c r="BT45" s="18">
        <f>IF(BT$1&lt;CapEx!$O$7,0,(VLOOKUP($B45,Inputs!$F$3:$H$18,3,0)*((1+Inputs!$L$3)^Financials!BT$3)))</f>
        <v>9117.435956431369</v>
      </c>
      <c r="BU45" s="18">
        <f>IF(BU$1&lt;CapEx!$O$7,0,(VLOOKUP($B45,Inputs!$F$3:$H$18,3,0)*((1+Inputs!$L$3)^Financials!BU$3)))</f>
        <v>9132.6316830254218</v>
      </c>
      <c r="BV45" s="18">
        <f>IF(BV$1&lt;CapEx!$O$7,0,(VLOOKUP($B45,Inputs!$F$3:$H$18,3,0)*((1+Inputs!$L$3)^Financials!BV$3)))</f>
        <v>9147.8527358304673</v>
      </c>
      <c r="BW45" s="18">
        <f>IF(BW$1&lt;CapEx!$O$7,0,(VLOOKUP($B45,Inputs!$F$3:$H$18,3,0)*((1+Inputs!$L$3)^Financials!BW$3)))</f>
        <v>9163.0991570568494</v>
      </c>
      <c r="BX45" s="18">
        <f>IF(BX$1&lt;CapEx!$O$7,0,(VLOOKUP($B45,Inputs!$F$3:$H$18,3,0)*((1+Inputs!$L$3)^Financials!BX$3)))</f>
        <v>9178.370988985278</v>
      </c>
      <c r="BY45" s="18">
        <f>IF(BY$1&lt;CapEx!$O$7,0,(VLOOKUP($B45,Inputs!$F$3:$H$18,3,0)*((1+Inputs!$L$3)^Financials!BY$3)))</f>
        <v>9193.6682739669213</v>
      </c>
      <c r="BZ45" s="18">
        <f>IF(BZ$1&lt;CapEx!$O$7,0,(VLOOKUP($B45,Inputs!$F$3:$H$18,3,0)*((1+Inputs!$L$3)^Financials!BZ$3)))</f>
        <v>9208.9910544235336</v>
      </c>
      <c r="CA45" s="18">
        <f>IF(CA$1&lt;CapEx!$O$7,0,(VLOOKUP($B45,Inputs!$F$3:$H$18,3,0)*((1+Inputs!$L$3)^Financials!CA$3)))</f>
        <v>9224.339372847573</v>
      </c>
      <c r="CB45" s="18">
        <f>IF(CB$1&lt;CapEx!$O$7,0,(VLOOKUP($B45,Inputs!$F$3:$H$18,3,0)*((1+Inputs!$L$3)^Financials!CB$3)))</f>
        <v>9239.7132718023204</v>
      </c>
      <c r="CC45" s="18">
        <f>IF(CC$1&lt;CapEx!$O$7,0,(VLOOKUP($B45,Inputs!$F$3:$H$18,3,0)*((1+Inputs!$L$3)^Financials!CC$3)))</f>
        <v>9255.1127939219932</v>
      </c>
      <c r="CD45" s="18">
        <f>IF(CD$1&lt;CapEx!$O$7,0,(VLOOKUP($B45,Inputs!$F$3:$H$18,3,0)*((1+Inputs!$L$3)^Financials!CD$3)))</f>
        <v>9270.5379819118625</v>
      </c>
      <c r="CE45" s="18">
        <f>IF(CE$1&lt;CapEx!$O$7,0,(VLOOKUP($B45,Inputs!$F$3:$H$18,3,0)*((1+Inputs!$L$3)^Financials!CE$3)))</f>
        <v>9285.9888785483836</v>
      </c>
      <c r="CF45" s="18">
        <f>IF(CF$1&lt;CapEx!$O$7,0,(VLOOKUP($B45,Inputs!$F$3:$H$18,3,0)*((1+Inputs!$L$3)^Financials!CF$3)))</f>
        <v>9301.4655266792961</v>
      </c>
      <c r="CG45" s="18">
        <f>IF(CG$1&lt;CapEx!$O$7,0,(VLOOKUP($B45,Inputs!$F$3:$H$18,3,0)*((1+Inputs!$L$3)^Financials!CG$3)))</f>
        <v>9316.9679692237623</v>
      </c>
      <c r="CH45" s="18">
        <f>IF(CH$1&lt;CapEx!$O$7,0,(VLOOKUP($B45,Inputs!$F$3:$H$18,3,0)*((1+Inputs!$L$3)^Financials!CH$3)))</f>
        <v>9332.4962491724691</v>
      </c>
      <c r="CI45" s="18">
        <f>IF(CI$1&lt;CapEx!$O$7,0,(VLOOKUP($B45,Inputs!$F$3:$H$18,3,0)*((1+Inputs!$L$3)^Financials!CI$3)))</f>
        <v>9348.0504095877568</v>
      </c>
      <c r="CJ45" s="18">
        <f>IF(CJ$1&lt;CapEx!$O$7,0,(VLOOKUP($B45,Inputs!$F$3:$H$18,3,0)*((1+Inputs!$L$3)^Financials!CJ$3)))</f>
        <v>9363.6304936037377</v>
      </c>
      <c r="CK45" s="18">
        <f>IF(CK$1&lt;CapEx!$O$7,0,(VLOOKUP($B45,Inputs!$F$3:$H$18,3,0)*((1+Inputs!$L$3)^Financials!CK$3)))</f>
        <v>9379.2365444264105</v>
      </c>
      <c r="CL45" s="18">
        <f>IF(CL$1&lt;CapEx!$O$7,0,(VLOOKUP($B45,Inputs!$F$3:$H$18,3,0)*((1+Inputs!$L$3)^Financials!CL$3)))</f>
        <v>9394.8686053337897</v>
      </c>
      <c r="CM45" s="18">
        <f>IF(CM$1&lt;CapEx!$O$7,0,(VLOOKUP($B45,Inputs!$F$3:$H$18,3,0)*((1+Inputs!$L$3)^Financials!CM$3)))</f>
        <v>9410.5267196760124</v>
      </c>
      <c r="CN45" s="18">
        <f>IF(CN$1&lt;CapEx!$O$7,0,(VLOOKUP($B45,Inputs!$F$3:$H$18,3,0)*((1+Inputs!$L$3)^Financials!CN$3)))</f>
        <v>9426.2109308754734</v>
      </c>
      <c r="CO45" s="18">
        <f>IF(CO$1&lt;CapEx!$O$7,0,(VLOOKUP($B45,Inputs!$F$3:$H$18,3,0)*((1+Inputs!$L$3)^Financials!CO$3)))</f>
        <v>9441.9212824269343</v>
      </c>
      <c r="CP45" s="18">
        <f>IF(CP$1&lt;CapEx!$O$7,0,(VLOOKUP($B45,Inputs!$F$3:$H$18,3,0)*((1+Inputs!$L$3)^Financials!CP$3)))</f>
        <v>9457.6578178976451</v>
      </c>
      <c r="CQ45" s="18">
        <f>IF(CQ$1&lt;CapEx!$O$7,0,(VLOOKUP($B45,Inputs!$F$3:$H$18,3,0)*((1+Inputs!$L$3)^Financials!CQ$3)))</f>
        <v>9473.4205809274754</v>
      </c>
      <c r="CR45" s="18">
        <f>IF(CR$1&lt;CapEx!$O$7,0,(VLOOKUP($B45,Inputs!$F$3:$H$18,3,0)*((1+Inputs!$L$3)^Financials!CR$3)))</f>
        <v>9489.2096152290233</v>
      </c>
      <c r="CS45" s="18">
        <f>IF(CS$1&lt;CapEx!$O$7,0,(VLOOKUP($B45,Inputs!$F$3:$H$18,3,0)*((1+Inputs!$L$3)^Financials!CS$3)))</f>
        <v>9505.0249645877375</v>
      </c>
      <c r="CT45" s="18">
        <f>IF(CT$1&lt;CapEx!$O$7,0,(VLOOKUP($B45,Inputs!$F$3:$H$18,3,0)*((1+Inputs!$L$3)^Financials!CT$3)))</f>
        <v>9520.8666728620519</v>
      </c>
      <c r="CU45" s="18">
        <f>IF(CU$1&lt;CapEx!$O$7,0,(VLOOKUP($B45,Inputs!$F$3:$H$18,3,0)*((1+Inputs!$L$3)^Financials!CU$3)))</f>
        <v>9536.7347839834893</v>
      </c>
      <c r="CV45" s="18">
        <f>IF(CV$1&lt;CapEx!$O$7,0,(VLOOKUP($B45,Inputs!$F$3:$H$18,3,0)*((1+Inputs!$L$3)^Financials!CV$3)))</f>
        <v>9552.6293419567937</v>
      </c>
      <c r="CW45" s="18">
        <f>IF(CW$1&lt;CapEx!$O$7,0,(VLOOKUP($B45,Inputs!$F$3:$H$18,3,0)*((1+Inputs!$L$3)^Financials!CW$3)))</f>
        <v>9568.5503908600585</v>
      </c>
      <c r="CX45" s="18">
        <f>IF(CX$1&lt;CapEx!$O$7,0,(VLOOKUP($B45,Inputs!$F$3:$H$18,3,0)*((1+Inputs!$L$3)^Financials!CX$3)))</f>
        <v>9584.4979748448259</v>
      </c>
      <c r="CY45" s="18">
        <f>IF(CY$1&lt;CapEx!$O$7,0,(VLOOKUP($B45,Inputs!$F$3:$H$18,3,0)*((1+Inputs!$L$3)^Financials!CY$3)))</f>
        <v>9600.472138136236</v>
      </c>
      <c r="CZ45" s="18">
        <f>IF(CZ$1&lt;CapEx!$O$7,0,(VLOOKUP($B45,Inputs!$F$3:$H$18,3,0)*((1+Inputs!$L$3)^Financials!CZ$3)))</f>
        <v>9616.4729250331275</v>
      </c>
      <c r="DA45" s="18">
        <f>IF(DA$1&lt;CapEx!$O$7,0,(VLOOKUP($B45,Inputs!$F$3:$H$18,3,0)*((1+Inputs!$L$3)^Financials!DA$3)))</f>
        <v>9632.5003799081842</v>
      </c>
      <c r="DB45" s="18">
        <f>IF(DB$1&lt;CapEx!$O$7,0,(VLOOKUP($B45,Inputs!$F$3:$H$18,3,0)*((1+Inputs!$L$3)^Financials!DB$3)))</f>
        <v>9648.5545472080339</v>
      </c>
      <c r="DC45" s="18">
        <f>IF(DC$1&lt;CapEx!$O$7,0,(VLOOKUP($B45,Inputs!$F$3:$H$18,3,0)*((1+Inputs!$L$3)^Financials!DC$3)))</f>
        <v>9664.6354714533772</v>
      </c>
      <c r="DD45" s="18">
        <f>IF(DD$1&lt;CapEx!$O$7,0,(VLOOKUP($B45,Inputs!$F$3:$H$18,3,0)*((1+Inputs!$L$3)^Financials!DD$3)))</f>
        <v>9680.7431972391332</v>
      </c>
      <c r="DE45" s="18">
        <f>IF(DE$1&lt;CapEx!$O$7,0,(VLOOKUP($B45,Inputs!$F$3:$H$18,3,0)*((1+Inputs!$L$3)^Financials!DE$3)))</f>
        <v>9696.8777692345338</v>
      </c>
      <c r="DF45" s="18">
        <f>IF(DF$1&lt;CapEx!$O$7,0,(VLOOKUP($B45,Inputs!$F$3:$H$18,3,0)*((1+Inputs!$L$3)^Financials!DF$3)))</f>
        <v>9713.0392321832587</v>
      </c>
      <c r="DG45" s="18">
        <f>IF(DG$1&lt;CapEx!$O$7,0,(VLOOKUP($B45,Inputs!$F$3:$H$18,3,0)*((1+Inputs!$L$3)^Financials!DG$3)))</f>
        <v>9729.227630903566</v>
      </c>
      <c r="DH45" s="18">
        <f>IF(DH$1&lt;CapEx!$O$7,0,(VLOOKUP($B45,Inputs!$F$3:$H$18,3,0)*((1+Inputs!$L$3)^Financials!DH$3)))</f>
        <v>9745.4430102884035</v>
      </c>
      <c r="DI45" s="18">
        <f>IF(DI$1&lt;CapEx!$O$7,0,(VLOOKUP($B45,Inputs!$F$3:$H$18,3,0)*((1+Inputs!$L$3)^Financials!DI$3)))</f>
        <v>9761.6854153055538</v>
      </c>
      <c r="DJ45" s="18">
        <f>IF(DJ$1&lt;CapEx!$O$7,0,(VLOOKUP($B45,Inputs!$F$3:$H$18,3,0)*((1+Inputs!$L$3)^Financials!DJ$3)))</f>
        <v>9777.9548909977311</v>
      </c>
      <c r="DK45" s="18">
        <f>IF(DK$1&lt;CapEx!$O$7,0,(VLOOKUP($B45,Inputs!$F$3:$H$18,3,0)*((1+Inputs!$L$3)^Financials!DK$3)))</f>
        <v>9794.2514824827285</v>
      </c>
      <c r="DL45" s="18">
        <f>IF(DL$1&lt;CapEx!$O$7,0,(VLOOKUP($B45,Inputs!$F$3:$H$18,3,0)*((1+Inputs!$L$3)^Financials!DL$3)))</f>
        <v>9810.5752349535323</v>
      </c>
      <c r="DM45" s="18">
        <f>IF(DM$1&lt;CapEx!$O$7,0,(VLOOKUP($B45,Inputs!$F$3:$H$18,3,0)*((1+Inputs!$L$3)^Financials!DM$3)))</f>
        <v>9826.9261936784569</v>
      </c>
      <c r="DN45" s="18">
        <f>IF(DN$1&lt;CapEx!$O$7,0,(VLOOKUP($B45,Inputs!$F$3:$H$18,3,0)*((1+Inputs!$L$3)^Financials!DN$3)))</f>
        <v>9843.3044040012537</v>
      </c>
      <c r="DO45" s="18">
        <f>IF(DO$1&lt;CapEx!$O$7,0,(VLOOKUP($B45,Inputs!$F$3:$H$18,3,0)*((1+Inputs!$L$3)^Financials!DO$3)))</f>
        <v>9859.7099113412569</v>
      </c>
      <c r="DP45" s="18">
        <f>IF(DP$1&lt;CapEx!$O$7,0,(VLOOKUP($B45,Inputs!$F$3:$H$18,3,0)*((1+Inputs!$L$3)^Financials!DP$3)))</f>
        <v>9876.1427611934905</v>
      </c>
      <c r="DQ45" s="18">
        <f>IF(DQ$1&lt;CapEx!$O$7,0,(VLOOKUP($B45,Inputs!$F$3:$H$18,3,0)*((1+Inputs!$L$3)^Financials!DQ$3)))</f>
        <v>9892.602999128816</v>
      </c>
      <c r="DR45" s="18">
        <f>IF(DR$1&lt;CapEx!$O$7,0,(VLOOKUP($B45,Inputs!$F$3:$H$18,3,0)*((1+Inputs!$L$3)^Financials!DR$3)))</f>
        <v>9909.0906707940321</v>
      </c>
      <c r="DS45" s="18">
        <f>IF(DS$1&lt;CapEx!$O$7,0,(VLOOKUP($B45,Inputs!$F$3:$H$18,3,0)*((1+Inputs!$L$3)^Financials!DS$3)))</f>
        <v>9925.6058219120205</v>
      </c>
      <c r="DT45" s="18">
        <f>IF(DT$1&lt;CapEx!$O$7,0,(VLOOKUP($B45,Inputs!$F$3:$H$18,3,0)*((1+Inputs!$L$3)^Financials!DT$3)))</f>
        <v>9942.1484982818747</v>
      </c>
      <c r="DU45" s="18">
        <f>IF(DU$1&lt;CapEx!$O$7,0,(VLOOKUP($B45,Inputs!$F$3:$H$18,3,0)*((1+Inputs!$L$3)^Financials!DU$3)))</f>
        <v>9958.7187457790133</v>
      </c>
      <c r="DV45" s="18">
        <f>IF(DV$1&lt;CapEx!$O$7,0,(VLOOKUP($B45,Inputs!$F$3:$H$18,3,0)*((1+Inputs!$L$3)^Financials!DV$3)))</f>
        <v>9975.3166103553103</v>
      </c>
      <c r="DW45" s="18">
        <f>IF(DW$1&lt;CapEx!$O$7,0,(VLOOKUP($B45,Inputs!$F$3:$H$18,3,0)*((1+Inputs!$L$3)^Financials!DW$3)))</f>
        <v>9991.9421380392378</v>
      </c>
      <c r="DX45" s="18">
        <f>IF(DX$1&lt;CapEx!$O$7,0,(VLOOKUP($B45,Inputs!$F$3:$H$18,3,0)*((1+Inputs!$L$3)^Financials!DX$3)))</f>
        <v>10008.595374935972</v>
      </c>
      <c r="DY45" s="18">
        <f>IF(DY$1&lt;CapEx!$O$7,0,(VLOOKUP($B45,Inputs!$F$3:$H$18,3,0)*((1+Inputs!$L$3)^Financials!DY$3)))</f>
        <v>10025.276367227532</v>
      </c>
      <c r="DZ45" s="18">
        <f>IF(DZ$1&lt;CapEx!$O$7,0,(VLOOKUP($B45,Inputs!$F$3:$H$18,3,0)*((1+Inputs!$L$3)^Financials!DZ$3)))</f>
        <v>10041.985161172912</v>
      </c>
      <c r="EA45" s="18">
        <f>IF(EA$1&lt;CapEx!$O$7,0,(VLOOKUP($B45,Inputs!$F$3:$H$18,3,0)*((1+Inputs!$L$3)^Financials!EA$3)))</f>
        <v>10058.721803108201</v>
      </c>
      <c r="EB45" s="18">
        <f>IF(EB$1&lt;CapEx!$O$7,0,(VLOOKUP($B45,Inputs!$F$3:$H$18,3,0)*((1+Inputs!$L$3)^Financials!EB$3)))</f>
        <v>10075.486339446714</v>
      </c>
      <c r="EC45" s="18">
        <f>IF(EC$1&lt;CapEx!$O$7,0,(VLOOKUP($B45,Inputs!$F$3:$H$18,3,0)*((1+Inputs!$L$3)^Financials!EC$3)))</f>
        <v>10092.278816679127</v>
      </c>
      <c r="ED45" s="18">
        <f>IF(ED$1&lt;CapEx!$O$7,0,(VLOOKUP($B45,Inputs!$F$3:$H$18,3,0)*((1+Inputs!$L$3)^Financials!ED$3)))</f>
        <v>10109.099281373592</v>
      </c>
      <c r="EE45" s="18">
        <f>IF(EE$1&lt;CapEx!$O$7,0,(VLOOKUP($B45,Inputs!$F$3:$H$18,3,0)*((1+Inputs!$L$3)^Financials!EE$3)))</f>
        <v>10125.947780175884</v>
      </c>
      <c r="EF45" s="18">
        <f>IF(EF$1&lt;CapEx!$O$7,0,(VLOOKUP($B45,Inputs!$F$3:$H$18,3,0)*((1+Inputs!$L$3)^Financials!EF$3)))</f>
        <v>10142.824359809509</v>
      </c>
      <c r="EG45" s="18">
        <f>IF(EG$1&lt;CapEx!$O$7,0,(VLOOKUP($B45,Inputs!$F$3:$H$18,3,0)*((1+Inputs!$L$3)^Financials!EG$3)))</f>
        <v>10159.729067075859</v>
      </c>
      <c r="EH45" s="18">
        <f>IF(EH$1&lt;CapEx!$O$7,0,(VLOOKUP($B45,Inputs!$F$3:$H$18,3,0)*((1+Inputs!$L$3)^Financials!EH$3)))</f>
        <v>10176.661948854322</v>
      </c>
      <c r="EI45" s="18">
        <f>IF(EI$1&lt;CapEx!$O$7,0,(VLOOKUP($B45,Inputs!$F$3:$H$18,3,0)*((1+Inputs!$L$3)^Financials!EI$3)))</f>
        <v>10193.623052102412</v>
      </c>
      <c r="EJ45" s="18">
        <f>IF(EJ$1&lt;CapEx!$O$7,0,(VLOOKUP($B45,Inputs!$F$3:$H$18,3,0)*((1+Inputs!$L$3)^Financials!EJ$3)))</f>
        <v>10210.612423855917</v>
      </c>
      <c r="EK45" s="18">
        <f>IF(EK$1&lt;CapEx!$O$7,0,(VLOOKUP($B45,Inputs!$F$3:$H$18,3,0)*((1+Inputs!$L$3)^Financials!EK$3)))</f>
        <v>10227.630111229011</v>
      </c>
      <c r="EL45" s="18">
        <f>IF(EL$1&lt;CapEx!$O$7,0,(VLOOKUP($B45,Inputs!$F$3:$H$18,3,0)*((1+Inputs!$L$3)^Financials!EL$3)))</f>
        <v>10244.676161414391</v>
      </c>
      <c r="EM45" s="18">
        <f>IF(EM$1&lt;CapEx!$O$7,0,(VLOOKUP($B45,Inputs!$F$3:$H$18,3,0)*((1+Inputs!$L$3)^Financials!EM$3)))</f>
        <v>10261.750621683417</v>
      </c>
      <c r="EN45" s="18">
        <f>IF(EN$1&lt;CapEx!$O$7,0,(VLOOKUP($B45,Inputs!$F$3:$H$18,3,0)*((1+Inputs!$L$3)^Financials!EN$3)))</f>
        <v>10278.853539386222</v>
      </c>
      <c r="EO45" s="18">
        <f>IF(EO$1&lt;CapEx!$O$7,0,(VLOOKUP($B45,Inputs!$F$3:$H$18,3,0)*((1+Inputs!$L$3)^Financials!EO$3)))</f>
        <v>10295.98496195187</v>
      </c>
      <c r="EP45" s="18">
        <f>IF(EP$1&lt;CapEx!$O$7,0,(VLOOKUP($B45,Inputs!$F$3:$H$18,3,0)*((1+Inputs!$L$3)^Financials!EP$3)))</f>
        <v>10313.144936888457</v>
      </c>
      <c r="EQ45" s="18">
        <f>IF(EQ$1&lt;CapEx!$O$7,0,(VLOOKUP($B45,Inputs!$F$3:$H$18,3,0)*((1+Inputs!$L$3)^Financials!EQ$3)))</f>
        <v>10330.33351178327</v>
      </c>
      <c r="ER45" s="18">
        <f>IF(ER$1&lt;CapEx!$O$7,0,(VLOOKUP($B45,Inputs!$F$3:$H$18,3,0)*((1+Inputs!$L$3)^Financials!ER$3)))</f>
        <v>10347.550734302909</v>
      </c>
      <c r="ES45" s="18">
        <f>IF(ES$1&lt;CapEx!$O$7,0,(VLOOKUP($B45,Inputs!$F$3:$H$18,3,0)*((1+Inputs!$L$3)^Financials!ES$3)))</f>
        <v>10364.796652193416</v>
      </c>
      <c r="ET45" s="18">
        <f>IF(ET$1&lt;CapEx!$O$7,0,(VLOOKUP($B45,Inputs!$F$3:$H$18,3,0)*((1+Inputs!$L$3)^Financials!ET$3)))</f>
        <v>10382.071313280407</v>
      </c>
      <c r="EU45" s="18">
        <f>IF(EU$1&lt;CapEx!$O$7,0,(VLOOKUP($B45,Inputs!$F$3:$H$18,3,0)*((1+Inputs!$L$3)^Financials!EU$3)))</f>
        <v>10399.374765469205</v>
      </c>
      <c r="EV45" s="18">
        <f>IF(EV$1&lt;CapEx!$O$7,0,(VLOOKUP($B45,Inputs!$F$3:$H$18,3,0)*((1+Inputs!$L$3)^Financials!EV$3)))</f>
        <v>10416.707056744988</v>
      </c>
      <c r="EW45" s="18">
        <f>IF(EW$1&lt;CapEx!$O$7,0,(VLOOKUP($B45,Inputs!$F$3:$H$18,3,0)*((1+Inputs!$L$3)^Financials!EW$3)))</f>
        <v>10434.068235172897</v>
      </c>
      <c r="EX45" s="18">
        <f>IF(EX$1&lt;CapEx!$O$7,0,(VLOOKUP($B45,Inputs!$F$3:$H$18,3,0)*((1+Inputs!$L$3)^Financials!EX$3)))</f>
        <v>10451.458348898188</v>
      </c>
      <c r="EY45" s="18">
        <f>IF(EY$1&lt;CapEx!$O$7,0,(VLOOKUP($B45,Inputs!$F$3:$H$18,3,0)*((1+Inputs!$L$3)^Financials!EY$3)))</f>
        <v>10468.877446146351</v>
      </c>
      <c r="EZ45" s="18">
        <f>IF(EZ$1&lt;CapEx!$O$7,0,(VLOOKUP($B45,Inputs!$F$3:$H$18,3,0)*((1+Inputs!$L$3)^Financials!EZ$3)))</f>
        <v>10486.325575223262</v>
      </c>
      <c r="FA45" s="18">
        <f>IF(FA$1&lt;CapEx!$O$7,0,(VLOOKUP($B45,Inputs!$F$3:$H$18,3,0)*((1+Inputs!$L$3)^Financials!FA$3)))</f>
        <v>10503.802784515303</v>
      </c>
      <c r="FB45" s="18">
        <f>IF(FB$1&lt;CapEx!$O$7,0,(VLOOKUP($B45,Inputs!$F$3:$H$18,3,0)*((1+Inputs!$L$3)^Financials!FB$3)))</f>
        <v>10521.309122489494</v>
      </c>
      <c r="FC45" s="18">
        <f>IF(FC$1&lt;CapEx!$O$7,0,(VLOOKUP($B45,Inputs!$F$3:$H$18,3,0)*((1+Inputs!$L$3)^Financials!FC$3)))</f>
        <v>10538.844637693644</v>
      </c>
      <c r="FD45" s="18">
        <f>IF(FD$1&lt;CapEx!$O$7,0,(VLOOKUP($B45,Inputs!$F$3:$H$18,3,0)*((1+Inputs!$L$3)^Financials!FD$3)))</f>
        <v>10556.409378756469</v>
      </c>
      <c r="FE45" s="18">
        <f>IF(FE$1&lt;CapEx!$O$7,0,(VLOOKUP($B45,Inputs!$F$3:$H$18,3,0)*((1+Inputs!$L$3)^Financials!FE$3)))</f>
        <v>10574.00339438773</v>
      </c>
      <c r="FF45" s="18">
        <f>IF(FF$1&lt;CapEx!$O$7,0,(VLOOKUP($B45,Inputs!$F$3:$H$18,3,0)*((1+Inputs!$L$3)^Financials!FF$3)))</f>
        <v>10591.626733378378</v>
      </c>
      <c r="FG45" s="18">
        <f>IF(FG$1&lt;CapEx!$O$7,0,(VLOOKUP($B45,Inputs!$F$3:$H$18,3,0)*((1+Inputs!$L$3)^Financials!FG$3)))</f>
        <v>10609.279444600676</v>
      </c>
      <c r="FH45" s="18">
        <f>IF(FH$1&lt;CapEx!$O$7,0,(VLOOKUP($B45,Inputs!$F$3:$H$18,3,0)*((1+Inputs!$L$3)^Financials!FH$3)))</f>
        <v>10626.961577008344</v>
      </c>
      <c r="FI45" s="18">
        <f>IF(FI$1&lt;CapEx!$O$7,0,(VLOOKUP($B45,Inputs!$F$3:$H$18,3,0)*((1+Inputs!$L$3)^Financials!FI$3)))</f>
        <v>10644.673179636693</v>
      </c>
      <c r="FJ45" s="18">
        <f>IF(FJ$1&lt;CapEx!$O$7,0,(VLOOKUP($B45,Inputs!$F$3:$H$18,3,0)*((1+Inputs!$L$3)^Financials!FJ$3)))</f>
        <v>10662.414301602752</v>
      </c>
      <c r="FK45" s="18">
        <f>IF(FK$1&lt;CapEx!$O$7,0,(VLOOKUP($B45,Inputs!$F$3:$H$18,3,0)*((1+Inputs!$L$3)^Financials!FK$3)))</f>
        <v>10680.184992105427</v>
      </c>
      <c r="FL45" s="18">
        <f>IF(FL$1&lt;CapEx!$O$7,0,(VLOOKUP($B45,Inputs!$F$3:$H$18,3,0)*((1+Inputs!$L$3)^Financials!FL$3)))</f>
        <v>10697.9853004256</v>
      </c>
      <c r="FM45" s="18">
        <f>IF(FM$1&lt;CapEx!$O$7,0,(VLOOKUP($B45,Inputs!$F$3:$H$18,3,0)*((1+Inputs!$L$3)^Financials!FM$3)))</f>
        <v>10715.81527592631</v>
      </c>
      <c r="FN45" s="18">
        <f>IF(FN$1&lt;CapEx!$O$7,0,(VLOOKUP($B45,Inputs!$F$3:$H$18,3,0)*((1+Inputs!$L$3)^Financials!FN$3)))</f>
        <v>10733.674968052857</v>
      </c>
      <c r="FO45" s="18">
        <f>IF(FO$1&lt;CapEx!$O$7,0,(VLOOKUP($B45,Inputs!$F$3:$H$18,3,0)*((1+Inputs!$L$3)^Financials!FO$3)))</f>
        <v>10751.564426332945</v>
      </c>
      <c r="FP45" s="18">
        <f>IF(FP$1&lt;CapEx!$O$7,0,(VLOOKUP($B45,Inputs!$F$3:$H$18,3,0)*((1+Inputs!$L$3)^Financials!FP$3)))</f>
        <v>10769.483700376833</v>
      </c>
      <c r="FQ45" s="18">
        <f>IF(FQ$1&lt;CapEx!$O$7,0,(VLOOKUP($B45,Inputs!$F$3:$H$18,3,0)*((1+Inputs!$L$3)^Financials!FQ$3)))</f>
        <v>10787.432839877463</v>
      </c>
      <c r="FR45" s="18">
        <f>IF(FR$1&lt;CapEx!$O$7,0,(VLOOKUP($B45,Inputs!$F$3:$H$18,3,0)*((1+Inputs!$L$3)^Financials!FR$3)))</f>
        <v>10805.411894610592</v>
      </c>
      <c r="FS45" s="18">
        <f>IF(FS$1&lt;CapEx!$O$7,0,(VLOOKUP($B45,Inputs!$F$3:$H$18,3,0)*((1+Inputs!$L$3)^Financials!FS$3)))</f>
        <v>10823.420914434946</v>
      </c>
      <c r="FT45" s="18">
        <f>IF(FT$1&lt;CapEx!$O$7,0,(VLOOKUP($B45,Inputs!$F$3:$H$18,3,0)*((1+Inputs!$L$3)^Financials!FT$3)))</f>
        <v>10841.459949292335</v>
      </c>
      <c r="FU45" s="18">
        <f>IF(FU$1&lt;CapEx!$O$7,0,(VLOOKUP($B45,Inputs!$F$3:$H$18,3,0)*((1+Inputs!$L$3)^Financials!FU$3)))</f>
        <v>10859.529049207826</v>
      </c>
      <c r="FV45" s="18">
        <f>IF(FV$1&lt;CapEx!$O$7,0,(VLOOKUP($B45,Inputs!$F$3:$H$18,3,0)*((1+Inputs!$L$3)^Financials!FV$3)))</f>
        <v>10877.628264289839</v>
      </c>
      <c r="FW45" s="18">
        <f>IF(FW$1&lt;CapEx!$O$7,0,(VLOOKUP($B45,Inputs!$F$3:$H$18,3,0)*((1+Inputs!$L$3)^Financials!FW$3)))</f>
        <v>10895.757644730324</v>
      </c>
      <c r="FX45" s="18">
        <f>IF(FX$1&lt;CapEx!$O$7,0,(VLOOKUP($B45,Inputs!$F$3:$H$18,3,0)*((1+Inputs!$L$3)^Financials!FX$3)))</f>
        <v>10913.917240804874</v>
      </c>
      <c r="FY45" s="18">
        <f>IF(FY$1&lt;CapEx!$O$7,0,(VLOOKUP($B45,Inputs!$F$3:$H$18,3,0)*((1+Inputs!$L$3)^Financials!FY$3)))</f>
        <v>10932.107102872884</v>
      </c>
      <c r="FZ45" s="18">
        <f>IF(FZ$1&lt;CapEx!$O$7,0,(VLOOKUP($B45,Inputs!$F$3:$H$18,3,0)*((1+Inputs!$L$3)^Financials!FZ$3)))</f>
        <v>10950.327281377673</v>
      </c>
      <c r="GA45" s="18">
        <f>IF(GA$1&lt;CapEx!$O$7,0,(VLOOKUP($B45,Inputs!$F$3:$H$18,3,0)*((1+Inputs!$L$3)^Financials!GA$3)))</f>
        <v>10968.577826846637</v>
      </c>
      <c r="GB45" s="18">
        <f>IF(GB$1&lt;CapEx!$O$7,0,(VLOOKUP($B45,Inputs!$F$3:$H$18,3,0)*((1+Inputs!$L$3)^Financials!GB$3)))</f>
        <v>10986.858789891381</v>
      </c>
      <c r="GC45" s="18">
        <f>IF(GC$1&lt;CapEx!$O$7,0,(VLOOKUP($B45,Inputs!$F$3:$H$18,3,0)*((1+Inputs!$L$3)^Financials!GC$3)))</f>
        <v>11005.170221207867</v>
      </c>
      <c r="GD45" s="18">
        <f>IF(GD$1&lt;CapEx!$O$7,0,(VLOOKUP($B45,Inputs!$F$3:$H$18,3,0)*((1+Inputs!$L$3)^Financials!GD$3)))</f>
        <v>11023.512171576551</v>
      </c>
      <c r="GE45" s="18">
        <f>IF(GE$1&lt;CapEx!$O$7,0,(VLOOKUP($B45,Inputs!$F$3:$H$18,3,0)*((1+Inputs!$L$3)^Financials!GE$3)))</f>
        <v>11041.884691862509</v>
      </c>
      <c r="GF45" s="18">
        <f>IF(GF$1&lt;CapEx!$O$7,0,(VLOOKUP($B45,Inputs!$F$3:$H$18,3,0)*((1+Inputs!$L$3)^Financials!GF$3)))</f>
        <v>11060.287833015613</v>
      </c>
      <c r="GG45" s="18">
        <f>IF(GG$1&lt;CapEx!$O$7,0,(VLOOKUP($B45,Inputs!$F$3:$H$18,3,0)*((1+Inputs!$L$3)^Financials!GG$3)))</f>
        <v>11078.72164607064</v>
      </c>
      <c r="GH45" s="18">
        <f>IF(GH$1&lt;CapEx!$O$7,0,(VLOOKUP($B45,Inputs!$F$3:$H$18,3,0)*((1+Inputs!$L$3)^Financials!GH$3)))</f>
        <v>11097.186182147425</v>
      </c>
      <c r="GI45" s="18">
        <f>IF(GI$1&lt;CapEx!$O$7,0,(VLOOKUP($B45,Inputs!$F$3:$H$18,3,0)*((1+Inputs!$L$3)^Financials!GI$3)))</f>
        <v>11115.681492451005</v>
      </c>
      <c r="GJ45" s="18">
        <f>IF(GJ$1&lt;CapEx!$O$7,0,(VLOOKUP($B45,Inputs!$F$3:$H$18,3,0)*((1+Inputs!$L$3)^Financials!GJ$3)))</f>
        <v>11134.207628271757</v>
      </c>
      <c r="GK45" s="18">
        <f>IF(GK$1&lt;CapEx!$O$7,0,(VLOOKUP($B45,Inputs!$F$3:$H$18,3,0)*((1+Inputs!$L$3)^Financials!GK$3)))</f>
        <v>11152.764640985546</v>
      </c>
      <c r="GL45" s="18">
        <f>IF(GL$1&lt;CapEx!$O$7,0,(VLOOKUP($B45,Inputs!$F$3:$H$18,3,0)*((1+Inputs!$L$3)^Financials!GL$3)))</f>
        <v>11171.352582053856</v>
      </c>
      <c r="GM45" s="18">
        <f>IF(GM$1&lt;CapEx!$O$7,0,(VLOOKUP($B45,Inputs!$F$3:$H$18,3,0)*((1+Inputs!$L$3)^Financials!GM$3)))</f>
        <v>11189.971503023946</v>
      </c>
      <c r="GN45" s="18">
        <f>IF(GN$1&lt;CapEx!$O$7,0,(VLOOKUP($B45,Inputs!$F$3:$H$18,3,0)*((1+Inputs!$L$3)^Financials!GN$3)))</f>
        <v>11208.621455528986</v>
      </c>
      <c r="GO45" s="18">
        <f>IF(GO$1&lt;CapEx!$O$7,0,(VLOOKUP($B45,Inputs!$F$3:$H$18,3,0)*((1+Inputs!$L$3)^Financials!GO$3)))</f>
        <v>11227.302491288203</v>
      </c>
      <c r="GP45" s="18">
        <f>IF(GP$1&lt;CapEx!$O$7,0,(VLOOKUP($B45,Inputs!$F$3:$H$18,3,0)*((1+Inputs!$L$3)^Financials!GP$3)))</f>
        <v>11246.014662107016</v>
      </c>
      <c r="GQ45" s="18">
        <f>IF(GQ$1&lt;CapEx!$O$7,0,(VLOOKUP($B45,Inputs!$F$3:$H$18,3,0)*((1+Inputs!$L$3)^Financials!GQ$3)))</f>
        <v>11264.758019877196</v>
      </c>
      <c r="GR45" s="18">
        <f>IF(GR$1&lt;CapEx!$O$7,0,(VLOOKUP($B45,Inputs!$F$3:$H$18,3,0)*((1+Inputs!$L$3)^Financials!GR$3)))</f>
        <v>11283.532616576991</v>
      </c>
      <c r="GS45" s="18">
        <f>IF(GS$1&lt;CapEx!$O$7,0,(VLOOKUP($B45,Inputs!$F$3:$H$18,3,0)*((1+Inputs!$L$3)^Financials!GS$3)))</f>
        <v>11302.338504271287</v>
      </c>
      <c r="GT45" s="18">
        <f>IF(GT$1&lt;CapEx!$O$7,0,(VLOOKUP($B45,Inputs!$F$3:$H$18,3,0)*((1+Inputs!$L$3)^Financials!GT$3)))</f>
        <v>11321.175735111743</v>
      </c>
      <c r="GU45" s="18">
        <f>IF(GU$1&lt;CapEx!$O$7,0,(VLOOKUP($B45,Inputs!$F$3:$H$18,3,0)*((1+Inputs!$L$3)^Financials!GU$3)))</f>
        <v>11340.044361336926</v>
      </c>
      <c r="GV45" s="18">
        <f>IF(GV$1&lt;CapEx!$O$7,0,(VLOOKUP($B45,Inputs!$F$3:$H$18,3,0)*((1+Inputs!$L$3)^Financials!GV$3)))</f>
        <v>11358.944435272489</v>
      </c>
      <c r="GW45" s="18">
        <f>IF(GW$1&lt;CapEx!$O$7,0,(VLOOKUP($B45,Inputs!$F$3:$H$18,3,0)*((1+Inputs!$L$3)^Financials!GW$3)))</f>
        <v>11377.876009331278</v>
      </c>
      <c r="GX45" s="18">
        <f>IF(GX$1&lt;CapEx!$O$7,0,(VLOOKUP($B45,Inputs!$F$3:$H$18,3,0)*((1+Inputs!$L$3)^Financials!GX$3)))</f>
        <v>11396.839136013497</v>
      </c>
      <c r="GY45" s="18">
        <f>IF(GY$1&lt;CapEx!$O$7,0,(VLOOKUP($B45,Inputs!$F$3:$H$18,3,0)*((1+Inputs!$L$3)^Financials!GY$3)))</f>
        <v>11415.833867906855</v>
      </c>
      <c r="GZ45" s="18">
        <f>IF(GZ$1&lt;CapEx!$O$7,0,(VLOOKUP($B45,Inputs!$F$3:$H$18,3,0)*((1+Inputs!$L$3)^Financials!GZ$3)))</f>
        <v>11434.8602576867</v>
      </c>
      <c r="HA45" s="18">
        <f>IF(HA$1&lt;CapEx!$O$7,0,(VLOOKUP($B45,Inputs!$F$3:$H$18,3,0)*((1+Inputs!$L$3)^Financials!HA$3)))</f>
        <v>11453.91835811618</v>
      </c>
      <c r="HB45" s="18">
        <f>IF(HB$1&lt;CapEx!$O$7,0,(VLOOKUP($B45,Inputs!$F$3:$H$18,3,0)*((1+Inputs!$L$3)^Financials!HB$3)))</f>
        <v>11473.008222046374</v>
      </c>
      <c r="HC45" s="18">
        <f>IF(HC$1&lt;CapEx!$O$7,0,(VLOOKUP($B45,Inputs!$F$3:$H$18,3,0)*((1+Inputs!$L$3)^Financials!HC$3)))</f>
        <v>11492.129902416453</v>
      </c>
      <c r="HD45" s="18">
        <f>IF(HD$1&lt;CapEx!$O$7,0,(VLOOKUP($B45,Inputs!$F$3:$H$18,3,0)*((1+Inputs!$L$3)^Financials!HD$3)))</f>
        <v>11511.283452253812</v>
      </c>
      <c r="HE45" s="18">
        <f>IF(HE$1&lt;CapEx!$O$7,0,(VLOOKUP($B45,Inputs!$F$3:$H$18,3,0)*((1+Inputs!$L$3)^Financials!HE$3)))</f>
        <v>11530.468924674236</v>
      </c>
      <c r="HF45" s="18">
        <f>IF(HF$1&lt;CapEx!$O$7,0,(VLOOKUP($B45,Inputs!$F$3:$H$18,3,0)*((1+Inputs!$L$3)^Financials!HF$3)))</f>
        <v>11549.686372882028</v>
      </c>
      <c r="HG45" s="18">
        <f>IF(HG$1&lt;CapEx!$O$7,0,(VLOOKUP($B45,Inputs!$F$3:$H$18,3,0)*((1+Inputs!$L$3)^Financials!HG$3)))</f>
        <v>11568.935850170163</v>
      </c>
      <c r="HH45" s="18">
        <f>IF(HH$1&lt;CapEx!$O$7,0,(VLOOKUP($B45,Inputs!$F$3:$H$18,3,0)*((1+Inputs!$L$3)^Financials!HH$3)))</f>
        <v>11588.217409920448</v>
      </c>
      <c r="HI45" s="18">
        <f>IF(HI$1&lt;CapEx!$O$7,0,(VLOOKUP($B45,Inputs!$F$3:$H$18,3,0)*((1+Inputs!$L$3)^Financials!HI$3)))</f>
        <v>11607.53110560365</v>
      </c>
      <c r="HJ45" s="18">
        <f>IF(HJ$1&lt;CapEx!$O$7,0,(VLOOKUP($B45,Inputs!$F$3:$H$18,3,0)*((1+Inputs!$L$3)^Financials!HJ$3)))</f>
        <v>11626.876990779658</v>
      </c>
      <c r="HK45" s="18">
        <f>IF(HK$1&lt;CapEx!$O$7,0,(VLOOKUP($B45,Inputs!$F$3:$H$18,3,0)*((1+Inputs!$L$3)^Financials!HK$3)))</f>
        <v>11646.255119097623</v>
      </c>
      <c r="HL45" s="18">
        <f>IF(HL$1&lt;CapEx!$O$7,0,(VLOOKUP($B45,Inputs!$F$3:$H$18,3,0)*((1+Inputs!$L$3)^Financials!HL$3)))</f>
        <v>11665.665544296122</v>
      </c>
      <c r="HM45" s="18">
        <f>IF(HM$1&lt;CapEx!$O$7,0,(VLOOKUP($B45,Inputs!$F$3:$H$18,3,0)*((1+Inputs!$L$3)^Financials!HM$3)))</f>
        <v>11685.108320203282</v>
      </c>
      <c r="HN45" s="18">
        <f>IF(HN$1&lt;CapEx!$O$7,0,(VLOOKUP($B45,Inputs!$F$3:$H$18,3,0)*((1+Inputs!$L$3)^Financials!HN$3)))</f>
        <v>11704.583500736955</v>
      </c>
      <c r="HO45" s="18">
        <f>IF(HO$1&lt;CapEx!$O$7,0,(VLOOKUP($B45,Inputs!$F$3:$H$18,3,0)*((1+Inputs!$L$3)^Financials!HO$3)))</f>
        <v>11724.091139904851</v>
      </c>
      <c r="HP45" s="18">
        <f>IF(HP$1&lt;CapEx!$O$7,0,(VLOOKUP($B45,Inputs!$F$3:$H$18,3,0)*((1+Inputs!$L$3)^Financials!HP$3)))</f>
        <v>11743.631291804693</v>
      </c>
      <c r="HQ45" s="18">
        <f>IF(HQ$1&lt;CapEx!$O$7,0,(VLOOKUP($B45,Inputs!$F$3:$H$18,3,0)*((1+Inputs!$L$3)^Financials!HQ$3)))</f>
        <v>11763.204010624366</v>
      </c>
      <c r="HR45" s="18">
        <f>IF(HR$1&lt;CapEx!$O$7,0,(VLOOKUP($B45,Inputs!$F$3:$H$18,3,0)*((1+Inputs!$L$3)^Financials!HR$3)))</f>
        <v>11782.809350642077</v>
      </c>
      <c r="HS45" s="18">
        <f>IF(HS$1&lt;CapEx!$O$7,0,(VLOOKUP($B45,Inputs!$F$3:$H$18,3,0)*((1+Inputs!$L$3)^Financials!HS$3)))</f>
        <v>11802.447366226481</v>
      </c>
      <c r="HT45" s="18">
        <f>IF(HT$1&lt;CapEx!$O$7,0,(VLOOKUP($B45,Inputs!$F$3:$H$18,3,0)*((1+Inputs!$L$3)^Financials!HT$3)))</f>
        <v>11822.118111836857</v>
      </c>
      <c r="HU45" s="18">
        <f>IF(HU$1&lt;CapEx!$O$7,0,(VLOOKUP($B45,Inputs!$F$3:$H$18,3,0)*((1+Inputs!$L$3)^Financials!HU$3)))</f>
        <v>11841.821642023255</v>
      </c>
      <c r="HV45" s="18">
        <f>IF(HV$1&lt;CapEx!$O$7,0,(VLOOKUP($B45,Inputs!$F$3:$H$18,3,0)*((1+Inputs!$L$3)^Financials!HV$3)))</f>
        <v>11861.558011426629</v>
      </c>
      <c r="HW45" s="18">
        <f>IF(HW$1&lt;CapEx!$O$7,0,(VLOOKUP($B45,Inputs!$F$3:$H$18,3,0)*((1+Inputs!$L$3)^Financials!HW$3)))</f>
        <v>11881.327274779009</v>
      </c>
      <c r="HX45" s="18">
        <f>IF(HX$1&lt;CapEx!$O$7,0,(VLOOKUP($B45,Inputs!$F$3:$H$18,3,0)*((1+Inputs!$L$3)^Financials!HX$3)))</f>
        <v>11901.129486903637</v>
      </c>
      <c r="HY45" s="18">
        <f>IF(HY$1&lt;CapEx!$O$7,0,(VLOOKUP($B45,Inputs!$F$3:$H$18,3,0)*((1+Inputs!$L$3)^Financials!HY$3)))</f>
        <v>11920.964702715146</v>
      </c>
      <c r="HZ45" s="18">
        <f>IF(HZ$1&lt;CapEx!$O$7,0,(VLOOKUP($B45,Inputs!$F$3:$H$18,3,0)*((1+Inputs!$L$3)^Financials!HZ$3)))</f>
        <v>11940.832977219674</v>
      </c>
      <c r="IA45" s="18">
        <f>IF(IA$1&lt;CapEx!$O$7,0,(VLOOKUP($B45,Inputs!$F$3:$H$18,3,0)*((1+Inputs!$L$3)^Financials!IA$3)))</f>
        <v>11960.734365515038</v>
      </c>
      <c r="IB45" s="18">
        <f>IF(IB$1&lt;CapEx!$O$7,0,(VLOOKUP($B45,Inputs!$F$3:$H$18,3,0)*((1+Inputs!$L$3)^Financials!IB$3)))</f>
        <v>11980.668922790896</v>
      </c>
      <c r="IC45" s="18">
        <f>IF(IC$1&lt;CapEx!$O$7,0,(VLOOKUP($B45,Inputs!$F$3:$H$18,3,0)*((1+Inputs!$L$3)^Financials!IC$3)))</f>
        <v>12000.636704328883</v>
      </c>
      <c r="ID45" s="18">
        <f>IF(ID$1&lt;CapEx!$O$7,0,(VLOOKUP($B45,Inputs!$F$3:$H$18,3,0)*((1+Inputs!$L$3)^Financials!ID$3)))</f>
        <v>12020.637765502766</v>
      </c>
      <c r="IE45" s="18">
        <f>IF(IE$1&lt;CapEx!$O$7,0,(VLOOKUP($B45,Inputs!$F$3:$H$18,3,0)*((1+Inputs!$L$3)^Financials!IE$3)))</f>
        <v>12040.672161778606</v>
      </c>
      <c r="IF45" s="18">
        <f>IF(IF$1&lt;CapEx!$O$7,0,(VLOOKUP($B45,Inputs!$F$3:$H$18,3,0)*((1+Inputs!$L$3)^Financials!IF$3)))</f>
        <v>12060.739948714901</v>
      </c>
      <c r="IG45" s="18">
        <f>IF(IG$1&lt;CapEx!$O$7,0,(VLOOKUP($B45,Inputs!$F$3:$H$18,3,0)*((1+Inputs!$L$3)^Financials!IG$3)))</f>
        <v>12080.841181962762</v>
      </c>
      <c r="IH45" s="18">
        <f>IF(IH$1&lt;CapEx!$O$7,0,(VLOOKUP($B45,Inputs!$F$3:$H$18,3,0)*((1+Inputs!$L$3)^Financials!IH$3)))</f>
        <v>12100.975917266038</v>
      </c>
      <c r="II45" s="18">
        <f>IF(II$1&lt;CapEx!$O$7,0,(VLOOKUP($B45,Inputs!$F$3:$H$18,3,0)*((1+Inputs!$L$3)^Financials!II$3)))</f>
        <v>12121.144210461482</v>
      </c>
      <c r="IJ45" s="18">
        <f>IF(IJ$1&lt;CapEx!$O$7,0,(VLOOKUP($B45,Inputs!$F$3:$H$18,3,0)*((1+Inputs!$L$3)^Financials!IJ$3)))</f>
        <v>12141.346117478915</v>
      </c>
      <c r="IK45" s="18">
        <f>IF(IK$1&lt;CapEx!$O$7,0,(VLOOKUP($B45,Inputs!$F$3:$H$18,3,0)*((1+Inputs!$L$3)^Financials!IK$3)))</f>
        <v>12161.581694341383</v>
      </c>
      <c r="IL45" s="18">
        <f>IF(IL$1&lt;CapEx!$O$7,0,(VLOOKUP($B45,Inputs!$F$3:$H$18,3,0)*((1+Inputs!$L$3)^Financials!IL$3)))</f>
        <v>12181.850997165284</v>
      </c>
      <c r="IM45" s="18">
        <f>IF(IM$1&lt;CapEx!$O$7,0,(VLOOKUP($B45,Inputs!$F$3:$H$18,3,0)*((1+Inputs!$L$3)^Financials!IM$3)))</f>
        <v>12202.154082160561</v>
      </c>
      <c r="IN45" s="18">
        <f>IF(IN$1&lt;CapEx!$O$7,0,(VLOOKUP($B45,Inputs!$F$3:$H$18,3,0)*((1+Inputs!$L$3)^Financials!IN$3)))</f>
        <v>12222.491005630827</v>
      </c>
      <c r="IO45" s="18">
        <f>IF(IO$1&lt;CapEx!$O$7,0,(VLOOKUP($B45,Inputs!$F$3:$H$18,3,0)*((1+Inputs!$L$3)^Financials!IO$3)))</f>
        <v>12242.86182397355</v>
      </c>
      <c r="IP45" s="18">
        <f>IF(IP$1&lt;CapEx!$O$7,0,(VLOOKUP($B45,Inputs!$F$3:$H$18,3,0)*((1+Inputs!$L$3)^Financials!IP$3)))</f>
        <v>12263.266593680173</v>
      </c>
      <c r="IQ45" s="18">
        <f>IF(IQ$1&lt;CapEx!$O$7,0,(VLOOKUP($B45,Inputs!$F$3:$H$18,3,0)*((1+Inputs!$L$3)^Financials!IQ$3)))</f>
        <v>12283.705371336304</v>
      </c>
      <c r="IR45" s="18">
        <f>IF(IR$1&lt;CapEx!$O$7,0,(VLOOKUP($B45,Inputs!$F$3:$H$18,3,0)*((1+Inputs!$L$3)^Financials!IR$3)))</f>
        <v>12304.178213621864</v>
      </c>
      <c r="IS45" s="18">
        <f>IF(IS$1&lt;CapEx!$O$7,0,(VLOOKUP($B45,Inputs!$F$3:$H$18,3,0)*((1+Inputs!$L$3)^Financials!IS$3)))</f>
        <v>12324.685177311238</v>
      </c>
      <c r="IT45" s="18">
        <f>IF(IT$1&lt;CapEx!$O$7,0,(VLOOKUP($B45,Inputs!$F$3:$H$18,3,0)*((1+Inputs!$L$3)^Financials!IT$3)))</f>
        <v>12345.226319273421</v>
      </c>
      <c r="IU45" s="18">
        <f>IF(IU$1&lt;CapEx!$O$7,0,(VLOOKUP($B45,Inputs!$F$3:$H$18,3,0)*((1+Inputs!$L$3)^Financials!IU$3)))</f>
        <v>12365.801696472214</v>
      </c>
      <c r="IV45" s="18">
        <f>IF(IV$1&lt;CapEx!$O$7,0,(VLOOKUP($B45,Inputs!$F$3:$H$18,3,0)*((1+Inputs!$L$3)^Financials!IV$3)))</f>
        <v>12386.411365966334</v>
      </c>
      <c r="IW45" s="18">
        <f>IF(IW$1&lt;CapEx!$O$7,0,(VLOOKUP($B45,Inputs!$F$3:$H$18,3,0)*((1+Inputs!$L$3)^Financials!IW$3)))</f>
        <v>12407.055384909612</v>
      </c>
      <c r="IX45" s="18">
        <f>IF(IX$1&lt;CapEx!$O$7,0,(VLOOKUP($B45,Inputs!$F$3:$H$18,3,0)*((1+Inputs!$L$3)^Financials!IX$3)))</f>
        <v>12427.733810551132</v>
      </c>
      <c r="IY45" s="18">
        <f>IF(IY$1&lt;CapEx!$O$7,0,(VLOOKUP($B45,Inputs!$F$3:$H$18,3,0)*((1+Inputs!$L$3)^Financials!IY$3)))</f>
        <v>12448.446700235383</v>
      </c>
      <c r="IZ45" s="18">
        <f>IF(IZ$1&lt;CapEx!$O$7,0,(VLOOKUP($B45,Inputs!$F$3:$H$18,3,0)*((1+Inputs!$L$3)^Financials!IZ$3)))</f>
        <v>12469.194111402441</v>
      </c>
      <c r="JA45" s="18">
        <f>IF(JA$1&lt;CapEx!$O$7,0,(VLOOKUP($B45,Inputs!$F$3:$H$18,3,0)*((1+Inputs!$L$3)^Financials!JA$3)))</f>
        <v>12489.976101588116</v>
      </c>
      <c r="JB45" s="18">
        <f>IF(JB$1&lt;CapEx!$O$7,0,(VLOOKUP($B45,Inputs!$F$3:$H$18,3,0)*((1+Inputs!$L$3)^Financials!JB$3)))</f>
        <v>12510.792728424096</v>
      </c>
      <c r="JC45" s="18">
        <f>IF(JC$1&lt;CapEx!$O$7,0,(VLOOKUP($B45,Inputs!$F$3:$H$18,3,0)*((1+Inputs!$L$3)^Financials!JC$3)))</f>
        <v>12531.644049638138</v>
      </c>
      <c r="JD45" s="18">
        <f>IF(JD$1&lt;CapEx!$O$7,0,(VLOOKUP($B45,Inputs!$F$3:$H$18,3,0)*((1+Inputs!$L$3)^Financials!JD$3)))</f>
        <v>12552.530123054199</v>
      </c>
      <c r="JE45" s="18">
        <f>IF(JE$1&lt;CapEx!$O$7,0,(VLOOKUP($B45,Inputs!$F$3:$H$18,3,0)*((1+Inputs!$L$3)^Financials!JE$3)))</f>
        <v>12573.451006592624</v>
      </c>
      <c r="JF45" s="18">
        <f>IF(JF$1&lt;CapEx!$O$7,0,(VLOOKUP($B45,Inputs!$F$3:$H$18,3,0)*((1+Inputs!$L$3)^Financials!JF$3)))</f>
        <v>12594.406758270281</v>
      </c>
      <c r="JG45" s="18">
        <f>IF(JG$1&lt;CapEx!$O$7,0,(VLOOKUP($B45,Inputs!$F$3:$H$18,3,0)*((1+Inputs!$L$3)^Financials!JG$3)))</f>
        <v>12615.397436200732</v>
      </c>
      <c r="JH45" s="18">
        <f>IF(JH$1&lt;CapEx!$O$7,0,(VLOOKUP($B45,Inputs!$F$3:$H$18,3,0)*((1+Inputs!$L$3)^Financials!JH$3)))</f>
        <v>12636.423098594401</v>
      </c>
      <c r="JI45" s="18">
        <f>IF(JI$1&lt;CapEx!$O$7,0,(VLOOKUP($B45,Inputs!$F$3:$H$18,3,0)*((1+Inputs!$L$3)^Financials!JI$3)))</f>
        <v>12657.483803758727</v>
      </c>
      <c r="JJ45" s="18">
        <f>IF(JJ$1&lt;CapEx!$O$7,0,(VLOOKUP($B45,Inputs!$F$3:$H$18,3,0)*((1+Inputs!$L$3)^Financials!JJ$3)))</f>
        <v>12678.579610098323</v>
      </c>
      <c r="JK45" s="18">
        <f>IF(JK$1&lt;CapEx!$O$7,0,(VLOOKUP($B45,Inputs!$F$3:$H$18,3,0)*((1+Inputs!$L$3)^Financials!JK$3)))</f>
        <v>12699.710576115156</v>
      </c>
      <c r="JL45" s="18">
        <f>IF(JL$1&lt;CapEx!$O$7,0,(VLOOKUP($B45,Inputs!$F$3:$H$18,3,0)*((1+Inputs!$L$3)^Financials!JL$3)))</f>
        <v>12720.876760408681</v>
      </c>
      <c r="JM45" s="18">
        <f>IF(JM$1&lt;CapEx!$O$7,0,(VLOOKUP($B45,Inputs!$F$3:$H$18,3,0)*((1+Inputs!$L$3)^Financials!JM$3)))</f>
        <v>12742.078221676031</v>
      </c>
      <c r="JN45" s="18">
        <f>IF(JN$1&lt;CapEx!$O$7,0,(VLOOKUP($B45,Inputs!$F$3:$H$18,3,0)*((1+Inputs!$L$3)^Financials!JN$3)))</f>
        <v>12763.315018712159</v>
      </c>
      <c r="JO45" s="18">
        <f>IF(JO$1&lt;CapEx!$O$7,0,(VLOOKUP($B45,Inputs!$F$3:$H$18,3,0)*((1+Inputs!$L$3)^Financials!JO$3)))</f>
        <v>12784.587210410013</v>
      </c>
      <c r="JP45" s="18">
        <f>IF(JP$1&lt;CapEx!$O$7,0,(VLOOKUP($B45,Inputs!$F$3:$H$18,3,0)*((1+Inputs!$L$3)^Financials!JP$3)))</f>
        <v>12805.894855760698</v>
      </c>
      <c r="JQ45" s="18">
        <f>IF(JQ$1&lt;CapEx!$O$7,0,(VLOOKUP($B45,Inputs!$F$3:$H$18,3,0)*((1+Inputs!$L$3)^Financials!JQ$3)))</f>
        <v>12827.238013853632</v>
      </c>
      <c r="JR45" s="18">
        <f>IF(JR$1&lt;CapEx!$O$7,0,(VLOOKUP($B45,Inputs!$F$3:$H$18,3,0)*((1+Inputs!$L$3)^Financials!JR$3)))</f>
        <v>12848.616743876724</v>
      </c>
    </row>
    <row r="46" spans="2:278" x14ac:dyDescent="0.2">
      <c r="B46" s="21" t="str">
        <f>'Data Sources'!A93</f>
        <v>IT  outsourced</v>
      </c>
      <c r="C46" s="18">
        <f>IF(C$1&lt;CapEx!$O$7,0,(VLOOKUP($B46,Inputs!$F$3:$H$17,3,0)*((1+Inputs!$L$3)^Financials!C$3)))</f>
        <v>0</v>
      </c>
      <c r="D46" s="18">
        <f>IF(D$1&lt;CapEx!$O$7,0,(VLOOKUP($B46,Inputs!$F$3:$H$17,3,0)*((1+Inputs!$L$3)^Financials!D$3)))</f>
        <v>0</v>
      </c>
      <c r="E46" s="18">
        <f>IF(E$1&lt;CapEx!$O$7,0,(VLOOKUP($B46,Inputs!$F$3:$H$17,3,0)*((1+Inputs!$L$3)^Financials!E$3)))</f>
        <v>0</v>
      </c>
      <c r="F46" s="18">
        <f>IF(F$1&lt;CapEx!$O$7,0,(VLOOKUP($B46,Inputs!$F$3:$H$17,3,0)*((1+Inputs!$L$3)^Financials!F$3)))</f>
        <v>0</v>
      </c>
      <c r="G46" s="18">
        <f>IF(G$1&lt;CapEx!$O$7,0,(VLOOKUP($B46,Inputs!$F$3:$H$17,3,0)*((1+Inputs!$L$3)^Financials!G$3)))</f>
        <v>0</v>
      </c>
      <c r="H46" s="18">
        <f>IF(H$1&lt;CapEx!$O$7,0,(VLOOKUP($B46,Inputs!$F$3:$H$17,3,0)*((1+Inputs!$L$3)^Financials!H$3)))</f>
        <v>0</v>
      </c>
      <c r="I46" s="18">
        <f>IF(I$1&lt;CapEx!$O$7,0,(VLOOKUP($B46,Inputs!$F$3:$H$17,3,0)*((1+Inputs!$L$3)^Financials!I$3)))</f>
        <v>0</v>
      </c>
      <c r="J46" s="18">
        <f>IF(J$1&lt;CapEx!$O$7,0,(VLOOKUP($B46,Inputs!$F$3:$H$17,3,0)*((1+Inputs!$L$3)^Financials!J$3)))</f>
        <v>0</v>
      </c>
      <c r="K46" s="18">
        <f>IF(K$1&lt;CapEx!$O$7,0,(VLOOKUP($B46,Inputs!$F$3:$H$17,3,0)*((1+Inputs!$L$3)^Financials!K$3)))</f>
        <v>0</v>
      </c>
      <c r="L46" s="18">
        <f>IF(L$1&lt;CapEx!$O$7,0,(VLOOKUP($B46,Inputs!$F$3:$H$17,3,0)*((1+Inputs!$L$3)^Financials!L$3)))</f>
        <v>0</v>
      </c>
      <c r="M46" s="18">
        <f>IF(M$1&lt;CapEx!$O$7,0,(VLOOKUP($B46,Inputs!$F$3:$H$17,3,0)*((1+Inputs!$L$3)^Financials!M$3)))</f>
        <v>0</v>
      </c>
      <c r="N46" s="18">
        <f>IF(N$1&lt;CapEx!$O$7,0,(VLOOKUP($B46,Inputs!$F$3:$H$17,3,0)*((1+Inputs!$L$3)^Financials!N$3)))</f>
        <v>0</v>
      </c>
      <c r="O46" s="18">
        <f>IF(O$1&lt;CapEx!$O$7,0,(VLOOKUP($B46,Inputs!$F$3:$H$17,3,0)*((1+Inputs!$L$3)^Financials!O$3)))</f>
        <v>0</v>
      </c>
      <c r="P46" s="18">
        <f>IF(P$1&lt;CapEx!$O$7,0,(VLOOKUP($B46,Inputs!$F$3:$H$17,3,0)*((1+Inputs!$L$3)^Financials!P$3)))</f>
        <v>0</v>
      </c>
      <c r="Q46" s="18">
        <f>IF(Q$1&lt;CapEx!$O$7,0,(VLOOKUP($B46,Inputs!$F$3:$H$17,3,0)*((1+Inputs!$L$3)^Financials!Q$3)))</f>
        <v>0</v>
      </c>
      <c r="R46" s="18">
        <f>IF(R$1&lt;CapEx!$O$7,0,(VLOOKUP($B46,Inputs!$F$3:$H$17,3,0)*((1+Inputs!$L$3)^Financials!R$3)))</f>
        <v>6666.666666666667</v>
      </c>
      <c r="S46" s="18">
        <f>IF(S$1&lt;CapEx!$O$7,0,(VLOOKUP($B46,Inputs!$F$3:$H$17,3,0)*((1+Inputs!$L$3)^Financials!S$3)))</f>
        <v>6677.7777777777783</v>
      </c>
      <c r="T46" s="18">
        <f>IF(T$1&lt;CapEx!$O$7,0,(VLOOKUP($B46,Inputs!$F$3:$H$17,3,0)*((1+Inputs!$L$3)^Financials!T$3)))</f>
        <v>6688.9074074074088</v>
      </c>
      <c r="U46" s="18">
        <f>IF(U$1&lt;CapEx!$O$7,0,(VLOOKUP($B49,Inputs!$F$3:$H$17,3,0)*((1+Inputs!$L$3)^Financials!U$3)))</f>
        <v>0</v>
      </c>
      <c r="V46" s="18">
        <f>IF(V$1&lt;CapEx!$O$7,0,(VLOOKUP($B46,Inputs!$F$3:$H$17,3,0)*((1+Inputs!$L$3)^Financials!V$3)))</f>
        <v>6711.2223457304544</v>
      </c>
      <c r="W46" s="18">
        <f>IF(W$1&lt;CapEx!$O$7,0,(VLOOKUP($B46,Inputs!$F$3:$H$17,3,0)*((1+Inputs!$L$3)^Financials!W$3)))</f>
        <v>6722.4077163066722</v>
      </c>
      <c r="X46" s="18">
        <f>IF(X$1&lt;CapEx!$O$7,0,(VLOOKUP($B46,Inputs!$F$3:$H$17,3,0)*((1+Inputs!$L$3)^Financials!X$3)))</f>
        <v>6733.6117291671835</v>
      </c>
      <c r="Y46" s="18">
        <f>IF(Y$1&lt;CapEx!$O$7,0,(VLOOKUP($B46,Inputs!$F$3:$H$17,3,0)*((1+Inputs!$L$3)^Financials!Y$3)))</f>
        <v>6744.8344153824628</v>
      </c>
      <c r="Z46" s="18">
        <f>IF(Z$1&lt;CapEx!$O$7,0,(VLOOKUP($B46,Inputs!$F$3:$H$17,3,0)*((1+Inputs!$L$3)^Financials!Z$3)))</f>
        <v>6756.0758060747676</v>
      </c>
      <c r="AA46" s="18">
        <f>IF(AA$1&lt;CapEx!$O$7,0,(VLOOKUP($B46,Inputs!$F$3:$H$17,3,0)*((1+Inputs!$L$3)^Financials!AA$3)))</f>
        <v>6767.3359324182256</v>
      </c>
      <c r="AB46" s="18">
        <f>IF(AB$1&lt;CapEx!$O$7,0,(VLOOKUP($B46,Inputs!$F$3:$H$17,3,0)*((1+Inputs!$L$3)^Financials!AB$3)))</f>
        <v>6778.6148256389233</v>
      </c>
      <c r="AC46" s="18">
        <f>IF(AC$1&lt;CapEx!$O$7,0,(VLOOKUP($B46,Inputs!$F$3:$H$17,3,0)*((1+Inputs!$L$3)^Financials!AC$3)))</f>
        <v>6789.9125170149882</v>
      </c>
      <c r="AD46" s="18">
        <f>IF(AD$1&lt;CapEx!$O$7,0,(VLOOKUP($B46,Inputs!$F$3:$H$17,3,0)*((1+Inputs!$L$3)^Financials!AD$3)))</f>
        <v>6801.2290378766802</v>
      </c>
      <c r="AE46" s="18">
        <f>IF(AE$1&lt;CapEx!$O$7,0,(VLOOKUP($B46,Inputs!$F$3:$H$17,3,0)*((1+Inputs!$L$3)^Financials!AE$3)))</f>
        <v>6812.564419606475</v>
      </c>
      <c r="AF46" s="18">
        <f>IF(AF$1&lt;CapEx!$O$7,0,(VLOOKUP($B46,Inputs!$F$3:$H$17,3,0)*((1+Inputs!$L$3)^Financials!AF$3)))</f>
        <v>6823.9186936391534</v>
      </c>
      <c r="AG46" s="18">
        <f>IF(AG$1&lt;CapEx!$O$7,0,(VLOOKUP($B46,Inputs!$F$3:$H$17,3,0)*((1+Inputs!$L$3)^Financials!AG$3)))</f>
        <v>6835.2918914618858</v>
      </c>
      <c r="AH46" s="18">
        <f>IF(AH$1&lt;CapEx!$O$7,0,(VLOOKUP($B46,Inputs!$F$3:$H$17,3,0)*((1+Inputs!$L$3)^Financials!AH$3)))</f>
        <v>6846.6840446143233</v>
      </c>
      <c r="AI46" s="18">
        <f>IF(AI$1&lt;CapEx!$O$7,0,(VLOOKUP($B46,Inputs!$F$3:$H$17,3,0)*((1+Inputs!$L$3)^Financials!AI$3)))</f>
        <v>6858.095184688681</v>
      </c>
      <c r="AJ46" s="18">
        <f>IF(AJ$1&lt;CapEx!$O$7,0,(VLOOKUP($B46,Inputs!$F$3:$H$17,3,0)*((1+Inputs!$L$3)^Financials!AJ$3)))</f>
        <v>6869.5253433298285</v>
      </c>
      <c r="AK46" s="18">
        <f>IF(AK$1&lt;CapEx!$O$7,0,(VLOOKUP($B46,Inputs!$F$3:$H$17,3,0)*((1+Inputs!$L$3)^Financials!AK$3)))</f>
        <v>6880.9745522353796</v>
      </c>
      <c r="AL46" s="18">
        <f>IF(AL$1&lt;CapEx!$O$7,0,(VLOOKUP($B46,Inputs!$F$3:$H$17,3,0)*((1+Inputs!$L$3)^Financials!AL$3)))</f>
        <v>6892.4428431557717</v>
      </c>
      <c r="AM46" s="18">
        <f>IF(AM$1&lt;CapEx!$O$7,0,(VLOOKUP($B46,Inputs!$F$3:$H$17,3,0)*((1+Inputs!$L$3)^Financials!AM$3)))</f>
        <v>6903.9302478943655</v>
      </c>
      <c r="AN46" s="18">
        <f>IF(AN$1&lt;CapEx!$O$7,0,(VLOOKUP($B46,Inputs!$F$3:$H$17,3,0)*((1+Inputs!$L$3)^Financials!AN$3)))</f>
        <v>6915.4367983075226</v>
      </c>
      <c r="AO46" s="18">
        <f>IF(AO$1&lt;CapEx!$O$7,0,(VLOOKUP($B46,Inputs!$F$3:$H$17,3,0)*((1+Inputs!$L$3)^Financials!AO$3)))</f>
        <v>6926.9625263047028</v>
      </c>
      <c r="AP46" s="18">
        <f>IF(AP$1&lt;CapEx!$O$7,0,(VLOOKUP($B46,Inputs!$F$3:$H$17,3,0)*((1+Inputs!$L$3)^Financials!AP$3)))</f>
        <v>6938.5074638485457</v>
      </c>
      <c r="AQ46" s="18">
        <f>IF(AQ$1&lt;CapEx!$O$7,0,(VLOOKUP($B46,Inputs!$F$3:$H$17,3,0)*((1+Inputs!$L$3)^Financials!AQ$3)))</f>
        <v>6950.0716429549584</v>
      </c>
      <c r="AR46" s="18">
        <f>IF(AR$1&lt;CapEx!$O$7,0,(VLOOKUP($B46,Inputs!$F$3:$H$17,3,0)*((1+Inputs!$L$3)^Financials!AR$3)))</f>
        <v>6961.6550956932169</v>
      </c>
      <c r="AS46" s="18">
        <f>IF(AS$1&lt;CapEx!$O$7,0,(VLOOKUP($B46,Inputs!$F$3:$H$17,3,0)*((1+Inputs!$L$3)^Financials!AS$3)))</f>
        <v>6973.2578541860403</v>
      </c>
      <c r="AT46" s="18">
        <f>IF(AT$1&lt;CapEx!$O$7,0,(VLOOKUP($B46,Inputs!$F$3:$H$17,3,0)*((1+Inputs!$L$3)^Financials!AT$3)))</f>
        <v>6984.8799506096839</v>
      </c>
      <c r="AU46" s="18">
        <f>IF(AU$1&lt;CapEx!$O$7,0,(VLOOKUP($B46,Inputs!$F$3:$H$17,3,0)*((1+Inputs!$L$3)^Financials!AU$3)))</f>
        <v>6996.5214171940343</v>
      </c>
      <c r="AV46" s="18">
        <f>IF(AV$1&lt;CapEx!$O$7,0,(VLOOKUP($B46,Inputs!$F$3:$H$17,3,0)*((1+Inputs!$L$3)^Financials!AV$3)))</f>
        <v>7008.1822862226909</v>
      </c>
      <c r="AW46" s="18">
        <f>IF(AW$1&lt;CapEx!$O$7,0,(VLOOKUP($B46,Inputs!$F$3:$H$17,3,0)*((1+Inputs!$L$3)^Financials!AW$3)))</f>
        <v>7019.8625900330635</v>
      </c>
      <c r="AX46" s="18">
        <f>IF(AX$1&lt;CapEx!$O$7,0,(VLOOKUP($B46,Inputs!$F$3:$H$17,3,0)*((1+Inputs!$L$3)^Financials!AX$3)))</f>
        <v>7031.562361016453</v>
      </c>
      <c r="AY46" s="18">
        <f>IF(AY$1&lt;CapEx!$O$7,0,(VLOOKUP($B46,Inputs!$F$3:$H$17,3,0)*((1+Inputs!$L$3)^Financials!AY$3)))</f>
        <v>7043.2816316181479</v>
      </c>
      <c r="AZ46" s="18">
        <f>IF(AZ$1&lt;CapEx!$O$7,0,(VLOOKUP($B46,Inputs!$F$3:$H$17,3,0)*((1+Inputs!$L$3)^Financials!AZ$3)))</f>
        <v>7055.0204343375108</v>
      </c>
      <c r="BA46" s="18">
        <f>IF(BA$1&lt;CapEx!$O$7,0,(VLOOKUP($B46,Inputs!$F$3:$H$17,3,0)*((1+Inputs!$L$3)^Financials!BA$3)))</f>
        <v>7066.7788017280745</v>
      </c>
      <c r="BB46" s="18">
        <f>IF(BB$1&lt;CapEx!$O$7,0,(VLOOKUP($B46,Inputs!$F$3:$H$17,3,0)*((1+Inputs!$L$3)^Financials!BB$3)))</f>
        <v>7078.5567663976208</v>
      </c>
      <c r="BC46" s="18">
        <f>IF(BC$1&lt;CapEx!$O$7,0,(VLOOKUP($B46,Inputs!$F$3:$H$17,3,0)*((1+Inputs!$L$3)^Financials!BC$3)))</f>
        <v>7090.3543610082843</v>
      </c>
      <c r="BD46" s="18">
        <f>IF(BD$1&lt;CapEx!$O$7,0,(VLOOKUP($B46,Inputs!$F$3:$H$17,3,0)*((1+Inputs!$L$3)^Financials!BD$3)))</f>
        <v>7102.1716182766313</v>
      </c>
      <c r="BE46" s="18">
        <f>IF(BE$1&lt;CapEx!$O$7,0,(VLOOKUP($B46,Inputs!$F$3:$H$17,3,0)*((1+Inputs!$L$3)^Financials!BE$3)))</f>
        <v>7114.0085709737605</v>
      </c>
      <c r="BF46" s="18">
        <f>IF(BF$1&lt;CapEx!$O$7,0,(VLOOKUP($B46,Inputs!$F$3:$H$17,3,0)*((1+Inputs!$L$3)^Financials!BF$3)))</f>
        <v>7125.8652519253847</v>
      </c>
      <c r="BG46" s="18">
        <f>IF(BG$1&lt;CapEx!$O$7,0,(VLOOKUP($B46,Inputs!$F$3:$H$17,3,0)*((1+Inputs!$L$3)^Financials!BG$3)))</f>
        <v>7137.7416940119256</v>
      </c>
      <c r="BH46" s="18">
        <f>IF(BH$1&lt;CapEx!$O$7,0,(VLOOKUP($B46,Inputs!$F$3:$H$17,3,0)*((1+Inputs!$L$3)^Financials!BH$3)))</f>
        <v>7149.6379301686129</v>
      </c>
      <c r="BI46" s="18">
        <f>IF(BI$1&lt;CapEx!$O$7,0,(VLOOKUP($B46,Inputs!$F$3:$H$17,3,0)*((1+Inputs!$L$3)^Financials!BI$3)))</f>
        <v>7161.5539933855616</v>
      </c>
      <c r="BJ46" s="18">
        <f>IF(BJ$1&lt;CapEx!$O$7,0,(VLOOKUP($B46,Inputs!$F$3:$H$17,3,0)*((1+Inputs!$L$3)^Financials!BJ$3)))</f>
        <v>7173.4899167078702</v>
      </c>
      <c r="BK46" s="18">
        <f>IF(BK$1&lt;CapEx!$O$7,0,(VLOOKUP($B46,Inputs!$F$3:$H$17,3,0)*((1+Inputs!$L$3)^Financials!BK$3)))</f>
        <v>7185.4457332357188</v>
      </c>
      <c r="BL46" s="18">
        <f>IF(BL$1&lt;CapEx!$O$7,0,(VLOOKUP($B46,Inputs!$F$3:$H$17,3,0)*((1+Inputs!$L$3)^Financials!BL$3)))</f>
        <v>7197.4214761244448</v>
      </c>
      <c r="BM46" s="18">
        <f>IF(BM$1&lt;CapEx!$O$7,0,(VLOOKUP($B46,Inputs!$F$3:$H$17,3,0)*((1+Inputs!$L$3)^Financials!BM$3)))</f>
        <v>7209.4171785846529</v>
      </c>
      <c r="BN46" s="18">
        <f>IF(BN$1&lt;CapEx!$O$7,0,(VLOOKUP($B46,Inputs!$F$3:$H$17,3,0)*((1+Inputs!$L$3)^Financials!BN$3)))</f>
        <v>7221.4328738822951</v>
      </c>
      <c r="BO46" s="18">
        <f>IF(BO$1&lt;CapEx!$O$7,0,(VLOOKUP($B46,Inputs!$F$3:$H$17,3,0)*((1+Inputs!$L$3)^Financials!BO$3)))</f>
        <v>7233.4685953387652</v>
      </c>
      <c r="BP46" s="18">
        <f>IF(BP$1&lt;CapEx!$O$7,0,(VLOOKUP($B46,Inputs!$F$3:$H$17,3,0)*((1+Inputs!$L$3)^Financials!BP$3)))</f>
        <v>7245.5243763309963</v>
      </c>
      <c r="BQ46" s="18">
        <f>IF(BQ$1&lt;CapEx!$O$7,0,(VLOOKUP($B46,Inputs!$F$3:$H$17,3,0)*((1+Inputs!$L$3)^Financials!BQ$3)))</f>
        <v>7257.6002502915499</v>
      </c>
      <c r="BR46" s="18">
        <f>IF(BR$1&lt;CapEx!$O$7,0,(VLOOKUP($B46,Inputs!$F$3:$H$17,3,0)*((1+Inputs!$L$3)^Financials!BR$3)))</f>
        <v>7269.6962507087019</v>
      </c>
      <c r="BS46" s="18">
        <f>IF(BS$1&lt;CapEx!$O$7,0,(VLOOKUP($B46,Inputs!$F$3:$H$17,3,0)*((1+Inputs!$L$3)^Financials!BS$3)))</f>
        <v>7281.8124111265506</v>
      </c>
      <c r="BT46" s="18">
        <f>IF(BT$1&lt;CapEx!$O$7,0,(VLOOKUP($B46,Inputs!$F$3:$H$17,3,0)*((1+Inputs!$L$3)^Financials!BT$3)))</f>
        <v>7293.9487651450954</v>
      </c>
      <c r="BU46" s="18">
        <f>IF(BU$1&lt;CapEx!$O$7,0,(VLOOKUP($B46,Inputs!$F$3:$H$17,3,0)*((1+Inputs!$L$3)^Financials!BU$3)))</f>
        <v>7306.1053464203378</v>
      </c>
      <c r="BV46" s="18">
        <f>IF(BV$1&lt;CapEx!$O$7,0,(VLOOKUP($B46,Inputs!$F$3:$H$17,3,0)*((1+Inputs!$L$3)^Financials!BV$3)))</f>
        <v>7318.2821886643733</v>
      </c>
      <c r="BW46" s="18">
        <f>IF(BW$1&lt;CapEx!$O$7,0,(VLOOKUP($B46,Inputs!$F$3:$H$17,3,0)*((1+Inputs!$L$3)^Financials!BW$3)))</f>
        <v>7330.4793256454795</v>
      </c>
      <c r="BX46" s="18">
        <f>IF(BX$1&lt;CapEx!$O$7,0,(VLOOKUP($B46,Inputs!$F$3:$H$17,3,0)*((1+Inputs!$L$3)^Financials!BX$3)))</f>
        <v>7342.6967911882221</v>
      </c>
      <c r="BY46" s="18">
        <f>IF(BY$1&lt;CapEx!$O$7,0,(VLOOKUP($B46,Inputs!$F$3:$H$17,3,0)*((1+Inputs!$L$3)^Financials!BY$3)))</f>
        <v>7354.9346191735367</v>
      </c>
      <c r="BZ46" s="18">
        <f>IF(BZ$1&lt;CapEx!$O$7,0,(VLOOKUP($B46,Inputs!$F$3:$H$17,3,0)*((1+Inputs!$L$3)^Financials!BZ$3)))</f>
        <v>7367.1928435388263</v>
      </c>
      <c r="CA46" s="18">
        <f>IF(CA$1&lt;CapEx!$O$7,0,(VLOOKUP($B46,Inputs!$F$3:$H$17,3,0)*((1+Inputs!$L$3)^Financials!CA$3)))</f>
        <v>7379.4714982780588</v>
      </c>
      <c r="CB46" s="18">
        <f>IF(CB$1&lt;CapEx!$O$7,0,(VLOOKUP($B46,Inputs!$F$3:$H$17,3,0)*((1+Inputs!$L$3)^Financials!CB$3)))</f>
        <v>7391.7706174418554</v>
      </c>
      <c r="CC46" s="18">
        <f>IF(CC$1&lt;CapEx!$O$7,0,(VLOOKUP($B46,Inputs!$F$3:$H$17,3,0)*((1+Inputs!$L$3)^Financials!CC$3)))</f>
        <v>7404.0902351375935</v>
      </c>
      <c r="CD46" s="18">
        <f>IF(CD$1&lt;CapEx!$O$7,0,(VLOOKUP($B46,Inputs!$F$3:$H$17,3,0)*((1+Inputs!$L$3)^Financials!CD$3)))</f>
        <v>7416.4303855294902</v>
      </c>
      <c r="CE46" s="18">
        <f>IF(CE$1&lt;CapEx!$O$7,0,(VLOOKUP($B46,Inputs!$F$3:$H$17,3,0)*((1+Inputs!$L$3)^Financials!CE$3)))</f>
        <v>7428.7911028387061</v>
      </c>
      <c r="CF46" s="18">
        <f>IF(CF$1&lt;CapEx!$O$7,0,(VLOOKUP($B46,Inputs!$F$3:$H$17,3,0)*((1+Inputs!$L$3)^Financials!CF$3)))</f>
        <v>7441.1724213434372</v>
      </c>
      <c r="CG46" s="18">
        <f>IF(CG$1&lt;CapEx!$O$7,0,(VLOOKUP($B46,Inputs!$F$3:$H$17,3,0)*((1+Inputs!$L$3)^Financials!CG$3)))</f>
        <v>7453.5743753790102</v>
      </c>
      <c r="CH46" s="18">
        <f>IF(CH$1&lt;CapEx!$O$7,0,(VLOOKUP($B46,Inputs!$F$3:$H$17,3,0)*((1+Inputs!$L$3)^Financials!CH$3)))</f>
        <v>7465.9969993379755</v>
      </c>
      <c r="CI46" s="18">
        <f>IF(CI$1&lt;CapEx!$O$7,0,(VLOOKUP($B46,Inputs!$F$3:$H$17,3,0)*((1+Inputs!$L$3)^Financials!CI$3)))</f>
        <v>7478.440327670206</v>
      </c>
      <c r="CJ46" s="18">
        <f>IF(CJ$1&lt;CapEx!$O$7,0,(VLOOKUP($B46,Inputs!$F$3:$H$17,3,0)*((1+Inputs!$L$3)^Financials!CJ$3)))</f>
        <v>7490.9043948829894</v>
      </c>
      <c r="CK46" s="18">
        <f>IF(CK$1&lt;CapEx!$O$7,0,(VLOOKUP($B46,Inputs!$F$3:$H$17,3,0)*((1+Inputs!$L$3)^Financials!CK$3)))</f>
        <v>7503.3892355411281</v>
      </c>
      <c r="CL46" s="18">
        <f>IF(CL$1&lt;CapEx!$O$7,0,(VLOOKUP($B46,Inputs!$F$3:$H$17,3,0)*((1+Inputs!$L$3)^Financials!CL$3)))</f>
        <v>7515.8948842670316</v>
      </c>
      <c r="CM46" s="18">
        <f>IF(CM$1&lt;CapEx!$O$7,0,(VLOOKUP($B46,Inputs!$F$3:$H$17,3,0)*((1+Inputs!$L$3)^Financials!CM$3)))</f>
        <v>7528.4213757408097</v>
      </c>
      <c r="CN46" s="18">
        <f>IF(CN$1&lt;CapEx!$O$7,0,(VLOOKUP($B46,Inputs!$F$3:$H$17,3,0)*((1+Inputs!$L$3)^Financials!CN$3)))</f>
        <v>7540.9687447003789</v>
      </c>
      <c r="CO46" s="18">
        <f>IF(CO$1&lt;CapEx!$O$7,0,(VLOOKUP($B46,Inputs!$F$3:$H$17,3,0)*((1+Inputs!$L$3)^Financials!CO$3)))</f>
        <v>7553.5370259415467</v>
      </c>
      <c r="CP46" s="18">
        <f>IF(CP$1&lt;CapEx!$O$7,0,(VLOOKUP($B46,Inputs!$F$3:$H$17,3,0)*((1+Inputs!$L$3)^Financials!CP$3)))</f>
        <v>7566.1262543181165</v>
      </c>
      <c r="CQ46" s="18">
        <f>IF(CQ$1&lt;CapEx!$O$7,0,(VLOOKUP($B46,Inputs!$F$3:$H$17,3,0)*((1+Inputs!$L$3)^Financials!CQ$3)))</f>
        <v>7578.7364647419809</v>
      </c>
      <c r="CR46" s="18">
        <f>IF(CR$1&lt;CapEx!$O$7,0,(VLOOKUP($B46,Inputs!$F$3:$H$17,3,0)*((1+Inputs!$L$3)^Financials!CR$3)))</f>
        <v>7591.3676921832175</v>
      </c>
      <c r="CS46" s="18">
        <f>IF(CS$1&lt;CapEx!$O$7,0,(VLOOKUP($B46,Inputs!$F$3:$H$17,3,0)*((1+Inputs!$L$3)^Financials!CS$3)))</f>
        <v>7604.0199716701891</v>
      </c>
      <c r="CT46" s="18">
        <f>IF(CT$1&lt;CapEx!$O$7,0,(VLOOKUP($B46,Inputs!$F$3:$H$17,3,0)*((1+Inputs!$L$3)^Financials!CT$3)))</f>
        <v>7616.6933382896414</v>
      </c>
      <c r="CU46" s="18">
        <f>IF(CU$1&lt;CapEx!$O$7,0,(VLOOKUP($B46,Inputs!$F$3:$H$17,3,0)*((1+Inputs!$L$3)^Financials!CU$3)))</f>
        <v>7629.3878271867907</v>
      </c>
      <c r="CV46" s="18">
        <f>IF(CV$1&lt;CapEx!$O$7,0,(VLOOKUP($B46,Inputs!$F$3:$H$17,3,0)*((1+Inputs!$L$3)^Financials!CV$3)))</f>
        <v>7642.1034735654357</v>
      </c>
      <c r="CW46" s="18">
        <f>IF(CW$1&lt;CapEx!$O$7,0,(VLOOKUP($B46,Inputs!$F$3:$H$17,3,0)*((1+Inputs!$L$3)^Financials!CW$3)))</f>
        <v>7654.8403126880457</v>
      </c>
      <c r="CX46" s="18">
        <f>IF(CX$1&lt;CapEx!$O$7,0,(VLOOKUP($B46,Inputs!$F$3:$H$17,3,0)*((1+Inputs!$L$3)^Financials!CX$3)))</f>
        <v>7667.5983798758598</v>
      </c>
      <c r="CY46" s="18">
        <f>IF(CY$1&lt;CapEx!$O$7,0,(VLOOKUP($B46,Inputs!$F$3:$H$17,3,0)*((1+Inputs!$L$3)^Financials!CY$3)))</f>
        <v>7680.3777105089885</v>
      </c>
      <c r="CZ46" s="18">
        <f>IF(CZ$1&lt;CapEx!$O$7,0,(VLOOKUP($B46,Inputs!$F$3:$H$17,3,0)*((1+Inputs!$L$3)^Financials!CZ$3)))</f>
        <v>7693.1783400265012</v>
      </c>
      <c r="DA46" s="18">
        <f>IF(DA$1&lt;CapEx!$O$7,0,(VLOOKUP($B46,Inputs!$F$3:$H$17,3,0)*((1+Inputs!$L$3)^Financials!DA$3)))</f>
        <v>7706.0003039265475</v>
      </c>
      <c r="DB46" s="18">
        <f>IF(DB$1&lt;CapEx!$O$7,0,(VLOOKUP($B46,Inputs!$F$3:$H$17,3,0)*((1+Inputs!$L$3)^Financials!DB$3)))</f>
        <v>7718.8436377664266</v>
      </c>
      <c r="DC46" s="18">
        <f>IF(DC$1&lt;CapEx!$O$7,0,(VLOOKUP($B46,Inputs!$F$3:$H$17,3,0)*((1+Inputs!$L$3)^Financials!DC$3)))</f>
        <v>7731.7083771627022</v>
      </c>
      <c r="DD46" s="18">
        <f>IF(DD$1&lt;CapEx!$O$7,0,(VLOOKUP($B46,Inputs!$F$3:$H$17,3,0)*((1+Inputs!$L$3)^Financials!DD$3)))</f>
        <v>7744.5945577913071</v>
      </c>
      <c r="DE46" s="18">
        <f>IF(DE$1&lt;CapEx!$O$7,0,(VLOOKUP($B46,Inputs!$F$3:$H$17,3,0)*((1+Inputs!$L$3)^Financials!DE$3)))</f>
        <v>7757.5022153876271</v>
      </c>
      <c r="DF46" s="18">
        <f>IF(DF$1&lt;CapEx!$O$7,0,(VLOOKUP($B46,Inputs!$F$3:$H$17,3,0)*((1+Inputs!$L$3)^Financials!DF$3)))</f>
        <v>7770.4313857466077</v>
      </c>
      <c r="DG46" s="18">
        <f>IF(DG$1&lt;CapEx!$O$7,0,(VLOOKUP($B46,Inputs!$F$3:$H$17,3,0)*((1+Inputs!$L$3)^Financials!DG$3)))</f>
        <v>7783.382104722853</v>
      </c>
      <c r="DH46" s="18">
        <f>IF(DH$1&lt;CapEx!$O$7,0,(VLOOKUP($B46,Inputs!$F$3:$H$17,3,0)*((1+Inputs!$L$3)^Financials!DH$3)))</f>
        <v>7796.3544082307235</v>
      </c>
      <c r="DI46" s="18">
        <f>IF(DI$1&lt;CapEx!$O$7,0,(VLOOKUP($B46,Inputs!$F$3:$H$17,3,0)*((1+Inputs!$L$3)^Financials!DI$3)))</f>
        <v>7809.3483322444426</v>
      </c>
      <c r="DJ46" s="18">
        <f>IF(DJ$1&lt;CapEx!$O$7,0,(VLOOKUP($B46,Inputs!$F$3:$H$17,3,0)*((1+Inputs!$L$3)^Financials!DJ$3)))</f>
        <v>7822.3639127981851</v>
      </c>
      <c r="DK46" s="18">
        <f>IF(DK$1&lt;CapEx!$O$7,0,(VLOOKUP($B46,Inputs!$F$3:$H$17,3,0)*((1+Inputs!$L$3)^Financials!DK$3)))</f>
        <v>7835.401185986183</v>
      </c>
      <c r="DL46" s="18">
        <f>IF(DL$1&lt;CapEx!$O$7,0,(VLOOKUP($B46,Inputs!$F$3:$H$17,3,0)*((1+Inputs!$L$3)^Financials!DL$3)))</f>
        <v>7848.4601879628253</v>
      </c>
      <c r="DM46" s="18">
        <f>IF(DM$1&lt;CapEx!$O$7,0,(VLOOKUP($B46,Inputs!$F$3:$H$17,3,0)*((1+Inputs!$L$3)^Financials!DM$3)))</f>
        <v>7861.540954942765</v>
      </c>
      <c r="DN46" s="18">
        <f>IF(DN$1&lt;CapEx!$O$7,0,(VLOOKUP($B46,Inputs!$F$3:$H$17,3,0)*((1+Inputs!$L$3)^Financials!DN$3)))</f>
        <v>7874.6435232010035</v>
      </c>
      <c r="DO46" s="18">
        <f>IF(DO$1&lt;CapEx!$O$7,0,(VLOOKUP($B46,Inputs!$F$3:$H$17,3,0)*((1+Inputs!$L$3)^Financials!DO$3)))</f>
        <v>7887.7679290730048</v>
      </c>
      <c r="DP46" s="18">
        <f>IF(DP$1&lt;CapEx!$O$7,0,(VLOOKUP($B46,Inputs!$F$3:$H$17,3,0)*((1+Inputs!$L$3)^Financials!DP$3)))</f>
        <v>7900.9142089547931</v>
      </c>
      <c r="DQ46" s="18">
        <f>IF(DQ$1&lt;CapEx!$O$7,0,(VLOOKUP($B46,Inputs!$F$3:$H$17,3,0)*((1+Inputs!$L$3)^Financials!DQ$3)))</f>
        <v>7914.0823993030526</v>
      </c>
      <c r="DR46" s="18">
        <f>IF(DR$1&lt;CapEx!$O$7,0,(VLOOKUP($B46,Inputs!$F$3:$H$17,3,0)*((1+Inputs!$L$3)^Financials!DR$3)))</f>
        <v>7927.2725366352252</v>
      </c>
      <c r="DS46" s="18">
        <f>IF(DS$1&lt;CapEx!$O$7,0,(VLOOKUP($B46,Inputs!$F$3:$H$17,3,0)*((1+Inputs!$L$3)^Financials!DS$3)))</f>
        <v>7940.4846575296169</v>
      </c>
      <c r="DT46" s="18">
        <f>IF(DT$1&lt;CapEx!$O$7,0,(VLOOKUP($B46,Inputs!$F$3:$H$17,3,0)*((1+Inputs!$L$3)^Financials!DT$3)))</f>
        <v>7953.7187986254994</v>
      </c>
      <c r="DU46" s="18">
        <f>IF(DU$1&lt;CapEx!$O$7,0,(VLOOKUP($B46,Inputs!$F$3:$H$17,3,0)*((1+Inputs!$L$3)^Financials!DU$3)))</f>
        <v>7966.9749966232102</v>
      </c>
      <c r="DV46" s="18">
        <f>IF(DV$1&lt;CapEx!$O$7,0,(VLOOKUP($B46,Inputs!$F$3:$H$17,3,0)*((1+Inputs!$L$3)^Financials!DV$3)))</f>
        <v>7980.2532882842479</v>
      </c>
      <c r="DW46" s="18">
        <f>IF(DW$1&lt;CapEx!$O$7,0,(VLOOKUP($B46,Inputs!$F$3:$H$17,3,0)*((1+Inputs!$L$3)^Financials!DW$3)))</f>
        <v>7993.5537104313898</v>
      </c>
      <c r="DX46" s="18">
        <f>IF(DX$1&lt;CapEx!$O$7,0,(VLOOKUP($B46,Inputs!$F$3:$H$17,3,0)*((1+Inputs!$L$3)^Financials!DX$3)))</f>
        <v>8006.8762999487772</v>
      </c>
      <c r="DY46" s="18">
        <f>IF(DY$1&lt;CapEx!$O$7,0,(VLOOKUP($B46,Inputs!$F$3:$H$17,3,0)*((1+Inputs!$L$3)^Financials!DY$3)))</f>
        <v>8020.2210937820255</v>
      </c>
      <c r="DZ46" s="18">
        <f>IF(DZ$1&lt;CapEx!$O$7,0,(VLOOKUP($B46,Inputs!$F$3:$H$17,3,0)*((1+Inputs!$L$3)^Financials!DZ$3)))</f>
        <v>8033.5881289383296</v>
      </c>
      <c r="EA46" s="18">
        <f>IF(EA$1&lt;CapEx!$O$7,0,(VLOOKUP($B46,Inputs!$F$3:$H$17,3,0)*((1+Inputs!$L$3)^Financials!EA$3)))</f>
        <v>8046.9774424865609</v>
      </c>
      <c r="EB46" s="18">
        <f>IF(EB$1&lt;CapEx!$O$7,0,(VLOOKUP($B46,Inputs!$F$3:$H$17,3,0)*((1+Inputs!$L$3)^Financials!EB$3)))</f>
        <v>8060.3890715573716</v>
      </c>
      <c r="EC46" s="18">
        <f>IF(EC$1&lt;CapEx!$O$7,0,(VLOOKUP($B46,Inputs!$F$3:$H$17,3,0)*((1+Inputs!$L$3)^Financials!EC$3)))</f>
        <v>8073.8230533433016</v>
      </c>
      <c r="ED46" s="18">
        <f>IF(ED$1&lt;CapEx!$O$7,0,(VLOOKUP($B46,Inputs!$F$3:$H$17,3,0)*((1+Inputs!$L$3)^Financials!ED$3)))</f>
        <v>8087.2794250988736</v>
      </c>
      <c r="EE46" s="18">
        <f>IF(EE$1&lt;CapEx!$O$7,0,(VLOOKUP($B46,Inputs!$F$3:$H$17,3,0)*((1+Inputs!$L$3)^Financials!EE$3)))</f>
        <v>8100.7582241407072</v>
      </c>
      <c r="EF46" s="18">
        <f>IF(EF$1&lt;CapEx!$O$7,0,(VLOOKUP($B46,Inputs!$F$3:$H$17,3,0)*((1+Inputs!$L$3)^Financials!EF$3)))</f>
        <v>8114.2594878476075</v>
      </c>
      <c r="EG46" s="18">
        <f>IF(EG$1&lt;CapEx!$O$7,0,(VLOOKUP($B46,Inputs!$F$3:$H$17,3,0)*((1+Inputs!$L$3)^Financials!EG$3)))</f>
        <v>8127.7832536606875</v>
      </c>
      <c r="EH46" s="18">
        <f>IF(EH$1&lt;CapEx!$O$7,0,(VLOOKUP($B46,Inputs!$F$3:$H$17,3,0)*((1+Inputs!$L$3)^Financials!EH$3)))</f>
        <v>8141.3295590834568</v>
      </c>
      <c r="EI46" s="18">
        <f>IF(EI$1&lt;CapEx!$O$7,0,(VLOOKUP($B46,Inputs!$F$3:$H$17,3,0)*((1+Inputs!$L$3)^Financials!EI$3)))</f>
        <v>8154.8984416819294</v>
      </c>
      <c r="EJ46" s="18">
        <f>IF(EJ$1&lt;CapEx!$O$7,0,(VLOOKUP($B46,Inputs!$F$3:$H$17,3,0)*((1+Inputs!$L$3)^Financials!EJ$3)))</f>
        <v>8168.4899390847331</v>
      </c>
      <c r="EK46" s="18">
        <f>IF(EK$1&lt;CapEx!$O$7,0,(VLOOKUP($B46,Inputs!$F$3:$H$17,3,0)*((1+Inputs!$L$3)^Financials!EK$3)))</f>
        <v>8182.1040889832084</v>
      </c>
      <c r="EL46" s="18">
        <f>IF(EL$1&lt;CapEx!$O$7,0,(VLOOKUP($B46,Inputs!$F$3:$H$17,3,0)*((1+Inputs!$L$3)^Financials!EL$3)))</f>
        <v>8195.7409291315125</v>
      </c>
      <c r="EM46" s="18">
        <f>IF(EM$1&lt;CapEx!$O$7,0,(VLOOKUP($B46,Inputs!$F$3:$H$17,3,0)*((1+Inputs!$L$3)^Financials!EM$3)))</f>
        <v>8209.4004973467345</v>
      </c>
      <c r="EN46" s="18">
        <f>IF(EN$1&lt;CapEx!$O$7,0,(VLOOKUP($B46,Inputs!$F$3:$H$17,3,0)*((1+Inputs!$L$3)^Financials!EN$3)))</f>
        <v>8223.0828315089784</v>
      </c>
      <c r="EO46" s="18">
        <f>IF(EO$1&lt;CapEx!$O$7,0,(VLOOKUP($B46,Inputs!$F$3:$H$17,3,0)*((1+Inputs!$L$3)^Financials!EO$3)))</f>
        <v>8236.7879695614956</v>
      </c>
      <c r="EP46" s="18">
        <f>IF(EP$1&lt;CapEx!$O$7,0,(VLOOKUP($B46,Inputs!$F$3:$H$17,3,0)*((1+Inputs!$L$3)^Financials!EP$3)))</f>
        <v>8250.5159495107655</v>
      </c>
      <c r="EQ46" s="18">
        <f>IF(EQ$1&lt;CapEx!$O$7,0,(VLOOKUP($B46,Inputs!$F$3:$H$17,3,0)*((1+Inputs!$L$3)^Financials!EQ$3)))</f>
        <v>8264.2668094266173</v>
      </c>
      <c r="ER46" s="18">
        <f>IF(ER$1&lt;CapEx!$O$7,0,(VLOOKUP($B46,Inputs!$F$3:$H$17,3,0)*((1+Inputs!$L$3)^Financials!ER$3)))</f>
        <v>8278.0405874423268</v>
      </c>
      <c r="ES46" s="18">
        <f>IF(ES$1&lt;CapEx!$O$7,0,(VLOOKUP($B46,Inputs!$F$3:$H$17,3,0)*((1+Inputs!$L$3)^Financials!ES$3)))</f>
        <v>8291.8373217547323</v>
      </c>
      <c r="ET46" s="18">
        <f>IF(ET$1&lt;CapEx!$O$7,0,(VLOOKUP($B46,Inputs!$F$3:$H$17,3,0)*((1+Inputs!$L$3)^Financials!ET$3)))</f>
        <v>8305.6570506243243</v>
      </c>
      <c r="EU46" s="18">
        <f>IF(EU$1&lt;CapEx!$O$7,0,(VLOOKUP($B46,Inputs!$F$3:$H$17,3,0)*((1+Inputs!$L$3)^Financials!EU$3)))</f>
        <v>8319.4998123753649</v>
      </c>
      <c r="EV46" s="18">
        <f>IF(EV$1&lt;CapEx!$O$7,0,(VLOOKUP($B46,Inputs!$F$3:$H$17,3,0)*((1+Inputs!$L$3)^Financials!EV$3)))</f>
        <v>8333.3656453959902</v>
      </c>
      <c r="EW46" s="18">
        <f>IF(EW$1&lt;CapEx!$O$7,0,(VLOOKUP($B46,Inputs!$F$3:$H$17,3,0)*((1+Inputs!$L$3)^Financials!EW$3)))</f>
        <v>8347.2545881383176</v>
      </c>
      <c r="EX46" s="18">
        <f>IF(EX$1&lt;CapEx!$O$7,0,(VLOOKUP($B46,Inputs!$F$3:$H$17,3,0)*((1+Inputs!$L$3)^Financials!EX$3)))</f>
        <v>8361.1666791185489</v>
      </c>
      <c r="EY46" s="18">
        <f>IF(EY$1&lt;CapEx!$O$7,0,(VLOOKUP($B46,Inputs!$F$3:$H$17,3,0)*((1+Inputs!$L$3)^Financials!EY$3)))</f>
        <v>8375.1019569170803</v>
      </c>
      <c r="EZ46" s="18">
        <f>IF(EZ$1&lt;CapEx!$O$7,0,(VLOOKUP($B46,Inputs!$F$3:$H$17,3,0)*((1+Inputs!$L$3)^Financials!EZ$3)))</f>
        <v>8389.060460178609</v>
      </c>
      <c r="FA46" s="18">
        <f>IF(FA$1&lt;CapEx!$O$7,0,(VLOOKUP($B46,Inputs!$F$3:$H$17,3,0)*((1+Inputs!$L$3)^Financials!FA$3)))</f>
        <v>8403.0422276122426</v>
      </c>
      <c r="FB46" s="18">
        <f>IF(FB$1&lt;CapEx!$O$7,0,(VLOOKUP($B46,Inputs!$F$3:$H$17,3,0)*((1+Inputs!$L$3)^Financials!FB$3)))</f>
        <v>8417.0472979915958</v>
      </c>
      <c r="FC46" s="18">
        <f>IF(FC$1&lt;CapEx!$O$7,0,(VLOOKUP($B46,Inputs!$F$3:$H$17,3,0)*((1+Inputs!$L$3)^Financials!FC$3)))</f>
        <v>8431.0757101549152</v>
      </c>
      <c r="FD46" s="18">
        <f>IF(FD$1&lt;CapEx!$O$7,0,(VLOOKUP($B46,Inputs!$F$3:$H$17,3,0)*((1+Inputs!$L$3)^Financials!FD$3)))</f>
        <v>8445.1275030051747</v>
      </c>
      <c r="FE46" s="18">
        <f>IF(FE$1&lt;CapEx!$O$7,0,(VLOOKUP($B46,Inputs!$F$3:$H$17,3,0)*((1+Inputs!$L$3)^Financials!FE$3)))</f>
        <v>8459.2027155101823</v>
      </c>
      <c r="FF46" s="18">
        <f>IF(FF$1&lt;CapEx!$O$7,0,(VLOOKUP($B46,Inputs!$F$3:$H$17,3,0)*((1+Inputs!$L$3)^Financials!FF$3)))</f>
        <v>8473.3013867027021</v>
      </c>
      <c r="FG46" s="18">
        <f>IF(FG$1&lt;CapEx!$O$7,0,(VLOOKUP($B46,Inputs!$F$3:$H$17,3,0)*((1+Inputs!$L$3)^Financials!FG$3)))</f>
        <v>8487.4235556805397</v>
      </c>
      <c r="FH46" s="18">
        <f>IF(FH$1&lt;CapEx!$O$7,0,(VLOOKUP($B46,Inputs!$F$3:$H$17,3,0)*((1+Inputs!$L$3)^Financials!FH$3)))</f>
        <v>8501.5692616066735</v>
      </c>
      <c r="FI46" s="18">
        <f>IF(FI$1&lt;CapEx!$O$7,0,(VLOOKUP($B46,Inputs!$F$3:$H$17,3,0)*((1+Inputs!$L$3)^Financials!FI$3)))</f>
        <v>8515.7385437093544</v>
      </c>
      <c r="FJ46" s="18">
        <f>IF(FJ$1&lt;CapEx!$O$7,0,(VLOOKUP($B46,Inputs!$F$3:$H$17,3,0)*((1+Inputs!$L$3)^Financials!FJ$3)))</f>
        <v>8529.9314412822023</v>
      </c>
      <c r="FK46" s="18">
        <f>IF(FK$1&lt;CapEx!$O$7,0,(VLOOKUP($B46,Inputs!$F$3:$H$17,3,0)*((1+Inputs!$L$3)^Financials!FK$3)))</f>
        <v>8544.1479936843407</v>
      </c>
      <c r="FL46" s="18">
        <f>IF(FL$1&lt;CapEx!$O$7,0,(VLOOKUP($B46,Inputs!$F$3:$H$17,3,0)*((1+Inputs!$L$3)^Financials!FL$3)))</f>
        <v>8558.3882403404805</v>
      </c>
      <c r="FM46" s="18">
        <f>IF(FM$1&lt;CapEx!$O$7,0,(VLOOKUP($B46,Inputs!$F$3:$H$17,3,0)*((1+Inputs!$L$3)^Financials!FM$3)))</f>
        <v>8572.652220741049</v>
      </c>
      <c r="FN46" s="18">
        <f>IF(FN$1&lt;CapEx!$O$7,0,(VLOOKUP($B46,Inputs!$F$3:$H$17,3,0)*((1+Inputs!$L$3)^Financials!FN$3)))</f>
        <v>8586.9399744422863</v>
      </c>
      <c r="FO46" s="18">
        <f>IF(FO$1&lt;CapEx!$O$7,0,(VLOOKUP($B46,Inputs!$F$3:$H$17,3,0)*((1+Inputs!$L$3)^Financials!FO$3)))</f>
        <v>8601.2515410663545</v>
      </c>
      <c r="FP46" s="18">
        <f>IF(FP$1&lt;CapEx!$O$7,0,(VLOOKUP($B46,Inputs!$F$3:$H$17,3,0)*((1+Inputs!$L$3)^Financials!FP$3)))</f>
        <v>8615.5869603014671</v>
      </c>
      <c r="FQ46" s="18">
        <f>IF(FQ$1&lt;CapEx!$O$7,0,(VLOOKUP($B46,Inputs!$F$3:$H$17,3,0)*((1+Inputs!$L$3)^Financials!FQ$3)))</f>
        <v>8629.9462719019702</v>
      </c>
      <c r="FR46" s="18">
        <f>IF(FR$1&lt;CapEx!$O$7,0,(VLOOKUP($B46,Inputs!$F$3:$H$17,3,0)*((1+Inputs!$L$3)^Financials!FR$3)))</f>
        <v>8644.3295156884724</v>
      </c>
      <c r="FS46" s="18">
        <f>IF(FS$1&lt;CapEx!$O$7,0,(VLOOKUP($B46,Inputs!$F$3:$H$17,3,0)*((1+Inputs!$L$3)^Financials!FS$3)))</f>
        <v>8658.7367315479569</v>
      </c>
      <c r="FT46" s="18">
        <f>IF(FT$1&lt;CapEx!$O$7,0,(VLOOKUP($B46,Inputs!$F$3:$H$17,3,0)*((1+Inputs!$L$3)^Financials!FT$3)))</f>
        <v>8673.1679594338693</v>
      </c>
      <c r="FU46" s="18">
        <f>IF(FU$1&lt;CapEx!$O$7,0,(VLOOKUP($B46,Inputs!$F$3:$H$17,3,0)*((1+Inputs!$L$3)^Financials!FU$3)))</f>
        <v>8687.6232393662594</v>
      </c>
      <c r="FV46" s="18">
        <f>IF(FV$1&lt;CapEx!$O$7,0,(VLOOKUP($B46,Inputs!$F$3:$H$17,3,0)*((1+Inputs!$L$3)^Financials!FV$3)))</f>
        <v>8702.102611431872</v>
      </c>
      <c r="FW46" s="18">
        <f>IF(FW$1&lt;CapEx!$O$7,0,(VLOOKUP($B46,Inputs!$F$3:$H$17,3,0)*((1+Inputs!$L$3)^Financials!FW$3)))</f>
        <v>8716.6061157842596</v>
      </c>
      <c r="FX46" s="18">
        <f>IF(FX$1&lt;CapEx!$O$7,0,(VLOOKUP($B46,Inputs!$F$3:$H$17,3,0)*((1+Inputs!$L$3)^Financials!FX$3)))</f>
        <v>8731.1337926438991</v>
      </c>
      <c r="FY46" s="18">
        <f>IF(FY$1&lt;CapEx!$O$7,0,(VLOOKUP($B46,Inputs!$F$3:$H$17,3,0)*((1+Inputs!$L$3)^Financials!FY$3)))</f>
        <v>8745.6856822983063</v>
      </c>
      <c r="FZ46" s="18">
        <f>IF(FZ$1&lt;CapEx!$O$7,0,(VLOOKUP($B46,Inputs!$F$3:$H$17,3,0)*((1+Inputs!$L$3)^Financials!FZ$3)))</f>
        <v>8760.2618251021377</v>
      </c>
      <c r="GA46" s="18">
        <f>IF(GA$1&lt;CapEx!$O$7,0,(VLOOKUP($B46,Inputs!$F$3:$H$17,3,0)*((1+Inputs!$L$3)^Financials!GA$3)))</f>
        <v>8774.8622614773085</v>
      </c>
      <c r="GB46" s="18">
        <f>IF(GB$1&lt;CapEx!$O$7,0,(VLOOKUP($B46,Inputs!$F$3:$H$17,3,0)*((1+Inputs!$L$3)^Financials!GB$3)))</f>
        <v>8789.4870319131041</v>
      </c>
      <c r="GC46" s="18">
        <f>IF(GC$1&lt;CapEx!$O$7,0,(VLOOKUP($B46,Inputs!$F$3:$H$17,3,0)*((1+Inputs!$L$3)^Financials!GC$3)))</f>
        <v>8804.1361769662926</v>
      </c>
      <c r="GD46" s="18">
        <f>IF(GD$1&lt;CapEx!$O$7,0,(VLOOKUP($B46,Inputs!$F$3:$H$17,3,0)*((1+Inputs!$L$3)^Financials!GD$3)))</f>
        <v>8818.8097372612392</v>
      </c>
      <c r="GE46" s="18">
        <f>IF(GE$1&lt;CapEx!$O$7,0,(VLOOKUP($B46,Inputs!$F$3:$H$17,3,0)*((1+Inputs!$L$3)^Financials!GE$3)))</f>
        <v>8833.5077534900065</v>
      </c>
      <c r="GF46" s="18">
        <f>IF(GF$1&lt;CapEx!$O$7,0,(VLOOKUP($B46,Inputs!$F$3:$H$17,3,0)*((1+Inputs!$L$3)^Financials!GF$3)))</f>
        <v>8848.2302664124909</v>
      </c>
      <c r="GG46" s="18">
        <f>IF(GG$1&lt;CapEx!$O$7,0,(VLOOKUP($B46,Inputs!$F$3:$H$17,3,0)*((1+Inputs!$L$3)^Financials!GG$3)))</f>
        <v>8862.9773168565134</v>
      </c>
      <c r="GH46" s="18">
        <f>IF(GH$1&lt;CapEx!$O$7,0,(VLOOKUP($B46,Inputs!$F$3:$H$17,3,0)*((1+Inputs!$L$3)^Financials!GH$3)))</f>
        <v>8877.7489457179399</v>
      </c>
      <c r="GI46" s="18">
        <f>IF(GI$1&lt;CapEx!$O$7,0,(VLOOKUP($B46,Inputs!$F$3:$H$17,3,0)*((1+Inputs!$L$3)^Financials!GI$3)))</f>
        <v>8892.5451939608047</v>
      </c>
      <c r="GJ46" s="18">
        <f>IF(GJ$1&lt;CapEx!$O$7,0,(VLOOKUP($B46,Inputs!$F$3:$H$17,3,0)*((1+Inputs!$L$3)^Financials!GJ$3)))</f>
        <v>8907.366102617405</v>
      </c>
      <c r="GK46" s="18">
        <f>IF(GK$1&lt;CapEx!$O$7,0,(VLOOKUP($B46,Inputs!$F$3:$H$17,3,0)*((1+Inputs!$L$3)^Financials!GK$3)))</f>
        <v>8922.2117127884358</v>
      </c>
      <c r="GL46" s="18">
        <f>IF(GL$1&lt;CapEx!$O$7,0,(VLOOKUP($B46,Inputs!$F$3:$H$17,3,0)*((1+Inputs!$L$3)^Financials!GL$3)))</f>
        <v>8937.082065643086</v>
      </c>
      <c r="GM46" s="18">
        <f>IF(GM$1&lt;CapEx!$O$7,0,(VLOOKUP($B46,Inputs!$F$3:$H$17,3,0)*((1+Inputs!$L$3)^Financials!GM$3)))</f>
        <v>8951.977202419157</v>
      </c>
      <c r="GN46" s="18">
        <f>IF(GN$1&lt;CapEx!$O$7,0,(VLOOKUP($B46,Inputs!$F$3:$H$17,3,0)*((1+Inputs!$L$3)^Financials!GN$3)))</f>
        <v>8966.8971644231879</v>
      </c>
      <c r="GO46" s="18">
        <f>IF(GO$1&lt;CapEx!$O$7,0,(VLOOKUP($B46,Inputs!$F$3:$H$17,3,0)*((1+Inputs!$L$3)^Financials!GO$3)))</f>
        <v>8981.8419930305627</v>
      </c>
      <c r="GP46" s="18">
        <f>IF(GP$1&lt;CapEx!$O$7,0,(VLOOKUP($B46,Inputs!$F$3:$H$17,3,0)*((1+Inputs!$L$3)^Financials!GP$3)))</f>
        <v>8996.8117296856126</v>
      </c>
      <c r="GQ46" s="18">
        <f>IF(GQ$1&lt;CapEx!$O$7,0,(VLOOKUP($B46,Inputs!$F$3:$H$17,3,0)*((1+Inputs!$L$3)^Financials!GQ$3)))</f>
        <v>9011.8064159017558</v>
      </c>
      <c r="GR46" s="18">
        <f>IF(GR$1&lt;CapEx!$O$7,0,(VLOOKUP($B46,Inputs!$F$3:$H$17,3,0)*((1+Inputs!$L$3)^Financials!GR$3)))</f>
        <v>9026.826093261594</v>
      </c>
      <c r="GS46" s="18">
        <f>IF(GS$1&lt;CapEx!$O$7,0,(VLOOKUP($B46,Inputs!$F$3:$H$17,3,0)*((1+Inputs!$L$3)^Financials!GS$3)))</f>
        <v>9041.8708034170304</v>
      </c>
      <c r="GT46" s="18">
        <f>IF(GT$1&lt;CapEx!$O$7,0,(VLOOKUP($B46,Inputs!$F$3:$H$17,3,0)*((1+Inputs!$L$3)^Financials!GT$3)))</f>
        <v>9056.9405880893937</v>
      </c>
      <c r="GU46" s="18">
        <f>IF(GU$1&lt;CapEx!$O$7,0,(VLOOKUP($B46,Inputs!$F$3:$H$17,3,0)*((1+Inputs!$L$3)^Financials!GU$3)))</f>
        <v>9072.0354890695417</v>
      </c>
      <c r="GV46" s="18">
        <f>IF(GV$1&lt;CapEx!$O$7,0,(VLOOKUP($B46,Inputs!$F$3:$H$17,3,0)*((1+Inputs!$L$3)^Financials!GV$3)))</f>
        <v>9087.155548217992</v>
      </c>
      <c r="GW46" s="18">
        <f>IF(GW$1&lt;CapEx!$O$7,0,(VLOOKUP($B46,Inputs!$F$3:$H$17,3,0)*((1+Inputs!$L$3)^Financials!GW$3)))</f>
        <v>9102.3008074650206</v>
      </c>
      <c r="GX46" s="18">
        <f>IF(GX$1&lt;CapEx!$O$7,0,(VLOOKUP($B46,Inputs!$F$3:$H$17,3,0)*((1+Inputs!$L$3)^Financials!GX$3)))</f>
        <v>9117.4713088107965</v>
      </c>
      <c r="GY46" s="18">
        <f>IF(GY$1&lt;CapEx!$O$7,0,(VLOOKUP($B46,Inputs!$F$3:$H$17,3,0)*((1+Inputs!$L$3)^Financials!GY$3)))</f>
        <v>9132.667094325483</v>
      </c>
      <c r="GZ46" s="18">
        <f>IF(GZ$1&lt;CapEx!$O$7,0,(VLOOKUP($B46,Inputs!$F$3:$H$17,3,0)*((1+Inputs!$L$3)^Financials!GZ$3)))</f>
        <v>9147.8882061493587</v>
      </c>
      <c r="HA46" s="18">
        <f>IF(HA$1&lt;CapEx!$O$7,0,(VLOOKUP($B46,Inputs!$F$3:$H$17,3,0)*((1+Inputs!$L$3)^Financials!HA$3)))</f>
        <v>9163.1346864929437</v>
      </c>
      <c r="HB46" s="18">
        <f>IF(HB$1&lt;CapEx!$O$7,0,(VLOOKUP($B46,Inputs!$F$3:$H$17,3,0)*((1+Inputs!$L$3)^Financials!HB$3)))</f>
        <v>9178.406577637099</v>
      </c>
      <c r="HC46" s="18">
        <f>IF(HC$1&lt;CapEx!$O$7,0,(VLOOKUP($B46,Inputs!$F$3:$H$17,3,0)*((1+Inputs!$L$3)^Financials!HC$3)))</f>
        <v>9193.7039219331618</v>
      </c>
      <c r="HD46" s="18">
        <f>IF(HD$1&lt;CapEx!$O$7,0,(VLOOKUP($B46,Inputs!$F$3:$H$17,3,0)*((1+Inputs!$L$3)^Financials!HD$3)))</f>
        <v>9209.0267618030502</v>
      </c>
      <c r="HE46" s="18">
        <f>IF(HE$1&lt;CapEx!$O$7,0,(VLOOKUP($B46,Inputs!$F$3:$H$17,3,0)*((1+Inputs!$L$3)^Financials!HE$3)))</f>
        <v>9224.3751397393899</v>
      </c>
      <c r="HF46" s="18">
        <f>IF(HF$1&lt;CapEx!$O$7,0,(VLOOKUP($B46,Inputs!$F$3:$H$17,3,0)*((1+Inputs!$L$3)^Financials!HF$3)))</f>
        <v>9239.7490983056214</v>
      </c>
      <c r="HG46" s="18">
        <f>IF(HG$1&lt;CapEx!$O$7,0,(VLOOKUP($B46,Inputs!$F$3:$H$17,3,0)*((1+Inputs!$L$3)^Financials!HG$3)))</f>
        <v>9255.1486801361298</v>
      </c>
      <c r="HH46" s="18">
        <f>IF(HH$1&lt;CapEx!$O$7,0,(VLOOKUP($B46,Inputs!$F$3:$H$17,3,0)*((1+Inputs!$L$3)^Financials!HH$3)))</f>
        <v>9270.573927936357</v>
      </c>
      <c r="HI46" s="18">
        <f>IF(HI$1&lt;CapEx!$O$7,0,(VLOOKUP($B46,Inputs!$F$3:$H$17,3,0)*((1+Inputs!$L$3)^Financials!HI$3)))</f>
        <v>9286.0248844829184</v>
      </c>
      <c r="HJ46" s="18">
        <f>IF(HJ$1&lt;CapEx!$O$7,0,(VLOOKUP($B46,Inputs!$F$3:$H$17,3,0)*((1+Inputs!$L$3)^Financials!HJ$3)))</f>
        <v>9301.5015926237265</v>
      </c>
      <c r="HK46" s="18">
        <f>IF(HK$1&lt;CapEx!$O$7,0,(VLOOKUP($B46,Inputs!$F$3:$H$17,3,0)*((1+Inputs!$L$3)^Financials!HK$3)))</f>
        <v>9317.0040952780982</v>
      </c>
      <c r="HL46" s="18">
        <f>IF(HL$1&lt;CapEx!$O$7,0,(VLOOKUP($B46,Inputs!$F$3:$H$17,3,0)*((1+Inputs!$L$3)^Financials!HL$3)))</f>
        <v>9332.5324354368968</v>
      </c>
      <c r="HM46" s="18">
        <f>IF(HM$1&lt;CapEx!$O$7,0,(VLOOKUP($B46,Inputs!$F$3:$H$17,3,0)*((1+Inputs!$L$3)^Financials!HM$3)))</f>
        <v>9348.0866561626262</v>
      </c>
      <c r="HN46" s="18">
        <f>IF(HN$1&lt;CapEx!$O$7,0,(VLOOKUP($B46,Inputs!$F$3:$H$17,3,0)*((1+Inputs!$L$3)^Financials!HN$3)))</f>
        <v>9363.6668005895626</v>
      </c>
      <c r="HO46" s="18">
        <f>IF(HO$1&lt;CapEx!$O$7,0,(VLOOKUP($B46,Inputs!$F$3:$H$17,3,0)*((1+Inputs!$L$3)^Financials!HO$3)))</f>
        <v>9379.2729119238811</v>
      </c>
      <c r="HP46" s="18">
        <f>IF(HP$1&lt;CapEx!$O$7,0,(VLOOKUP($B46,Inputs!$F$3:$H$17,3,0)*((1+Inputs!$L$3)^Financials!HP$3)))</f>
        <v>9394.9050334437543</v>
      </c>
      <c r="HQ46" s="18">
        <f>IF(HQ$1&lt;CapEx!$O$7,0,(VLOOKUP($B46,Inputs!$F$3:$H$17,3,0)*((1+Inputs!$L$3)^Financials!HQ$3)))</f>
        <v>9410.5632084994922</v>
      </c>
      <c r="HR46" s="18">
        <f>IF(HR$1&lt;CapEx!$O$7,0,(VLOOKUP($B46,Inputs!$F$3:$H$17,3,0)*((1+Inputs!$L$3)^Financials!HR$3)))</f>
        <v>9426.2474805136608</v>
      </c>
      <c r="HS46" s="18">
        <f>IF(HS$1&lt;CapEx!$O$7,0,(VLOOKUP($B46,Inputs!$F$3:$H$17,3,0)*((1+Inputs!$L$3)^Financials!HS$3)))</f>
        <v>9441.9578929811851</v>
      </c>
      <c r="HT46" s="18">
        <f>IF(HT$1&lt;CapEx!$O$7,0,(VLOOKUP($B46,Inputs!$F$3:$H$17,3,0)*((1+Inputs!$L$3)^Financials!HT$3)))</f>
        <v>9457.6944894694861</v>
      </c>
      <c r="HU46" s="18">
        <f>IF(HU$1&lt;CapEx!$O$7,0,(VLOOKUP($B46,Inputs!$F$3:$H$17,3,0)*((1+Inputs!$L$3)^Financials!HU$3)))</f>
        <v>9473.4573136186027</v>
      </c>
      <c r="HV46" s="18">
        <f>IF(HV$1&lt;CapEx!$O$7,0,(VLOOKUP($B46,Inputs!$F$3:$H$17,3,0)*((1+Inputs!$L$3)^Financials!HV$3)))</f>
        <v>9489.2464091413021</v>
      </c>
      <c r="HW46" s="18">
        <f>IF(HW$1&lt;CapEx!$O$7,0,(VLOOKUP($B46,Inputs!$F$3:$H$17,3,0)*((1+Inputs!$L$3)^Financials!HW$3)))</f>
        <v>9505.061819823206</v>
      </c>
      <c r="HX46" s="18">
        <f>IF(HX$1&lt;CapEx!$O$7,0,(VLOOKUP($B46,Inputs!$F$3:$H$17,3,0)*((1+Inputs!$L$3)^Financials!HX$3)))</f>
        <v>9520.9035895229099</v>
      </c>
      <c r="HY46" s="18">
        <f>IF(HY$1&lt;CapEx!$O$7,0,(VLOOKUP($B46,Inputs!$F$3:$H$17,3,0)*((1+Inputs!$L$3)^Financials!HY$3)))</f>
        <v>9536.7717621721167</v>
      </c>
      <c r="HZ46" s="18">
        <f>IF(HZ$1&lt;CapEx!$O$7,0,(VLOOKUP($B46,Inputs!$F$3:$H$17,3,0)*((1+Inputs!$L$3)^Financials!HZ$3)))</f>
        <v>9552.666381775738</v>
      </c>
      <c r="IA46" s="18">
        <f>IF(IA$1&lt;CapEx!$O$7,0,(VLOOKUP($B46,Inputs!$F$3:$H$17,3,0)*((1+Inputs!$L$3)^Financials!IA$3)))</f>
        <v>9568.5874924120308</v>
      </c>
      <c r="IB46" s="18">
        <f>IF(IB$1&lt;CapEx!$O$7,0,(VLOOKUP($B46,Inputs!$F$3:$H$17,3,0)*((1+Inputs!$L$3)^Financials!IB$3)))</f>
        <v>9584.5351382327171</v>
      </c>
      <c r="IC46" s="18">
        <f>IF(IC$1&lt;CapEx!$O$7,0,(VLOOKUP($B46,Inputs!$F$3:$H$17,3,0)*((1+Inputs!$L$3)^Financials!IC$3)))</f>
        <v>9600.5093634631066</v>
      </c>
      <c r="ID46" s="18">
        <f>IF(ID$1&lt;CapEx!$O$7,0,(VLOOKUP($B46,Inputs!$F$3:$H$17,3,0)*((1+Inputs!$L$3)^Financials!ID$3)))</f>
        <v>9616.5102124022123</v>
      </c>
      <c r="IE46" s="18">
        <f>IF(IE$1&lt;CapEx!$O$7,0,(VLOOKUP($B46,Inputs!$F$3:$H$17,3,0)*((1+Inputs!$L$3)^Financials!IE$3)))</f>
        <v>9632.5377294228856</v>
      </c>
      <c r="IF46" s="18">
        <f>IF(IF$1&lt;CapEx!$O$7,0,(VLOOKUP($B46,Inputs!$F$3:$H$17,3,0)*((1+Inputs!$L$3)^Financials!IF$3)))</f>
        <v>9648.5919589719215</v>
      </c>
      <c r="IG46" s="18">
        <f>IF(IG$1&lt;CapEx!$O$7,0,(VLOOKUP($B46,Inputs!$F$3:$H$17,3,0)*((1+Inputs!$L$3)^Financials!IG$3)))</f>
        <v>9664.6729455702098</v>
      </c>
      <c r="IH46" s="18">
        <f>IF(IH$1&lt;CapEx!$O$7,0,(VLOOKUP($B46,Inputs!$F$3:$H$17,3,0)*((1+Inputs!$L$3)^Financials!IH$3)))</f>
        <v>9680.7807338128296</v>
      </c>
      <c r="II46" s="18">
        <f>IF(II$1&lt;CapEx!$O$7,0,(VLOOKUP($B46,Inputs!$F$3:$H$17,3,0)*((1+Inputs!$L$3)^Financials!II$3)))</f>
        <v>9696.9153683691839</v>
      </c>
      <c r="IJ46" s="18">
        <f>IF(IJ$1&lt;CapEx!$O$7,0,(VLOOKUP($B46,Inputs!$F$3:$H$17,3,0)*((1+Inputs!$L$3)^Financials!IJ$3)))</f>
        <v>9713.0768939831323</v>
      </c>
      <c r="IK46" s="18">
        <f>IF(IK$1&lt;CapEx!$O$7,0,(VLOOKUP($B46,Inputs!$F$3:$H$17,3,0)*((1+Inputs!$L$3)^Financials!IK$3)))</f>
        <v>9729.265355473106</v>
      </c>
      <c r="IL46" s="18">
        <f>IF(IL$1&lt;CapEx!$O$7,0,(VLOOKUP($B46,Inputs!$F$3:$H$17,3,0)*((1+Inputs!$L$3)^Financials!IL$3)))</f>
        <v>9745.4807977322271</v>
      </c>
      <c r="IM46" s="18">
        <f>IF(IM$1&lt;CapEx!$O$7,0,(VLOOKUP($B46,Inputs!$F$3:$H$17,3,0)*((1+Inputs!$L$3)^Financials!IM$3)))</f>
        <v>9761.7232657284494</v>
      </c>
      <c r="IN46" s="18">
        <f>IF(IN$1&lt;CapEx!$O$7,0,(VLOOKUP($B46,Inputs!$F$3:$H$17,3,0)*((1+Inputs!$L$3)^Financials!IN$3)))</f>
        <v>9777.9928045046618</v>
      </c>
      <c r="IO46" s="18">
        <f>IF(IO$1&lt;CapEx!$O$7,0,(VLOOKUP($B46,Inputs!$F$3:$H$17,3,0)*((1+Inputs!$L$3)^Financials!IO$3)))</f>
        <v>9794.289459178839</v>
      </c>
      <c r="IP46" s="18">
        <f>IF(IP$1&lt;CapEx!$O$7,0,(VLOOKUP($B46,Inputs!$F$3:$H$17,3,0)*((1+Inputs!$L$3)^Financials!IP$3)))</f>
        <v>9810.6132749441385</v>
      </c>
      <c r="IQ46" s="18">
        <f>IF(IQ$1&lt;CapEx!$O$7,0,(VLOOKUP($B46,Inputs!$F$3:$H$17,3,0)*((1+Inputs!$L$3)^Financials!IQ$3)))</f>
        <v>9826.964297069042</v>
      </c>
      <c r="IR46" s="18">
        <f>IF(IR$1&lt;CapEx!$O$7,0,(VLOOKUP($B46,Inputs!$F$3:$H$17,3,0)*((1+Inputs!$L$3)^Financials!IR$3)))</f>
        <v>9843.3425708974919</v>
      </c>
      <c r="IS46" s="18">
        <f>IF(IS$1&lt;CapEx!$O$7,0,(VLOOKUP($B46,Inputs!$F$3:$H$17,3,0)*((1+Inputs!$L$3)^Financials!IS$3)))</f>
        <v>9859.7481418489897</v>
      </c>
      <c r="IT46" s="18">
        <f>IF(IT$1&lt;CapEx!$O$7,0,(VLOOKUP($B46,Inputs!$F$3:$H$17,3,0)*((1+Inputs!$L$3)^Financials!IT$3)))</f>
        <v>9876.1810554187377</v>
      </c>
      <c r="IU46" s="18">
        <f>IF(IU$1&lt;CapEx!$O$7,0,(VLOOKUP($B46,Inputs!$F$3:$H$17,3,0)*((1+Inputs!$L$3)^Financials!IU$3)))</f>
        <v>9892.6413571777721</v>
      </c>
      <c r="IV46" s="18">
        <f>IF(IV$1&lt;CapEx!$O$7,0,(VLOOKUP($B46,Inputs!$F$3:$H$17,3,0)*((1+Inputs!$L$3)^Financials!IV$3)))</f>
        <v>9909.1290927730679</v>
      </c>
      <c r="IW46" s="18">
        <f>IF(IW$1&lt;CapEx!$O$7,0,(VLOOKUP($B46,Inputs!$F$3:$H$17,3,0)*((1+Inputs!$L$3)^Financials!IW$3)))</f>
        <v>9925.6443079276905</v>
      </c>
      <c r="IX46" s="18">
        <f>IF(IX$1&lt;CapEx!$O$7,0,(VLOOKUP($B46,Inputs!$F$3:$H$17,3,0)*((1+Inputs!$L$3)^Financials!IX$3)))</f>
        <v>9942.1870484409046</v>
      </c>
      <c r="IY46" s="18">
        <f>IF(IY$1&lt;CapEx!$O$7,0,(VLOOKUP($B46,Inputs!$F$3:$H$17,3,0)*((1+Inputs!$L$3)^Financials!IY$3)))</f>
        <v>9958.7573601883068</v>
      </c>
      <c r="IZ46" s="18">
        <f>IF(IZ$1&lt;CapEx!$O$7,0,(VLOOKUP($B46,Inputs!$F$3:$H$17,3,0)*((1+Inputs!$L$3)^Financials!IZ$3)))</f>
        <v>9975.3552891219533</v>
      </c>
      <c r="JA46" s="18">
        <f>IF(JA$1&lt;CapEx!$O$7,0,(VLOOKUP($B46,Inputs!$F$3:$H$17,3,0)*((1+Inputs!$L$3)^Financials!JA$3)))</f>
        <v>9991.9808812704923</v>
      </c>
      <c r="JB46" s="18">
        <f>IF(JB$1&lt;CapEx!$O$7,0,(VLOOKUP($B46,Inputs!$F$3:$H$17,3,0)*((1+Inputs!$L$3)^Financials!JB$3)))</f>
        <v>10008.634182739277</v>
      </c>
      <c r="JC46" s="18">
        <f>IF(JC$1&lt;CapEx!$O$7,0,(VLOOKUP($B46,Inputs!$F$3:$H$17,3,0)*((1+Inputs!$L$3)^Financials!JC$3)))</f>
        <v>10025.31523971051</v>
      </c>
      <c r="JD46" s="18">
        <f>IF(JD$1&lt;CapEx!$O$7,0,(VLOOKUP($B46,Inputs!$F$3:$H$17,3,0)*((1+Inputs!$L$3)^Financials!JD$3)))</f>
        <v>10042.02409844336</v>
      </c>
      <c r="JE46" s="18">
        <f>IF(JE$1&lt;CapEx!$O$7,0,(VLOOKUP($B46,Inputs!$F$3:$H$17,3,0)*((1+Inputs!$L$3)^Financials!JE$3)))</f>
        <v>10058.7608052741</v>
      </c>
      <c r="JF46" s="18">
        <f>IF(JF$1&lt;CapEx!$O$7,0,(VLOOKUP($B46,Inputs!$F$3:$H$17,3,0)*((1+Inputs!$L$3)^Financials!JF$3)))</f>
        <v>10075.525406616225</v>
      </c>
      <c r="JG46" s="18">
        <f>IF(JG$1&lt;CapEx!$O$7,0,(VLOOKUP($B46,Inputs!$F$3:$H$17,3,0)*((1+Inputs!$L$3)^Financials!JG$3)))</f>
        <v>10092.317948960586</v>
      </c>
      <c r="JH46" s="18">
        <f>IF(JH$1&lt;CapEx!$O$7,0,(VLOOKUP($B46,Inputs!$F$3:$H$17,3,0)*((1+Inputs!$L$3)^Financials!JH$3)))</f>
        <v>10109.13847887552</v>
      </c>
      <c r="JI46" s="18">
        <f>IF(JI$1&lt;CapEx!$O$7,0,(VLOOKUP($B46,Inputs!$F$3:$H$17,3,0)*((1+Inputs!$L$3)^Financials!JI$3)))</f>
        <v>10125.98704300698</v>
      </c>
      <c r="JJ46" s="18">
        <f>IF(JJ$1&lt;CapEx!$O$7,0,(VLOOKUP($B46,Inputs!$F$3:$H$17,3,0)*((1+Inputs!$L$3)^Financials!JJ$3)))</f>
        <v>10142.863688078658</v>
      </c>
      <c r="JK46" s="18">
        <f>IF(JK$1&lt;CapEx!$O$7,0,(VLOOKUP($B46,Inputs!$F$3:$H$17,3,0)*((1+Inputs!$L$3)^Financials!JK$3)))</f>
        <v>10159.768460892124</v>
      </c>
      <c r="JL46" s="18">
        <f>IF(JL$1&lt;CapEx!$O$7,0,(VLOOKUP($B46,Inputs!$F$3:$H$17,3,0)*((1+Inputs!$L$3)^Financials!JL$3)))</f>
        <v>10176.701408326944</v>
      </c>
      <c r="JM46" s="18">
        <f>IF(JM$1&lt;CapEx!$O$7,0,(VLOOKUP($B46,Inputs!$F$3:$H$17,3,0)*((1+Inputs!$L$3)^Financials!JM$3)))</f>
        <v>10193.662577340825</v>
      </c>
      <c r="JN46" s="18">
        <f>IF(JN$1&lt;CapEx!$O$7,0,(VLOOKUP($B46,Inputs!$F$3:$H$17,3,0)*((1+Inputs!$L$3)^Financials!JN$3)))</f>
        <v>10210.652014969728</v>
      </c>
      <c r="JO46" s="18">
        <f>IF(JO$1&lt;CapEx!$O$7,0,(VLOOKUP($B46,Inputs!$F$3:$H$17,3,0)*((1+Inputs!$L$3)^Financials!JO$3)))</f>
        <v>10227.669768328011</v>
      </c>
      <c r="JP46" s="18">
        <f>IF(JP$1&lt;CapEx!$O$7,0,(VLOOKUP($B46,Inputs!$F$3:$H$17,3,0)*((1+Inputs!$L$3)^Financials!JP$3)))</f>
        <v>10244.715884608559</v>
      </c>
      <c r="JQ46" s="18">
        <f>IF(JQ$1&lt;CapEx!$O$7,0,(VLOOKUP($B46,Inputs!$F$3:$H$17,3,0)*((1+Inputs!$L$3)^Financials!JQ$3)))</f>
        <v>10261.790411082906</v>
      </c>
      <c r="JR46" s="18">
        <f>IF(JR$1&lt;CapEx!$O$7,0,(VLOOKUP($B46,Inputs!$F$3:$H$17,3,0)*((1+Inputs!$L$3)^Financials!JR$3)))</f>
        <v>10278.893395101379</v>
      </c>
    </row>
    <row r="47" spans="2:278" x14ac:dyDescent="0.2">
      <c r="B47" s="21" t="str">
        <f>'Data Sources'!A94</f>
        <v>Utilities</v>
      </c>
      <c r="C47" s="18">
        <f>IF(C$1&lt;CapEx!$O$7,0,(VLOOKUP($B47,Inputs!$F$3:$H$17,3,0)*((1+Inputs!$L$3)^Financials!C$3)))</f>
        <v>0</v>
      </c>
      <c r="D47" s="18">
        <f>IF(D$1&lt;CapEx!$O$7,0,(VLOOKUP($B47,Inputs!$F$3:$H$17,3,0)*((1+Inputs!$L$3)^Financials!D$3)))</f>
        <v>0</v>
      </c>
      <c r="E47" s="18">
        <f>IF(E$1&lt;CapEx!$O$7,0,(VLOOKUP($B47,Inputs!$F$3:$H$17,3,0)*((1+Inputs!$L$3)^Financials!E$3)))</f>
        <v>0</v>
      </c>
      <c r="F47" s="18">
        <f>IF(F$1&lt;CapEx!$O$7,0,(VLOOKUP($B47,Inputs!$F$3:$H$17,3,0)*((1+Inputs!$L$3)^Financials!F$3)))</f>
        <v>0</v>
      </c>
      <c r="G47" s="18">
        <f>IF(G$1&lt;CapEx!$O$7,0,(VLOOKUP($B47,Inputs!$F$3:$H$17,3,0)*((1+Inputs!$L$3)^Financials!G$3)))</f>
        <v>0</v>
      </c>
      <c r="H47" s="18">
        <f>IF(H$1&lt;CapEx!$O$7,0,(VLOOKUP($B47,Inputs!$F$3:$H$17,3,0)*((1+Inputs!$L$3)^Financials!H$3)))</f>
        <v>0</v>
      </c>
      <c r="I47" s="18">
        <f>IF(I$1&lt;CapEx!$O$7,0,(VLOOKUP($B47,Inputs!$F$3:$H$17,3,0)*((1+Inputs!$L$3)^Financials!I$3)))</f>
        <v>0</v>
      </c>
      <c r="J47" s="18">
        <f>IF(J$1&lt;CapEx!$O$7,0,(VLOOKUP($B47,Inputs!$F$3:$H$17,3,0)*((1+Inputs!$L$3)^Financials!J$3)))</f>
        <v>0</v>
      </c>
      <c r="K47" s="18">
        <f>IF(K$1&lt;CapEx!$O$7,0,(VLOOKUP($B47,Inputs!$F$3:$H$17,3,0)*((1+Inputs!$L$3)^Financials!K$3)))</f>
        <v>0</v>
      </c>
      <c r="L47" s="18">
        <f>IF(L$1&lt;CapEx!$O$7,0,(VLOOKUP($B47,Inputs!$F$3:$H$17,3,0)*((1+Inputs!$L$3)^Financials!L$3)))</f>
        <v>0</v>
      </c>
      <c r="M47" s="18">
        <f>IF(M$1&lt;CapEx!$O$7,0,(VLOOKUP($B47,Inputs!$F$3:$H$17,3,0)*((1+Inputs!$L$3)^Financials!M$3)))</f>
        <v>0</v>
      </c>
      <c r="N47" s="18">
        <f>IF(N$1&lt;CapEx!$O$7,0,(VLOOKUP($B47,Inputs!$F$3:$H$17,3,0)*((1+Inputs!$L$3)^Financials!N$3)))</f>
        <v>0</v>
      </c>
      <c r="O47" s="18">
        <f>IF(O$1&lt;CapEx!$O$7,0,(VLOOKUP($B47,Inputs!$F$3:$H$17,3,0)*((1+Inputs!$L$3)^Financials!O$3)))</f>
        <v>0</v>
      </c>
      <c r="P47" s="18">
        <f>IF(P$1&lt;CapEx!$O$7,0,(VLOOKUP($B47,Inputs!$F$3:$H$17,3,0)*((1+Inputs!$L$3)^Financials!P$3)))</f>
        <v>0</v>
      </c>
      <c r="Q47" s="18">
        <f>IF(Q$1&lt;CapEx!$O$7,0,(VLOOKUP($B47,Inputs!$F$3:$H$17,3,0)*((1+Inputs!$L$3)^Financials!Q$3)))</f>
        <v>0</v>
      </c>
      <c r="R47" s="18">
        <f>IF(R$1&lt;CapEx!$O$7,0,(VLOOKUP($B47,Inputs!$F$3:$H$17,3,0)*((1+Inputs!$L$3)^Financials!R$3)))</f>
        <v>16666.666666666668</v>
      </c>
      <c r="S47" s="18">
        <f>IF(S$1&lt;CapEx!$O$7,0,(VLOOKUP($B47,Inputs!$F$3:$H$17,3,0)*((1+Inputs!$L$3)^Financials!S$3)))</f>
        <v>16694.444444444445</v>
      </c>
      <c r="T47" s="18">
        <f>IF(T$1&lt;CapEx!$O$7,0,(VLOOKUP($B47,Inputs!$F$3:$H$17,3,0)*((1+Inputs!$L$3)^Financials!T$3)))</f>
        <v>16722.268518518522</v>
      </c>
      <c r="U47" s="18">
        <f>IF(U$1&lt;CapEx!$O$7,0,(VLOOKUP($B47,Inputs!$F$3:$H$17,3,0)*((1+Inputs!$L$3)^Financials!U$3)))</f>
        <v>16750.138966049384</v>
      </c>
      <c r="V47" s="18">
        <f>IF(V$1&lt;CapEx!$O$7,0,(VLOOKUP($B47,Inputs!$F$3:$H$17,3,0)*((1+Inputs!$L$3)^Financials!V$3)))</f>
        <v>16778.055864326136</v>
      </c>
      <c r="W47" s="18">
        <f>IF(W$1&lt;CapEx!$O$7,0,(VLOOKUP($B47,Inputs!$F$3:$H$17,3,0)*((1+Inputs!$L$3)^Financials!W$3)))</f>
        <v>16806.019290766679</v>
      </c>
      <c r="X47" s="18">
        <f>IF(X$1&lt;CapEx!$O$7,0,(VLOOKUP($B47,Inputs!$F$3:$H$17,3,0)*((1+Inputs!$L$3)^Financials!X$3)))</f>
        <v>16834.029322917959</v>
      </c>
      <c r="Y47" s="18">
        <f>IF(Y$1&lt;CapEx!$O$7,0,(VLOOKUP($B47,Inputs!$F$3:$H$17,3,0)*((1+Inputs!$L$3)^Financials!Y$3)))</f>
        <v>16862.086038456157</v>
      </c>
      <c r="Z47" s="18">
        <f>IF(Z$1&lt;CapEx!$O$7,0,(VLOOKUP($B47,Inputs!$F$3:$H$17,3,0)*((1+Inputs!$L$3)^Financials!Z$3)))</f>
        <v>16890.189515186921</v>
      </c>
      <c r="AA47" s="18">
        <f>IF(AA$1&lt;CapEx!$O$7,0,(VLOOKUP($B47,Inputs!$F$3:$H$17,3,0)*((1+Inputs!$L$3)^Financials!AA$3)))</f>
        <v>16918.339831045563</v>
      </c>
      <c r="AB47" s="18">
        <f>IF(AB$1&lt;CapEx!$O$7,0,(VLOOKUP($B47,Inputs!$F$3:$H$17,3,0)*((1+Inputs!$L$3)^Financials!AB$3)))</f>
        <v>16946.537064097309</v>
      </c>
      <c r="AC47" s="18">
        <f>IF(AC$1&lt;CapEx!$O$7,0,(VLOOKUP($B47,Inputs!$F$3:$H$17,3,0)*((1+Inputs!$L$3)^Financials!AC$3)))</f>
        <v>16974.781292537471</v>
      </c>
      <c r="AD47" s="18">
        <f>IF(AD$1&lt;CapEx!$O$7,0,(VLOOKUP($B47,Inputs!$F$3:$H$17,3,0)*((1+Inputs!$L$3)^Financials!AD$3)))</f>
        <v>17003.072594691701</v>
      </c>
      <c r="AE47" s="18">
        <f>IF(AE$1&lt;CapEx!$O$7,0,(VLOOKUP($B47,Inputs!$F$3:$H$17,3,0)*((1+Inputs!$L$3)^Financials!AE$3)))</f>
        <v>17031.411049016187</v>
      </c>
      <c r="AF47" s="18">
        <f>IF(AF$1&lt;CapEx!$O$7,0,(VLOOKUP($B47,Inputs!$F$3:$H$17,3,0)*((1+Inputs!$L$3)^Financials!AF$3)))</f>
        <v>17059.796734097887</v>
      </c>
      <c r="AG47" s="18">
        <f>IF(AG$1&lt;CapEx!$O$7,0,(VLOOKUP($B47,Inputs!$F$3:$H$17,3,0)*((1+Inputs!$L$3)^Financials!AG$3)))</f>
        <v>17088.229728654715</v>
      </c>
      <c r="AH47" s="18">
        <f>IF(AH$1&lt;CapEx!$O$7,0,(VLOOKUP($B47,Inputs!$F$3:$H$17,3,0)*((1+Inputs!$L$3)^Financials!AH$3)))</f>
        <v>17116.710111535809</v>
      </c>
      <c r="AI47" s="18">
        <f>IF(AI$1&lt;CapEx!$O$7,0,(VLOOKUP($B47,Inputs!$F$3:$H$17,3,0)*((1+Inputs!$L$3)^Financials!AI$3)))</f>
        <v>17145.237961721701</v>
      </c>
      <c r="AJ47" s="18">
        <f>IF(AJ$1&lt;CapEx!$O$7,0,(VLOOKUP($B47,Inputs!$F$3:$H$17,3,0)*((1+Inputs!$L$3)^Financials!AJ$3)))</f>
        <v>17173.813358324573</v>
      </c>
      <c r="AK47" s="18">
        <f>IF(AK$1&lt;CapEx!$O$7,0,(VLOOKUP($B47,Inputs!$F$3:$H$17,3,0)*((1+Inputs!$L$3)^Financials!AK$3)))</f>
        <v>17202.43638058845</v>
      </c>
      <c r="AL47" s="18">
        <f>IF(AL$1&lt;CapEx!$O$7,0,(VLOOKUP($B47,Inputs!$F$3:$H$17,3,0)*((1+Inputs!$L$3)^Financials!AL$3)))</f>
        <v>17231.107107889431</v>
      </c>
      <c r="AM47" s="18">
        <f>IF(AM$1&lt;CapEx!$O$7,0,(VLOOKUP($B47,Inputs!$F$3:$H$17,3,0)*((1+Inputs!$L$3)^Financials!AM$3)))</f>
        <v>17259.825619735915</v>
      </c>
      <c r="AN47" s="18">
        <f>IF(AN$1&lt;CapEx!$O$7,0,(VLOOKUP($B47,Inputs!$F$3:$H$17,3,0)*((1+Inputs!$L$3)^Financials!AN$3)))</f>
        <v>17288.591995768806</v>
      </c>
      <c r="AO47" s="18">
        <f>IF(AO$1&lt;CapEx!$O$7,0,(VLOOKUP($B47,Inputs!$F$3:$H$17,3,0)*((1+Inputs!$L$3)^Financials!AO$3)))</f>
        <v>17317.406315761757</v>
      </c>
      <c r="AP47" s="18">
        <f>IF(AP$1&lt;CapEx!$O$7,0,(VLOOKUP($B47,Inputs!$F$3:$H$17,3,0)*((1+Inputs!$L$3)^Financials!AP$3)))</f>
        <v>17346.268659621364</v>
      </c>
      <c r="AQ47" s="18">
        <f>IF(AQ$1&lt;CapEx!$O$7,0,(VLOOKUP($B47,Inputs!$F$3:$H$17,3,0)*((1+Inputs!$L$3)^Financials!AQ$3)))</f>
        <v>17375.179107387397</v>
      </c>
      <c r="AR47" s="18">
        <f>IF(AR$1&lt;CapEx!$O$7,0,(VLOOKUP($B47,Inputs!$F$3:$H$17,3,0)*((1+Inputs!$L$3)^Financials!AR$3)))</f>
        <v>17404.137739233043</v>
      </c>
      <c r="AS47" s="18">
        <f>IF(AS$1&lt;CapEx!$O$7,0,(VLOOKUP($B47,Inputs!$F$3:$H$17,3,0)*((1+Inputs!$L$3)^Financials!AS$3)))</f>
        <v>17433.144635465102</v>
      </c>
      <c r="AT47" s="18">
        <f>IF(AT$1&lt;CapEx!$O$7,0,(VLOOKUP($B47,Inputs!$F$3:$H$17,3,0)*((1+Inputs!$L$3)^Financials!AT$3)))</f>
        <v>17462.19987652421</v>
      </c>
      <c r="AU47" s="18">
        <f>IF(AU$1&lt;CapEx!$O$7,0,(VLOOKUP($B47,Inputs!$F$3:$H$17,3,0)*((1+Inputs!$L$3)^Financials!AU$3)))</f>
        <v>17491.303542985086</v>
      </c>
      <c r="AV47" s="18">
        <f>IF(AV$1&lt;CapEx!$O$7,0,(VLOOKUP($B47,Inputs!$F$3:$H$17,3,0)*((1+Inputs!$L$3)^Financials!AV$3)))</f>
        <v>17520.455715556727</v>
      </c>
      <c r="AW47" s="18">
        <f>IF(AW$1&lt;CapEx!$O$7,0,(VLOOKUP($B47,Inputs!$F$3:$H$17,3,0)*((1+Inputs!$L$3)^Financials!AW$3)))</f>
        <v>17549.656475082658</v>
      </c>
      <c r="AX47" s="18">
        <f>IF(AX$1&lt;CapEx!$O$7,0,(VLOOKUP($B47,Inputs!$F$3:$H$17,3,0)*((1+Inputs!$L$3)^Financials!AX$3)))</f>
        <v>17578.905902541133</v>
      </c>
      <c r="AY47" s="18">
        <f>IF(AY$1&lt;CapEx!$O$7,0,(VLOOKUP($B47,Inputs!$F$3:$H$17,3,0)*((1+Inputs!$L$3)^Financials!AY$3)))</f>
        <v>17608.204079045368</v>
      </c>
      <c r="AZ47" s="18">
        <f>IF(AZ$1&lt;CapEx!$O$7,0,(VLOOKUP($B47,Inputs!$F$3:$H$17,3,0)*((1+Inputs!$L$3)^Financials!AZ$3)))</f>
        <v>17637.551085843777</v>
      </c>
      <c r="BA47" s="18">
        <f>IF(BA$1&lt;CapEx!$O$7,0,(VLOOKUP($B47,Inputs!$F$3:$H$17,3,0)*((1+Inputs!$L$3)^Financials!BA$3)))</f>
        <v>17666.947004320187</v>
      </c>
      <c r="BB47" s="18">
        <f>IF(BB$1&lt;CapEx!$O$7,0,(VLOOKUP($B47,Inputs!$F$3:$H$17,3,0)*((1+Inputs!$L$3)^Financials!BB$3)))</f>
        <v>17696.391915994052</v>
      </c>
      <c r="BC47" s="18">
        <f>IF(BC$1&lt;CapEx!$O$7,0,(VLOOKUP($B47,Inputs!$F$3:$H$17,3,0)*((1+Inputs!$L$3)^Financials!BC$3)))</f>
        <v>17725.885902520713</v>
      </c>
      <c r="BD47" s="18">
        <f>IF(BD$1&lt;CapEx!$O$7,0,(VLOOKUP($B47,Inputs!$F$3:$H$17,3,0)*((1+Inputs!$L$3)^Financials!BD$3)))</f>
        <v>17755.429045691577</v>
      </c>
      <c r="BE47" s="18">
        <f>IF(BE$1&lt;CapEx!$O$7,0,(VLOOKUP($B47,Inputs!$F$3:$H$17,3,0)*((1+Inputs!$L$3)^Financials!BE$3)))</f>
        <v>17785.0214274344</v>
      </c>
      <c r="BF47" s="18">
        <f>IF(BF$1&lt;CapEx!$O$7,0,(VLOOKUP($B47,Inputs!$F$3:$H$17,3,0)*((1+Inputs!$L$3)^Financials!BF$3)))</f>
        <v>17814.663129813463</v>
      </c>
      <c r="BG47" s="18">
        <f>IF(BG$1&lt;CapEx!$O$7,0,(VLOOKUP($B47,Inputs!$F$3:$H$17,3,0)*((1+Inputs!$L$3)^Financials!BG$3)))</f>
        <v>17844.354235029816</v>
      </c>
      <c r="BH47" s="18">
        <f>IF(BH$1&lt;CapEx!$O$7,0,(VLOOKUP($B47,Inputs!$F$3:$H$17,3,0)*((1+Inputs!$L$3)^Financials!BH$3)))</f>
        <v>17874.094825421533</v>
      </c>
      <c r="BI47" s="18">
        <f>IF(BI$1&lt;CapEx!$O$7,0,(VLOOKUP($B47,Inputs!$F$3:$H$17,3,0)*((1+Inputs!$L$3)^Financials!BI$3)))</f>
        <v>17903.884983463904</v>
      </c>
      <c r="BJ47" s="18">
        <f>IF(BJ$1&lt;CapEx!$O$7,0,(VLOOKUP($B47,Inputs!$F$3:$H$17,3,0)*((1+Inputs!$L$3)^Financials!BJ$3)))</f>
        <v>17933.724791769677</v>
      </c>
      <c r="BK47" s="18">
        <f>IF(BK$1&lt;CapEx!$O$7,0,(VLOOKUP($B47,Inputs!$F$3:$H$17,3,0)*((1+Inputs!$L$3)^Financials!BK$3)))</f>
        <v>17963.614333089296</v>
      </c>
      <c r="BL47" s="18">
        <f>IF(BL$1&lt;CapEx!$O$7,0,(VLOOKUP($B47,Inputs!$F$3:$H$17,3,0)*((1+Inputs!$L$3)^Financials!BL$3)))</f>
        <v>17993.553690311113</v>
      </c>
      <c r="BM47" s="18">
        <f>IF(BM$1&lt;CapEx!$O$7,0,(VLOOKUP($B47,Inputs!$F$3:$H$17,3,0)*((1+Inputs!$L$3)^Financials!BM$3)))</f>
        <v>18023.542946461632</v>
      </c>
      <c r="BN47" s="18">
        <f>IF(BN$1&lt;CapEx!$O$7,0,(VLOOKUP($B47,Inputs!$F$3:$H$17,3,0)*((1+Inputs!$L$3)^Financials!BN$3)))</f>
        <v>18053.582184705738</v>
      </c>
      <c r="BO47" s="18">
        <f>IF(BO$1&lt;CapEx!$O$7,0,(VLOOKUP($B47,Inputs!$F$3:$H$17,3,0)*((1+Inputs!$L$3)^Financials!BO$3)))</f>
        <v>18083.671488346914</v>
      </c>
      <c r="BP47" s="18">
        <f>IF(BP$1&lt;CapEx!$O$7,0,(VLOOKUP($B47,Inputs!$F$3:$H$17,3,0)*((1+Inputs!$L$3)^Financials!BP$3)))</f>
        <v>18113.81094082749</v>
      </c>
      <c r="BQ47" s="18">
        <f>IF(BQ$1&lt;CapEx!$O$7,0,(VLOOKUP($B47,Inputs!$F$3:$H$17,3,0)*((1+Inputs!$L$3)^Financials!BQ$3)))</f>
        <v>18144.000625728873</v>
      </c>
      <c r="BR47" s="18">
        <f>IF(BR$1&lt;CapEx!$O$7,0,(VLOOKUP($B47,Inputs!$F$3:$H$17,3,0)*((1+Inputs!$L$3)^Financials!BR$3)))</f>
        <v>18174.240626771756</v>
      </c>
      <c r="BS47" s="18">
        <f>IF(BS$1&lt;CapEx!$O$7,0,(VLOOKUP($B47,Inputs!$F$3:$H$17,3,0)*((1+Inputs!$L$3)^Financials!BS$3)))</f>
        <v>18204.531027816378</v>
      </c>
      <c r="BT47" s="18">
        <f>IF(BT$1&lt;CapEx!$O$7,0,(VLOOKUP($B47,Inputs!$F$3:$H$17,3,0)*((1+Inputs!$L$3)^Financials!BT$3)))</f>
        <v>18234.871912862738</v>
      </c>
      <c r="BU47" s="18">
        <f>IF(BU$1&lt;CapEx!$O$7,0,(VLOOKUP($B47,Inputs!$F$3:$H$17,3,0)*((1+Inputs!$L$3)^Financials!BU$3)))</f>
        <v>18265.263366050844</v>
      </c>
      <c r="BV47" s="18">
        <f>IF(BV$1&lt;CapEx!$O$7,0,(VLOOKUP($B47,Inputs!$F$3:$H$17,3,0)*((1+Inputs!$L$3)^Financials!BV$3)))</f>
        <v>18295.705471660935</v>
      </c>
      <c r="BW47" s="18">
        <f>IF(BW$1&lt;CapEx!$O$7,0,(VLOOKUP($B47,Inputs!$F$3:$H$17,3,0)*((1+Inputs!$L$3)^Financials!BW$3)))</f>
        <v>18326.198314113699</v>
      </c>
      <c r="BX47" s="18">
        <f>IF(BX$1&lt;CapEx!$O$7,0,(VLOOKUP($B47,Inputs!$F$3:$H$17,3,0)*((1+Inputs!$L$3)^Financials!BX$3)))</f>
        <v>18356.741977970556</v>
      </c>
      <c r="BY47" s="18">
        <f>IF(BY$1&lt;CapEx!$O$7,0,(VLOOKUP($B47,Inputs!$F$3:$H$17,3,0)*((1+Inputs!$L$3)^Financials!BY$3)))</f>
        <v>18387.336547933843</v>
      </c>
      <c r="BZ47" s="18">
        <f>IF(BZ$1&lt;CapEx!$O$7,0,(VLOOKUP($B47,Inputs!$F$3:$H$17,3,0)*((1+Inputs!$L$3)^Financials!BZ$3)))</f>
        <v>18417.982108847067</v>
      </c>
      <c r="CA47" s="18">
        <f>IF(CA$1&lt;CapEx!$O$7,0,(VLOOKUP($B47,Inputs!$F$3:$H$17,3,0)*((1+Inputs!$L$3)^Financials!CA$3)))</f>
        <v>18448.678745695146</v>
      </c>
      <c r="CB47" s="18">
        <f>IF(CB$1&lt;CapEx!$O$7,0,(VLOOKUP($B47,Inputs!$F$3:$H$17,3,0)*((1+Inputs!$L$3)^Financials!CB$3)))</f>
        <v>18479.426543604641</v>
      </c>
      <c r="CC47" s="18">
        <f>IF(CC$1&lt;CapEx!$O$7,0,(VLOOKUP($B47,Inputs!$F$3:$H$17,3,0)*((1+Inputs!$L$3)^Financials!CC$3)))</f>
        <v>18510.225587843986</v>
      </c>
      <c r="CD47" s="18">
        <f>IF(CD$1&lt;CapEx!$O$7,0,(VLOOKUP($B47,Inputs!$F$3:$H$17,3,0)*((1+Inputs!$L$3)^Financials!CD$3)))</f>
        <v>18541.075963823725</v>
      </c>
      <c r="CE47" s="18">
        <f>IF(CE$1&lt;CapEx!$O$7,0,(VLOOKUP($B47,Inputs!$F$3:$H$17,3,0)*((1+Inputs!$L$3)^Financials!CE$3)))</f>
        <v>18571.977757096767</v>
      </c>
      <c r="CF47" s="18">
        <f>IF(CF$1&lt;CapEx!$O$7,0,(VLOOKUP($B47,Inputs!$F$3:$H$17,3,0)*((1+Inputs!$L$3)^Financials!CF$3)))</f>
        <v>18602.931053358592</v>
      </c>
      <c r="CG47" s="18">
        <f>IF(CG$1&lt;CapEx!$O$7,0,(VLOOKUP($B47,Inputs!$F$3:$H$17,3,0)*((1+Inputs!$L$3)^Financials!CG$3)))</f>
        <v>18633.935938447525</v>
      </c>
      <c r="CH47" s="18">
        <f>IF(CH$1&lt;CapEx!$O$7,0,(VLOOKUP($B47,Inputs!$F$3:$H$17,3,0)*((1+Inputs!$L$3)^Financials!CH$3)))</f>
        <v>18664.992498344938</v>
      </c>
      <c r="CI47" s="18">
        <f>IF(CI$1&lt;CapEx!$O$7,0,(VLOOKUP($B47,Inputs!$F$3:$H$17,3,0)*((1+Inputs!$L$3)^Financials!CI$3)))</f>
        <v>18696.100819175514</v>
      </c>
      <c r="CJ47" s="18">
        <f>IF(CJ$1&lt;CapEx!$O$7,0,(VLOOKUP($B47,Inputs!$F$3:$H$17,3,0)*((1+Inputs!$L$3)^Financials!CJ$3)))</f>
        <v>18727.260987207475</v>
      </c>
      <c r="CK47" s="18">
        <f>IF(CK$1&lt;CapEx!$O$7,0,(VLOOKUP($B47,Inputs!$F$3:$H$17,3,0)*((1+Inputs!$L$3)^Financials!CK$3)))</f>
        <v>18758.473088852821</v>
      </c>
      <c r="CL47" s="18">
        <f>IF(CL$1&lt;CapEx!$O$7,0,(VLOOKUP($B47,Inputs!$F$3:$H$17,3,0)*((1+Inputs!$L$3)^Financials!CL$3)))</f>
        <v>18789.737210667579</v>
      </c>
      <c r="CM47" s="18">
        <f>IF(CM$1&lt;CapEx!$O$7,0,(VLOOKUP($B47,Inputs!$F$3:$H$17,3,0)*((1+Inputs!$L$3)^Financials!CM$3)))</f>
        <v>18821.053439352025</v>
      </c>
      <c r="CN47" s="18">
        <f>IF(CN$1&lt;CapEx!$O$7,0,(VLOOKUP($B47,Inputs!$F$3:$H$17,3,0)*((1+Inputs!$L$3)^Financials!CN$3)))</f>
        <v>18852.421861750947</v>
      </c>
      <c r="CO47" s="18">
        <f>IF(CO$1&lt;CapEx!$O$7,0,(VLOOKUP($B47,Inputs!$F$3:$H$17,3,0)*((1+Inputs!$L$3)^Financials!CO$3)))</f>
        <v>18883.842564853869</v>
      </c>
      <c r="CP47" s="18">
        <f>IF(CP$1&lt;CapEx!$O$7,0,(VLOOKUP($B47,Inputs!$F$3:$H$17,3,0)*((1+Inputs!$L$3)^Financials!CP$3)))</f>
        <v>18915.31563579529</v>
      </c>
      <c r="CQ47" s="18">
        <f>IF(CQ$1&lt;CapEx!$O$7,0,(VLOOKUP($B47,Inputs!$F$3:$H$17,3,0)*((1+Inputs!$L$3)^Financials!CQ$3)))</f>
        <v>18946.841161854951</v>
      </c>
      <c r="CR47" s="18">
        <f>IF(CR$1&lt;CapEx!$O$7,0,(VLOOKUP($B47,Inputs!$F$3:$H$17,3,0)*((1+Inputs!$L$3)^Financials!CR$3)))</f>
        <v>18978.419230458047</v>
      </c>
      <c r="CS47" s="18">
        <f>IF(CS$1&lt;CapEx!$O$7,0,(VLOOKUP($B47,Inputs!$F$3:$H$17,3,0)*((1+Inputs!$L$3)^Financials!CS$3)))</f>
        <v>19010.049929175475</v>
      </c>
      <c r="CT47" s="18">
        <f>IF(CT$1&lt;CapEx!$O$7,0,(VLOOKUP($B47,Inputs!$F$3:$H$17,3,0)*((1+Inputs!$L$3)^Financials!CT$3)))</f>
        <v>19041.733345724104</v>
      </c>
      <c r="CU47" s="18">
        <f>IF(CU$1&lt;CapEx!$O$7,0,(VLOOKUP($B47,Inputs!$F$3:$H$17,3,0)*((1+Inputs!$L$3)^Financials!CU$3)))</f>
        <v>19073.469567966979</v>
      </c>
      <c r="CV47" s="18">
        <f>IF(CV$1&lt;CapEx!$O$7,0,(VLOOKUP($B47,Inputs!$F$3:$H$17,3,0)*((1+Inputs!$L$3)^Financials!CV$3)))</f>
        <v>19105.258683913587</v>
      </c>
      <c r="CW47" s="18">
        <f>IF(CW$1&lt;CapEx!$O$7,0,(VLOOKUP($B47,Inputs!$F$3:$H$17,3,0)*((1+Inputs!$L$3)^Financials!CW$3)))</f>
        <v>19137.100781720117</v>
      </c>
      <c r="CX47" s="18">
        <f>IF(CX$1&lt;CapEx!$O$7,0,(VLOOKUP($B47,Inputs!$F$3:$H$17,3,0)*((1+Inputs!$L$3)^Financials!CX$3)))</f>
        <v>19168.995949689652</v>
      </c>
      <c r="CY47" s="18">
        <f>IF(CY$1&lt;CapEx!$O$7,0,(VLOOKUP($B47,Inputs!$F$3:$H$17,3,0)*((1+Inputs!$L$3)^Financials!CY$3)))</f>
        <v>19200.944276272472</v>
      </c>
      <c r="CZ47" s="18">
        <f>IF(CZ$1&lt;CapEx!$O$7,0,(VLOOKUP($B47,Inputs!$F$3:$H$17,3,0)*((1+Inputs!$L$3)^Financials!CZ$3)))</f>
        <v>19232.945850066255</v>
      </c>
      <c r="DA47" s="18">
        <f>IF(DA$1&lt;CapEx!$O$7,0,(VLOOKUP($B47,Inputs!$F$3:$H$17,3,0)*((1+Inputs!$L$3)^Financials!DA$3)))</f>
        <v>19265.000759816368</v>
      </c>
      <c r="DB47" s="18">
        <f>IF(DB$1&lt;CapEx!$O$7,0,(VLOOKUP($B47,Inputs!$F$3:$H$17,3,0)*((1+Inputs!$L$3)^Financials!DB$3)))</f>
        <v>19297.109094416068</v>
      </c>
      <c r="DC47" s="18">
        <f>IF(DC$1&lt;CapEx!$O$7,0,(VLOOKUP($B47,Inputs!$F$3:$H$17,3,0)*((1+Inputs!$L$3)^Financials!DC$3)))</f>
        <v>19329.270942906754</v>
      </c>
      <c r="DD47" s="18">
        <f>IF(DD$1&lt;CapEx!$O$7,0,(VLOOKUP($B47,Inputs!$F$3:$H$17,3,0)*((1+Inputs!$L$3)^Financials!DD$3)))</f>
        <v>19361.486394478266</v>
      </c>
      <c r="DE47" s="18">
        <f>IF(DE$1&lt;CapEx!$O$7,0,(VLOOKUP($B47,Inputs!$F$3:$H$17,3,0)*((1+Inputs!$L$3)^Financials!DE$3)))</f>
        <v>19393.755538469068</v>
      </c>
      <c r="DF47" s="18">
        <f>IF(DF$1&lt;CapEx!$O$7,0,(VLOOKUP($B47,Inputs!$F$3:$H$17,3,0)*((1+Inputs!$L$3)^Financials!DF$3)))</f>
        <v>19426.078464366517</v>
      </c>
      <c r="DG47" s="18">
        <f>IF(DG$1&lt;CapEx!$O$7,0,(VLOOKUP($B47,Inputs!$F$3:$H$17,3,0)*((1+Inputs!$L$3)^Financials!DG$3)))</f>
        <v>19458.455261807132</v>
      </c>
      <c r="DH47" s="18">
        <f>IF(DH$1&lt;CapEx!$O$7,0,(VLOOKUP($B47,Inputs!$F$3:$H$17,3,0)*((1+Inputs!$L$3)^Financials!DH$3)))</f>
        <v>19490.886020576807</v>
      </c>
      <c r="DI47" s="18">
        <f>IF(DI$1&lt;CapEx!$O$7,0,(VLOOKUP($B47,Inputs!$F$3:$H$17,3,0)*((1+Inputs!$L$3)^Financials!DI$3)))</f>
        <v>19523.370830611108</v>
      </c>
      <c r="DJ47" s="18">
        <f>IF(DJ$1&lt;CapEx!$O$7,0,(VLOOKUP($B47,Inputs!$F$3:$H$17,3,0)*((1+Inputs!$L$3)^Financials!DJ$3)))</f>
        <v>19555.909781995462</v>
      </c>
      <c r="DK47" s="18">
        <f>IF(DK$1&lt;CapEx!$O$7,0,(VLOOKUP($B47,Inputs!$F$3:$H$17,3,0)*((1+Inputs!$L$3)^Financials!DK$3)))</f>
        <v>19588.502964965457</v>
      </c>
      <c r="DL47" s="18">
        <f>IF(DL$1&lt;CapEx!$O$7,0,(VLOOKUP($B47,Inputs!$F$3:$H$17,3,0)*((1+Inputs!$L$3)^Financials!DL$3)))</f>
        <v>19621.150469907065</v>
      </c>
      <c r="DM47" s="18">
        <f>IF(DM$1&lt;CapEx!$O$7,0,(VLOOKUP($B47,Inputs!$F$3:$H$17,3,0)*((1+Inputs!$L$3)^Financials!DM$3)))</f>
        <v>19653.852387356914</v>
      </c>
      <c r="DN47" s="18">
        <f>IF(DN$1&lt;CapEx!$O$7,0,(VLOOKUP($B47,Inputs!$F$3:$H$17,3,0)*((1+Inputs!$L$3)^Financials!DN$3)))</f>
        <v>19686.608808002507</v>
      </c>
      <c r="DO47" s="18">
        <f>IF(DO$1&lt;CapEx!$O$7,0,(VLOOKUP($B47,Inputs!$F$3:$H$17,3,0)*((1+Inputs!$L$3)^Financials!DO$3)))</f>
        <v>19719.419822682514</v>
      </c>
      <c r="DP47" s="18">
        <f>IF(DP$1&lt;CapEx!$O$7,0,(VLOOKUP($B47,Inputs!$F$3:$H$17,3,0)*((1+Inputs!$L$3)^Financials!DP$3)))</f>
        <v>19752.285522386981</v>
      </c>
      <c r="DQ47" s="18">
        <f>IF(DQ$1&lt;CapEx!$O$7,0,(VLOOKUP($B47,Inputs!$F$3:$H$17,3,0)*((1+Inputs!$L$3)^Financials!DQ$3)))</f>
        <v>19785.205998257632</v>
      </c>
      <c r="DR47" s="18">
        <f>IF(DR$1&lt;CapEx!$O$7,0,(VLOOKUP($B47,Inputs!$F$3:$H$17,3,0)*((1+Inputs!$L$3)^Financials!DR$3)))</f>
        <v>19818.181341588064</v>
      </c>
      <c r="DS47" s="18">
        <f>IF(DS$1&lt;CapEx!$O$7,0,(VLOOKUP($B47,Inputs!$F$3:$H$17,3,0)*((1+Inputs!$L$3)^Financials!DS$3)))</f>
        <v>19851.211643824041</v>
      </c>
      <c r="DT47" s="18">
        <f>IF(DT$1&lt;CapEx!$O$7,0,(VLOOKUP($B47,Inputs!$F$3:$H$17,3,0)*((1+Inputs!$L$3)^Financials!DT$3)))</f>
        <v>19884.296996563749</v>
      </c>
      <c r="DU47" s="18">
        <f>IF(DU$1&lt;CapEx!$O$7,0,(VLOOKUP($B47,Inputs!$F$3:$H$17,3,0)*((1+Inputs!$L$3)^Financials!DU$3)))</f>
        <v>19917.437491558027</v>
      </c>
      <c r="DV47" s="18">
        <f>IF(DV$1&lt;CapEx!$O$7,0,(VLOOKUP($B47,Inputs!$F$3:$H$17,3,0)*((1+Inputs!$L$3)^Financials!DV$3)))</f>
        <v>19950.633220710621</v>
      </c>
      <c r="DW47" s="18">
        <f>IF(DW$1&lt;CapEx!$O$7,0,(VLOOKUP($B47,Inputs!$F$3:$H$17,3,0)*((1+Inputs!$L$3)^Financials!DW$3)))</f>
        <v>19983.884276078476</v>
      </c>
      <c r="DX47" s="18">
        <f>IF(DX$1&lt;CapEx!$O$7,0,(VLOOKUP($B47,Inputs!$F$3:$H$17,3,0)*((1+Inputs!$L$3)^Financials!DX$3)))</f>
        <v>20017.190749871945</v>
      </c>
      <c r="DY47" s="18">
        <f>IF(DY$1&lt;CapEx!$O$7,0,(VLOOKUP($B47,Inputs!$F$3:$H$17,3,0)*((1+Inputs!$L$3)^Financials!DY$3)))</f>
        <v>20050.552734455065</v>
      </c>
      <c r="DZ47" s="18">
        <f>IF(DZ$1&lt;CapEx!$O$7,0,(VLOOKUP($B47,Inputs!$F$3:$H$17,3,0)*((1+Inputs!$L$3)^Financials!DZ$3)))</f>
        <v>20083.970322345824</v>
      </c>
      <c r="EA47" s="18">
        <f>IF(EA$1&lt;CapEx!$O$7,0,(VLOOKUP($B47,Inputs!$F$3:$H$17,3,0)*((1+Inputs!$L$3)^Financials!EA$3)))</f>
        <v>20117.443606216402</v>
      </c>
      <c r="EB47" s="18">
        <f>IF(EB$1&lt;CapEx!$O$7,0,(VLOOKUP($B47,Inputs!$F$3:$H$17,3,0)*((1+Inputs!$L$3)^Financials!EB$3)))</f>
        <v>20150.972678893428</v>
      </c>
      <c r="EC47" s="18">
        <f>IF(EC$1&lt;CapEx!$O$7,0,(VLOOKUP($B47,Inputs!$F$3:$H$17,3,0)*((1+Inputs!$L$3)^Financials!EC$3)))</f>
        <v>20184.557633358254</v>
      </c>
      <c r="ED47" s="18">
        <f>IF(ED$1&lt;CapEx!$O$7,0,(VLOOKUP($B47,Inputs!$F$3:$H$17,3,0)*((1+Inputs!$L$3)^Financials!ED$3)))</f>
        <v>20218.198562747184</v>
      </c>
      <c r="EE47" s="18">
        <f>IF(EE$1&lt;CapEx!$O$7,0,(VLOOKUP($B47,Inputs!$F$3:$H$17,3,0)*((1+Inputs!$L$3)^Financials!EE$3)))</f>
        <v>20251.895560351768</v>
      </c>
      <c r="EF47" s="18">
        <f>IF(EF$1&lt;CapEx!$O$7,0,(VLOOKUP($B47,Inputs!$F$3:$H$17,3,0)*((1+Inputs!$L$3)^Financials!EF$3)))</f>
        <v>20285.648719619017</v>
      </c>
      <c r="EG47" s="18">
        <f>IF(EG$1&lt;CapEx!$O$7,0,(VLOOKUP($B47,Inputs!$F$3:$H$17,3,0)*((1+Inputs!$L$3)^Financials!EG$3)))</f>
        <v>20319.458134151719</v>
      </c>
      <c r="EH47" s="18">
        <f>IF(EH$1&lt;CapEx!$O$7,0,(VLOOKUP($B47,Inputs!$F$3:$H$17,3,0)*((1+Inputs!$L$3)^Financials!EH$3)))</f>
        <v>20353.323897708644</v>
      </c>
      <c r="EI47" s="18">
        <f>IF(EI$1&lt;CapEx!$O$7,0,(VLOOKUP($B47,Inputs!$F$3:$H$17,3,0)*((1+Inputs!$L$3)^Financials!EI$3)))</f>
        <v>20387.246104204823</v>
      </c>
      <c r="EJ47" s="18">
        <f>IF(EJ$1&lt;CapEx!$O$7,0,(VLOOKUP($B47,Inputs!$F$3:$H$17,3,0)*((1+Inputs!$L$3)^Financials!EJ$3)))</f>
        <v>20421.224847711834</v>
      </c>
      <c r="EK47" s="18">
        <f>IF(EK$1&lt;CapEx!$O$7,0,(VLOOKUP($B47,Inputs!$F$3:$H$17,3,0)*((1+Inputs!$L$3)^Financials!EK$3)))</f>
        <v>20455.260222458022</v>
      </c>
      <c r="EL47" s="18">
        <f>IF(EL$1&lt;CapEx!$O$7,0,(VLOOKUP($B47,Inputs!$F$3:$H$17,3,0)*((1+Inputs!$L$3)^Financials!EL$3)))</f>
        <v>20489.352322828781</v>
      </c>
      <c r="EM47" s="18">
        <f>IF(EM$1&lt;CapEx!$O$7,0,(VLOOKUP($B47,Inputs!$F$3:$H$17,3,0)*((1+Inputs!$L$3)^Financials!EM$3)))</f>
        <v>20523.501243366834</v>
      </c>
      <c r="EN47" s="18">
        <f>IF(EN$1&lt;CapEx!$O$7,0,(VLOOKUP($B47,Inputs!$F$3:$H$17,3,0)*((1+Inputs!$L$3)^Financials!EN$3)))</f>
        <v>20557.707078772444</v>
      </c>
      <c r="EO47" s="18">
        <f>IF(EO$1&lt;CapEx!$O$7,0,(VLOOKUP($B47,Inputs!$F$3:$H$17,3,0)*((1+Inputs!$L$3)^Financials!EO$3)))</f>
        <v>20591.96992390374</v>
      </c>
      <c r="EP47" s="18">
        <f>IF(EP$1&lt;CapEx!$O$7,0,(VLOOKUP($B47,Inputs!$F$3:$H$17,3,0)*((1+Inputs!$L$3)^Financials!EP$3)))</f>
        <v>20626.289873776914</v>
      </c>
      <c r="EQ47" s="18">
        <f>IF(EQ$1&lt;CapEx!$O$7,0,(VLOOKUP($B47,Inputs!$F$3:$H$17,3,0)*((1+Inputs!$L$3)^Financials!EQ$3)))</f>
        <v>20660.667023566541</v>
      </c>
      <c r="ER47" s="18">
        <f>IF(ER$1&lt;CapEx!$O$7,0,(VLOOKUP($B47,Inputs!$F$3:$H$17,3,0)*((1+Inputs!$L$3)^Financials!ER$3)))</f>
        <v>20695.101468605819</v>
      </c>
      <c r="ES47" s="18">
        <f>IF(ES$1&lt;CapEx!$O$7,0,(VLOOKUP($B47,Inputs!$F$3:$H$17,3,0)*((1+Inputs!$L$3)^Financials!ES$3)))</f>
        <v>20729.593304386832</v>
      </c>
      <c r="ET47" s="18">
        <f>IF(ET$1&lt;CapEx!$O$7,0,(VLOOKUP($B47,Inputs!$F$3:$H$17,3,0)*((1+Inputs!$L$3)^Financials!ET$3)))</f>
        <v>20764.142626560813</v>
      </c>
      <c r="EU47" s="18">
        <f>IF(EU$1&lt;CapEx!$O$7,0,(VLOOKUP($B47,Inputs!$F$3:$H$17,3,0)*((1+Inputs!$L$3)^Financials!EU$3)))</f>
        <v>20798.74953093841</v>
      </c>
      <c r="EV47" s="18">
        <f>IF(EV$1&lt;CapEx!$O$7,0,(VLOOKUP($B47,Inputs!$F$3:$H$17,3,0)*((1+Inputs!$L$3)^Financials!EV$3)))</f>
        <v>20833.414113489976</v>
      </c>
      <c r="EW47" s="18">
        <f>IF(EW$1&lt;CapEx!$O$7,0,(VLOOKUP($B47,Inputs!$F$3:$H$17,3,0)*((1+Inputs!$L$3)^Financials!EW$3)))</f>
        <v>20868.136470345795</v>
      </c>
      <c r="EX47" s="18">
        <f>IF(EX$1&lt;CapEx!$O$7,0,(VLOOKUP($B47,Inputs!$F$3:$H$17,3,0)*((1+Inputs!$L$3)^Financials!EX$3)))</f>
        <v>20902.916697796376</v>
      </c>
      <c r="EY47" s="18">
        <f>IF(EY$1&lt;CapEx!$O$7,0,(VLOOKUP($B47,Inputs!$F$3:$H$17,3,0)*((1+Inputs!$L$3)^Financials!EY$3)))</f>
        <v>20937.754892292702</v>
      </c>
      <c r="EZ47" s="18">
        <f>IF(EZ$1&lt;CapEx!$O$7,0,(VLOOKUP($B47,Inputs!$F$3:$H$17,3,0)*((1+Inputs!$L$3)^Financials!EZ$3)))</f>
        <v>20972.651150446523</v>
      </c>
      <c r="FA47" s="18">
        <f>IF(FA$1&lt;CapEx!$O$7,0,(VLOOKUP($B47,Inputs!$F$3:$H$17,3,0)*((1+Inputs!$L$3)^Financials!FA$3)))</f>
        <v>21007.605569030606</v>
      </c>
      <c r="FB47" s="18">
        <f>IF(FB$1&lt;CapEx!$O$7,0,(VLOOKUP($B47,Inputs!$F$3:$H$17,3,0)*((1+Inputs!$L$3)^Financials!FB$3)))</f>
        <v>21042.618244978989</v>
      </c>
      <c r="FC47" s="18">
        <f>IF(FC$1&lt;CapEx!$O$7,0,(VLOOKUP($B47,Inputs!$F$3:$H$17,3,0)*((1+Inputs!$L$3)^Financials!FC$3)))</f>
        <v>21077.689275387289</v>
      </c>
      <c r="FD47" s="18">
        <f>IF(FD$1&lt;CapEx!$O$7,0,(VLOOKUP($B47,Inputs!$F$3:$H$17,3,0)*((1+Inputs!$L$3)^Financials!FD$3)))</f>
        <v>21112.818757512938</v>
      </c>
      <c r="FE47" s="18">
        <f>IF(FE$1&lt;CapEx!$O$7,0,(VLOOKUP($B47,Inputs!$F$3:$H$17,3,0)*((1+Inputs!$L$3)^Financials!FE$3)))</f>
        <v>21148.006788775459</v>
      </c>
      <c r="FF47" s="18">
        <f>IF(FF$1&lt;CapEx!$O$7,0,(VLOOKUP($B47,Inputs!$F$3:$H$17,3,0)*((1+Inputs!$L$3)^Financials!FF$3)))</f>
        <v>21183.253466756756</v>
      </c>
      <c r="FG47" s="18">
        <f>IF(FG$1&lt;CapEx!$O$7,0,(VLOOKUP($B47,Inputs!$F$3:$H$17,3,0)*((1+Inputs!$L$3)^Financials!FG$3)))</f>
        <v>21218.558889201351</v>
      </c>
      <c r="FH47" s="18">
        <f>IF(FH$1&lt;CapEx!$O$7,0,(VLOOKUP($B47,Inputs!$F$3:$H$17,3,0)*((1+Inputs!$L$3)^Financials!FH$3)))</f>
        <v>21253.923154016687</v>
      </c>
      <c r="FI47" s="18">
        <f>IF(FI$1&lt;CapEx!$O$7,0,(VLOOKUP($B47,Inputs!$F$3:$H$17,3,0)*((1+Inputs!$L$3)^Financials!FI$3)))</f>
        <v>21289.346359273386</v>
      </c>
      <c r="FJ47" s="18">
        <f>IF(FJ$1&lt;CapEx!$O$7,0,(VLOOKUP($B47,Inputs!$F$3:$H$17,3,0)*((1+Inputs!$L$3)^Financials!FJ$3)))</f>
        <v>21324.828603205504</v>
      </c>
      <c r="FK47" s="18">
        <f>IF(FK$1&lt;CapEx!$O$7,0,(VLOOKUP($B47,Inputs!$F$3:$H$17,3,0)*((1+Inputs!$L$3)^Financials!FK$3)))</f>
        <v>21360.369984210854</v>
      </c>
      <c r="FL47" s="18">
        <f>IF(FL$1&lt;CapEx!$O$7,0,(VLOOKUP($B47,Inputs!$F$3:$H$17,3,0)*((1+Inputs!$L$3)^Financials!FL$3)))</f>
        <v>21395.9706008512</v>
      </c>
      <c r="FM47" s="18">
        <f>IF(FM$1&lt;CapEx!$O$7,0,(VLOOKUP($B47,Inputs!$F$3:$H$17,3,0)*((1+Inputs!$L$3)^Financials!FM$3)))</f>
        <v>21431.630551852621</v>
      </c>
      <c r="FN47" s="18">
        <f>IF(FN$1&lt;CapEx!$O$7,0,(VLOOKUP($B47,Inputs!$F$3:$H$17,3,0)*((1+Inputs!$L$3)^Financials!FN$3)))</f>
        <v>21467.349936105715</v>
      </c>
      <c r="FO47" s="18">
        <f>IF(FO$1&lt;CapEx!$O$7,0,(VLOOKUP($B47,Inputs!$F$3:$H$17,3,0)*((1+Inputs!$L$3)^Financials!FO$3)))</f>
        <v>21503.12885266589</v>
      </c>
      <c r="FP47" s="18">
        <f>IF(FP$1&lt;CapEx!$O$7,0,(VLOOKUP($B47,Inputs!$F$3:$H$17,3,0)*((1+Inputs!$L$3)^Financials!FP$3)))</f>
        <v>21538.967400753667</v>
      </c>
      <c r="FQ47" s="18">
        <f>IF(FQ$1&lt;CapEx!$O$7,0,(VLOOKUP($B47,Inputs!$F$3:$H$17,3,0)*((1+Inputs!$L$3)^Financials!FQ$3)))</f>
        <v>21574.865679754927</v>
      </c>
      <c r="FR47" s="18">
        <f>IF(FR$1&lt;CapEx!$O$7,0,(VLOOKUP($B47,Inputs!$F$3:$H$17,3,0)*((1+Inputs!$L$3)^Financials!FR$3)))</f>
        <v>21610.823789221184</v>
      </c>
      <c r="FS47" s="18">
        <f>IF(FS$1&lt;CapEx!$O$7,0,(VLOOKUP($B47,Inputs!$F$3:$H$17,3,0)*((1+Inputs!$L$3)^Financials!FS$3)))</f>
        <v>21646.841828869892</v>
      </c>
      <c r="FT47" s="18">
        <f>IF(FT$1&lt;CapEx!$O$7,0,(VLOOKUP($B47,Inputs!$F$3:$H$17,3,0)*((1+Inputs!$L$3)^Financials!FT$3)))</f>
        <v>21682.919898584671</v>
      </c>
      <c r="FU47" s="18">
        <f>IF(FU$1&lt;CapEx!$O$7,0,(VLOOKUP($B47,Inputs!$F$3:$H$17,3,0)*((1+Inputs!$L$3)^Financials!FU$3)))</f>
        <v>21719.058098415651</v>
      </c>
      <c r="FV47" s="18">
        <f>IF(FV$1&lt;CapEx!$O$7,0,(VLOOKUP($B47,Inputs!$F$3:$H$17,3,0)*((1+Inputs!$L$3)^Financials!FV$3)))</f>
        <v>21755.256528579677</v>
      </c>
      <c r="FW47" s="18">
        <f>IF(FW$1&lt;CapEx!$O$7,0,(VLOOKUP($B47,Inputs!$F$3:$H$17,3,0)*((1+Inputs!$L$3)^Financials!FW$3)))</f>
        <v>21791.515289460647</v>
      </c>
      <c r="FX47" s="18">
        <f>IF(FX$1&lt;CapEx!$O$7,0,(VLOOKUP($B47,Inputs!$F$3:$H$17,3,0)*((1+Inputs!$L$3)^Financials!FX$3)))</f>
        <v>21827.834481609749</v>
      </c>
      <c r="FY47" s="18">
        <f>IF(FY$1&lt;CapEx!$O$7,0,(VLOOKUP($B47,Inputs!$F$3:$H$17,3,0)*((1+Inputs!$L$3)^Financials!FY$3)))</f>
        <v>21864.214205745768</v>
      </c>
      <c r="FZ47" s="18">
        <f>IF(FZ$1&lt;CapEx!$O$7,0,(VLOOKUP($B47,Inputs!$F$3:$H$17,3,0)*((1+Inputs!$L$3)^Financials!FZ$3)))</f>
        <v>21900.654562755346</v>
      </c>
      <c r="GA47" s="18">
        <f>IF(GA$1&lt;CapEx!$O$7,0,(VLOOKUP($B47,Inputs!$F$3:$H$17,3,0)*((1+Inputs!$L$3)^Financials!GA$3)))</f>
        <v>21937.155653693273</v>
      </c>
      <c r="GB47" s="18">
        <f>IF(GB$1&lt;CapEx!$O$7,0,(VLOOKUP($B47,Inputs!$F$3:$H$17,3,0)*((1+Inputs!$L$3)^Financials!GB$3)))</f>
        <v>21973.717579782762</v>
      </c>
      <c r="GC47" s="18">
        <f>IF(GC$1&lt;CapEx!$O$7,0,(VLOOKUP($B47,Inputs!$F$3:$H$17,3,0)*((1+Inputs!$L$3)^Financials!GC$3)))</f>
        <v>22010.340442415734</v>
      </c>
      <c r="GD47" s="18">
        <f>IF(GD$1&lt;CapEx!$O$7,0,(VLOOKUP($B47,Inputs!$F$3:$H$17,3,0)*((1+Inputs!$L$3)^Financials!GD$3)))</f>
        <v>22047.024343153102</v>
      </c>
      <c r="GE47" s="18">
        <f>IF(GE$1&lt;CapEx!$O$7,0,(VLOOKUP($B47,Inputs!$F$3:$H$17,3,0)*((1+Inputs!$L$3)^Financials!GE$3)))</f>
        <v>22083.769383725019</v>
      </c>
      <c r="GF47" s="18">
        <f>IF(GF$1&lt;CapEx!$O$7,0,(VLOOKUP($B47,Inputs!$F$3:$H$17,3,0)*((1+Inputs!$L$3)^Financials!GF$3)))</f>
        <v>22120.575666031225</v>
      </c>
      <c r="GG47" s="18">
        <f>IF(GG$1&lt;CapEx!$O$7,0,(VLOOKUP($B47,Inputs!$F$3:$H$17,3,0)*((1+Inputs!$L$3)^Financials!GG$3)))</f>
        <v>22157.443292141281</v>
      </c>
      <c r="GH47" s="18">
        <f>IF(GH$1&lt;CapEx!$O$7,0,(VLOOKUP($B47,Inputs!$F$3:$H$17,3,0)*((1+Inputs!$L$3)^Financials!GH$3)))</f>
        <v>22194.37236429485</v>
      </c>
      <c r="GI47" s="18">
        <f>IF(GI$1&lt;CapEx!$O$7,0,(VLOOKUP($B47,Inputs!$F$3:$H$17,3,0)*((1+Inputs!$L$3)^Financials!GI$3)))</f>
        <v>22231.362984902011</v>
      </c>
      <c r="GJ47" s="18">
        <f>IF(GJ$1&lt;CapEx!$O$7,0,(VLOOKUP($B47,Inputs!$F$3:$H$17,3,0)*((1+Inputs!$L$3)^Financials!GJ$3)))</f>
        <v>22268.415256543514</v>
      </c>
      <c r="GK47" s="18">
        <f>IF(GK$1&lt;CapEx!$O$7,0,(VLOOKUP($B47,Inputs!$F$3:$H$17,3,0)*((1+Inputs!$L$3)^Financials!GK$3)))</f>
        <v>22305.529281971092</v>
      </c>
      <c r="GL47" s="18">
        <f>IF(GL$1&lt;CapEx!$O$7,0,(VLOOKUP($B47,Inputs!$F$3:$H$17,3,0)*((1+Inputs!$L$3)^Financials!GL$3)))</f>
        <v>22342.705164107712</v>
      </c>
      <c r="GM47" s="18">
        <f>IF(GM$1&lt;CapEx!$O$7,0,(VLOOKUP($B47,Inputs!$F$3:$H$17,3,0)*((1+Inputs!$L$3)^Financials!GM$3)))</f>
        <v>22379.943006047892</v>
      </c>
      <c r="GN47" s="18">
        <f>IF(GN$1&lt;CapEx!$O$7,0,(VLOOKUP($B47,Inputs!$F$3:$H$17,3,0)*((1+Inputs!$L$3)^Financials!GN$3)))</f>
        <v>22417.242911057972</v>
      </c>
      <c r="GO47" s="18">
        <f>IF(GO$1&lt;CapEx!$O$7,0,(VLOOKUP($B47,Inputs!$F$3:$H$17,3,0)*((1+Inputs!$L$3)^Financials!GO$3)))</f>
        <v>22454.604982576406</v>
      </c>
      <c r="GP47" s="18">
        <f>IF(GP$1&lt;CapEx!$O$7,0,(VLOOKUP($B47,Inputs!$F$3:$H$17,3,0)*((1+Inputs!$L$3)^Financials!GP$3)))</f>
        <v>22492.029324214032</v>
      </c>
      <c r="GQ47" s="18">
        <f>IF(GQ$1&lt;CapEx!$O$7,0,(VLOOKUP($B47,Inputs!$F$3:$H$17,3,0)*((1+Inputs!$L$3)^Financials!GQ$3)))</f>
        <v>22529.516039754391</v>
      </c>
      <c r="GR47" s="18">
        <f>IF(GR$1&lt;CapEx!$O$7,0,(VLOOKUP($B47,Inputs!$F$3:$H$17,3,0)*((1+Inputs!$L$3)^Financials!GR$3)))</f>
        <v>22567.065233153982</v>
      </c>
      <c r="GS47" s="18">
        <f>IF(GS$1&lt;CapEx!$O$7,0,(VLOOKUP($B47,Inputs!$F$3:$H$17,3,0)*((1+Inputs!$L$3)^Financials!GS$3)))</f>
        <v>22604.677008542574</v>
      </c>
      <c r="GT47" s="18">
        <f>IF(GT$1&lt;CapEx!$O$7,0,(VLOOKUP($B47,Inputs!$F$3:$H$17,3,0)*((1+Inputs!$L$3)^Financials!GT$3)))</f>
        <v>22642.351470223486</v>
      </c>
      <c r="GU47" s="18">
        <f>IF(GU$1&lt;CapEx!$O$7,0,(VLOOKUP($B47,Inputs!$F$3:$H$17,3,0)*((1+Inputs!$L$3)^Financials!GU$3)))</f>
        <v>22680.088722673852</v>
      </c>
      <c r="GV47" s="18">
        <f>IF(GV$1&lt;CapEx!$O$7,0,(VLOOKUP($B47,Inputs!$F$3:$H$17,3,0)*((1+Inputs!$L$3)^Financials!GV$3)))</f>
        <v>22717.888870544979</v>
      </c>
      <c r="GW47" s="18">
        <f>IF(GW$1&lt;CapEx!$O$7,0,(VLOOKUP($B47,Inputs!$F$3:$H$17,3,0)*((1+Inputs!$L$3)^Financials!GW$3)))</f>
        <v>22755.752018662555</v>
      </c>
      <c r="GX47" s="18">
        <f>IF(GX$1&lt;CapEx!$O$7,0,(VLOOKUP($B47,Inputs!$F$3:$H$17,3,0)*((1+Inputs!$L$3)^Financials!GX$3)))</f>
        <v>22793.678272026995</v>
      </c>
      <c r="GY47" s="18">
        <f>IF(GY$1&lt;CapEx!$O$7,0,(VLOOKUP($B47,Inputs!$F$3:$H$17,3,0)*((1+Inputs!$L$3)^Financials!GY$3)))</f>
        <v>22831.667735813709</v>
      </c>
      <c r="GZ47" s="18">
        <f>IF(GZ$1&lt;CapEx!$O$7,0,(VLOOKUP($B47,Inputs!$F$3:$H$17,3,0)*((1+Inputs!$L$3)^Financials!GZ$3)))</f>
        <v>22869.720515373399</v>
      </c>
      <c r="HA47" s="18">
        <f>IF(HA$1&lt;CapEx!$O$7,0,(VLOOKUP($B47,Inputs!$F$3:$H$17,3,0)*((1+Inputs!$L$3)^Financials!HA$3)))</f>
        <v>22907.836716232359</v>
      </c>
      <c r="HB47" s="18">
        <f>IF(HB$1&lt;CapEx!$O$7,0,(VLOOKUP($B47,Inputs!$F$3:$H$17,3,0)*((1+Inputs!$L$3)^Financials!HB$3)))</f>
        <v>22946.016444092747</v>
      </c>
      <c r="HC47" s="18">
        <f>IF(HC$1&lt;CapEx!$O$7,0,(VLOOKUP($B47,Inputs!$F$3:$H$17,3,0)*((1+Inputs!$L$3)^Financials!HC$3)))</f>
        <v>22984.259804832906</v>
      </c>
      <c r="HD47" s="18">
        <f>IF(HD$1&lt;CapEx!$O$7,0,(VLOOKUP($B47,Inputs!$F$3:$H$17,3,0)*((1+Inputs!$L$3)^Financials!HD$3)))</f>
        <v>23022.566904507625</v>
      </c>
      <c r="HE47" s="18">
        <f>IF(HE$1&lt;CapEx!$O$7,0,(VLOOKUP($B47,Inputs!$F$3:$H$17,3,0)*((1+Inputs!$L$3)^Financials!HE$3)))</f>
        <v>23060.937849348473</v>
      </c>
      <c r="HF47" s="18">
        <f>IF(HF$1&lt;CapEx!$O$7,0,(VLOOKUP($B47,Inputs!$F$3:$H$17,3,0)*((1+Inputs!$L$3)^Financials!HF$3)))</f>
        <v>23099.372745764056</v>
      </c>
      <c r="HG47" s="18">
        <f>IF(HG$1&lt;CapEx!$O$7,0,(VLOOKUP($B47,Inputs!$F$3:$H$17,3,0)*((1+Inputs!$L$3)^Financials!HG$3)))</f>
        <v>23137.871700340325</v>
      </c>
      <c r="HH47" s="18">
        <f>IF(HH$1&lt;CapEx!$O$7,0,(VLOOKUP($B47,Inputs!$F$3:$H$17,3,0)*((1+Inputs!$L$3)^Financials!HH$3)))</f>
        <v>23176.434819840895</v>
      </c>
      <c r="HI47" s="18">
        <f>IF(HI$1&lt;CapEx!$O$7,0,(VLOOKUP($B47,Inputs!$F$3:$H$17,3,0)*((1+Inputs!$L$3)^Financials!HI$3)))</f>
        <v>23215.0622112073</v>
      </c>
      <c r="HJ47" s="18">
        <f>IF(HJ$1&lt;CapEx!$O$7,0,(VLOOKUP($B47,Inputs!$F$3:$H$17,3,0)*((1+Inputs!$L$3)^Financials!HJ$3)))</f>
        <v>23253.753981559315</v>
      </c>
      <c r="HK47" s="18">
        <f>IF(HK$1&lt;CapEx!$O$7,0,(VLOOKUP($B47,Inputs!$F$3:$H$17,3,0)*((1+Inputs!$L$3)^Financials!HK$3)))</f>
        <v>23292.510238195246</v>
      </c>
      <c r="HL47" s="18">
        <f>IF(HL$1&lt;CapEx!$O$7,0,(VLOOKUP($B47,Inputs!$F$3:$H$17,3,0)*((1+Inputs!$L$3)^Financials!HL$3)))</f>
        <v>23331.331088592244</v>
      </c>
      <c r="HM47" s="18">
        <f>IF(HM$1&lt;CapEx!$O$7,0,(VLOOKUP($B47,Inputs!$F$3:$H$17,3,0)*((1+Inputs!$L$3)^Financials!HM$3)))</f>
        <v>23370.216640406565</v>
      </c>
      <c r="HN47" s="18">
        <f>IF(HN$1&lt;CapEx!$O$7,0,(VLOOKUP($B47,Inputs!$F$3:$H$17,3,0)*((1+Inputs!$L$3)^Financials!HN$3)))</f>
        <v>23409.16700147391</v>
      </c>
      <c r="HO47" s="18">
        <f>IF(HO$1&lt;CapEx!$O$7,0,(VLOOKUP($B47,Inputs!$F$3:$H$17,3,0)*((1+Inputs!$L$3)^Financials!HO$3)))</f>
        <v>23448.182279809702</v>
      </c>
      <c r="HP47" s="18">
        <f>IF(HP$1&lt;CapEx!$O$7,0,(VLOOKUP($B47,Inputs!$F$3:$H$17,3,0)*((1+Inputs!$L$3)^Financials!HP$3)))</f>
        <v>23487.262583609387</v>
      </c>
      <c r="HQ47" s="18">
        <f>IF(HQ$1&lt;CapEx!$O$7,0,(VLOOKUP($B47,Inputs!$F$3:$H$17,3,0)*((1+Inputs!$L$3)^Financials!HQ$3)))</f>
        <v>23526.408021248732</v>
      </c>
      <c r="HR47" s="18">
        <f>IF(HR$1&lt;CapEx!$O$7,0,(VLOOKUP($B47,Inputs!$F$3:$H$17,3,0)*((1+Inputs!$L$3)^Financials!HR$3)))</f>
        <v>23565.618701284155</v>
      </c>
      <c r="HS47" s="18">
        <f>IF(HS$1&lt;CapEx!$O$7,0,(VLOOKUP($B47,Inputs!$F$3:$H$17,3,0)*((1+Inputs!$L$3)^Financials!HS$3)))</f>
        <v>23604.894732452962</v>
      </c>
      <c r="HT47" s="18">
        <f>IF(HT$1&lt;CapEx!$O$7,0,(VLOOKUP($B47,Inputs!$F$3:$H$17,3,0)*((1+Inputs!$L$3)^Financials!HT$3)))</f>
        <v>23644.236223673714</v>
      </c>
      <c r="HU47" s="18">
        <f>IF(HU$1&lt;CapEx!$O$7,0,(VLOOKUP($B47,Inputs!$F$3:$H$17,3,0)*((1+Inputs!$L$3)^Financials!HU$3)))</f>
        <v>23683.64328404651</v>
      </c>
      <c r="HV47" s="18">
        <f>IF(HV$1&lt;CapEx!$O$7,0,(VLOOKUP($B47,Inputs!$F$3:$H$17,3,0)*((1+Inputs!$L$3)^Financials!HV$3)))</f>
        <v>23723.116022853257</v>
      </c>
      <c r="HW47" s="18">
        <f>IF(HW$1&lt;CapEx!$O$7,0,(VLOOKUP($B47,Inputs!$F$3:$H$17,3,0)*((1+Inputs!$L$3)^Financials!HW$3)))</f>
        <v>23762.654549558018</v>
      </c>
      <c r="HX47" s="18">
        <f>IF(HX$1&lt;CapEx!$O$7,0,(VLOOKUP($B47,Inputs!$F$3:$H$17,3,0)*((1+Inputs!$L$3)^Financials!HX$3)))</f>
        <v>23802.258973807275</v>
      </c>
      <c r="HY47" s="18">
        <f>IF(HY$1&lt;CapEx!$O$7,0,(VLOOKUP($B47,Inputs!$F$3:$H$17,3,0)*((1+Inputs!$L$3)^Financials!HY$3)))</f>
        <v>23841.929405430292</v>
      </c>
      <c r="HZ47" s="18">
        <f>IF(HZ$1&lt;CapEx!$O$7,0,(VLOOKUP($B47,Inputs!$F$3:$H$17,3,0)*((1+Inputs!$L$3)^Financials!HZ$3)))</f>
        <v>23881.665954439348</v>
      </c>
      <c r="IA47" s="18">
        <f>IF(IA$1&lt;CapEx!$O$7,0,(VLOOKUP($B47,Inputs!$F$3:$H$17,3,0)*((1+Inputs!$L$3)^Financials!IA$3)))</f>
        <v>23921.468731030076</v>
      </c>
      <c r="IB47" s="18">
        <f>IF(IB$1&lt;CapEx!$O$7,0,(VLOOKUP($B47,Inputs!$F$3:$H$17,3,0)*((1+Inputs!$L$3)^Financials!IB$3)))</f>
        <v>23961.337845581791</v>
      </c>
      <c r="IC47" s="18">
        <f>IF(IC$1&lt;CapEx!$O$7,0,(VLOOKUP($B47,Inputs!$F$3:$H$17,3,0)*((1+Inputs!$L$3)^Financials!IC$3)))</f>
        <v>24001.273408657766</v>
      </c>
      <c r="ID47" s="18">
        <f>IF(ID$1&lt;CapEx!$O$7,0,(VLOOKUP($B47,Inputs!$F$3:$H$17,3,0)*((1+Inputs!$L$3)^Financials!ID$3)))</f>
        <v>24041.275531005533</v>
      </c>
      <c r="IE47" s="18">
        <f>IF(IE$1&lt;CapEx!$O$7,0,(VLOOKUP($B47,Inputs!$F$3:$H$17,3,0)*((1+Inputs!$L$3)^Financials!IE$3)))</f>
        <v>24081.344323557212</v>
      </c>
      <c r="IF47" s="18">
        <f>IF(IF$1&lt;CapEx!$O$7,0,(VLOOKUP($B47,Inputs!$F$3:$H$17,3,0)*((1+Inputs!$L$3)^Financials!IF$3)))</f>
        <v>24121.479897429803</v>
      </c>
      <c r="IG47" s="18">
        <f>IF(IG$1&lt;CapEx!$O$7,0,(VLOOKUP($B47,Inputs!$F$3:$H$17,3,0)*((1+Inputs!$L$3)^Financials!IG$3)))</f>
        <v>24161.682363925524</v>
      </c>
      <c r="IH47" s="18">
        <f>IF(IH$1&lt;CapEx!$O$7,0,(VLOOKUP($B47,Inputs!$F$3:$H$17,3,0)*((1+Inputs!$L$3)^Financials!IH$3)))</f>
        <v>24201.951834532076</v>
      </c>
      <c r="II47" s="18">
        <f>IF(II$1&lt;CapEx!$O$7,0,(VLOOKUP($B47,Inputs!$F$3:$H$17,3,0)*((1+Inputs!$L$3)^Financials!II$3)))</f>
        <v>24242.288420922963</v>
      </c>
      <c r="IJ47" s="18">
        <f>IF(IJ$1&lt;CapEx!$O$7,0,(VLOOKUP($B47,Inputs!$F$3:$H$17,3,0)*((1+Inputs!$L$3)^Financials!IJ$3)))</f>
        <v>24282.692234957831</v>
      </c>
      <c r="IK47" s="18">
        <f>IF(IK$1&lt;CapEx!$O$7,0,(VLOOKUP($B47,Inputs!$F$3:$H$17,3,0)*((1+Inputs!$L$3)^Financials!IK$3)))</f>
        <v>24323.163388682766</v>
      </c>
      <c r="IL47" s="18">
        <f>IF(IL$1&lt;CapEx!$O$7,0,(VLOOKUP($B47,Inputs!$F$3:$H$17,3,0)*((1+Inputs!$L$3)^Financials!IL$3)))</f>
        <v>24363.701994330568</v>
      </c>
      <c r="IM47" s="18">
        <f>IF(IM$1&lt;CapEx!$O$7,0,(VLOOKUP($B47,Inputs!$F$3:$H$17,3,0)*((1+Inputs!$L$3)^Financials!IM$3)))</f>
        <v>24404.308164321123</v>
      </c>
      <c r="IN47" s="18">
        <f>IF(IN$1&lt;CapEx!$O$7,0,(VLOOKUP($B47,Inputs!$F$3:$H$17,3,0)*((1+Inputs!$L$3)^Financials!IN$3)))</f>
        <v>24444.982011261654</v>
      </c>
      <c r="IO47" s="18">
        <f>IF(IO$1&lt;CapEx!$O$7,0,(VLOOKUP($B47,Inputs!$F$3:$H$17,3,0)*((1+Inputs!$L$3)^Financials!IO$3)))</f>
        <v>24485.723647947099</v>
      </c>
      <c r="IP47" s="18">
        <f>IF(IP$1&lt;CapEx!$O$7,0,(VLOOKUP($B47,Inputs!$F$3:$H$17,3,0)*((1+Inputs!$L$3)^Financials!IP$3)))</f>
        <v>24526.533187360346</v>
      </c>
      <c r="IQ47" s="18">
        <f>IF(IQ$1&lt;CapEx!$O$7,0,(VLOOKUP($B47,Inputs!$F$3:$H$17,3,0)*((1+Inputs!$L$3)^Financials!IQ$3)))</f>
        <v>24567.410742672608</v>
      </c>
      <c r="IR47" s="18">
        <f>IF(IR$1&lt;CapEx!$O$7,0,(VLOOKUP($B47,Inputs!$F$3:$H$17,3,0)*((1+Inputs!$L$3)^Financials!IR$3)))</f>
        <v>24608.356427243729</v>
      </c>
      <c r="IS47" s="18">
        <f>IF(IS$1&lt;CapEx!$O$7,0,(VLOOKUP($B47,Inputs!$F$3:$H$17,3,0)*((1+Inputs!$L$3)^Financials!IS$3)))</f>
        <v>24649.370354622475</v>
      </c>
      <c r="IT47" s="18">
        <f>IF(IT$1&lt;CapEx!$O$7,0,(VLOOKUP($B47,Inputs!$F$3:$H$17,3,0)*((1+Inputs!$L$3)^Financials!IT$3)))</f>
        <v>24690.452638546842</v>
      </c>
      <c r="IU47" s="18">
        <f>IF(IU$1&lt;CapEx!$O$7,0,(VLOOKUP($B47,Inputs!$F$3:$H$17,3,0)*((1+Inputs!$L$3)^Financials!IU$3)))</f>
        <v>24731.603392944427</v>
      </c>
      <c r="IV47" s="18">
        <f>IF(IV$1&lt;CapEx!$O$7,0,(VLOOKUP($B47,Inputs!$F$3:$H$17,3,0)*((1+Inputs!$L$3)^Financials!IV$3)))</f>
        <v>24772.822731932669</v>
      </c>
      <c r="IW47" s="18">
        <f>IF(IW$1&lt;CapEx!$O$7,0,(VLOOKUP($B47,Inputs!$F$3:$H$17,3,0)*((1+Inputs!$L$3)^Financials!IW$3)))</f>
        <v>24814.110769819225</v>
      </c>
      <c r="IX47" s="18">
        <f>IF(IX$1&lt;CapEx!$O$7,0,(VLOOKUP($B47,Inputs!$F$3:$H$17,3,0)*((1+Inputs!$L$3)^Financials!IX$3)))</f>
        <v>24855.467621102263</v>
      </c>
      <c r="IY47" s="18">
        <f>IF(IY$1&lt;CapEx!$O$7,0,(VLOOKUP($B47,Inputs!$F$3:$H$17,3,0)*((1+Inputs!$L$3)^Financials!IY$3)))</f>
        <v>24896.893400470766</v>
      </c>
      <c r="IZ47" s="18">
        <f>IF(IZ$1&lt;CapEx!$O$7,0,(VLOOKUP($B47,Inputs!$F$3:$H$17,3,0)*((1+Inputs!$L$3)^Financials!IZ$3)))</f>
        <v>24938.388222804882</v>
      </c>
      <c r="JA47" s="18">
        <f>IF(JA$1&lt;CapEx!$O$7,0,(VLOOKUP($B47,Inputs!$F$3:$H$17,3,0)*((1+Inputs!$L$3)^Financials!JA$3)))</f>
        <v>24979.952203176232</v>
      </c>
      <c r="JB47" s="18">
        <f>IF(JB$1&lt;CapEx!$O$7,0,(VLOOKUP($B47,Inputs!$F$3:$H$17,3,0)*((1+Inputs!$L$3)^Financials!JB$3)))</f>
        <v>25021.585456848192</v>
      </c>
      <c r="JC47" s="18">
        <f>IF(JC$1&lt;CapEx!$O$7,0,(VLOOKUP($B47,Inputs!$F$3:$H$17,3,0)*((1+Inputs!$L$3)^Financials!JC$3)))</f>
        <v>25063.288099276277</v>
      </c>
      <c r="JD47" s="18">
        <f>IF(JD$1&lt;CapEx!$O$7,0,(VLOOKUP($B47,Inputs!$F$3:$H$17,3,0)*((1+Inputs!$L$3)^Financials!JD$3)))</f>
        <v>25105.060246108398</v>
      </c>
      <c r="JE47" s="18">
        <f>IF(JE$1&lt;CapEx!$O$7,0,(VLOOKUP($B47,Inputs!$F$3:$H$17,3,0)*((1+Inputs!$L$3)^Financials!JE$3)))</f>
        <v>25146.902013185249</v>
      </c>
      <c r="JF47" s="18">
        <f>IF(JF$1&lt;CapEx!$O$7,0,(VLOOKUP($B47,Inputs!$F$3:$H$17,3,0)*((1+Inputs!$L$3)^Financials!JF$3)))</f>
        <v>25188.813516540562</v>
      </c>
      <c r="JG47" s="18">
        <f>IF(JG$1&lt;CapEx!$O$7,0,(VLOOKUP($B47,Inputs!$F$3:$H$17,3,0)*((1+Inputs!$L$3)^Financials!JG$3)))</f>
        <v>25230.794872401464</v>
      </c>
      <c r="JH47" s="18">
        <f>IF(JH$1&lt;CapEx!$O$7,0,(VLOOKUP($B47,Inputs!$F$3:$H$17,3,0)*((1+Inputs!$L$3)^Financials!JH$3)))</f>
        <v>25272.846197188803</v>
      </c>
      <c r="JI47" s="18">
        <f>IF(JI$1&lt;CapEx!$O$7,0,(VLOOKUP($B47,Inputs!$F$3:$H$17,3,0)*((1+Inputs!$L$3)^Financials!JI$3)))</f>
        <v>25314.967607517454</v>
      </c>
      <c r="JJ47" s="18">
        <f>IF(JJ$1&lt;CapEx!$O$7,0,(VLOOKUP($B47,Inputs!$F$3:$H$17,3,0)*((1+Inputs!$L$3)^Financials!JJ$3)))</f>
        <v>25357.159220196645</v>
      </c>
      <c r="JK47" s="18">
        <f>IF(JK$1&lt;CapEx!$O$7,0,(VLOOKUP($B47,Inputs!$F$3:$H$17,3,0)*((1+Inputs!$L$3)^Financials!JK$3)))</f>
        <v>25399.421152230312</v>
      </c>
      <c r="JL47" s="18">
        <f>IF(JL$1&lt;CapEx!$O$7,0,(VLOOKUP($B47,Inputs!$F$3:$H$17,3,0)*((1+Inputs!$L$3)^Financials!JL$3)))</f>
        <v>25441.753520817361</v>
      </c>
      <c r="JM47" s="18">
        <f>IF(JM$1&lt;CapEx!$O$7,0,(VLOOKUP($B47,Inputs!$F$3:$H$17,3,0)*((1+Inputs!$L$3)^Financials!JM$3)))</f>
        <v>25484.156443352062</v>
      </c>
      <c r="JN47" s="18">
        <f>IF(JN$1&lt;CapEx!$O$7,0,(VLOOKUP($B47,Inputs!$F$3:$H$17,3,0)*((1+Inputs!$L$3)^Financials!JN$3)))</f>
        <v>25526.630037424318</v>
      </c>
      <c r="JO47" s="18">
        <f>IF(JO$1&lt;CapEx!$O$7,0,(VLOOKUP($B47,Inputs!$F$3:$H$17,3,0)*((1+Inputs!$L$3)^Financials!JO$3)))</f>
        <v>25569.174420820025</v>
      </c>
      <c r="JP47" s="18">
        <f>IF(JP$1&lt;CapEx!$O$7,0,(VLOOKUP($B47,Inputs!$F$3:$H$17,3,0)*((1+Inputs!$L$3)^Financials!JP$3)))</f>
        <v>25611.789711521396</v>
      </c>
      <c r="JQ47" s="18">
        <f>IF(JQ$1&lt;CapEx!$O$7,0,(VLOOKUP($B47,Inputs!$F$3:$H$17,3,0)*((1+Inputs!$L$3)^Financials!JQ$3)))</f>
        <v>25654.476027707264</v>
      </c>
      <c r="JR47" s="18">
        <f>IF(JR$1&lt;CapEx!$O$7,0,(VLOOKUP($B47,Inputs!$F$3:$H$17,3,0)*((1+Inputs!$L$3)^Financials!JR$3)))</f>
        <v>25697.233487753449</v>
      </c>
    </row>
    <row r="48" spans="2:278" x14ac:dyDescent="0.2">
      <c r="B48" s="21" t="str">
        <f>'Data Sources'!A96</f>
        <v>OVD Fee for exporting</v>
      </c>
      <c r="C48" s="18">
        <f>SUM(C15+C16+C17+C18+C19) * 'Data Sources'!$C$96</f>
        <v>0</v>
      </c>
      <c r="D48" s="18">
        <f>SUM(D15+D16+D17+D18+D19) * 'Data Sources'!$C$96</f>
        <v>0</v>
      </c>
      <c r="E48" s="18">
        <f>SUM(E15+E16+E17+E18+E19) * 'Data Sources'!$C$96</f>
        <v>0</v>
      </c>
      <c r="F48" s="18">
        <f>SUM(F15+F16+F17+F18+F19) * 'Data Sources'!$C$96</f>
        <v>0</v>
      </c>
      <c r="G48" s="18">
        <f>SUM(G15+G16+G17+G18+G19) * 'Data Sources'!$C$96</f>
        <v>0</v>
      </c>
      <c r="H48" s="18">
        <f>SUM(H15+H16+H17+H18+H19) * 'Data Sources'!$C$96</f>
        <v>0</v>
      </c>
      <c r="I48" s="18">
        <f>SUM(I15+I16+I17+I18+I19) * 'Data Sources'!$C$96</f>
        <v>0</v>
      </c>
      <c r="J48" s="18">
        <f>SUM(J15+J16+J17+J18+J19) * 'Data Sources'!$C$96</f>
        <v>0</v>
      </c>
      <c r="K48" s="18">
        <f>SUM(K15+K16+K17+K18+K19) * 'Data Sources'!$C$96</f>
        <v>0</v>
      </c>
      <c r="L48" s="18">
        <f>SUM(L15+L16+L17+L18+L19) * 'Data Sources'!$C$96</f>
        <v>0</v>
      </c>
      <c r="M48" s="18">
        <f>SUM(M15+M16+M17+M18+M19) * 'Data Sources'!$C$96</f>
        <v>0</v>
      </c>
      <c r="N48" s="18">
        <f>SUM(N15+N16+N17+N18+N19) * 'Data Sources'!$C$96</f>
        <v>0</v>
      </c>
      <c r="O48" s="18">
        <f>SUM(O15+O16+O17+O18+O19) * 'Data Sources'!$C$96</f>
        <v>0</v>
      </c>
      <c r="P48" s="18">
        <f>SUM(P15+P16+P17+P18+P19) * 'Data Sources'!$C$96</f>
        <v>0</v>
      </c>
      <c r="Q48" s="18">
        <f>SUM(Q15+Q16+Q17+Q18+Q19) * 'Data Sources'!$C$96</f>
        <v>0</v>
      </c>
      <c r="R48" s="18">
        <f>SUM(R15+R16+R17+R18+R19) * 'Data Sources'!$C$96</f>
        <v>0</v>
      </c>
      <c r="S48" s="18">
        <f>SUM(S15+S16+S17+S18+S19) * 'Data Sources'!$C$96</f>
        <v>0</v>
      </c>
      <c r="T48" s="18">
        <f>SUM(T15+T16+T17+T18+T19) * 'Data Sources'!$C$96</f>
        <v>0</v>
      </c>
      <c r="U48" s="18">
        <f>SUM(U15+U16+U17+U18+U19) * 'Data Sources'!$C$96</f>
        <v>0</v>
      </c>
      <c r="V48" s="18">
        <f>SUM(V15+V16+V17+V18+V19) * 'Data Sources'!$C$96</f>
        <v>0</v>
      </c>
      <c r="W48" s="18">
        <f>SUM(W15+W16+W17+W18+W19) * 'Data Sources'!$C$96</f>
        <v>0</v>
      </c>
      <c r="X48" s="18">
        <f>SUM(X15+X16+X17+X18+X19) * 'Data Sources'!$C$96</f>
        <v>0</v>
      </c>
      <c r="Y48" s="18">
        <f>SUM(Y15+Y16+Y17+Y18+Y19) * 'Data Sources'!$C$96</f>
        <v>0</v>
      </c>
      <c r="Z48" s="18">
        <f>SUM(Z15+Z16+Z17+Z18+Z19) * 'Data Sources'!$C$96</f>
        <v>0</v>
      </c>
      <c r="AA48" s="18">
        <f>SUM(AA15+AA16+AA17+AA18+AA19) * 'Data Sources'!$C$96</f>
        <v>0</v>
      </c>
      <c r="AB48" s="18">
        <f>SUM(AB15+AB16+AB17+AB18+AB19) * 'Data Sources'!$C$96</f>
        <v>0</v>
      </c>
      <c r="AC48" s="18">
        <f>SUM(AC15+AC16+AC17+AC18+AC19) * 'Data Sources'!$C$96</f>
        <v>0</v>
      </c>
      <c r="AD48" s="18">
        <f>SUM(AD15+AD16+AD17+AD18+AD19) * 'Data Sources'!$C$96</f>
        <v>0</v>
      </c>
      <c r="AE48" s="18">
        <f>SUM(AE15+AE16+AE17+AE18+AE19) * 'Data Sources'!$C$96</f>
        <v>0</v>
      </c>
      <c r="AF48" s="18">
        <f>SUM(AF15+AF16+AF17+AF18+AF19) * 'Data Sources'!$C$96</f>
        <v>0</v>
      </c>
      <c r="AG48" s="18">
        <f>SUM(AG15+AG16+AG17+AG18+AG19) * 'Data Sources'!$C$96</f>
        <v>0</v>
      </c>
      <c r="AH48" s="18">
        <f>SUM(AH15+AH16+AH17+AH18+AH19) * 'Data Sources'!$C$96</f>
        <v>0</v>
      </c>
      <c r="AI48" s="18">
        <f>SUM(AI15+AI16+AI17+AI18+AI19) * 'Data Sources'!$C$96</f>
        <v>0</v>
      </c>
      <c r="AJ48" s="18">
        <f>SUM(AJ15+AJ16+AJ17+AJ18+AJ19) * 'Data Sources'!$C$96</f>
        <v>0</v>
      </c>
      <c r="AK48" s="18">
        <f>SUM(AK15+AK16+AK17+AK18+AK19) * 'Data Sources'!$C$96</f>
        <v>0</v>
      </c>
      <c r="AL48" s="18">
        <f>SUM(AL15+AL16+AL17+AL18+AL19) * 'Data Sources'!$C$96</f>
        <v>0</v>
      </c>
      <c r="AM48" s="18">
        <f>SUM(AM15+AM16+AM17+AM18+AM19) * 'Data Sources'!$C$96</f>
        <v>0</v>
      </c>
      <c r="AN48" s="18">
        <f>SUM(AN15+AN16+AN17+AN18+AN19) * 'Data Sources'!$C$96</f>
        <v>0</v>
      </c>
      <c r="AO48" s="18">
        <f>SUM(AO15+AO16+AO17+AO18+AO19) * 'Data Sources'!$C$96</f>
        <v>0</v>
      </c>
      <c r="AP48" s="18">
        <f>SUM(AP15+AP16+AP17+AP18+AP19) * 'Data Sources'!$C$96</f>
        <v>0</v>
      </c>
      <c r="AQ48" s="18">
        <f>SUM(AQ15+AQ16+AQ17+AQ18+AQ19) * 'Data Sources'!$C$96</f>
        <v>0</v>
      </c>
      <c r="AR48" s="18">
        <f>SUM(AR15+AR16+AR17+AR18+AR19) * 'Data Sources'!$C$96</f>
        <v>0</v>
      </c>
      <c r="AS48" s="18">
        <f>SUM(AS15+AS16+AS17+AS18+AS19) * 'Data Sources'!$C$96</f>
        <v>0</v>
      </c>
      <c r="AT48" s="18">
        <f>SUM(AT15+AT16+AT17+AT18+AT19) * 'Data Sources'!$C$96</f>
        <v>0</v>
      </c>
      <c r="AU48" s="18">
        <f>SUM(AU15+AU16+AU17+AU18+AU19) * 'Data Sources'!$C$96</f>
        <v>0</v>
      </c>
      <c r="AV48" s="18">
        <f>SUM(AV15+AV16+AV17+AV18+AV19) * 'Data Sources'!$C$96</f>
        <v>0</v>
      </c>
      <c r="AW48" s="18">
        <f>SUM(AW15+AW16+AW17+AW18+AW19) * 'Data Sources'!$C$96</f>
        <v>0</v>
      </c>
      <c r="AX48" s="18">
        <f>SUM(AX15+AX16+AX17+AX18+AX19) * 'Data Sources'!$C$96</f>
        <v>0</v>
      </c>
      <c r="AY48" s="18">
        <f>SUM(AY15+AY16+AY17+AY18+AY19) * 'Data Sources'!$C$96</f>
        <v>0</v>
      </c>
      <c r="AZ48" s="18">
        <f>SUM(AZ15+AZ16+AZ17+AZ18+AZ19) * 'Data Sources'!$C$96</f>
        <v>0</v>
      </c>
      <c r="BA48" s="18">
        <f>SUM(BA15+BA16+BA17+BA18+BA19) * 'Data Sources'!$C$96</f>
        <v>0</v>
      </c>
      <c r="BB48" s="18">
        <f>SUM(BB15+BB16+BB17+BB18+BB19) * 'Data Sources'!$C$96</f>
        <v>0</v>
      </c>
      <c r="BC48" s="18">
        <f>SUM(BC15+BC16+BC17+BC18+BC19) * 'Data Sources'!$C$96</f>
        <v>0</v>
      </c>
      <c r="BD48" s="18">
        <f>SUM(BD15+BD16+BD17+BD18+BD19) * 'Data Sources'!$C$96</f>
        <v>0</v>
      </c>
      <c r="BE48" s="18">
        <f>SUM(BE15+BE16+BE17+BE18+BE19) * 'Data Sources'!$C$96</f>
        <v>0</v>
      </c>
      <c r="BF48" s="18">
        <f>SUM(BF15+BF16+BF17+BF18+BF19) * 'Data Sources'!$C$96</f>
        <v>0</v>
      </c>
      <c r="BG48" s="18">
        <f>SUM(BG15+BG16+BG17+BG18+BG19) * 'Data Sources'!$C$96</f>
        <v>0</v>
      </c>
      <c r="BH48" s="18">
        <f>SUM(BH15+BH16+BH17+BH18+BH19) * 'Data Sources'!$C$96</f>
        <v>0</v>
      </c>
      <c r="BI48" s="18">
        <f>SUM(BI15+BI16+BI17+BI18+BI19) * 'Data Sources'!$C$96</f>
        <v>0</v>
      </c>
      <c r="BJ48" s="18">
        <f>SUM(BJ15+BJ16+BJ17+BJ18+BJ19) * 'Data Sources'!$C$96</f>
        <v>0</v>
      </c>
      <c r="BK48" s="18">
        <f>SUM(BK15+BK16+BK17+BK18+BK19) * 'Data Sources'!$C$96</f>
        <v>0</v>
      </c>
      <c r="BL48" s="18">
        <f>SUM(BL15+BL16+BL17+BL18+BL19) * 'Data Sources'!$C$96</f>
        <v>0</v>
      </c>
      <c r="BM48" s="18">
        <f>SUM(BM15+BM16+BM17+BM18+BM19) * 'Data Sources'!$C$96</f>
        <v>0</v>
      </c>
      <c r="BN48" s="18">
        <f>SUM(BN15+BN16+BN17+BN18+BN19) * 'Data Sources'!$C$96</f>
        <v>0</v>
      </c>
      <c r="BO48" s="18">
        <f>SUM(BO15+BO16+BO17+BO18+BO19) * 'Data Sources'!$C$96</f>
        <v>0</v>
      </c>
      <c r="BP48" s="18">
        <f>SUM(BP15+BP16+BP17+BP18+BP19) * 'Data Sources'!$C$96</f>
        <v>0</v>
      </c>
      <c r="BQ48" s="18">
        <f>SUM(BQ15+BQ16+BQ17+BQ18+BQ19) * 'Data Sources'!$C$96</f>
        <v>0</v>
      </c>
      <c r="BR48" s="18">
        <f>SUM(BR15+BR16+BR17+BR18+BR19) * 'Data Sources'!$C$96</f>
        <v>0</v>
      </c>
      <c r="BS48" s="18">
        <f>SUM(BS15+BS16+BS17+BS18+BS19) * 'Data Sources'!$C$96</f>
        <v>0</v>
      </c>
      <c r="BT48" s="18">
        <f>SUM(BT15+BT16+BT17+BT18+BT19) * 'Data Sources'!$C$96</f>
        <v>0</v>
      </c>
      <c r="BU48" s="18">
        <f>SUM(BU15+BU16+BU17+BU18+BU19) * 'Data Sources'!$C$96</f>
        <v>0</v>
      </c>
      <c r="BV48" s="18">
        <f>SUM(BV15+BV16+BV17+BV18+BV19) * 'Data Sources'!$C$96</f>
        <v>0</v>
      </c>
      <c r="BW48" s="18">
        <f>SUM(BW15+BW16+BW17+BW18+BW19) * 'Data Sources'!$C$96</f>
        <v>0</v>
      </c>
      <c r="BX48" s="18">
        <f>SUM(BX15+BX16+BX17+BX18+BX19) * 'Data Sources'!$C$96</f>
        <v>0</v>
      </c>
      <c r="BY48" s="18">
        <f>SUM(BY15+BY16+BY17+BY18+BY19) * 'Data Sources'!$C$96</f>
        <v>0</v>
      </c>
      <c r="BZ48" s="18">
        <f>SUM(BZ15+BZ16+BZ17+BZ18+BZ19) * 'Data Sources'!$C$96</f>
        <v>0</v>
      </c>
      <c r="CA48" s="18">
        <f>SUM(CA15+CA16+CA17+CA18+CA19) * 'Data Sources'!$C$96</f>
        <v>0</v>
      </c>
      <c r="CB48" s="18">
        <f>SUM(CB15+CB16+CB17+CB18+CB19) * 'Data Sources'!$C$96</f>
        <v>0</v>
      </c>
      <c r="CC48" s="18">
        <f>SUM(CC15+CC16+CC17+CC18+CC19) * 'Data Sources'!$C$96</f>
        <v>0</v>
      </c>
      <c r="CD48" s="18">
        <f>SUM(CD15+CD16+CD17+CD18+CD19) * 'Data Sources'!$C$96</f>
        <v>0</v>
      </c>
      <c r="CE48" s="18">
        <f>SUM(CE15+CE16+CE17+CE18+CE19) * 'Data Sources'!$C$96</f>
        <v>0</v>
      </c>
      <c r="CF48" s="18">
        <f>SUM(CF15+CF16+CF17+CF18+CF19) * 'Data Sources'!$C$96</f>
        <v>0</v>
      </c>
      <c r="CG48" s="18">
        <f>SUM(CG15+CG16+CG17+CG18+CG19) * 'Data Sources'!$C$96</f>
        <v>0</v>
      </c>
      <c r="CH48" s="18">
        <f>SUM(CH15+CH16+CH17+CH18+CH19) * 'Data Sources'!$C$96</f>
        <v>0</v>
      </c>
      <c r="CI48" s="18">
        <f>SUM(CI15+CI16+CI17+CI18+CI19) * 'Data Sources'!$C$96</f>
        <v>0</v>
      </c>
      <c r="CJ48" s="18">
        <f>SUM(CJ15+CJ16+CJ17+CJ18+CJ19) * 'Data Sources'!$C$96</f>
        <v>0</v>
      </c>
      <c r="CK48" s="18">
        <f>SUM(CK15+CK16+CK17+CK18+CK19) * 'Data Sources'!$C$96</f>
        <v>0</v>
      </c>
      <c r="CL48" s="18">
        <f>SUM(CL15+CL16+CL17+CL18+CL19) * 'Data Sources'!$C$96</f>
        <v>0</v>
      </c>
      <c r="CM48" s="18">
        <f>SUM(CM15+CM16+CM17+CM18+CM19) * 'Data Sources'!$C$96</f>
        <v>0</v>
      </c>
      <c r="CN48" s="18">
        <f>SUM(CN15+CN16+CN17+CN18+CN19) * 'Data Sources'!$C$96</f>
        <v>0</v>
      </c>
      <c r="CO48" s="18">
        <f>SUM(CO15+CO16+CO17+CO18+CO19) * 'Data Sources'!$C$96</f>
        <v>0</v>
      </c>
      <c r="CP48" s="18">
        <f>SUM(CP15+CP16+CP17+CP18+CP19) * 'Data Sources'!$C$96</f>
        <v>0</v>
      </c>
      <c r="CQ48" s="18">
        <f>SUM(CQ15+CQ16+CQ17+CQ18+CQ19) * 'Data Sources'!$C$96</f>
        <v>0</v>
      </c>
      <c r="CR48" s="18">
        <f>SUM(CR15+CR16+CR17+CR18+CR19) * 'Data Sources'!$C$96</f>
        <v>0</v>
      </c>
      <c r="CS48" s="18">
        <f>SUM(CS15+CS16+CS17+CS18+CS19) * 'Data Sources'!$C$96</f>
        <v>0</v>
      </c>
      <c r="CT48" s="18">
        <f>SUM(CT15+CT16+CT17+CT18+CT19) * 'Data Sources'!$C$96</f>
        <v>0</v>
      </c>
      <c r="CU48" s="18">
        <f>SUM(CU15+CU16+CU17+CU18+CU19) * 'Data Sources'!$C$96</f>
        <v>0</v>
      </c>
      <c r="CV48" s="18">
        <f>SUM(CV15+CV16+CV17+CV18+CV19) * 'Data Sources'!$C$96</f>
        <v>0</v>
      </c>
      <c r="CW48" s="18">
        <f>SUM(CW15+CW16+CW17+CW18+CW19) * 'Data Sources'!$C$96</f>
        <v>0</v>
      </c>
      <c r="CX48" s="18">
        <f>SUM(CX15+CX16+CX17+CX18+CX19) * 'Data Sources'!$C$96</f>
        <v>0</v>
      </c>
      <c r="CY48" s="18">
        <f>SUM(CY15+CY16+CY17+CY18+CY19) * 'Data Sources'!$C$96</f>
        <v>0</v>
      </c>
      <c r="CZ48" s="18">
        <f>SUM(CZ15+CZ16+CZ17+CZ18+CZ19) * 'Data Sources'!$C$96</f>
        <v>0</v>
      </c>
      <c r="DA48" s="18">
        <f>SUM(DA15+DA16+DA17+DA18+DA19) * 'Data Sources'!$C$96</f>
        <v>0</v>
      </c>
      <c r="DB48" s="18">
        <f>SUM(DB15+DB16+DB17+DB18+DB19) * 'Data Sources'!$C$96</f>
        <v>0</v>
      </c>
      <c r="DC48" s="18">
        <f>SUM(DC15+DC16+DC17+DC18+DC19) * 'Data Sources'!$C$96</f>
        <v>0</v>
      </c>
      <c r="DD48" s="18">
        <f>SUM(DD15+DD16+DD17+DD18+DD19) * 'Data Sources'!$C$96</f>
        <v>0</v>
      </c>
      <c r="DE48" s="18">
        <f>SUM(DE15+DE16+DE17+DE18+DE19) * 'Data Sources'!$C$96</f>
        <v>0</v>
      </c>
      <c r="DF48" s="18">
        <f>SUM(DF15+DF16+DF17+DF18+DF19) * 'Data Sources'!$C$96</f>
        <v>0</v>
      </c>
      <c r="DG48" s="18">
        <f>SUM(DG15+DG16+DG17+DG18+DG19) * 'Data Sources'!$C$96</f>
        <v>0</v>
      </c>
      <c r="DH48" s="18">
        <f>SUM(DH15+DH16+DH17+DH18+DH19) * 'Data Sources'!$C$96</f>
        <v>0</v>
      </c>
      <c r="DI48" s="18">
        <f>SUM(DI15+DI16+DI17+DI18+DI19) * 'Data Sources'!$C$96</f>
        <v>0</v>
      </c>
      <c r="DJ48" s="18">
        <f>SUM(DJ15+DJ16+DJ17+DJ18+DJ19) * 'Data Sources'!$C$96</f>
        <v>0</v>
      </c>
      <c r="DK48" s="18">
        <f>SUM(DK15+DK16+DK17+DK18+DK19) * 'Data Sources'!$C$96</f>
        <v>0</v>
      </c>
      <c r="DL48" s="18">
        <f>SUM(DL15+DL16+DL17+DL18+DL19) * 'Data Sources'!$C$96</f>
        <v>0</v>
      </c>
      <c r="DM48" s="18">
        <f>SUM(DM15+DM16+DM17+DM18+DM19) * 'Data Sources'!$C$96</f>
        <v>0</v>
      </c>
      <c r="DN48" s="18">
        <f>SUM(DN15+DN16+DN17+DN18+DN19) * 'Data Sources'!$C$96</f>
        <v>0</v>
      </c>
      <c r="DO48" s="18">
        <f>SUM(DO15+DO16+DO17+DO18+DO19) * 'Data Sources'!$C$96</f>
        <v>0</v>
      </c>
      <c r="DP48" s="18">
        <f>SUM(DP15+DP16+DP17+DP18+DP19) * 'Data Sources'!$C$96</f>
        <v>0</v>
      </c>
      <c r="DQ48" s="18">
        <f>SUM(DQ15+DQ16+DQ17+DQ18+DQ19) * 'Data Sources'!$C$96</f>
        <v>0</v>
      </c>
      <c r="DR48" s="18">
        <f>SUM(DR15+DR16+DR17+DR18+DR19) * 'Data Sources'!$C$96</f>
        <v>0</v>
      </c>
      <c r="DS48" s="18">
        <f>SUM(DS15+DS16+DS17+DS18+DS19) * 'Data Sources'!$C$96</f>
        <v>0</v>
      </c>
      <c r="DT48" s="18">
        <f>SUM(DT15+DT16+DT17+DT18+DT19) * 'Data Sources'!$C$96</f>
        <v>0</v>
      </c>
      <c r="DU48" s="18">
        <f>SUM(DU15+DU16+DU17+DU18+DU19) * 'Data Sources'!$C$96</f>
        <v>0</v>
      </c>
      <c r="DV48" s="18">
        <f>SUM(DV15+DV16+DV17+DV18+DV19) * 'Data Sources'!$C$96</f>
        <v>0</v>
      </c>
      <c r="DW48" s="18">
        <f>SUM(DW15+DW16+DW17+DW18+DW19) * 'Data Sources'!$C$96</f>
        <v>0</v>
      </c>
      <c r="DX48" s="18">
        <f>SUM(DX15+DX16+DX17+DX18+DX19) * 'Data Sources'!$C$96</f>
        <v>0</v>
      </c>
      <c r="DY48" s="18">
        <f>SUM(DY15+DY16+DY17+DY18+DY19) * 'Data Sources'!$C$96</f>
        <v>0</v>
      </c>
      <c r="DZ48" s="18">
        <f>SUM(DZ15+DZ16+DZ17+DZ18+DZ19) * 'Data Sources'!$C$96</f>
        <v>0</v>
      </c>
      <c r="EA48" s="18">
        <f>SUM(EA15+EA16+EA17+EA18+EA19) * 'Data Sources'!$C$96</f>
        <v>0</v>
      </c>
      <c r="EB48" s="18">
        <f>SUM(EB15+EB16+EB17+EB18+EB19) * 'Data Sources'!$C$96</f>
        <v>0</v>
      </c>
      <c r="EC48" s="18">
        <f>SUM(EC15+EC16+EC17+EC18+EC19) * 'Data Sources'!$C$96</f>
        <v>0</v>
      </c>
      <c r="ED48" s="18">
        <f>SUM(ED15+ED16+ED17+ED18+ED19) * 'Data Sources'!$C$96</f>
        <v>0</v>
      </c>
      <c r="EE48" s="18">
        <f>SUM(EE15+EE16+EE17+EE18+EE19) * 'Data Sources'!$C$96</f>
        <v>0</v>
      </c>
      <c r="EF48" s="18">
        <f>SUM(EF15+EF16+EF17+EF18+EF19) * 'Data Sources'!$C$96</f>
        <v>0</v>
      </c>
      <c r="EG48" s="18">
        <f>SUM(EG15+EG16+EG17+EG18+EG19) * 'Data Sources'!$C$96</f>
        <v>0</v>
      </c>
      <c r="EH48" s="18">
        <f>SUM(EH15+EH16+EH17+EH18+EH19) * 'Data Sources'!$C$96</f>
        <v>0</v>
      </c>
      <c r="EI48" s="18">
        <f>SUM(EI15+EI16+EI17+EI18+EI19) * 'Data Sources'!$C$96</f>
        <v>0</v>
      </c>
      <c r="EJ48" s="18">
        <f>SUM(EJ15+EJ16+EJ17+EJ18+EJ19) * 'Data Sources'!$C$96</f>
        <v>0</v>
      </c>
      <c r="EK48" s="18">
        <f>SUM(EK15+EK16+EK17+EK18+EK19) * 'Data Sources'!$C$96</f>
        <v>0</v>
      </c>
      <c r="EL48" s="18">
        <f>SUM(EL15+EL16+EL17+EL18+EL19) * 'Data Sources'!$C$96</f>
        <v>0</v>
      </c>
      <c r="EM48" s="18">
        <f>SUM(EM15+EM16+EM17+EM18+EM19) * 'Data Sources'!$C$96</f>
        <v>0</v>
      </c>
      <c r="EN48" s="18">
        <f>SUM(EN15+EN16+EN17+EN18+EN19) * 'Data Sources'!$C$96</f>
        <v>0</v>
      </c>
      <c r="EO48" s="18">
        <f>SUM(EO15+EO16+EO17+EO18+EO19) * 'Data Sources'!$C$96</f>
        <v>0</v>
      </c>
      <c r="EP48" s="18">
        <f>SUM(EP15+EP16+EP17+EP18+EP19) * 'Data Sources'!$C$96</f>
        <v>0</v>
      </c>
      <c r="EQ48" s="18">
        <f>SUM(EQ15+EQ16+EQ17+EQ18+EQ19) * 'Data Sources'!$C$96</f>
        <v>0</v>
      </c>
      <c r="ER48" s="18">
        <f>SUM(ER15+ER16+ER17+ER18+ER19) * 'Data Sources'!$C$96</f>
        <v>0</v>
      </c>
      <c r="ES48" s="18">
        <f>SUM(ES15+ES16+ES17+ES18+ES19) * 'Data Sources'!$C$96</f>
        <v>0</v>
      </c>
      <c r="ET48" s="18">
        <f>SUM(ET15+ET16+ET17+ET18+ET19) * 'Data Sources'!$C$96</f>
        <v>0</v>
      </c>
      <c r="EU48" s="18">
        <f>SUM(EU15+EU16+EU17+EU18+EU19) * 'Data Sources'!$C$96</f>
        <v>0</v>
      </c>
      <c r="EV48" s="18">
        <f>SUM(EV15+EV16+EV17+EV18+EV19) * 'Data Sources'!$C$96</f>
        <v>0</v>
      </c>
      <c r="EW48" s="18">
        <f>SUM(EW15+EW16+EW17+EW18+EW19) * 'Data Sources'!$C$96</f>
        <v>0</v>
      </c>
      <c r="EX48" s="18">
        <f>SUM(EX15+EX16+EX17+EX18+EX19) * 'Data Sources'!$C$96</f>
        <v>0</v>
      </c>
      <c r="EY48" s="18">
        <f>SUM(EY15+EY16+EY17+EY18+EY19) * 'Data Sources'!$C$96</f>
        <v>0</v>
      </c>
      <c r="EZ48" s="18">
        <f>SUM(EZ15+EZ16+EZ17+EZ18+EZ19) * 'Data Sources'!$C$96</f>
        <v>0</v>
      </c>
      <c r="FA48" s="18">
        <f>SUM(FA15+FA16+FA17+FA18+FA19) * 'Data Sources'!$C$96</f>
        <v>0</v>
      </c>
      <c r="FB48" s="18">
        <f>SUM(FB15+FB16+FB17+FB18+FB19) * 'Data Sources'!$C$96</f>
        <v>0</v>
      </c>
      <c r="FC48" s="18">
        <f>SUM(FC15+FC16+FC17+FC18+FC19) * 'Data Sources'!$C$96</f>
        <v>0</v>
      </c>
      <c r="FD48" s="18">
        <f>SUM(FD15+FD16+FD17+FD18+FD19) * 'Data Sources'!$C$96</f>
        <v>0</v>
      </c>
      <c r="FE48" s="18">
        <f>SUM(FE15+FE16+FE17+FE18+FE19) * 'Data Sources'!$C$96</f>
        <v>0</v>
      </c>
      <c r="FF48" s="18">
        <f>SUM(FF15+FF16+FF17+FF18+FF19) * 'Data Sources'!$C$96</f>
        <v>0</v>
      </c>
      <c r="FG48" s="18">
        <f>SUM(FG15+FG16+FG17+FG18+FG19) * 'Data Sources'!$C$96</f>
        <v>0</v>
      </c>
      <c r="FH48" s="18">
        <f>SUM(FH15+FH16+FH17+FH18+FH19) * 'Data Sources'!$C$96</f>
        <v>0</v>
      </c>
      <c r="FI48" s="18">
        <f>SUM(FI15+FI16+FI17+FI18+FI19) * 'Data Sources'!$C$96</f>
        <v>0</v>
      </c>
      <c r="FJ48" s="18">
        <f>SUM(FJ15+FJ16+FJ17+FJ18+FJ19) * 'Data Sources'!$C$96</f>
        <v>0</v>
      </c>
      <c r="FK48" s="18">
        <f>SUM(FK15+FK16+FK17+FK18+FK19) * 'Data Sources'!$C$96</f>
        <v>0</v>
      </c>
      <c r="FL48" s="18">
        <f>SUM(FL15+FL16+FL17+FL18+FL19) * 'Data Sources'!$C$96</f>
        <v>0</v>
      </c>
      <c r="FM48" s="18">
        <f>SUM(FM15+FM16+FM17+FM18+FM19) * 'Data Sources'!$C$96</f>
        <v>0</v>
      </c>
      <c r="FN48" s="18">
        <f>SUM(FN15+FN16+FN17+FN18+FN19) * 'Data Sources'!$C$96</f>
        <v>0</v>
      </c>
      <c r="FO48" s="18">
        <f>SUM(FO15+FO16+FO17+FO18+FO19) * 'Data Sources'!$C$96</f>
        <v>0</v>
      </c>
      <c r="FP48" s="18">
        <f>SUM(FP15+FP16+FP17+FP18+FP19) * 'Data Sources'!$C$96</f>
        <v>0</v>
      </c>
      <c r="FQ48" s="18">
        <f>SUM(FQ15+FQ16+FQ17+FQ18+FQ19) * 'Data Sources'!$C$96</f>
        <v>0</v>
      </c>
      <c r="FR48" s="18">
        <f>SUM(FR15+FR16+FR17+FR18+FR19) * 'Data Sources'!$C$96</f>
        <v>0</v>
      </c>
      <c r="FS48" s="18">
        <f>SUM(FS15+FS16+FS17+FS18+FS19) * 'Data Sources'!$C$96</f>
        <v>0</v>
      </c>
      <c r="FT48" s="18">
        <f>SUM(FT15+FT16+FT17+FT18+FT19) * 'Data Sources'!$C$96</f>
        <v>0</v>
      </c>
      <c r="FU48" s="18">
        <f>SUM(FU15+FU16+FU17+FU18+FU19) * 'Data Sources'!$C$96</f>
        <v>0</v>
      </c>
      <c r="FV48" s="18">
        <f>SUM(FV15+FV16+FV17+FV18+FV19) * 'Data Sources'!$C$96</f>
        <v>0</v>
      </c>
      <c r="FW48" s="18">
        <f>SUM(FW15+FW16+FW17+FW18+FW19) * 'Data Sources'!$C$96</f>
        <v>0</v>
      </c>
      <c r="FX48" s="18">
        <f>SUM(FX15+FX16+FX17+FX18+FX19) * 'Data Sources'!$C$96</f>
        <v>0</v>
      </c>
      <c r="FY48" s="18">
        <f>SUM(FY15+FY16+FY17+FY18+FY19) * 'Data Sources'!$C$96</f>
        <v>0</v>
      </c>
      <c r="FZ48" s="18">
        <f>SUM(FZ15+FZ16+FZ17+FZ18+FZ19) * 'Data Sources'!$C$96</f>
        <v>0</v>
      </c>
      <c r="GA48" s="18">
        <f>SUM(GA15+GA16+GA17+GA18+GA19) * 'Data Sources'!$C$96</f>
        <v>0</v>
      </c>
      <c r="GB48" s="18">
        <f>SUM(GB15+GB16+GB17+GB18+GB19) * 'Data Sources'!$C$96</f>
        <v>0</v>
      </c>
      <c r="GC48" s="18">
        <f>SUM(GC15+GC16+GC17+GC18+GC19) * 'Data Sources'!$C$96</f>
        <v>0</v>
      </c>
      <c r="GD48" s="18">
        <f>SUM(GD15+GD16+GD17+GD18+GD19) * 'Data Sources'!$C$96</f>
        <v>0</v>
      </c>
      <c r="GE48" s="18">
        <f>SUM(GE15+GE16+GE17+GE18+GE19) * 'Data Sources'!$C$96</f>
        <v>0</v>
      </c>
      <c r="GF48" s="18">
        <f>SUM(GF15+GF16+GF17+GF18+GF19) * 'Data Sources'!$C$96</f>
        <v>0</v>
      </c>
      <c r="GG48" s="18">
        <f>SUM(GG15+GG16+GG17+GG18+GG19) * 'Data Sources'!$C$96</f>
        <v>0</v>
      </c>
      <c r="GH48" s="18">
        <f>SUM(GH15+GH16+GH17+GH18+GH19) * 'Data Sources'!$C$96</f>
        <v>0</v>
      </c>
      <c r="GI48" s="18">
        <f>SUM(GI15+GI16+GI17+GI18+GI19) * 'Data Sources'!$C$96</f>
        <v>0</v>
      </c>
      <c r="GJ48" s="18">
        <f>SUM(GJ15+GJ16+GJ17+GJ18+GJ19) * 'Data Sources'!$C$96</f>
        <v>0</v>
      </c>
      <c r="GK48" s="18">
        <f>SUM(GK15+GK16+GK17+GK18+GK19) * 'Data Sources'!$C$96</f>
        <v>0</v>
      </c>
      <c r="GL48" s="18">
        <f>SUM(GL15+GL16+GL17+GL18+GL19) * 'Data Sources'!$C$96</f>
        <v>0</v>
      </c>
      <c r="GM48" s="18">
        <f>SUM(GM15+GM16+GM17+GM18+GM19) * 'Data Sources'!$C$96</f>
        <v>0</v>
      </c>
      <c r="GN48" s="18">
        <f>SUM(GN15+GN16+GN17+GN18+GN19) * 'Data Sources'!$C$96</f>
        <v>0</v>
      </c>
      <c r="GO48" s="18">
        <f>SUM(GO15+GO16+GO17+GO18+GO19) * 'Data Sources'!$C$96</f>
        <v>0</v>
      </c>
      <c r="GP48" s="18">
        <f>SUM(GP15+GP16+GP17+GP18+GP19) * 'Data Sources'!$C$96</f>
        <v>0</v>
      </c>
      <c r="GQ48" s="18">
        <f>SUM(GQ15+GQ16+GQ17+GQ18+GQ19) * 'Data Sources'!$C$96</f>
        <v>0</v>
      </c>
      <c r="GR48" s="18">
        <f>SUM(GR15+GR16+GR17+GR18+GR19) * 'Data Sources'!$C$96</f>
        <v>0</v>
      </c>
      <c r="GS48" s="18">
        <f>SUM(GS15+GS16+GS17+GS18+GS19) * 'Data Sources'!$C$96</f>
        <v>0</v>
      </c>
      <c r="GT48" s="18">
        <f>SUM(GT15+GT16+GT17+GT18+GT19) * 'Data Sources'!$C$96</f>
        <v>0</v>
      </c>
      <c r="GU48" s="18">
        <f>SUM(GU15+GU16+GU17+GU18+GU19) * 'Data Sources'!$C$96</f>
        <v>0</v>
      </c>
      <c r="GV48" s="18">
        <f>SUM(GV15+GV16+GV17+GV18+GV19) * 'Data Sources'!$C$96</f>
        <v>0</v>
      </c>
      <c r="GW48" s="18">
        <f>SUM(GW15+GW16+GW17+GW18+GW19) * 'Data Sources'!$C$96</f>
        <v>0</v>
      </c>
      <c r="GX48" s="18">
        <f>SUM(GX15+GX16+GX17+GX18+GX19) * 'Data Sources'!$C$96</f>
        <v>0</v>
      </c>
      <c r="GY48" s="18">
        <f>SUM(GY15+GY16+GY17+GY18+GY19) * 'Data Sources'!$C$96</f>
        <v>0</v>
      </c>
      <c r="GZ48" s="18">
        <f>SUM(GZ15+GZ16+GZ17+GZ18+GZ19) * 'Data Sources'!$C$96</f>
        <v>0</v>
      </c>
      <c r="HA48" s="18">
        <f>SUM(HA15+HA16+HA17+HA18+HA19) * 'Data Sources'!$C$96</f>
        <v>0</v>
      </c>
      <c r="HB48" s="18">
        <f>SUM(HB15+HB16+HB17+HB18+HB19) * 'Data Sources'!$C$96</f>
        <v>0</v>
      </c>
      <c r="HC48" s="18">
        <f>SUM(HC15+HC16+HC17+HC18+HC19) * 'Data Sources'!$C$96</f>
        <v>0</v>
      </c>
      <c r="HD48" s="18">
        <f>SUM(HD15+HD16+HD17+HD18+HD19) * 'Data Sources'!$C$96</f>
        <v>0</v>
      </c>
      <c r="HE48" s="18">
        <f>SUM(HE15+HE16+HE17+HE18+HE19) * 'Data Sources'!$C$96</f>
        <v>0</v>
      </c>
      <c r="HF48" s="18">
        <f>SUM(HF15+HF16+HF17+HF18+HF19) * 'Data Sources'!$C$96</f>
        <v>0</v>
      </c>
      <c r="HG48" s="18">
        <f>SUM(HG15+HG16+HG17+HG18+HG19) * 'Data Sources'!$C$96</f>
        <v>0</v>
      </c>
      <c r="HH48" s="18">
        <f>SUM(HH15+HH16+HH17+HH18+HH19) * 'Data Sources'!$C$96</f>
        <v>0</v>
      </c>
      <c r="HI48" s="18">
        <f>SUM(HI15+HI16+HI17+HI18+HI19) * 'Data Sources'!$C$96</f>
        <v>0</v>
      </c>
      <c r="HJ48" s="18">
        <f>SUM(HJ15+HJ16+HJ17+HJ18+HJ19) * 'Data Sources'!$C$96</f>
        <v>0</v>
      </c>
      <c r="HK48" s="18">
        <f>SUM(HK15+HK16+HK17+HK18+HK19) * 'Data Sources'!$C$96</f>
        <v>0</v>
      </c>
      <c r="HL48" s="18">
        <f>SUM(HL15+HL16+HL17+HL18+HL19) * 'Data Sources'!$C$96</f>
        <v>0</v>
      </c>
      <c r="HM48" s="18">
        <f>SUM(HM15+HM16+HM17+HM18+HM19) * 'Data Sources'!$C$96</f>
        <v>0</v>
      </c>
      <c r="HN48" s="18">
        <f>SUM(HN15+HN16+HN17+HN18+HN19) * 'Data Sources'!$C$96</f>
        <v>0</v>
      </c>
      <c r="HO48" s="18">
        <f>SUM(HO15+HO16+HO17+HO18+HO19) * 'Data Sources'!$C$96</f>
        <v>0</v>
      </c>
      <c r="HP48" s="18">
        <f>SUM(HP15+HP16+HP17+HP18+HP19) * 'Data Sources'!$C$96</f>
        <v>0</v>
      </c>
      <c r="HQ48" s="18">
        <f>SUM(HQ15+HQ16+HQ17+HQ18+HQ19) * 'Data Sources'!$C$96</f>
        <v>0</v>
      </c>
      <c r="HR48" s="18">
        <f>SUM(HR15+HR16+HR17+HR18+HR19) * 'Data Sources'!$C$96</f>
        <v>0</v>
      </c>
      <c r="HS48" s="18">
        <f>SUM(HS15+HS16+HS17+HS18+HS19) * 'Data Sources'!$C$96</f>
        <v>0</v>
      </c>
      <c r="HT48" s="18">
        <f>SUM(HT15+HT16+HT17+HT18+HT19) * 'Data Sources'!$C$96</f>
        <v>0</v>
      </c>
      <c r="HU48" s="18">
        <f>SUM(HU15+HU16+HU17+HU18+HU19) * 'Data Sources'!$C$96</f>
        <v>0</v>
      </c>
      <c r="HV48" s="18">
        <f>SUM(HV15+HV16+HV17+HV18+HV19) * 'Data Sources'!$C$96</f>
        <v>0</v>
      </c>
      <c r="HW48" s="18">
        <f>SUM(HW15+HW16+HW17+HW18+HW19) * 'Data Sources'!$C$96</f>
        <v>0</v>
      </c>
      <c r="HX48" s="18">
        <f>SUM(HX15+HX16+HX17+HX18+HX19) * 'Data Sources'!$C$96</f>
        <v>0</v>
      </c>
      <c r="HY48" s="18">
        <f>SUM(HY15+HY16+HY17+HY18+HY19) * 'Data Sources'!$C$96</f>
        <v>0</v>
      </c>
      <c r="HZ48" s="18">
        <f>SUM(HZ15+HZ16+HZ17+HZ18+HZ19) * 'Data Sources'!$C$96</f>
        <v>0</v>
      </c>
      <c r="IA48" s="18">
        <f>SUM(IA15+IA16+IA17+IA18+IA19) * 'Data Sources'!$C$96</f>
        <v>0</v>
      </c>
      <c r="IB48" s="18">
        <f>SUM(IB15+IB16+IB17+IB18+IB19) * 'Data Sources'!$C$96</f>
        <v>0</v>
      </c>
      <c r="IC48" s="18">
        <f>SUM(IC15+IC16+IC17+IC18+IC19) * 'Data Sources'!$C$96</f>
        <v>0</v>
      </c>
      <c r="ID48" s="18">
        <f>SUM(ID15+ID16+ID17+ID18+ID19) * 'Data Sources'!$C$96</f>
        <v>0</v>
      </c>
      <c r="IE48" s="18">
        <f>SUM(IE15+IE16+IE17+IE18+IE19) * 'Data Sources'!$C$96</f>
        <v>0</v>
      </c>
      <c r="IF48" s="18">
        <f>SUM(IF15+IF16+IF17+IF18+IF19) * 'Data Sources'!$C$96</f>
        <v>0</v>
      </c>
      <c r="IG48" s="18">
        <f>SUM(IG15+IG16+IG17+IG18+IG19) * 'Data Sources'!$C$96</f>
        <v>0</v>
      </c>
      <c r="IH48" s="18">
        <f>SUM(IH15+IH16+IH17+IH18+IH19) * 'Data Sources'!$C$96</f>
        <v>0</v>
      </c>
      <c r="II48" s="18">
        <f>SUM(II15+II16+II17+II18+II19) * 'Data Sources'!$C$96</f>
        <v>0</v>
      </c>
      <c r="IJ48" s="18">
        <f>SUM(IJ15+IJ16+IJ17+IJ18+IJ19) * 'Data Sources'!$C$96</f>
        <v>0</v>
      </c>
      <c r="IK48" s="18">
        <f>SUM(IK15+IK16+IK17+IK18+IK19) * 'Data Sources'!$C$96</f>
        <v>0</v>
      </c>
      <c r="IL48" s="18">
        <f>SUM(IL15+IL16+IL17+IL18+IL19) * 'Data Sources'!$C$96</f>
        <v>0</v>
      </c>
      <c r="IM48" s="18">
        <f>SUM(IM15+IM16+IM17+IM18+IM19) * 'Data Sources'!$C$96</f>
        <v>0</v>
      </c>
      <c r="IN48" s="18">
        <f>SUM(IN15+IN16+IN17+IN18+IN19) * 'Data Sources'!$C$96</f>
        <v>0</v>
      </c>
      <c r="IO48" s="18">
        <f>SUM(IO15+IO16+IO17+IO18+IO19) * 'Data Sources'!$C$96</f>
        <v>0</v>
      </c>
      <c r="IP48" s="18">
        <f>SUM(IP15+IP16+IP17+IP18+IP19) * 'Data Sources'!$C$96</f>
        <v>0</v>
      </c>
      <c r="IQ48" s="18">
        <f>SUM(IQ15+IQ16+IQ17+IQ18+IQ19) * 'Data Sources'!$C$96</f>
        <v>0</v>
      </c>
      <c r="IR48" s="18">
        <f>SUM(IR15+IR16+IR17+IR18+IR19) * 'Data Sources'!$C$96</f>
        <v>0</v>
      </c>
      <c r="IS48" s="18">
        <f>SUM(IS15+IS16+IS17+IS18+IS19) * 'Data Sources'!$C$96</f>
        <v>0</v>
      </c>
      <c r="IT48" s="18">
        <f>SUM(IT15+IT16+IT17+IT18+IT19) * 'Data Sources'!$C$96</f>
        <v>0</v>
      </c>
      <c r="IU48" s="18">
        <f>SUM(IU15+IU16+IU17+IU18+IU19) * 'Data Sources'!$C$96</f>
        <v>0</v>
      </c>
      <c r="IV48" s="18">
        <f>SUM(IV15+IV16+IV17+IV18+IV19) * 'Data Sources'!$C$96</f>
        <v>0</v>
      </c>
      <c r="IW48" s="18">
        <f>SUM(IW15+IW16+IW17+IW18+IW19) * 'Data Sources'!$C$96</f>
        <v>0</v>
      </c>
      <c r="IX48" s="18">
        <f>SUM(IX15+IX16+IX17+IX18+IX19) * 'Data Sources'!$C$96</f>
        <v>0</v>
      </c>
      <c r="IY48" s="18">
        <f>SUM(IY15+IY16+IY17+IY18+IY19) * 'Data Sources'!$C$96</f>
        <v>0</v>
      </c>
      <c r="IZ48" s="18">
        <f>SUM(IZ15+IZ16+IZ17+IZ18+IZ19) * 'Data Sources'!$C$96</f>
        <v>0</v>
      </c>
      <c r="JA48" s="18">
        <f>SUM(JA15+JA16+JA17+JA18+JA19) * 'Data Sources'!$C$96</f>
        <v>0</v>
      </c>
      <c r="JB48" s="18">
        <f>SUM(JB15+JB16+JB17+JB18+JB19) * 'Data Sources'!$C$96</f>
        <v>0</v>
      </c>
      <c r="JC48" s="18">
        <f>SUM(JC15+JC16+JC17+JC18+JC19) * 'Data Sources'!$C$96</f>
        <v>0</v>
      </c>
      <c r="JD48" s="18">
        <f>SUM(JD15+JD16+JD17+JD18+JD19) * 'Data Sources'!$C$96</f>
        <v>0</v>
      </c>
      <c r="JE48" s="18">
        <f>SUM(JE15+JE16+JE17+JE18+JE19) * 'Data Sources'!$C$96</f>
        <v>0</v>
      </c>
      <c r="JF48" s="18">
        <f>SUM(JF15+JF16+JF17+JF18+JF19) * 'Data Sources'!$C$96</f>
        <v>0</v>
      </c>
      <c r="JG48" s="18">
        <f>SUM(JG15+JG16+JG17+JG18+JG19) * 'Data Sources'!$C$96</f>
        <v>0</v>
      </c>
      <c r="JH48" s="18">
        <f>SUM(JH15+JH16+JH17+JH18+JH19) * 'Data Sources'!$C$96</f>
        <v>0</v>
      </c>
      <c r="JI48" s="18">
        <f>SUM(JI15+JI16+JI17+JI18+JI19) * 'Data Sources'!$C$96</f>
        <v>0</v>
      </c>
      <c r="JJ48" s="18">
        <f>SUM(JJ15+JJ16+JJ17+JJ18+JJ19) * 'Data Sources'!$C$96</f>
        <v>0</v>
      </c>
      <c r="JK48" s="18">
        <f>SUM(JK15+JK16+JK17+JK18+JK19) * 'Data Sources'!$C$96</f>
        <v>0</v>
      </c>
      <c r="JL48" s="18">
        <f>SUM(JL15+JL16+JL17+JL18+JL19) * 'Data Sources'!$C$96</f>
        <v>0</v>
      </c>
      <c r="JM48" s="18">
        <f>SUM(JM15+JM16+JM17+JM18+JM19) * 'Data Sources'!$C$96</f>
        <v>0</v>
      </c>
      <c r="JN48" s="18">
        <f>SUM(JN15+JN16+JN17+JN18+JN19) * 'Data Sources'!$C$96</f>
        <v>0</v>
      </c>
      <c r="JO48" s="18">
        <f>SUM(JO15+JO16+JO17+JO18+JO19) * 'Data Sources'!$C$96</f>
        <v>0</v>
      </c>
      <c r="JP48" s="18">
        <f>SUM(JP15+JP16+JP17+JP18+JP19) * 'Data Sources'!$C$96</f>
        <v>0</v>
      </c>
      <c r="JQ48" s="18">
        <f>SUM(JQ15+JQ16+JQ17+JQ18+JQ19) * 'Data Sources'!$C$96</f>
        <v>0</v>
      </c>
      <c r="JR48" s="18">
        <f>SUM(JR15+JR16+JR17+JR18+JR19) * 'Data Sources'!$C$96</f>
        <v>0</v>
      </c>
    </row>
    <row r="49" spans="2:278" x14ac:dyDescent="0.2">
      <c r="B49" s="21" t="str">
        <f>'Data Sources'!A95</f>
        <v>Electricity</v>
      </c>
      <c r="C49" s="18">
        <f>IF(C$1&lt;CapEx!$O$7,0,(VLOOKUP($B49,Inputs!$F$3:$H$17,3,0)*((1+Inputs!$L$3)^Financials!C$3)))</f>
        <v>0</v>
      </c>
      <c r="D49" s="18">
        <f>IF(D$1&lt;CapEx!$O$7,0,(VLOOKUP($B49,Inputs!$F$3:$H$17,3,0)*((1+Inputs!$L$3)^Financials!D$3)))</f>
        <v>0</v>
      </c>
      <c r="E49" s="18">
        <f>IF(E$1&lt;CapEx!$O$7,0,(VLOOKUP($B49,Inputs!$F$3:$H$17,3,0)*((1+Inputs!$L$3)^Financials!E$3)))</f>
        <v>0</v>
      </c>
      <c r="F49" s="18">
        <f>IF(F$1&lt;CapEx!$O$7,0,(VLOOKUP($B49,Inputs!$F$3:$H$17,3,0)*((1+Inputs!$L$3)^Financials!F$3)))</f>
        <v>0</v>
      </c>
      <c r="G49" s="18">
        <f>IF(G$1&lt;CapEx!$O$7,0,(VLOOKUP($B49,Inputs!$F$3:$H$17,3,0)*((1+Inputs!$L$3)^Financials!G$3)))</f>
        <v>0</v>
      </c>
      <c r="H49" s="18">
        <f>IF(H$1&lt;CapEx!$O$7,0,(VLOOKUP($B49,Inputs!$F$3:$H$17,3,0)*((1+Inputs!$L$3)^Financials!H$3)))</f>
        <v>0</v>
      </c>
      <c r="I49" s="18">
        <f>IF(I$1&lt;CapEx!$O$7,0,(VLOOKUP($B49,Inputs!$F$3:$H$17,3,0)*((1+Inputs!$L$3)^Financials!I$3)))</f>
        <v>0</v>
      </c>
      <c r="J49" s="18">
        <f>IF(J$1&lt;CapEx!$O$7,0,(VLOOKUP($B49,Inputs!$F$3:$H$17,3,0)*((1+Inputs!$L$3)^Financials!J$3)))</f>
        <v>0</v>
      </c>
      <c r="K49" s="18">
        <f>IF(K$1&lt;CapEx!$O$7,0,(VLOOKUP($B49,Inputs!$F$3:$H$17,3,0)*((1+Inputs!$L$3)^Financials!K$3)))</f>
        <v>0</v>
      </c>
      <c r="L49" s="18">
        <f>IF(L$1&lt;CapEx!$O$7,0,(VLOOKUP($B49,Inputs!$F$3:$H$17,3,0)*((1+Inputs!$L$3)^Financials!L$3)))</f>
        <v>0</v>
      </c>
      <c r="M49" s="18">
        <f>IF(M$1&lt;CapEx!$O$7,0,(VLOOKUP($B49,Inputs!$F$3:$H$17,3,0)*((1+Inputs!$L$3)^Financials!M$3)))</f>
        <v>0</v>
      </c>
      <c r="N49" s="18">
        <f>IF(N$1&lt;CapEx!$O$7,0,(VLOOKUP($B49,Inputs!$F$3:$H$17,3,0)*((1+Inputs!$L$3)^Financials!N$3)))</f>
        <v>0</v>
      </c>
      <c r="O49" s="18">
        <f>IF(O$1&lt;CapEx!$O$7,0,(VLOOKUP($B49,Inputs!$F$3:$H$17,3,0)*((1+Inputs!$L$3)^Financials!O$3)))</f>
        <v>0</v>
      </c>
      <c r="P49" s="18">
        <f>IF(P$1&lt;CapEx!$O$7,0,(VLOOKUP($B49,Inputs!$F$3:$H$17,3,0)*((1+Inputs!$L$3)^Financials!P$3)))</f>
        <v>0</v>
      </c>
      <c r="Q49" s="18">
        <f>IF(Q$1&lt;CapEx!$O$7,0,(VLOOKUP($B49,Inputs!$F$3:$H$17,3,0)*((1+Inputs!$L$3)^Financials!Q$3)))</f>
        <v>0</v>
      </c>
      <c r="R49" s="18">
        <f>IF(R$1&lt;CapEx!$O$7,0,(VLOOKUP($B49,Inputs!$F$3:$H$17,3,0)*((1+Inputs!$L$3)^Financials!R$3)))</f>
        <v>0</v>
      </c>
      <c r="S49" s="18">
        <f>IF(S$1&lt;CapEx!$O$7,0,(VLOOKUP($B49,Inputs!$F$3:$H$17,3,0)*((1+Inputs!$L$3)^Financials!S$3)))</f>
        <v>0</v>
      </c>
      <c r="T49" s="18">
        <f>IF(T$1&lt;CapEx!$O$7,0,(VLOOKUP($B49,Inputs!$F$3:$H$17,3,0)*((1+Inputs!$L$3)^Financials!T$3)))</f>
        <v>0</v>
      </c>
      <c r="U49" s="18">
        <f>IF(U$1&lt;CapEx!$O$7,0,(VLOOKUP($B49,Inputs!$F$3:$H$17,3,0)*((1+Inputs!$L$3)^Financials!U$3)))</f>
        <v>0</v>
      </c>
      <c r="V49" s="18">
        <f>IF(V$1&lt;CapEx!$O$7,0,(VLOOKUP($B49,Inputs!$F$3:$H$17,3,0)*((1+Inputs!$L$3)^Financials!V$3)))</f>
        <v>0</v>
      </c>
      <c r="W49" s="18">
        <f>IF(W$1&lt;CapEx!$O$7,0,(VLOOKUP($B49,Inputs!$F$3:$H$17,3,0)*((1+Inputs!$L$3)^Financials!W$3)))</f>
        <v>0</v>
      </c>
      <c r="X49" s="18">
        <f>IF(X$1&lt;CapEx!$O$7,0,(VLOOKUP($B49,Inputs!$F$3:$H$17,3,0)*((1+Inputs!$L$3)^Financials!X$3)))</f>
        <v>0</v>
      </c>
      <c r="Y49" s="18">
        <f>IF(Y$1&lt;CapEx!$O$7,0,(VLOOKUP($B49,Inputs!$F$3:$H$17,3,0)*((1+Inputs!$L$3)^Financials!Y$3)))</f>
        <v>0</v>
      </c>
      <c r="Z49" s="18">
        <f>IF(Z$1&lt;CapEx!$O$7,0,(VLOOKUP($B49,Inputs!$F$3:$H$17,3,0)*((1+Inputs!$L$3)^Financials!Z$3)))</f>
        <v>0</v>
      </c>
      <c r="AA49" s="18">
        <f>IF(AA$1&lt;CapEx!$O$7,0,(VLOOKUP($B49,Inputs!$F$3:$H$17,3,0)*((1+Inputs!$L$3)^Financials!AA$3)))</f>
        <v>0</v>
      </c>
      <c r="AB49" s="18">
        <f>IF(AB$1&lt;CapEx!$O$7,0,(VLOOKUP($B49,Inputs!$F$3:$H$17,3,0)*((1+Inputs!$L$3)^Financials!AB$3)))</f>
        <v>0</v>
      </c>
      <c r="AC49" s="18">
        <f>IF(AC$1&lt;CapEx!$O$7,0,(VLOOKUP($B49,Inputs!$F$3:$H$17,3,0)*((1+Inputs!$L$3)^Financials!AC$3)))</f>
        <v>0</v>
      </c>
      <c r="AD49" s="18">
        <f>IF(AD$1&lt;CapEx!$O$7,0,(VLOOKUP($B49,Inputs!$F$3:$H$17,3,0)*((1+Inputs!$L$3)^Financials!AD$3)))</f>
        <v>0</v>
      </c>
      <c r="AE49" s="18">
        <f>IF(AE$1&lt;CapEx!$O$7,0,(VLOOKUP($B49,Inputs!$F$3:$H$17,3,0)*((1+Inputs!$L$3)^Financials!AE$3)))</f>
        <v>0</v>
      </c>
      <c r="AF49" s="18">
        <f>IF(AF$1&lt;CapEx!$O$7,0,(VLOOKUP($B49,Inputs!$F$3:$H$17,3,0)*((1+Inputs!$L$3)^Financials!AF$3)))</f>
        <v>0</v>
      </c>
      <c r="AG49" s="18">
        <f>IF(AG$1&lt;CapEx!$O$7,0,(VLOOKUP($B49,Inputs!$F$3:$H$17,3,0)*((1+Inputs!$L$3)^Financials!AG$3)))</f>
        <v>0</v>
      </c>
      <c r="AH49" s="18">
        <f>IF(AH$1&lt;CapEx!$O$7,0,(VLOOKUP($B49,Inputs!$F$3:$H$17,3,0)*((1+Inputs!$L$3)^Financials!AH$3)))</f>
        <v>0</v>
      </c>
      <c r="AI49" s="18">
        <f>IF(AI$1&lt;CapEx!$O$7,0,(VLOOKUP($B49,Inputs!$F$3:$H$17,3,0)*((1+Inputs!$L$3)^Financials!AI$3)))</f>
        <v>0</v>
      </c>
      <c r="AJ49" s="18">
        <f>IF(AJ$1&lt;CapEx!$O$7,0,(VLOOKUP($B49,Inputs!$F$3:$H$17,3,0)*((1+Inputs!$L$3)^Financials!AJ$3)))</f>
        <v>0</v>
      </c>
      <c r="AK49" s="18">
        <f>IF(AK$1&lt;CapEx!$O$7,0,(VLOOKUP($B49,Inputs!$F$3:$H$17,3,0)*((1+Inputs!$L$3)^Financials!AK$3)))</f>
        <v>0</v>
      </c>
      <c r="AL49" s="18">
        <f>IF(AL$1&lt;CapEx!$O$7,0,(VLOOKUP($B49,Inputs!$F$3:$H$17,3,0)*((1+Inputs!$L$3)^Financials!AL$3)))</f>
        <v>0</v>
      </c>
      <c r="AM49" s="18">
        <f>IF(AM$1&lt;CapEx!$O$7,0,(VLOOKUP($B49,Inputs!$F$3:$H$17,3,0)*((1+Inputs!$L$3)^Financials!AM$3)))</f>
        <v>0</v>
      </c>
      <c r="AN49" s="18">
        <f>IF(AN$1&lt;CapEx!$O$7,0,(VLOOKUP($B49,Inputs!$F$3:$H$17,3,0)*((1+Inputs!$L$3)^Financials!AN$3)))</f>
        <v>0</v>
      </c>
      <c r="AO49" s="18">
        <f>IF(AO$1&lt;CapEx!$O$7,0,(VLOOKUP($B49,Inputs!$F$3:$H$17,3,0)*((1+Inputs!$L$3)^Financials!AO$3)))</f>
        <v>0</v>
      </c>
      <c r="AP49" s="18">
        <f>IF(AP$1&lt;CapEx!$O$7,0,(VLOOKUP($B49,Inputs!$F$3:$H$17,3,0)*((1+Inputs!$L$3)^Financials!AP$3)))</f>
        <v>0</v>
      </c>
      <c r="AQ49" s="18">
        <f>IF(AQ$1&lt;CapEx!$O$7,0,(VLOOKUP($B49,Inputs!$F$3:$H$17,3,0)*((1+Inputs!$L$3)^Financials!AQ$3)))</f>
        <v>0</v>
      </c>
      <c r="AR49" s="18">
        <f>IF(AR$1&lt;CapEx!$O$7,0,(VLOOKUP($B49,Inputs!$F$3:$H$17,3,0)*((1+Inputs!$L$3)^Financials!AR$3)))</f>
        <v>0</v>
      </c>
      <c r="AS49" s="18">
        <f>IF(AS$1&lt;CapEx!$O$7,0,(VLOOKUP($B49,Inputs!$F$3:$H$17,3,0)*((1+Inputs!$L$3)^Financials!AS$3)))</f>
        <v>0</v>
      </c>
      <c r="AT49" s="18">
        <f>IF(AT$1&lt;CapEx!$O$7,0,(VLOOKUP($B49,Inputs!$F$3:$H$17,3,0)*((1+Inputs!$L$3)^Financials!AT$3)))</f>
        <v>0</v>
      </c>
      <c r="AU49" s="18">
        <f>IF(AU$1&lt;CapEx!$O$7,0,(VLOOKUP($B49,Inputs!$F$3:$H$17,3,0)*((1+Inputs!$L$3)^Financials!AU$3)))</f>
        <v>0</v>
      </c>
      <c r="AV49" s="18">
        <f>IF(AV$1&lt;CapEx!$O$7,0,(VLOOKUP($B49,Inputs!$F$3:$H$17,3,0)*((1+Inputs!$L$3)^Financials!AV$3)))</f>
        <v>0</v>
      </c>
      <c r="AW49" s="18">
        <f>IF(AW$1&lt;CapEx!$O$7,0,(VLOOKUP($B49,Inputs!$F$3:$H$17,3,0)*((1+Inputs!$L$3)^Financials!AW$3)))</f>
        <v>0</v>
      </c>
      <c r="AX49" s="18">
        <f>IF(AX$1&lt;CapEx!$O$7,0,(VLOOKUP($B49,Inputs!$F$3:$H$17,3,0)*((1+Inputs!$L$3)^Financials!AX$3)))</f>
        <v>0</v>
      </c>
      <c r="AY49" s="18">
        <f>IF(AY$1&lt;CapEx!$O$7,0,(VLOOKUP($B49,Inputs!$F$3:$H$17,3,0)*((1+Inputs!$L$3)^Financials!AY$3)))</f>
        <v>0</v>
      </c>
      <c r="AZ49" s="18">
        <f>IF(AZ$1&lt;CapEx!$O$7,0,(VLOOKUP($B49,Inputs!$F$3:$H$17,3,0)*((1+Inputs!$L$3)^Financials!AZ$3)))</f>
        <v>0</v>
      </c>
      <c r="BA49" s="18">
        <f>IF(BA$1&lt;CapEx!$O$7,0,(VLOOKUP($B49,Inputs!$F$3:$H$17,3,0)*((1+Inputs!$L$3)^Financials!BA$3)))</f>
        <v>0</v>
      </c>
      <c r="BB49" s="18">
        <f>IF(BB$1&lt;CapEx!$O$7,0,(VLOOKUP($B49,Inputs!$F$3:$H$17,3,0)*((1+Inputs!$L$3)^Financials!BB$3)))</f>
        <v>0</v>
      </c>
      <c r="BC49" s="18">
        <f>IF(BC$1&lt;CapEx!$O$7,0,(VLOOKUP($B49,Inputs!$F$3:$H$17,3,0)*((1+Inputs!$L$3)^Financials!BC$3)))</f>
        <v>0</v>
      </c>
      <c r="BD49" s="18">
        <f>IF(BD$1&lt;CapEx!$O$7,0,(VLOOKUP($B49,Inputs!$F$3:$H$17,3,0)*((1+Inputs!$L$3)^Financials!BD$3)))</f>
        <v>0</v>
      </c>
      <c r="BE49" s="18">
        <f>IF(BE$1&lt;CapEx!$O$7,0,(VLOOKUP($B49,Inputs!$F$3:$H$17,3,0)*((1+Inputs!$L$3)^Financials!BE$3)))</f>
        <v>0</v>
      </c>
      <c r="BF49" s="18">
        <f>IF(BF$1&lt;CapEx!$O$7,0,(VLOOKUP($B49,Inputs!$F$3:$H$17,3,0)*((1+Inputs!$L$3)^Financials!BF$3)))</f>
        <v>0</v>
      </c>
      <c r="BG49" s="18">
        <f>IF(BG$1&lt;CapEx!$O$7,0,(VLOOKUP($B49,Inputs!$F$3:$H$17,3,0)*((1+Inputs!$L$3)^Financials!BG$3)))</f>
        <v>0</v>
      </c>
      <c r="BH49" s="18">
        <f>IF(BH$1&lt;CapEx!$O$7,0,(VLOOKUP($B49,Inputs!$F$3:$H$17,3,0)*((1+Inputs!$L$3)^Financials!BH$3)))</f>
        <v>0</v>
      </c>
      <c r="BI49" s="18">
        <f>IF(BI$1&lt;CapEx!$O$7,0,(VLOOKUP($B49,Inputs!$F$3:$H$17,3,0)*((1+Inputs!$L$3)^Financials!BI$3)))</f>
        <v>0</v>
      </c>
      <c r="BJ49" s="18">
        <f>IF(BJ$1&lt;CapEx!$O$7,0,(VLOOKUP($B49,Inputs!$F$3:$H$17,3,0)*((1+Inputs!$L$3)^Financials!BJ$3)))</f>
        <v>0</v>
      </c>
      <c r="BK49" s="18">
        <f>IF(BK$1&lt;CapEx!$O$7,0,(VLOOKUP($B49,Inputs!$F$3:$H$17,3,0)*((1+Inputs!$L$3)^Financials!BK$3)))</f>
        <v>0</v>
      </c>
      <c r="BL49" s="18">
        <f>IF(BL$1&lt;CapEx!$O$7,0,(VLOOKUP($B49,Inputs!$F$3:$H$17,3,0)*((1+Inputs!$L$3)^Financials!BL$3)))</f>
        <v>0</v>
      </c>
      <c r="BM49" s="18">
        <f>IF(BM$1&lt;CapEx!$O$7,0,(VLOOKUP($B49,Inputs!$F$3:$H$17,3,0)*((1+Inputs!$L$3)^Financials!BM$3)))</f>
        <v>0</v>
      </c>
      <c r="BN49" s="18">
        <f>IF(BN$1&lt;CapEx!$O$7,0,(VLOOKUP($B49,Inputs!$F$3:$H$17,3,0)*((1+Inputs!$L$3)^Financials!BN$3)))</f>
        <v>0</v>
      </c>
      <c r="BO49" s="18">
        <f>IF(BO$1&lt;CapEx!$O$7,0,(VLOOKUP($B49,Inputs!$F$3:$H$17,3,0)*((1+Inputs!$L$3)^Financials!BO$3)))</f>
        <v>0</v>
      </c>
      <c r="BP49" s="18">
        <f>IF(BP$1&lt;CapEx!$O$7,0,(VLOOKUP($B49,Inputs!$F$3:$H$17,3,0)*((1+Inputs!$L$3)^Financials!BP$3)))</f>
        <v>0</v>
      </c>
      <c r="BQ49" s="18">
        <f>IF(BQ$1&lt;CapEx!$O$7,0,(VLOOKUP($B49,Inputs!$F$3:$H$17,3,0)*((1+Inputs!$L$3)^Financials!BQ$3)))</f>
        <v>0</v>
      </c>
      <c r="BR49" s="18">
        <f>IF(BR$1&lt;CapEx!$O$7,0,(VLOOKUP($B49,Inputs!$F$3:$H$17,3,0)*((1+Inputs!$L$3)^Financials!BR$3)))</f>
        <v>0</v>
      </c>
      <c r="BS49" s="18">
        <f>IF(BS$1&lt;CapEx!$O$7,0,(VLOOKUP($B49,Inputs!$F$3:$H$17,3,0)*((1+Inputs!$L$3)^Financials!BS$3)))</f>
        <v>0</v>
      </c>
      <c r="BT49" s="18">
        <f>IF(BT$1&lt;CapEx!$O$7,0,(VLOOKUP($B49,Inputs!$F$3:$H$17,3,0)*((1+Inputs!$L$3)^Financials!BT$3)))</f>
        <v>0</v>
      </c>
      <c r="BU49" s="18">
        <f>IF(BU$1&lt;CapEx!$O$7,0,(VLOOKUP($B49,Inputs!$F$3:$H$17,3,0)*((1+Inputs!$L$3)^Financials!BU$3)))</f>
        <v>0</v>
      </c>
      <c r="BV49" s="18">
        <f>IF(BV$1&lt;CapEx!$O$7,0,(VLOOKUP($B49,Inputs!$F$3:$H$17,3,0)*((1+Inputs!$L$3)^Financials!BV$3)))</f>
        <v>0</v>
      </c>
      <c r="BW49" s="18">
        <f>IF(BW$1&lt;CapEx!$O$7,0,(VLOOKUP($B49,Inputs!$F$3:$H$17,3,0)*((1+Inputs!$L$3)^Financials!BW$3)))</f>
        <v>0</v>
      </c>
      <c r="BX49" s="18">
        <f>IF(BX$1&lt;CapEx!$O$7,0,(VLOOKUP($B49,Inputs!$F$3:$H$17,3,0)*((1+Inputs!$L$3)^Financials!BX$3)))</f>
        <v>0</v>
      </c>
      <c r="BY49" s="18">
        <f>IF(BY$1&lt;CapEx!$O$7,0,(VLOOKUP($B49,Inputs!$F$3:$H$17,3,0)*((1+Inputs!$L$3)^Financials!BY$3)))</f>
        <v>0</v>
      </c>
      <c r="BZ49" s="18">
        <f>IF(BZ$1&lt;CapEx!$O$7,0,(VLOOKUP($B49,Inputs!$F$3:$H$17,3,0)*((1+Inputs!$L$3)^Financials!BZ$3)))</f>
        <v>0</v>
      </c>
      <c r="CA49" s="18">
        <f>IF(CA$1&lt;CapEx!$O$7,0,(VLOOKUP($B49,Inputs!$F$3:$H$17,3,0)*((1+Inputs!$L$3)^Financials!CA$3)))</f>
        <v>0</v>
      </c>
      <c r="CB49" s="18">
        <f>IF(CB$1&lt;CapEx!$O$7,0,(VLOOKUP($B49,Inputs!$F$3:$H$17,3,0)*((1+Inputs!$L$3)^Financials!CB$3)))</f>
        <v>0</v>
      </c>
      <c r="CC49" s="18">
        <f>IF(CC$1&lt;CapEx!$O$7,0,(VLOOKUP($B49,Inputs!$F$3:$H$17,3,0)*((1+Inputs!$L$3)^Financials!CC$3)))</f>
        <v>0</v>
      </c>
      <c r="CD49" s="18">
        <f>IF(CD$1&lt;CapEx!$O$7,0,(VLOOKUP($B49,Inputs!$F$3:$H$17,3,0)*((1+Inputs!$L$3)^Financials!CD$3)))</f>
        <v>0</v>
      </c>
      <c r="CE49" s="18">
        <f>IF(CE$1&lt;CapEx!$O$7,0,(VLOOKUP($B49,Inputs!$F$3:$H$17,3,0)*((1+Inputs!$L$3)^Financials!CE$3)))</f>
        <v>0</v>
      </c>
      <c r="CF49" s="18">
        <f>IF(CF$1&lt;CapEx!$O$7,0,(VLOOKUP($B49,Inputs!$F$3:$H$17,3,0)*((1+Inputs!$L$3)^Financials!CF$3)))</f>
        <v>0</v>
      </c>
      <c r="CG49" s="18">
        <f>IF(CG$1&lt;CapEx!$O$7,0,(VLOOKUP($B49,Inputs!$F$3:$H$17,3,0)*((1+Inputs!$L$3)^Financials!CG$3)))</f>
        <v>0</v>
      </c>
      <c r="CH49" s="18">
        <f>IF(CH$1&lt;CapEx!$O$7,0,(VLOOKUP($B49,Inputs!$F$3:$H$17,3,0)*((1+Inputs!$L$3)^Financials!CH$3)))</f>
        <v>0</v>
      </c>
      <c r="CI49" s="18">
        <f>IF(CI$1&lt;CapEx!$O$7,0,(VLOOKUP($B49,Inputs!$F$3:$H$17,3,0)*((1+Inputs!$L$3)^Financials!CI$3)))</f>
        <v>0</v>
      </c>
      <c r="CJ49" s="18">
        <f>IF(CJ$1&lt;CapEx!$O$7,0,(VLOOKUP($B49,Inputs!$F$3:$H$17,3,0)*((1+Inputs!$L$3)^Financials!CJ$3)))</f>
        <v>0</v>
      </c>
      <c r="CK49" s="18">
        <f>IF(CK$1&lt;CapEx!$O$7,0,(VLOOKUP($B49,Inputs!$F$3:$H$17,3,0)*((1+Inputs!$L$3)^Financials!CK$3)))</f>
        <v>0</v>
      </c>
      <c r="CL49" s="18">
        <f>IF(CL$1&lt;CapEx!$O$7,0,(VLOOKUP($B49,Inputs!$F$3:$H$17,3,0)*((1+Inputs!$L$3)^Financials!CL$3)))</f>
        <v>0</v>
      </c>
      <c r="CM49" s="18">
        <f>IF(CM$1&lt;CapEx!$O$7,0,(VLOOKUP($B49,Inputs!$F$3:$H$17,3,0)*((1+Inputs!$L$3)^Financials!CM$3)))</f>
        <v>0</v>
      </c>
      <c r="CN49" s="18">
        <f>IF(CN$1&lt;CapEx!$O$7,0,(VLOOKUP($B49,Inputs!$F$3:$H$17,3,0)*((1+Inputs!$L$3)^Financials!CN$3)))</f>
        <v>0</v>
      </c>
      <c r="CO49" s="18">
        <f>IF(CO$1&lt;CapEx!$O$7,0,(VLOOKUP($B49,Inputs!$F$3:$H$17,3,0)*((1+Inputs!$L$3)^Financials!CO$3)))</f>
        <v>0</v>
      </c>
      <c r="CP49" s="18">
        <f>IF(CP$1&lt;CapEx!$O$7,0,(VLOOKUP($B49,Inputs!$F$3:$H$17,3,0)*((1+Inputs!$L$3)^Financials!CP$3)))</f>
        <v>0</v>
      </c>
      <c r="CQ49" s="18">
        <f>IF(CQ$1&lt;CapEx!$O$7,0,(VLOOKUP($B49,Inputs!$F$3:$H$17,3,0)*((1+Inputs!$L$3)^Financials!CQ$3)))</f>
        <v>0</v>
      </c>
      <c r="CR49" s="18">
        <f>IF(CR$1&lt;CapEx!$O$7,0,(VLOOKUP($B49,Inputs!$F$3:$H$17,3,0)*((1+Inputs!$L$3)^Financials!CR$3)))</f>
        <v>0</v>
      </c>
      <c r="CS49" s="18">
        <f>IF(CS$1&lt;CapEx!$O$7,0,(VLOOKUP($B49,Inputs!$F$3:$H$17,3,0)*((1+Inputs!$L$3)^Financials!CS$3)))</f>
        <v>0</v>
      </c>
      <c r="CT49" s="18">
        <f>IF(CT$1&lt;CapEx!$O$7,0,(VLOOKUP($B49,Inputs!$F$3:$H$17,3,0)*((1+Inputs!$L$3)^Financials!CT$3)))</f>
        <v>0</v>
      </c>
      <c r="CU49" s="18">
        <f>IF(CU$1&lt;CapEx!$O$7,0,(VLOOKUP($B49,Inputs!$F$3:$H$17,3,0)*((1+Inputs!$L$3)^Financials!CU$3)))</f>
        <v>0</v>
      </c>
      <c r="CV49" s="18">
        <f>IF(CV$1&lt;CapEx!$O$7,0,(VLOOKUP($B49,Inputs!$F$3:$H$17,3,0)*((1+Inputs!$L$3)^Financials!CV$3)))</f>
        <v>0</v>
      </c>
      <c r="CW49" s="18">
        <f>IF(CW$1&lt;CapEx!$O$7,0,(VLOOKUP($B49,Inputs!$F$3:$H$17,3,0)*((1+Inputs!$L$3)^Financials!CW$3)))</f>
        <v>0</v>
      </c>
      <c r="CX49" s="18">
        <f>IF(CX$1&lt;CapEx!$O$7,0,(VLOOKUP($B49,Inputs!$F$3:$H$17,3,0)*((1+Inputs!$L$3)^Financials!CX$3)))</f>
        <v>0</v>
      </c>
      <c r="CY49" s="18">
        <f>IF(CY$1&lt;CapEx!$O$7,0,(VLOOKUP($B49,Inputs!$F$3:$H$17,3,0)*((1+Inputs!$L$3)^Financials!CY$3)))</f>
        <v>0</v>
      </c>
      <c r="CZ49" s="18">
        <f>IF(CZ$1&lt;CapEx!$O$7,0,(VLOOKUP($B49,Inputs!$F$3:$H$17,3,0)*((1+Inputs!$L$3)^Financials!CZ$3)))</f>
        <v>0</v>
      </c>
      <c r="DA49" s="18">
        <f>IF(DA$1&lt;CapEx!$O$7,0,(VLOOKUP($B49,Inputs!$F$3:$H$17,3,0)*((1+Inputs!$L$3)^Financials!DA$3)))</f>
        <v>0</v>
      </c>
      <c r="DB49" s="18">
        <f>IF(DB$1&lt;CapEx!$O$7,0,(VLOOKUP($B49,Inputs!$F$3:$H$17,3,0)*((1+Inputs!$L$3)^Financials!DB$3)))</f>
        <v>0</v>
      </c>
      <c r="DC49" s="18">
        <f>IF(DC$1&lt;CapEx!$O$7,0,(VLOOKUP($B49,Inputs!$F$3:$H$17,3,0)*((1+Inputs!$L$3)^Financials!DC$3)))</f>
        <v>0</v>
      </c>
      <c r="DD49" s="18">
        <f>IF(DD$1&lt;CapEx!$O$7,0,(VLOOKUP($B49,Inputs!$F$3:$H$17,3,0)*((1+Inputs!$L$3)^Financials!DD$3)))</f>
        <v>0</v>
      </c>
      <c r="DE49" s="18">
        <f>IF(DE$1&lt;CapEx!$O$7,0,(VLOOKUP($B49,Inputs!$F$3:$H$17,3,0)*((1+Inputs!$L$3)^Financials!DE$3)))</f>
        <v>0</v>
      </c>
      <c r="DF49" s="18">
        <f>IF(DF$1&lt;CapEx!$O$7,0,(VLOOKUP($B49,Inputs!$F$3:$H$17,3,0)*((1+Inputs!$L$3)^Financials!DF$3)))</f>
        <v>0</v>
      </c>
      <c r="DG49" s="18">
        <f>IF(DG$1&lt;CapEx!$O$7,0,(VLOOKUP($B49,Inputs!$F$3:$H$17,3,0)*((1+Inputs!$L$3)^Financials!DG$3)))</f>
        <v>0</v>
      </c>
      <c r="DH49" s="18">
        <f>IF(DH$1&lt;CapEx!$O$7,0,(VLOOKUP($B49,Inputs!$F$3:$H$17,3,0)*((1+Inputs!$L$3)^Financials!DH$3)))</f>
        <v>0</v>
      </c>
      <c r="DI49" s="18">
        <f>IF(DI$1&lt;CapEx!$O$7,0,(VLOOKUP($B49,Inputs!$F$3:$H$17,3,0)*((1+Inputs!$L$3)^Financials!DI$3)))</f>
        <v>0</v>
      </c>
      <c r="DJ49" s="18">
        <f>IF(DJ$1&lt;CapEx!$O$7,0,(VLOOKUP($B49,Inputs!$F$3:$H$17,3,0)*((1+Inputs!$L$3)^Financials!DJ$3)))</f>
        <v>0</v>
      </c>
      <c r="DK49" s="18">
        <f>IF(DK$1&lt;CapEx!$O$7,0,(VLOOKUP($B49,Inputs!$F$3:$H$17,3,0)*((1+Inputs!$L$3)^Financials!DK$3)))</f>
        <v>0</v>
      </c>
      <c r="DL49" s="18">
        <f>IF(DL$1&lt;CapEx!$O$7,0,(VLOOKUP($B49,Inputs!$F$3:$H$17,3,0)*((1+Inputs!$L$3)^Financials!DL$3)))</f>
        <v>0</v>
      </c>
      <c r="DM49" s="18">
        <f>IF(DM$1&lt;CapEx!$O$7,0,(VLOOKUP($B49,Inputs!$F$3:$H$17,3,0)*((1+Inputs!$L$3)^Financials!DM$3)))</f>
        <v>0</v>
      </c>
      <c r="DN49" s="18">
        <f>IF(DN$1&lt;CapEx!$O$7,0,(VLOOKUP($B49,Inputs!$F$3:$H$17,3,0)*((1+Inputs!$L$3)^Financials!DN$3)))</f>
        <v>0</v>
      </c>
      <c r="DO49" s="18">
        <f>IF(DO$1&lt;CapEx!$O$7,0,(VLOOKUP($B49,Inputs!$F$3:$H$17,3,0)*((1+Inputs!$L$3)^Financials!DO$3)))</f>
        <v>0</v>
      </c>
      <c r="DP49" s="18">
        <f>IF(DP$1&lt;CapEx!$O$7,0,(VLOOKUP($B49,Inputs!$F$3:$H$17,3,0)*((1+Inputs!$L$3)^Financials!DP$3)))</f>
        <v>0</v>
      </c>
      <c r="DQ49" s="18">
        <f>IF(DQ$1&lt;CapEx!$O$7,0,(VLOOKUP($B49,Inputs!$F$3:$H$17,3,0)*((1+Inputs!$L$3)^Financials!DQ$3)))</f>
        <v>0</v>
      </c>
      <c r="DR49" s="18">
        <f>IF(DR$1&lt;CapEx!$O$7,0,(VLOOKUP($B49,Inputs!$F$3:$H$17,3,0)*((1+Inputs!$L$3)^Financials!DR$3)))</f>
        <v>0</v>
      </c>
      <c r="DS49" s="18">
        <f>IF(DS$1&lt;CapEx!$O$7,0,(VLOOKUP($B49,Inputs!$F$3:$H$17,3,0)*((1+Inputs!$L$3)^Financials!DS$3)))</f>
        <v>0</v>
      </c>
      <c r="DT49" s="18">
        <f>IF(DT$1&lt;CapEx!$O$7,0,(VLOOKUP($B49,Inputs!$F$3:$H$17,3,0)*((1+Inputs!$L$3)^Financials!DT$3)))</f>
        <v>0</v>
      </c>
      <c r="DU49" s="18">
        <f>IF(DU$1&lt;CapEx!$O$7,0,(VLOOKUP($B49,Inputs!$F$3:$H$17,3,0)*((1+Inputs!$L$3)^Financials!DU$3)))</f>
        <v>0</v>
      </c>
      <c r="DV49" s="18">
        <f>IF(DV$1&lt;CapEx!$O$7,0,(VLOOKUP($B49,Inputs!$F$3:$H$17,3,0)*((1+Inputs!$L$3)^Financials!DV$3)))</f>
        <v>0</v>
      </c>
      <c r="DW49" s="18">
        <f>IF(DW$1&lt;CapEx!$O$7,0,(VLOOKUP($B49,Inputs!$F$3:$H$17,3,0)*((1+Inputs!$L$3)^Financials!DW$3)))</f>
        <v>0</v>
      </c>
      <c r="DX49" s="18">
        <f>IF(DX$1&lt;CapEx!$O$7,0,(VLOOKUP($B49,Inputs!$F$3:$H$17,3,0)*((1+Inputs!$L$3)^Financials!DX$3)))</f>
        <v>0</v>
      </c>
      <c r="DY49" s="18">
        <f>IF(DY$1&lt;CapEx!$O$7,0,(VLOOKUP($B49,Inputs!$F$3:$H$17,3,0)*((1+Inputs!$L$3)^Financials!DY$3)))</f>
        <v>0</v>
      </c>
      <c r="DZ49" s="18">
        <f>IF(DZ$1&lt;CapEx!$O$7,0,(VLOOKUP($B49,Inputs!$F$3:$H$17,3,0)*((1+Inputs!$L$3)^Financials!DZ$3)))</f>
        <v>0</v>
      </c>
      <c r="EA49" s="18">
        <f>IF(EA$1&lt;CapEx!$O$7,0,(VLOOKUP($B49,Inputs!$F$3:$H$17,3,0)*((1+Inputs!$L$3)^Financials!EA$3)))</f>
        <v>0</v>
      </c>
      <c r="EB49" s="18">
        <f>IF(EB$1&lt;CapEx!$O$7,0,(VLOOKUP($B49,Inputs!$F$3:$H$17,3,0)*((1+Inputs!$L$3)^Financials!EB$3)))</f>
        <v>0</v>
      </c>
      <c r="EC49" s="18">
        <f>IF(EC$1&lt;CapEx!$O$7,0,(VLOOKUP($B49,Inputs!$F$3:$H$17,3,0)*((1+Inputs!$L$3)^Financials!EC$3)))</f>
        <v>0</v>
      </c>
      <c r="ED49" s="18">
        <f>IF(ED$1&lt;CapEx!$O$7,0,(VLOOKUP($B49,Inputs!$F$3:$H$17,3,0)*((1+Inputs!$L$3)^Financials!ED$3)))</f>
        <v>0</v>
      </c>
      <c r="EE49" s="18">
        <f>IF(EE$1&lt;CapEx!$O$7,0,(VLOOKUP($B49,Inputs!$F$3:$H$17,3,0)*((1+Inputs!$L$3)^Financials!EE$3)))</f>
        <v>0</v>
      </c>
      <c r="EF49" s="18">
        <f>IF(EF$1&lt;CapEx!$O$7,0,(VLOOKUP($B49,Inputs!$F$3:$H$17,3,0)*((1+Inputs!$L$3)^Financials!EF$3)))</f>
        <v>0</v>
      </c>
      <c r="EG49" s="18">
        <f>IF(EG$1&lt;CapEx!$O$7,0,(VLOOKUP($B49,Inputs!$F$3:$H$17,3,0)*((1+Inputs!$L$3)^Financials!EG$3)))</f>
        <v>0</v>
      </c>
      <c r="EH49" s="18">
        <f>IF(EH$1&lt;CapEx!$O$7,0,(VLOOKUP($B49,Inputs!$F$3:$H$17,3,0)*((1+Inputs!$L$3)^Financials!EH$3)))</f>
        <v>0</v>
      </c>
      <c r="EI49" s="18">
        <f>IF(EI$1&lt;CapEx!$O$7,0,(VLOOKUP($B49,Inputs!$F$3:$H$17,3,0)*((1+Inputs!$L$3)^Financials!EI$3)))</f>
        <v>0</v>
      </c>
      <c r="EJ49" s="18">
        <f>IF(EJ$1&lt;CapEx!$O$7,0,(VLOOKUP($B49,Inputs!$F$3:$H$17,3,0)*((1+Inputs!$L$3)^Financials!EJ$3)))</f>
        <v>0</v>
      </c>
      <c r="EK49" s="18">
        <f>IF(EK$1&lt;CapEx!$O$7,0,(VLOOKUP($B49,Inputs!$F$3:$H$17,3,0)*((1+Inputs!$L$3)^Financials!EK$3)))</f>
        <v>0</v>
      </c>
      <c r="EL49" s="18">
        <f>IF(EL$1&lt;CapEx!$O$7,0,(VLOOKUP($B49,Inputs!$F$3:$H$17,3,0)*((1+Inputs!$L$3)^Financials!EL$3)))</f>
        <v>0</v>
      </c>
      <c r="EM49" s="18">
        <f>IF(EM$1&lt;CapEx!$O$7,0,(VLOOKUP($B49,Inputs!$F$3:$H$17,3,0)*((1+Inputs!$L$3)^Financials!EM$3)))</f>
        <v>0</v>
      </c>
      <c r="EN49" s="18">
        <f>IF(EN$1&lt;CapEx!$O$7,0,(VLOOKUP($B49,Inputs!$F$3:$H$17,3,0)*((1+Inputs!$L$3)^Financials!EN$3)))</f>
        <v>0</v>
      </c>
      <c r="EO49" s="18">
        <f>IF(EO$1&lt;CapEx!$O$7,0,(VLOOKUP($B49,Inputs!$F$3:$H$17,3,0)*((1+Inputs!$L$3)^Financials!EO$3)))</f>
        <v>0</v>
      </c>
      <c r="EP49" s="18">
        <f>IF(EP$1&lt;CapEx!$O$7,0,(VLOOKUP($B49,Inputs!$F$3:$H$17,3,0)*((1+Inputs!$L$3)^Financials!EP$3)))</f>
        <v>0</v>
      </c>
      <c r="EQ49" s="18">
        <f>IF(EQ$1&lt;CapEx!$O$7,0,(VLOOKUP($B49,Inputs!$F$3:$H$17,3,0)*((1+Inputs!$L$3)^Financials!EQ$3)))</f>
        <v>0</v>
      </c>
      <c r="ER49" s="18">
        <f>IF(ER$1&lt;CapEx!$O$7,0,(VLOOKUP($B49,Inputs!$F$3:$H$17,3,0)*((1+Inputs!$L$3)^Financials!ER$3)))</f>
        <v>0</v>
      </c>
      <c r="ES49" s="18">
        <f>IF(ES$1&lt;CapEx!$O$7,0,(VLOOKUP($B49,Inputs!$F$3:$H$17,3,0)*((1+Inputs!$L$3)^Financials!ES$3)))</f>
        <v>0</v>
      </c>
      <c r="ET49" s="18">
        <f>IF(ET$1&lt;CapEx!$O$7,0,(VLOOKUP($B49,Inputs!$F$3:$H$17,3,0)*((1+Inputs!$L$3)^Financials!ET$3)))</f>
        <v>0</v>
      </c>
      <c r="EU49" s="18">
        <f>IF(EU$1&lt;CapEx!$O$7,0,(VLOOKUP($B49,Inputs!$F$3:$H$17,3,0)*((1+Inputs!$L$3)^Financials!EU$3)))</f>
        <v>0</v>
      </c>
      <c r="EV49" s="18">
        <f>IF(EV$1&lt;CapEx!$O$7,0,(VLOOKUP($B49,Inputs!$F$3:$H$17,3,0)*((1+Inputs!$L$3)^Financials!EV$3)))</f>
        <v>0</v>
      </c>
      <c r="EW49" s="18">
        <f>IF(EW$1&lt;CapEx!$O$7,0,(VLOOKUP($B49,Inputs!$F$3:$H$17,3,0)*((1+Inputs!$L$3)^Financials!EW$3)))</f>
        <v>0</v>
      </c>
      <c r="EX49" s="18">
        <f>IF(EX$1&lt;CapEx!$O$7,0,(VLOOKUP($B49,Inputs!$F$3:$H$17,3,0)*((1+Inputs!$L$3)^Financials!EX$3)))</f>
        <v>0</v>
      </c>
      <c r="EY49" s="18">
        <f>IF(EY$1&lt;CapEx!$O$7,0,(VLOOKUP($B49,Inputs!$F$3:$H$17,3,0)*((1+Inputs!$L$3)^Financials!EY$3)))</f>
        <v>0</v>
      </c>
      <c r="EZ49" s="18">
        <f>IF(EZ$1&lt;CapEx!$O$7,0,(VLOOKUP($B49,Inputs!$F$3:$H$17,3,0)*((1+Inputs!$L$3)^Financials!EZ$3)))</f>
        <v>0</v>
      </c>
      <c r="FA49" s="18">
        <f>IF(FA$1&lt;CapEx!$O$7,0,(VLOOKUP($B49,Inputs!$F$3:$H$17,3,0)*((1+Inputs!$L$3)^Financials!FA$3)))</f>
        <v>0</v>
      </c>
      <c r="FB49" s="18">
        <f>IF(FB$1&lt;CapEx!$O$7,0,(VLOOKUP($B49,Inputs!$F$3:$H$17,3,0)*((1+Inputs!$L$3)^Financials!FB$3)))</f>
        <v>0</v>
      </c>
      <c r="FC49" s="18">
        <f>IF(FC$1&lt;CapEx!$O$7,0,(VLOOKUP($B49,Inputs!$F$3:$H$17,3,0)*((1+Inputs!$L$3)^Financials!FC$3)))</f>
        <v>0</v>
      </c>
      <c r="FD49" s="18">
        <f>IF(FD$1&lt;CapEx!$O$7,0,(VLOOKUP($B49,Inputs!$F$3:$H$17,3,0)*((1+Inputs!$L$3)^Financials!FD$3)))</f>
        <v>0</v>
      </c>
      <c r="FE49" s="18">
        <f>IF(FE$1&lt;CapEx!$O$7,0,(VLOOKUP($B49,Inputs!$F$3:$H$17,3,0)*((1+Inputs!$L$3)^Financials!FE$3)))</f>
        <v>0</v>
      </c>
      <c r="FF49" s="18">
        <f>IF(FF$1&lt;CapEx!$O$7,0,(VLOOKUP($B49,Inputs!$F$3:$H$17,3,0)*((1+Inputs!$L$3)^Financials!FF$3)))</f>
        <v>0</v>
      </c>
      <c r="FG49" s="18">
        <f>IF(FG$1&lt;CapEx!$O$7,0,(VLOOKUP($B49,Inputs!$F$3:$H$17,3,0)*((1+Inputs!$L$3)^Financials!FG$3)))</f>
        <v>0</v>
      </c>
      <c r="FH49" s="18">
        <f>IF(FH$1&lt;CapEx!$O$7,0,(VLOOKUP($B49,Inputs!$F$3:$H$17,3,0)*((1+Inputs!$L$3)^Financials!FH$3)))</f>
        <v>0</v>
      </c>
      <c r="FI49" s="18">
        <f>IF(FI$1&lt;CapEx!$O$7,0,(VLOOKUP($B49,Inputs!$F$3:$H$17,3,0)*((1+Inputs!$L$3)^Financials!FI$3)))</f>
        <v>0</v>
      </c>
      <c r="FJ49" s="18">
        <f>IF(FJ$1&lt;CapEx!$O$7,0,(VLOOKUP($B49,Inputs!$F$3:$H$17,3,0)*((1+Inputs!$L$3)^Financials!FJ$3)))</f>
        <v>0</v>
      </c>
      <c r="FK49" s="18">
        <f>IF(FK$1&lt;CapEx!$O$7,0,(VLOOKUP($B49,Inputs!$F$3:$H$17,3,0)*((1+Inputs!$L$3)^Financials!FK$3)))</f>
        <v>0</v>
      </c>
      <c r="FL49" s="18">
        <f>IF(FL$1&lt;CapEx!$O$7,0,(VLOOKUP($B49,Inputs!$F$3:$H$17,3,0)*((1+Inputs!$L$3)^Financials!FL$3)))</f>
        <v>0</v>
      </c>
      <c r="FM49" s="18">
        <f>IF(FM$1&lt;CapEx!$O$7,0,(VLOOKUP($B49,Inputs!$F$3:$H$17,3,0)*((1+Inputs!$L$3)^Financials!FM$3)))</f>
        <v>0</v>
      </c>
      <c r="FN49" s="18">
        <f>IF(FN$1&lt;CapEx!$O$7,0,(VLOOKUP($B49,Inputs!$F$3:$H$17,3,0)*((1+Inputs!$L$3)^Financials!FN$3)))</f>
        <v>0</v>
      </c>
      <c r="FO49" s="18">
        <f>IF(FO$1&lt;CapEx!$O$7,0,(VLOOKUP($B49,Inputs!$F$3:$H$17,3,0)*((1+Inputs!$L$3)^Financials!FO$3)))</f>
        <v>0</v>
      </c>
      <c r="FP49" s="18">
        <f>IF(FP$1&lt;CapEx!$O$7,0,(VLOOKUP($B49,Inputs!$F$3:$H$17,3,0)*((1+Inputs!$L$3)^Financials!FP$3)))</f>
        <v>0</v>
      </c>
      <c r="FQ49" s="18">
        <f>IF(FQ$1&lt;CapEx!$O$7,0,(VLOOKUP($B49,Inputs!$F$3:$H$17,3,0)*((1+Inputs!$L$3)^Financials!FQ$3)))</f>
        <v>0</v>
      </c>
      <c r="FR49" s="18">
        <f>IF(FR$1&lt;CapEx!$O$7,0,(VLOOKUP($B49,Inputs!$F$3:$H$17,3,0)*((1+Inputs!$L$3)^Financials!FR$3)))</f>
        <v>0</v>
      </c>
      <c r="FS49" s="18">
        <f>IF(FS$1&lt;CapEx!$O$7,0,(VLOOKUP($B49,Inputs!$F$3:$H$17,3,0)*((1+Inputs!$L$3)^Financials!FS$3)))</f>
        <v>0</v>
      </c>
      <c r="FT49" s="18">
        <f>IF(FT$1&lt;CapEx!$O$7,0,(VLOOKUP($B49,Inputs!$F$3:$H$17,3,0)*((1+Inputs!$L$3)^Financials!FT$3)))</f>
        <v>0</v>
      </c>
      <c r="FU49" s="18">
        <f>IF(FU$1&lt;CapEx!$O$7,0,(VLOOKUP($B49,Inputs!$F$3:$H$17,3,0)*((1+Inputs!$L$3)^Financials!FU$3)))</f>
        <v>0</v>
      </c>
      <c r="FV49" s="18">
        <f>IF(FV$1&lt;CapEx!$O$7,0,(VLOOKUP($B49,Inputs!$F$3:$H$17,3,0)*((1+Inputs!$L$3)^Financials!FV$3)))</f>
        <v>0</v>
      </c>
      <c r="FW49" s="18">
        <f>IF(FW$1&lt;CapEx!$O$7,0,(VLOOKUP($B49,Inputs!$F$3:$H$17,3,0)*((1+Inputs!$L$3)^Financials!FW$3)))</f>
        <v>0</v>
      </c>
      <c r="FX49" s="18">
        <f>IF(FX$1&lt;CapEx!$O$7,0,(VLOOKUP($B49,Inputs!$F$3:$H$17,3,0)*((1+Inputs!$L$3)^Financials!FX$3)))</f>
        <v>0</v>
      </c>
      <c r="FY49" s="18">
        <f>IF(FY$1&lt;CapEx!$O$7,0,(VLOOKUP($B49,Inputs!$F$3:$H$17,3,0)*((1+Inputs!$L$3)^Financials!FY$3)))</f>
        <v>0</v>
      </c>
      <c r="FZ49" s="18">
        <f>IF(FZ$1&lt;CapEx!$O$7,0,(VLOOKUP($B49,Inputs!$F$3:$H$17,3,0)*((1+Inputs!$L$3)^Financials!FZ$3)))</f>
        <v>0</v>
      </c>
      <c r="GA49" s="18">
        <f>IF(GA$1&lt;CapEx!$O$7,0,(VLOOKUP($B49,Inputs!$F$3:$H$17,3,0)*((1+Inputs!$L$3)^Financials!GA$3)))</f>
        <v>0</v>
      </c>
      <c r="GB49" s="18">
        <f>IF(GB$1&lt;CapEx!$O$7,0,(VLOOKUP($B49,Inputs!$F$3:$H$17,3,0)*((1+Inputs!$L$3)^Financials!GB$3)))</f>
        <v>0</v>
      </c>
      <c r="GC49" s="18">
        <f>IF(GC$1&lt;CapEx!$O$7,0,(VLOOKUP($B49,Inputs!$F$3:$H$17,3,0)*((1+Inputs!$L$3)^Financials!GC$3)))</f>
        <v>0</v>
      </c>
      <c r="GD49" s="18">
        <f>IF(GD$1&lt;CapEx!$O$7,0,(VLOOKUP($B49,Inputs!$F$3:$H$17,3,0)*((1+Inputs!$L$3)^Financials!GD$3)))</f>
        <v>0</v>
      </c>
      <c r="GE49" s="18">
        <f>IF(GE$1&lt;CapEx!$O$7,0,(VLOOKUP($B49,Inputs!$F$3:$H$17,3,0)*((1+Inputs!$L$3)^Financials!GE$3)))</f>
        <v>0</v>
      </c>
      <c r="GF49" s="18">
        <f>IF(GF$1&lt;CapEx!$O$7,0,(VLOOKUP($B49,Inputs!$F$3:$H$17,3,0)*((1+Inputs!$L$3)^Financials!GF$3)))</f>
        <v>0</v>
      </c>
      <c r="GG49" s="18">
        <f>IF(GG$1&lt;CapEx!$O$7,0,(VLOOKUP($B49,Inputs!$F$3:$H$17,3,0)*((1+Inputs!$L$3)^Financials!GG$3)))</f>
        <v>0</v>
      </c>
      <c r="GH49" s="18">
        <f>IF(GH$1&lt;CapEx!$O$7,0,(VLOOKUP($B49,Inputs!$F$3:$H$17,3,0)*((1+Inputs!$L$3)^Financials!GH$3)))</f>
        <v>0</v>
      </c>
      <c r="GI49" s="18">
        <f>IF(GI$1&lt;CapEx!$O$7,0,(VLOOKUP($B49,Inputs!$F$3:$H$17,3,0)*((1+Inputs!$L$3)^Financials!GI$3)))</f>
        <v>0</v>
      </c>
      <c r="GJ49" s="18">
        <f>IF(GJ$1&lt;CapEx!$O$7,0,(VLOOKUP($B49,Inputs!$F$3:$H$17,3,0)*((1+Inputs!$L$3)^Financials!GJ$3)))</f>
        <v>0</v>
      </c>
      <c r="GK49" s="18">
        <f>IF(GK$1&lt;CapEx!$O$7,0,(VLOOKUP($B49,Inputs!$F$3:$H$17,3,0)*((1+Inputs!$L$3)^Financials!GK$3)))</f>
        <v>0</v>
      </c>
      <c r="GL49" s="18">
        <f>IF(GL$1&lt;CapEx!$O$7,0,(VLOOKUP($B49,Inputs!$F$3:$H$17,3,0)*((1+Inputs!$L$3)^Financials!GL$3)))</f>
        <v>0</v>
      </c>
      <c r="GM49" s="18">
        <f>IF(GM$1&lt;CapEx!$O$7,0,(VLOOKUP($B49,Inputs!$F$3:$H$17,3,0)*((1+Inputs!$L$3)^Financials!GM$3)))</f>
        <v>0</v>
      </c>
      <c r="GN49" s="18">
        <f>IF(GN$1&lt;CapEx!$O$7,0,(VLOOKUP($B49,Inputs!$F$3:$H$17,3,0)*((1+Inputs!$L$3)^Financials!GN$3)))</f>
        <v>0</v>
      </c>
      <c r="GO49" s="18">
        <f>IF(GO$1&lt;CapEx!$O$7,0,(VLOOKUP($B49,Inputs!$F$3:$H$17,3,0)*((1+Inputs!$L$3)^Financials!GO$3)))</f>
        <v>0</v>
      </c>
      <c r="GP49" s="18">
        <f>IF(GP$1&lt;CapEx!$O$7,0,(VLOOKUP($B49,Inputs!$F$3:$H$17,3,0)*((1+Inputs!$L$3)^Financials!GP$3)))</f>
        <v>0</v>
      </c>
      <c r="GQ49" s="18">
        <f>IF(GQ$1&lt;CapEx!$O$7,0,(VLOOKUP($B49,Inputs!$F$3:$H$17,3,0)*((1+Inputs!$L$3)^Financials!GQ$3)))</f>
        <v>0</v>
      </c>
      <c r="GR49" s="18">
        <f>IF(GR$1&lt;CapEx!$O$7,0,(VLOOKUP($B49,Inputs!$F$3:$H$17,3,0)*((1+Inputs!$L$3)^Financials!GR$3)))</f>
        <v>0</v>
      </c>
      <c r="GS49" s="18">
        <f>IF(GS$1&lt;CapEx!$O$7,0,(VLOOKUP($B49,Inputs!$F$3:$H$17,3,0)*((1+Inputs!$L$3)^Financials!GS$3)))</f>
        <v>0</v>
      </c>
      <c r="GT49" s="18">
        <f>IF(GT$1&lt;CapEx!$O$7,0,(VLOOKUP($B49,Inputs!$F$3:$H$17,3,0)*((1+Inputs!$L$3)^Financials!GT$3)))</f>
        <v>0</v>
      </c>
      <c r="GU49" s="18">
        <f>IF(GU$1&lt;CapEx!$O$7,0,(VLOOKUP($B49,Inputs!$F$3:$H$17,3,0)*((1+Inputs!$L$3)^Financials!GU$3)))</f>
        <v>0</v>
      </c>
      <c r="GV49" s="18">
        <f>IF(GV$1&lt;CapEx!$O$7,0,(VLOOKUP($B49,Inputs!$F$3:$H$17,3,0)*((1+Inputs!$L$3)^Financials!GV$3)))</f>
        <v>0</v>
      </c>
      <c r="GW49" s="18">
        <f>IF(GW$1&lt;CapEx!$O$7,0,(VLOOKUP($B49,Inputs!$F$3:$H$17,3,0)*((1+Inputs!$L$3)^Financials!GW$3)))</f>
        <v>0</v>
      </c>
      <c r="GX49" s="18">
        <f>IF(GX$1&lt;CapEx!$O$7,0,(VLOOKUP($B49,Inputs!$F$3:$H$17,3,0)*((1+Inputs!$L$3)^Financials!GX$3)))</f>
        <v>0</v>
      </c>
      <c r="GY49" s="18">
        <f>IF(GY$1&lt;CapEx!$O$7,0,(VLOOKUP($B49,Inputs!$F$3:$H$17,3,0)*((1+Inputs!$L$3)^Financials!GY$3)))</f>
        <v>0</v>
      </c>
      <c r="GZ49" s="18">
        <f>IF(GZ$1&lt;CapEx!$O$7,0,(VLOOKUP($B49,Inputs!$F$3:$H$17,3,0)*((1+Inputs!$L$3)^Financials!GZ$3)))</f>
        <v>0</v>
      </c>
      <c r="HA49" s="18">
        <f>IF(HA$1&lt;CapEx!$O$7,0,(VLOOKUP($B49,Inputs!$F$3:$H$17,3,0)*((1+Inputs!$L$3)^Financials!HA$3)))</f>
        <v>0</v>
      </c>
      <c r="HB49" s="18">
        <f>IF(HB$1&lt;CapEx!$O$7,0,(VLOOKUP($B49,Inputs!$F$3:$H$17,3,0)*((1+Inputs!$L$3)^Financials!HB$3)))</f>
        <v>0</v>
      </c>
      <c r="HC49" s="18">
        <f>IF(HC$1&lt;CapEx!$O$7,0,(VLOOKUP($B49,Inputs!$F$3:$H$17,3,0)*((1+Inputs!$L$3)^Financials!HC$3)))</f>
        <v>0</v>
      </c>
      <c r="HD49" s="18">
        <f>IF(HD$1&lt;CapEx!$O$7,0,(VLOOKUP($B49,Inputs!$F$3:$H$17,3,0)*((1+Inputs!$L$3)^Financials!HD$3)))</f>
        <v>0</v>
      </c>
      <c r="HE49" s="18">
        <f>IF(HE$1&lt;CapEx!$O$7,0,(VLOOKUP($B49,Inputs!$F$3:$H$17,3,0)*((1+Inputs!$L$3)^Financials!HE$3)))</f>
        <v>0</v>
      </c>
      <c r="HF49" s="18">
        <f>IF(HF$1&lt;CapEx!$O$7,0,(VLOOKUP($B49,Inputs!$F$3:$H$17,3,0)*((1+Inputs!$L$3)^Financials!HF$3)))</f>
        <v>0</v>
      </c>
      <c r="HG49" s="18">
        <f>IF(HG$1&lt;CapEx!$O$7,0,(VLOOKUP($B49,Inputs!$F$3:$H$17,3,0)*((1+Inputs!$L$3)^Financials!HG$3)))</f>
        <v>0</v>
      </c>
      <c r="HH49" s="18">
        <f>IF(HH$1&lt;CapEx!$O$7,0,(VLOOKUP($B49,Inputs!$F$3:$H$17,3,0)*((1+Inputs!$L$3)^Financials!HH$3)))</f>
        <v>0</v>
      </c>
      <c r="HI49" s="18">
        <f>IF(HI$1&lt;CapEx!$O$7,0,(VLOOKUP($B49,Inputs!$F$3:$H$17,3,0)*((1+Inputs!$L$3)^Financials!HI$3)))</f>
        <v>0</v>
      </c>
      <c r="HJ49" s="18">
        <f>IF(HJ$1&lt;CapEx!$O$7,0,(VLOOKUP($B49,Inputs!$F$3:$H$17,3,0)*((1+Inputs!$L$3)^Financials!HJ$3)))</f>
        <v>0</v>
      </c>
      <c r="HK49" s="18">
        <f>IF(HK$1&lt;CapEx!$O$7,0,(VLOOKUP($B49,Inputs!$F$3:$H$17,3,0)*((1+Inputs!$L$3)^Financials!HK$3)))</f>
        <v>0</v>
      </c>
      <c r="HL49" s="18">
        <f>IF(HL$1&lt;CapEx!$O$7,0,(VLOOKUP($B49,Inputs!$F$3:$H$17,3,0)*((1+Inputs!$L$3)^Financials!HL$3)))</f>
        <v>0</v>
      </c>
      <c r="HM49" s="18">
        <f>IF(HM$1&lt;CapEx!$O$7,0,(VLOOKUP($B49,Inputs!$F$3:$H$17,3,0)*((1+Inputs!$L$3)^Financials!HM$3)))</f>
        <v>0</v>
      </c>
      <c r="HN49" s="18">
        <f>IF(HN$1&lt;CapEx!$O$7,0,(VLOOKUP($B49,Inputs!$F$3:$H$17,3,0)*((1+Inputs!$L$3)^Financials!HN$3)))</f>
        <v>0</v>
      </c>
      <c r="HO49" s="18">
        <f>IF(HO$1&lt;CapEx!$O$7,0,(VLOOKUP($B49,Inputs!$F$3:$H$17,3,0)*((1+Inputs!$L$3)^Financials!HO$3)))</f>
        <v>0</v>
      </c>
      <c r="HP49" s="18">
        <f>IF(HP$1&lt;CapEx!$O$7,0,(VLOOKUP($B49,Inputs!$F$3:$H$17,3,0)*((1+Inputs!$L$3)^Financials!HP$3)))</f>
        <v>0</v>
      </c>
      <c r="HQ49" s="18">
        <f>IF(HQ$1&lt;CapEx!$O$7,0,(VLOOKUP($B49,Inputs!$F$3:$H$17,3,0)*((1+Inputs!$L$3)^Financials!HQ$3)))</f>
        <v>0</v>
      </c>
      <c r="HR49" s="18">
        <f>IF(HR$1&lt;CapEx!$O$7,0,(VLOOKUP($B49,Inputs!$F$3:$H$17,3,0)*((1+Inputs!$L$3)^Financials!HR$3)))</f>
        <v>0</v>
      </c>
      <c r="HS49" s="18">
        <f>IF(HS$1&lt;CapEx!$O$7,0,(VLOOKUP($B49,Inputs!$F$3:$H$17,3,0)*((1+Inputs!$L$3)^Financials!HS$3)))</f>
        <v>0</v>
      </c>
      <c r="HT49" s="18">
        <f>IF(HT$1&lt;CapEx!$O$7,0,(VLOOKUP($B49,Inputs!$F$3:$H$17,3,0)*((1+Inputs!$L$3)^Financials!HT$3)))</f>
        <v>0</v>
      </c>
      <c r="HU49" s="18">
        <f>IF(HU$1&lt;CapEx!$O$7,0,(VLOOKUP($B49,Inputs!$F$3:$H$17,3,0)*((1+Inputs!$L$3)^Financials!HU$3)))</f>
        <v>0</v>
      </c>
      <c r="HV49" s="18">
        <f>IF(HV$1&lt;CapEx!$O$7,0,(VLOOKUP($B49,Inputs!$F$3:$H$17,3,0)*((1+Inputs!$L$3)^Financials!HV$3)))</f>
        <v>0</v>
      </c>
      <c r="HW49" s="18">
        <f>IF(HW$1&lt;CapEx!$O$7,0,(VLOOKUP($B49,Inputs!$F$3:$H$17,3,0)*((1+Inputs!$L$3)^Financials!HW$3)))</f>
        <v>0</v>
      </c>
      <c r="HX49" s="18">
        <f>IF(HX$1&lt;CapEx!$O$7,0,(VLOOKUP($B49,Inputs!$F$3:$H$17,3,0)*((1+Inputs!$L$3)^Financials!HX$3)))</f>
        <v>0</v>
      </c>
      <c r="HY49" s="18">
        <f>IF(HY$1&lt;CapEx!$O$7,0,(VLOOKUP($B49,Inputs!$F$3:$H$17,3,0)*((1+Inputs!$L$3)^Financials!HY$3)))</f>
        <v>0</v>
      </c>
      <c r="HZ49" s="18">
        <f>IF(HZ$1&lt;CapEx!$O$7,0,(VLOOKUP($B49,Inputs!$F$3:$H$17,3,0)*((1+Inputs!$L$3)^Financials!HZ$3)))</f>
        <v>0</v>
      </c>
      <c r="IA49" s="18">
        <f>IF(IA$1&lt;CapEx!$O$7,0,(VLOOKUP($B49,Inputs!$F$3:$H$17,3,0)*((1+Inputs!$L$3)^Financials!IA$3)))</f>
        <v>0</v>
      </c>
      <c r="IB49" s="18">
        <f>IF(IB$1&lt;CapEx!$O$7,0,(VLOOKUP($B49,Inputs!$F$3:$H$17,3,0)*((1+Inputs!$L$3)^Financials!IB$3)))</f>
        <v>0</v>
      </c>
      <c r="IC49" s="18">
        <f>IF(IC$1&lt;CapEx!$O$7,0,(VLOOKUP($B49,Inputs!$F$3:$H$17,3,0)*((1+Inputs!$L$3)^Financials!IC$3)))</f>
        <v>0</v>
      </c>
      <c r="ID49" s="18">
        <f>IF(ID$1&lt;CapEx!$O$7,0,(VLOOKUP($B49,Inputs!$F$3:$H$17,3,0)*((1+Inputs!$L$3)^Financials!ID$3)))</f>
        <v>0</v>
      </c>
      <c r="IE49" s="18">
        <f>IF(IE$1&lt;CapEx!$O$7,0,(VLOOKUP($B49,Inputs!$F$3:$H$17,3,0)*((1+Inputs!$L$3)^Financials!IE$3)))</f>
        <v>0</v>
      </c>
      <c r="IF49" s="18">
        <f>IF(IF$1&lt;CapEx!$O$7,0,(VLOOKUP($B49,Inputs!$F$3:$H$17,3,0)*((1+Inputs!$L$3)^Financials!IF$3)))</f>
        <v>0</v>
      </c>
      <c r="IG49" s="18">
        <f>IF(IG$1&lt;CapEx!$O$7,0,(VLOOKUP($B49,Inputs!$F$3:$H$17,3,0)*((1+Inputs!$L$3)^Financials!IG$3)))</f>
        <v>0</v>
      </c>
      <c r="IH49" s="18">
        <f>IF(IH$1&lt;CapEx!$O$7,0,(VLOOKUP($B49,Inputs!$F$3:$H$17,3,0)*((1+Inputs!$L$3)^Financials!IH$3)))</f>
        <v>0</v>
      </c>
      <c r="II49" s="18">
        <f>IF(II$1&lt;CapEx!$O$7,0,(VLOOKUP($B49,Inputs!$F$3:$H$17,3,0)*((1+Inputs!$L$3)^Financials!II$3)))</f>
        <v>0</v>
      </c>
      <c r="IJ49" s="18">
        <f>IF(IJ$1&lt;CapEx!$O$7,0,(VLOOKUP($B49,Inputs!$F$3:$H$17,3,0)*((1+Inputs!$L$3)^Financials!IJ$3)))</f>
        <v>0</v>
      </c>
      <c r="IK49" s="18">
        <f>IF(IK$1&lt;CapEx!$O$7,0,(VLOOKUP($B49,Inputs!$F$3:$H$17,3,0)*((1+Inputs!$L$3)^Financials!IK$3)))</f>
        <v>0</v>
      </c>
      <c r="IL49" s="18">
        <f>IF(IL$1&lt;CapEx!$O$7,0,(VLOOKUP($B49,Inputs!$F$3:$H$17,3,0)*((1+Inputs!$L$3)^Financials!IL$3)))</f>
        <v>0</v>
      </c>
      <c r="IM49" s="18">
        <f>IF(IM$1&lt;CapEx!$O$7,0,(VLOOKUP($B49,Inputs!$F$3:$H$17,3,0)*((1+Inputs!$L$3)^Financials!IM$3)))</f>
        <v>0</v>
      </c>
      <c r="IN49" s="18">
        <f>IF(IN$1&lt;CapEx!$O$7,0,(VLOOKUP($B49,Inputs!$F$3:$H$17,3,0)*((1+Inputs!$L$3)^Financials!IN$3)))</f>
        <v>0</v>
      </c>
      <c r="IO49" s="18">
        <f>IF(IO$1&lt;CapEx!$O$7,0,(VLOOKUP($B49,Inputs!$F$3:$H$17,3,0)*((1+Inputs!$L$3)^Financials!IO$3)))</f>
        <v>0</v>
      </c>
      <c r="IP49" s="18">
        <f>IF(IP$1&lt;CapEx!$O$7,0,(VLOOKUP($B49,Inputs!$F$3:$H$17,3,0)*((1+Inputs!$L$3)^Financials!IP$3)))</f>
        <v>0</v>
      </c>
      <c r="IQ49" s="18">
        <f>IF(IQ$1&lt;CapEx!$O$7,0,(VLOOKUP($B49,Inputs!$F$3:$H$17,3,0)*((1+Inputs!$L$3)^Financials!IQ$3)))</f>
        <v>0</v>
      </c>
      <c r="IR49" s="18">
        <f>IF(IR$1&lt;CapEx!$O$7,0,(VLOOKUP($B49,Inputs!$F$3:$H$17,3,0)*((1+Inputs!$L$3)^Financials!IR$3)))</f>
        <v>0</v>
      </c>
      <c r="IS49" s="18">
        <f>IF(IS$1&lt;CapEx!$O$7,0,(VLOOKUP($B49,Inputs!$F$3:$H$17,3,0)*((1+Inputs!$L$3)^Financials!IS$3)))</f>
        <v>0</v>
      </c>
      <c r="IT49" s="18">
        <f>IF(IT$1&lt;CapEx!$O$7,0,(VLOOKUP($B49,Inputs!$F$3:$H$17,3,0)*((1+Inputs!$L$3)^Financials!IT$3)))</f>
        <v>0</v>
      </c>
      <c r="IU49" s="18">
        <f>IF(IU$1&lt;CapEx!$O$7,0,(VLOOKUP($B49,Inputs!$F$3:$H$17,3,0)*((1+Inputs!$L$3)^Financials!IU$3)))</f>
        <v>0</v>
      </c>
      <c r="IV49" s="18">
        <f>IF(IV$1&lt;CapEx!$O$7,0,(VLOOKUP($B49,Inputs!$F$3:$H$17,3,0)*((1+Inputs!$L$3)^Financials!IV$3)))</f>
        <v>0</v>
      </c>
      <c r="IW49" s="18">
        <f>IF(IW$1&lt;CapEx!$O$7,0,(VLOOKUP($B49,Inputs!$F$3:$H$17,3,0)*((1+Inputs!$L$3)^Financials!IW$3)))</f>
        <v>0</v>
      </c>
      <c r="IX49" s="18">
        <f>IF(IX$1&lt;CapEx!$O$7,0,(VLOOKUP($B49,Inputs!$F$3:$H$17,3,0)*((1+Inputs!$L$3)^Financials!IX$3)))</f>
        <v>0</v>
      </c>
      <c r="IY49" s="18">
        <f>IF(IY$1&lt;CapEx!$O$7,0,(VLOOKUP($B49,Inputs!$F$3:$H$17,3,0)*((1+Inputs!$L$3)^Financials!IY$3)))</f>
        <v>0</v>
      </c>
      <c r="IZ49" s="18">
        <f>IF(IZ$1&lt;CapEx!$O$7,0,(VLOOKUP($B49,Inputs!$F$3:$H$17,3,0)*((1+Inputs!$L$3)^Financials!IZ$3)))</f>
        <v>0</v>
      </c>
      <c r="JA49" s="18">
        <f>IF(JA$1&lt;CapEx!$O$7,0,(VLOOKUP($B49,Inputs!$F$3:$H$17,3,0)*((1+Inputs!$L$3)^Financials!JA$3)))</f>
        <v>0</v>
      </c>
      <c r="JB49" s="18">
        <f>IF(JB$1&lt;CapEx!$O$7,0,(VLOOKUP($B49,Inputs!$F$3:$H$17,3,0)*((1+Inputs!$L$3)^Financials!JB$3)))</f>
        <v>0</v>
      </c>
      <c r="JC49" s="18">
        <f>IF(JC$1&lt;CapEx!$O$7,0,(VLOOKUP($B49,Inputs!$F$3:$H$17,3,0)*((1+Inputs!$L$3)^Financials!JC$3)))</f>
        <v>0</v>
      </c>
      <c r="JD49" s="18">
        <f>IF(JD$1&lt;CapEx!$O$7,0,(VLOOKUP($B49,Inputs!$F$3:$H$17,3,0)*((1+Inputs!$L$3)^Financials!JD$3)))</f>
        <v>0</v>
      </c>
      <c r="JE49" s="18">
        <f>IF(JE$1&lt;CapEx!$O$7,0,(VLOOKUP($B49,Inputs!$F$3:$H$17,3,0)*((1+Inputs!$L$3)^Financials!JE$3)))</f>
        <v>0</v>
      </c>
      <c r="JF49" s="18">
        <f>IF(JF$1&lt;CapEx!$O$7,0,(VLOOKUP($B49,Inputs!$F$3:$H$17,3,0)*((1+Inputs!$L$3)^Financials!JF$3)))</f>
        <v>0</v>
      </c>
      <c r="JG49" s="18">
        <f>IF(JG$1&lt;CapEx!$O$7,0,(VLOOKUP($B49,Inputs!$F$3:$H$17,3,0)*((1+Inputs!$L$3)^Financials!JG$3)))</f>
        <v>0</v>
      </c>
      <c r="JH49" s="18">
        <f>IF(JH$1&lt;CapEx!$O$7,0,(VLOOKUP($B49,Inputs!$F$3:$H$17,3,0)*((1+Inputs!$L$3)^Financials!JH$3)))</f>
        <v>0</v>
      </c>
      <c r="JI49" s="18">
        <f>IF(JI$1&lt;CapEx!$O$7,0,(VLOOKUP($B49,Inputs!$F$3:$H$17,3,0)*((1+Inputs!$L$3)^Financials!JI$3)))</f>
        <v>0</v>
      </c>
      <c r="JJ49" s="18">
        <f>IF(JJ$1&lt;CapEx!$O$7,0,(VLOOKUP($B49,Inputs!$F$3:$H$17,3,0)*((1+Inputs!$L$3)^Financials!JJ$3)))</f>
        <v>0</v>
      </c>
      <c r="JK49" s="18">
        <f>IF(JK$1&lt;CapEx!$O$7,0,(VLOOKUP($B49,Inputs!$F$3:$H$17,3,0)*((1+Inputs!$L$3)^Financials!JK$3)))</f>
        <v>0</v>
      </c>
      <c r="JL49" s="18">
        <f>IF(JL$1&lt;CapEx!$O$7,0,(VLOOKUP($B49,Inputs!$F$3:$H$17,3,0)*((1+Inputs!$L$3)^Financials!JL$3)))</f>
        <v>0</v>
      </c>
      <c r="JM49" s="18">
        <f>IF(JM$1&lt;CapEx!$O$7,0,(VLOOKUP($B49,Inputs!$F$3:$H$17,3,0)*((1+Inputs!$L$3)^Financials!JM$3)))</f>
        <v>0</v>
      </c>
      <c r="JN49" s="18">
        <f>IF(JN$1&lt;CapEx!$O$7,0,(VLOOKUP($B49,Inputs!$F$3:$H$17,3,0)*((1+Inputs!$L$3)^Financials!JN$3)))</f>
        <v>0</v>
      </c>
      <c r="JO49" s="18">
        <f>IF(JO$1&lt;CapEx!$O$7,0,(VLOOKUP($B49,Inputs!$F$3:$H$17,3,0)*((1+Inputs!$L$3)^Financials!JO$3)))</f>
        <v>0</v>
      </c>
      <c r="JP49" s="18">
        <f>IF(JP$1&lt;CapEx!$O$7,0,(VLOOKUP($B49,Inputs!$F$3:$H$17,3,0)*((1+Inputs!$L$3)^Financials!JP$3)))</f>
        <v>0</v>
      </c>
      <c r="JQ49" s="18">
        <f>IF(JQ$1&lt;CapEx!$O$7,0,(VLOOKUP($B49,Inputs!$F$3:$H$17,3,0)*((1+Inputs!$L$3)^Financials!JQ$3)))</f>
        <v>0</v>
      </c>
      <c r="JR49" s="18">
        <f>IF(JR$1&lt;CapEx!$O$7,0,(VLOOKUP($B49,Inputs!$F$3:$H$17,3,0)*((1+Inputs!$L$3)^Financials!JR$3)))</f>
        <v>0</v>
      </c>
    </row>
    <row r="50" spans="2:278" x14ac:dyDescent="0.2">
      <c r="B50" s="21" t="str">
        <f>'Data Sources'!A97</f>
        <v>Accounting &amp; Auditing</v>
      </c>
      <c r="C50" s="18">
        <f>IF(C$1&lt;CapEx!$O$7,0,(VLOOKUP($B50,Inputs!$F$3:$H$17,3,0)*((1+Inputs!$L$3)^Financials!C$3)))</f>
        <v>0</v>
      </c>
      <c r="D50" s="18">
        <f>IF(D$1&lt;CapEx!$O$7,0,(VLOOKUP($B50,Inputs!$F$3:$H$17,3,0)*((1+Inputs!$L$3)^Financials!D$3)))</f>
        <v>0</v>
      </c>
      <c r="E50" s="18">
        <f>IF(E$1&lt;CapEx!$O$7,0,(VLOOKUP($B50,Inputs!$F$3:$H$17,3,0)*((1+Inputs!$L$3)^Financials!E$3)))</f>
        <v>0</v>
      </c>
      <c r="F50" s="18">
        <f>IF(F$1&lt;CapEx!$O$7,0,(VLOOKUP($B50,Inputs!$F$3:$H$17,3,0)*((1+Inputs!$L$3)^Financials!F$3)))</f>
        <v>0</v>
      </c>
      <c r="G50" s="18">
        <f>IF(G$1&lt;CapEx!$O$7,0,(VLOOKUP($B50,Inputs!$F$3:$H$17,3,0)*((1+Inputs!$L$3)^Financials!G$3)))</f>
        <v>0</v>
      </c>
      <c r="H50" s="18">
        <f>IF(H$1&lt;CapEx!$O$7,0,(VLOOKUP($B50,Inputs!$F$3:$H$17,3,0)*((1+Inputs!$L$3)^Financials!H$3)))</f>
        <v>0</v>
      </c>
      <c r="I50" s="18">
        <f>IF(I$1&lt;CapEx!$O$7,0,(VLOOKUP($B50,Inputs!$F$3:$H$17,3,0)*((1+Inputs!$L$3)^Financials!I$3)))</f>
        <v>0</v>
      </c>
      <c r="J50" s="18">
        <f>IF(J$1&lt;CapEx!$O$7,0,(VLOOKUP($B50,Inputs!$F$3:$H$17,3,0)*((1+Inputs!$L$3)^Financials!J$3)))</f>
        <v>0</v>
      </c>
      <c r="K50" s="18">
        <f>IF(K$1&lt;CapEx!$O$7,0,(VLOOKUP($B50,Inputs!$F$3:$H$17,3,0)*((1+Inputs!$L$3)^Financials!K$3)))</f>
        <v>0</v>
      </c>
      <c r="L50" s="18">
        <f>IF(L$1&lt;CapEx!$O$7,0,(VLOOKUP($B50,Inputs!$F$3:$H$17,3,0)*((1+Inputs!$L$3)^Financials!L$3)))</f>
        <v>0</v>
      </c>
      <c r="M50" s="18">
        <f>IF(M$1&lt;CapEx!$O$7,0,(VLOOKUP($B50,Inputs!$F$3:$H$17,3,0)*((1+Inputs!$L$3)^Financials!M$3)))</f>
        <v>0</v>
      </c>
      <c r="N50" s="18">
        <f>IF(N$1&lt;CapEx!$O$7,0,(VLOOKUP($B50,Inputs!$F$3:$H$17,3,0)*((1+Inputs!$L$3)^Financials!N$3)))</f>
        <v>0</v>
      </c>
      <c r="O50" s="18">
        <f>IF(O$1&lt;CapEx!$O$7,0,(VLOOKUP($B50,Inputs!$F$3:$H$17,3,0)*((1+Inputs!$L$3)^Financials!O$3)))</f>
        <v>0</v>
      </c>
      <c r="P50" s="18">
        <f>IF(P$1&lt;CapEx!$O$7,0,(VLOOKUP($B50,Inputs!$F$3:$H$17,3,0)*((1+Inputs!$L$3)^Financials!P$3)))</f>
        <v>0</v>
      </c>
      <c r="Q50" s="18">
        <f>IF(Q$1&lt;CapEx!$O$7,0,(VLOOKUP($B50,Inputs!$F$3:$H$17,3,0)*((1+Inputs!$L$3)^Financials!Q$3)))</f>
        <v>0</v>
      </c>
      <c r="R50" s="18">
        <f>IF(R$1&lt;CapEx!$O$7,0,(VLOOKUP($B50,Inputs!$F$3:$H$17,3,0)*((1+Inputs!$L$3)^Financials!R$3)))</f>
        <v>7083.333333333333</v>
      </c>
      <c r="S50" s="18">
        <f>IF(S$1&lt;CapEx!$O$7,0,(VLOOKUP($B50,Inputs!$F$3:$H$17,3,0)*((1+Inputs!$L$3)^Financials!S$3)))</f>
        <v>7095.1388888888887</v>
      </c>
      <c r="T50" s="18">
        <f>IF(T$1&lt;CapEx!$O$7,0,(VLOOKUP($B50,Inputs!$F$3:$H$17,3,0)*((1+Inputs!$L$3)^Financials!T$3)))</f>
        <v>7106.9641203703704</v>
      </c>
      <c r="U50" s="18">
        <f>IF(U$1&lt;CapEx!$O$7,0,(VLOOKUP($B50,Inputs!$F$3:$H$17,3,0)*((1+Inputs!$L$3)^Financials!U$3)))</f>
        <v>7118.8090605709885</v>
      </c>
      <c r="V50" s="18">
        <f>IF(V$1&lt;CapEx!$O$7,0,(VLOOKUP($B50,Inputs!$F$3:$H$17,3,0)*((1+Inputs!$L$3)^Financials!V$3)))</f>
        <v>7130.6737423386076</v>
      </c>
      <c r="W50" s="18">
        <f>IF(W$1&lt;CapEx!$O$7,0,(VLOOKUP($B50,Inputs!$F$3:$H$17,3,0)*((1+Inputs!$L$3)^Financials!W$3)))</f>
        <v>7142.5581985758381</v>
      </c>
      <c r="X50" s="18">
        <f>IF(X$1&lt;CapEx!$O$7,0,(VLOOKUP($B50,Inputs!$F$3:$H$17,3,0)*((1+Inputs!$L$3)^Financials!X$3)))</f>
        <v>7154.4624622401316</v>
      </c>
      <c r="Y50" s="18">
        <f>IF(Y$1&lt;CapEx!$O$7,0,(VLOOKUP($B50,Inputs!$F$3:$H$17,3,0)*((1+Inputs!$L$3)^Financials!Y$3)))</f>
        <v>7166.3865663438655</v>
      </c>
      <c r="Z50" s="18">
        <f>IF(Z$1&lt;CapEx!$O$7,0,(VLOOKUP($B50,Inputs!$F$3:$H$17,3,0)*((1+Inputs!$L$3)^Financials!Z$3)))</f>
        <v>7178.3305439544401</v>
      </c>
      <c r="AA50" s="18">
        <f>IF(AA$1&lt;CapEx!$O$7,0,(VLOOKUP($B50,Inputs!$F$3:$H$17,3,0)*((1+Inputs!$L$3)^Financials!AA$3)))</f>
        <v>7190.2944281943637</v>
      </c>
      <c r="AB50" s="18">
        <f>IF(AB$1&lt;CapEx!$O$7,0,(VLOOKUP($B50,Inputs!$F$3:$H$17,3,0)*((1+Inputs!$L$3)^Financials!AB$3)))</f>
        <v>7202.2782522413554</v>
      </c>
      <c r="AC50" s="18">
        <f>IF(AC$1&lt;CapEx!$O$7,0,(VLOOKUP($B50,Inputs!$F$3:$H$17,3,0)*((1+Inputs!$L$3)^Financials!AC$3)))</f>
        <v>7214.2820493284244</v>
      </c>
      <c r="AD50" s="18">
        <f>IF(AD$1&lt;CapEx!$O$7,0,(VLOOKUP($B50,Inputs!$F$3:$H$17,3,0)*((1+Inputs!$L$3)^Financials!AD$3)))</f>
        <v>7226.3058527439725</v>
      </c>
      <c r="AE50" s="18">
        <f>IF(AE$1&lt;CapEx!$O$7,0,(VLOOKUP($B50,Inputs!$F$3:$H$17,3,0)*((1+Inputs!$L$3)^Financials!AE$3)))</f>
        <v>7238.3496958318792</v>
      </c>
      <c r="AF50" s="18">
        <f>IF(AF$1&lt;CapEx!$O$7,0,(VLOOKUP($B50,Inputs!$F$3:$H$17,3,0)*((1+Inputs!$L$3)^Financials!AF$3)))</f>
        <v>7250.4136119916002</v>
      </c>
      <c r="AG50" s="18">
        <f>IF(AG$1&lt;CapEx!$O$7,0,(VLOOKUP($B50,Inputs!$F$3:$H$17,3,0)*((1+Inputs!$L$3)^Financials!AG$3)))</f>
        <v>7262.4976346782532</v>
      </c>
      <c r="AH50" s="18">
        <f>IF(AH$1&lt;CapEx!$O$7,0,(VLOOKUP($B50,Inputs!$F$3:$H$17,3,0)*((1+Inputs!$L$3)^Financials!AH$3)))</f>
        <v>7274.6017974027181</v>
      </c>
      <c r="AI50" s="18">
        <f>IF(AI$1&lt;CapEx!$O$7,0,(VLOOKUP($B50,Inputs!$F$3:$H$17,3,0)*((1+Inputs!$L$3)^Financials!AI$3)))</f>
        <v>7286.7261337317223</v>
      </c>
      <c r="AJ50" s="18">
        <f>IF(AJ$1&lt;CapEx!$O$7,0,(VLOOKUP($B50,Inputs!$F$3:$H$17,3,0)*((1+Inputs!$L$3)^Financials!AJ$3)))</f>
        <v>7298.8706772879423</v>
      </c>
      <c r="AK50" s="18">
        <f>IF(AK$1&lt;CapEx!$O$7,0,(VLOOKUP($B50,Inputs!$F$3:$H$17,3,0)*((1+Inputs!$L$3)^Financials!AK$3)))</f>
        <v>7311.0354617500907</v>
      </c>
      <c r="AL50" s="18">
        <f>IF(AL$1&lt;CapEx!$O$7,0,(VLOOKUP($B50,Inputs!$F$3:$H$17,3,0)*((1+Inputs!$L$3)^Financials!AL$3)))</f>
        <v>7323.2205208530067</v>
      </c>
      <c r="AM50" s="18">
        <f>IF(AM$1&lt;CapEx!$O$7,0,(VLOOKUP($B50,Inputs!$F$3:$H$17,3,0)*((1+Inputs!$L$3)^Financials!AM$3)))</f>
        <v>7335.4258883877628</v>
      </c>
      <c r="AN50" s="18">
        <f>IF(AN$1&lt;CapEx!$O$7,0,(VLOOKUP($B50,Inputs!$F$3:$H$17,3,0)*((1+Inputs!$L$3)^Financials!AN$3)))</f>
        <v>7347.6515982017418</v>
      </c>
      <c r="AO50" s="18">
        <f>IF(AO$1&lt;CapEx!$O$7,0,(VLOOKUP($B50,Inputs!$F$3:$H$17,3,0)*((1+Inputs!$L$3)^Financials!AO$3)))</f>
        <v>7359.897684198746</v>
      </c>
      <c r="AP50" s="18">
        <f>IF(AP$1&lt;CapEx!$O$7,0,(VLOOKUP($B50,Inputs!$F$3:$H$17,3,0)*((1+Inputs!$L$3)^Financials!AP$3)))</f>
        <v>7372.1641803390794</v>
      </c>
      <c r="AQ50" s="18">
        <f>IF(AQ$1&lt;CapEx!$O$7,0,(VLOOKUP($B50,Inputs!$F$3:$H$17,3,0)*((1+Inputs!$L$3)^Financials!AQ$3)))</f>
        <v>7384.4511206396428</v>
      </c>
      <c r="AR50" s="18">
        <f>IF(AR$1&lt;CapEx!$O$7,0,(VLOOKUP($B50,Inputs!$F$3:$H$17,3,0)*((1+Inputs!$L$3)^Financials!AR$3)))</f>
        <v>7396.7585391740431</v>
      </c>
      <c r="AS50" s="18">
        <f>IF(AS$1&lt;CapEx!$O$7,0,(VLOOKUP($B50,Inputs!$F$3:$H$17,3,0)*((1+Inputs!$L$3)^Financials!AS$3)))</f>
        <v>7409.086470072667</v>
      </c>
      <c r="AT50" s="18">
        <f>IF(AT$1&lt;CapEx!$O$7,0,(VLOOKUP($B50,Inputs!$F$3:$H$17,3,0)*((1+Inputs!$L$3)^Financials!AT$3)))</f>
        <v>7421.4349475227882</v>
      </c>
      <c r="AU50" s="18">
        <f>IF(AU$1&lt;CapEx!$O$7,0,(VLOOKUP($B50,Inputs!$F$3:$H$17,3,0)*((1+Inputs!$L$3)^Financials!AU$3)))</f>
        <v>7433.8040057686612</v>
      </c>
      <c r="AV50" s="18">
        <f>IF(AV$1&lt;CapEx!$O$7,0,(VLOOKUP($B50,Inputs!$F$3:$H$17,3,0)*((1+Inputs!$L$3)^Financials!AV$3)))</f>
        <v>7446.1936791116086</v>
      </c>
      <c r="AW50" s="18">
        <f>IF(AW$1&lt;CapEx!$O$7,0,(VLOOKUP($B50,Inputs!$F$3:$H$17,3,0)*((1+Inputs!$L$3)^Financials!AW$3)))</f>
        <v>7458.6040019101292</v>
      </c>
      <c r="AX50" s="18">
        <f>IF(AX$1&lt;CapEx!$O$7,0,(VLOOKUP($B50,Inputs!$F$3:$H$17,3,0)*((1+Inputs!$L$3)^Financials!AX$3)))</f>
        <v>7471.0350085799801</v>
      </c>
      <c r="AY50" s="18">
        <f>IF(AY$1&lt;CapEx!$O$7,0,(VLOOKUP($B50,Inputs!$F$3:$H$17,3,0)*((1+Inputs!$L$3)^Financials!AY$3)))</f>
        <v>7483.4867335942808</v>
      </c>
      <c r="AZ50" s="18">
        <f>IF(AZ$1&lt;CapEx!$O$7,0,(VLOOKUP($B50,Inputs!$F$3:$H$17,3,0)*((1+Inputs!$L$3)^Financials!AZ$3)))</f>
        <v>7495.9592114836041</v>
      </c>
      <c r="BA50" s="18">
        <f>IF(BA$1&lt;CapEx!$O$7,0,(VLOOKUP($B50,Inputs!$F$3:$H$17,3,0)*((1+Inputs!$L$3)^Financials!BA$3)))</f>
        <v>7508.4524768360779</v>
      </c>
      <c r="BB50" s="18">
        <f>IF(BB$1&lt;CapEx!$O$7,0,(VLOOKUP($B50,Inputs!$F$3:$H$17,3,0)*((1+Inputs!$L$3)^Financials!BB$3)))</f>
        <v>7520.9665642974715</v>
      </c>
      <c r="BC50" s="18">
        <f>IF(BC$1&lt;CapEx!$O$7,0,(VLOOKUP($B50,Inputs!$F$3:$H$17,3,0)*((1+Inputs!$L$3)^Financials!BC$3)))</f>
        <v>7533.5015085713012</v>
      </c>
      <c r="BD50" s="18">
        <f>IF(BD$1&lt;CapEx!$O$7,0,(VLOOKUP($B50,Inputs!$F$3:$H$17,3,0)*((1+Inputs!$L$3)^Financials!BD$3)))</f>
        <v>7546.0573444189195</v>
      </c>
      <c r="BE50" s="18">
        <f>IF(BE$1&lt;CapEx!$O$7,0,(VLOOKUP($B50,Inputs!$F$3:$H$17,3,0)*((1+Inputs!$L$3)^Financials!BE$3)))</f>
        <v>7558.6341066596196</v>
      </c>
      <c r="BF50" s="18">
        <f>IF(BF$1&lt;CapEx!$O$7,0,(VLOOKUP($B50,Inputs!$F$3:$H$17,3,0)*((1+Inputs!$L$3)^Financials!BF$3)))</f>
        <v>7571.231830170721</v>
      </c>
      <c r="BG50" s="18">
        <f>IF(BG$1&lt;CapEx!$O$7,0,(VLOOKUP($B50,Inputs!$F$3:$H$17,3,0)*((1+Inputs!$L$3)^Financials!BG$3)))</f>
        <v>7583.8505498876702</v>
      </c>
      <c r="BH50" s="18">
        <f>IF(BH$1&lt;CapEx!$O$7,0,(VLOOKUP($B50,Inputs!$F$3:$H$17,3,0)*((1+Inputs!$L$3)^Financials!BH$3)))</f>
        <v>7596.4903008041501</v>
      </c>
      <c r="BI50" s="18">
        <f>IF(BI$1&lt;CapEx!$O$7,0,(VLOOKUP($B50,Inputs!$F$3:$H$17,3,0)*((1+Inputs!$L$3)^Financials!BI$3)))</f>
        <v>7609.1511179721583</v>
      </c>
      <c r="BJ50" s="18">
        <f>IF(BJ$1&lt;CapEx!$O$7,0,(VLOOKUP($B50,Inputs!$F$3:$H$17,3,0)*((1+Inputs!$L$3)^Financials!BJ$3)))</f>
        <v>7621.8330365021111</v>
      </c>
      <c r="BK50" s="18">
        <f>IF(BK$1&lt;CapEx!$O$7,0,(VLOOKUP($B50,Inputs!$F$3:$H$17,3,0)*((1+Inputs!$L$3)^Financials!BK$3)))</f>
        <v>7634.5360915629499</v>
      </c>
      <c r="BL50" s="18">
        <f>IF(BL$1&lt;CapEx!$O$7,0,(VLOOKUP($B50,Inputs!$F$3:$H$17,3,0)*((1+Inputs!$L$3)^Financials!BL$3)))</f>
        <v>7647.2603183822221</v>
      </c>
      <c r="BM50" s="18">
        <f>IF(BM$1&lt;CapEx!$O$7,0,(VLOOKUP($B50,Inputs!$F$3:$H$17,3,0)*((1+Inputs!$L$3)^Financials!BM$3)))</f>
        <v>7660.005752246193</v>
      </c>
      <c r="BN50" s="18">
        <f>IF(BN$1&lt;CapEx!$O$7,0,(VLOOKUP($B50,Inputs!$F$3:$H$17,3,0)*((1+Inputs!$L$3)^Financials!BN$3)))</f>
        <v>7672.7724284999376</v>
      </c>
      <c r="BO50" s="18">
        <f>IF(BO$1&lt;CapEx!$O$7,0,(VLOOKUP($B50,Inputs!$F$3:$H$17,3,0)*((1+Inputs!$L$3)^Financials!BO$3)))</f>
        <v>7685.5603825474373</v>
      </c>
      <c r="BP50" s="18">
        <f>IF(BP$1&lt;CapEx!$O$7,0,(VLOOKUP($B50,Inputs!$F$3:$H$17,3,0)*((1+Inputs!$L$3)^Financials!BP$3)))</f>
        <v>7698.3696498516829</v>
      </c>
      <c r="BQ50" s="18">
        <f>IF(BQ$1&lt;CapEx!$O$7,0,(VLOOKUP($B50,Inputs!$F$3:$H$17,3,0)*((1+Inputs!$L$3)^Financials!BQ$3)))</f>
        <v>7711.2002659347709</v>
      </c>
      <c r="BR50" s="18">
        <f>IF(BR$1&lt;CapEx!$O$7,0,(VLOOKUP($B50,Inputs!$F$3:$H$17,3,0)*((1+Inputs!$L$3)^Financials!BR$3)))</f>
        <v>7724.0522663779948</v>
      </c>
      <c r="BS50" s="18">
        <f>IF(BS$1&lt;CapEx!$O$7,0,(VLOOKUP($B50,Inputs!$F$3:$H$17,3,0)*((1+Inputs!$L$3)^Financials!BS$3)))</f>
        <v>7736.92568682196</v>
      </c>
      <c r="BT50" s="18">
        <f>IF(BT$1&lt;CapEx!$O$7,0,(VLOOKUP($B50,Inputs!$F$3:$H$17,3,0)*((1+Inputs!$L$3)^Financials!BT$3)))</f>
        <v>7749.8205629666636</v>
      </c>
      <c r="BU50" s="18">
        <f>IF(BU$1&lt;CapEx!$O$7,0,(VLOOKUP($B50,Inputs!$F$3:$H$17,3,0)*((1+Inputs!$L$3)^Financials!BU$3)))</f>
        <v>7762.7369305716084</v>
      </c>
      <c r="BV50" s="18">
        <f>IF(BV$1&lt;CapEx!$O$7,0,(VLOOKUP($B50,Inputs!$F$3:$H$17,3,0)*((1+Inputs!$L$3)^Financials!BV$3)))</f>
        <v>7775.6748254558952</v>
      </c>
      <c r="BW50" s="18">
        <f>IF(BW$1&lt;CapEx!$O$7,0,(VLOOKUP($B50,Inputs!$F$3:$H$17,3,0)*((1+Inputs!$L$3)^Financials!BW$3)))</f>
        <v>7788.6342834983216</v>
      </c>
      <c r="BX50" s="18">
        <f>IF(BX$1&lt;CapEx!$O$7,0,(VLOOKUP($B50,Inputs!$F$3:$H$17,3,0)*((1+Inputs!$L$3)^Financials!BX$3)))</f>
        <v>7801.6153406374851</v>
      </c>
      <c r="BY50" s="18">
        <f>IF(BY$1&lt;CapEx!$O$7,0,(VLOOKUP($B50,Inputs!$F$3:$H$17,3,0)*((1+Inputs!$L$3)^Financials!BY$3)))</f>
        <v>7814.618032871882</v>
      </c>
      <c r="BZ50" s="18">
        <f>IF(BZ$1&lt;CapEx!$O$7,0,(VLOOKUP($B50,Inputs!$F$3:$H$17,3,0)*((1+Inputs!$L$3)^Financials!BZ$3)))</f>
        <v>7827.642396260002</v>
      </c>
      <c r="CA50" s="18">
        <f>IF(CA$1&lt;CapEx!$O$7,0,(VLOOKUP($B50,Inputs!$F$3:$H$17,3,0)*((1+Inputs!$L$3)^Financials!CA$3)))</f>
        <v>7840.6884669204364</v>
      </c>
      <c r="CB50" s="18">
        <f>IF(CB$1&lt;CapEx!$O$7,0,(VLOOKUP($B50,Inputs!$F$3:$H$17,3,0)*((1+Inputs!$L$3)^Financials!CB$3)))</f>
        <v>7853.7562810319705</v>
      </c>
      <c r="CC50" s="18">
        <f>IF(CC$1&lt;CapEx!$O$7,0,(VLOOKUP($B50,Inputs!$F$3:$H$17,3,0)*((1+Inputs!$L$3)^Financials!CC$3)))</f>
        <v>7866.8458748336925</v>
      </c>
      <c r="CD50" s="18">
        <f>IF(CD$1&lt;CapEx!$O$7,0,(VLOOKUP($B50,Inputs!$F$3:$H$17,3,0)*((1+Inputs!$L$3)^Financials!CD$3)))</f>
        <v>7879.9572846250821</v>
      </c>
      <c r="CE50" s="18">
        <f>IF(CE$1&lt;CapEx!$O$7,0,(VLOOKUP($B50,Inputs!$F$3:$H$17,3,0)*((1+Inputs!$L$3)^Financials!CE$3)))</f>
        <v>7893.090546766125</v>
      </c>
      <c r="CF50" s="18">
        <f>IF(CF$1&lt;CapEx!$O$7,0,(VLOOKUP($B50,Inputs!$F$3:$H$17,3,0)*((1+Inputs!$L$3)^Financials!CF$3)))</f>
        <v>7906.245697677401</v>
      </c>
      <c r="CG50" s="18">
        <f>IF(CG$1&lt;CapEx!$O$7,0,(VLOOKUP($B50,Inputs!$F$3:$H$17,3,0)*((1+Inputs!$L$3)^Financials!CG$3)))</f>
        <v>7919.4227738401978</v>
      </c>
      <c r="CH50" s="18">
        <f>IF(CH$1&lt;CapEx!$O$7,0,(VLOOKUP($B50,Inputs!$F$3:$H$17,3,0)*((1+Inputs!$L$3)^Financials!CH$3)))</f>
        <v>7932.6218117965982</v>
      </c>
      <c r="CI50" s="18">
        <f>IF(CI$1&lt;CapEx!$O$7,0,(VLOOKUP($B50,Inputs!$F$3:$H$17,3,0)*((1+Inputs!$L$3)^Financials!CI$3)))</f>
        <v>7945.842848149593</v>
      </c>
      <c r="CJ50" s="18">
        <f>IF(CJ$1&lt;CapEx!$O$7,0,(VLOOKUP($B50,Inputs!$F$3:$H$17,3,0)*((1+Inputs!$L$3)^Financials!CJ$3)))</f>
        <v>7959.0859195631756</v>
      </c>
      <c r="CK50" s="18">
        <f>IF(CK$1&lt;CapEx!$O$7,0,(VLOOKUP($B50,Inputs!$F$3:$H$17,3,0)*((1+Inputs!$L$3)^Financials!CK$3)))</f>
        <v>7972.3510627624482</v>
      </c>
      <c r="CL50" s="18">
        <f>IF(CL$1&lt;CapEx!$O$7,0,(VLOOKUP($B50,Inputs!$F$3:$H$17,3,0)*((1+Inputs!$L$3)^Financials!CL$3)))</f>
        <v>7985.6383145337204</v>
      </c>
      <c r="CM50" s="18">
        <f>IF(CM$1&lt;CapEx!$O$7,0,(VLOOKUP($B50,Inputs!$F$3:$H$17,3,0)*((1+Inputs!$L$3)^Financials!CM$3)))</f>
        <v>7998.9477117246097</v>
      </c>
      <c r="CN50" s="18">
        <f>IF(CN$1&lt;CapEx!$O$7,0,(VLOOKUP($B50,Inputs!$F$3:$H$17,3,0)*((1+Inputs!$L$3)^Financials!CN$3)))</f>
        <v>8012.2792912441519</v>
      </c>
      <c r="CO50" s="18">
        <f>IF(CO$1&lt;CapEx!$O$7,0,(VLOOKUP($B50,Inputs!$F$3:$H$17,3,0)*((1+Inputs!$L$3)^Financials!CO$3)))</f>
        <v>8025.6330900628927</v>
      </c>
      <c r="CP50" s="18">
        <f>IF(CP$1&lt;CapEx!$O$7,0,(VLOOKUP($B50,Inputs!$F$3:$H$17,3,0)*((1+Inputs!$L$3)^Financials!CP$3)))</f>
        <v>8039.0091452129982</v>
      </c>
      <c r="CQ50" s="18">
        <f>IF(CQ$1&lt;CapEx!$O$7,0,(VLOOKUP($B50,Inputs!$F$3:$H$17,3,0)*((1+Inputs!$L$3)^Financials!CQ$3)))</f>
        <v>8052.4074937883543</v>
      </c>
      <c r="CR50" s="18">
        <f>IF(CR$1&lt;CapEx!$O$7,0,(VLOOKUP($B50,Inputs!$F$3:$H$17,3,0)*((1+Inputs!$L$3)^Financials!CR$3)))</f>
        <v>8065.828172944668</v>
      </c>
      <c r="CS50" s="18">
        <f>IF(CS$1&lt;CapEx!$O$7,0,(VLOOKUP($B50,Inputs!$F$3:$H$17,3,0)*((1+Inputs!$L$3)^Financials!CS$3)))</f>
        <v>8079.271219899576</v>
      </c>
      <c r="CT50" s="18">
        <f>IF(CT$1&lt;CapEx!$O$7,0,(VLOOKUP($B50,Inputs!$F$3:$H$17,3,0)*((1+Inputs!$L$3)^Financials!CT$3)))</f>
        <v>8092.7366719327429</v>
      </c>
      <c r="CU50" s="18">
        <f>IF(CU$1&lt;CapEx!$O$7,0,(VLOOKUP($B50,Inputs!$F$3:$H$17,3,0)*((1+Inputs!$L$3)^Financials!CU$3)))</f>
        <v>8106.224566385964</v>
      </c>
      <c r="CV50" s="18">
        <f>IF(CV$1&lt;CapEx!$O$7,0,(VLOOKUP($B50,Inputs!$F$3:$H$17,3,0)*((1+Inputs!$L$3)^Financials!CV$3)))</f>
        <v>8119.7349406632748</v>
      </c>
      <c r="CW50" s="18">
        <f>IF(CW$1&lt;CapEx!$O$7,0,(VLOOKUP($B50,Inputs!$F$3:$H$17,3,0)*((1+Inputs!$L$3)^Financials!CW$3)))</f>
        <v>8133.2678322310485</v>
      </c>
      <c r="CX50" s="18">
        <f>IF(CX$1&lt;CapEx!$O$7,0,(VLOOKUP($B50,Inputs!$F$3:$H$17,3,0)*((1+Inputs!$L$3)^Financials!CX$3)))</f>
        <v>8146.8232786181006</v>
      </c>
      <c r="CY50" s="18">
        <f>IF(CY$1&lt;CapEx!$O$7,0,(VLOOKUP($B50,Inputs!$F$3:$H$17,3,0)*((1+Inputs!$L$3)^Financials!CY$3)))</f>
        <v>8160.401317415799</v>
      </c>
      <c r="CZ50" s="18">
        <f>IF(CZ$1&lt;CapEx!$O$7,0,(VLOOKUP($B50,Inputs!$F$3:$H$17,3,0)*((1+Inputs!$L$3)^Financials!CZ$3)))</f>
        <v>8174.0019862781564</v>
      </c>
      <c r="DA50" s="18">
        <f>IF(DA$1&lt;CapEx!$O$7,0,(VLOOKUP($B50,Inputs!$F$3:$H$17,3,0)*((1+Inputs!$L$3)^Financials!DA$3)))</f>
        <v>8187.6253229219556</v>
      </c>
      <c r="DB50" s="18">
        <f>IF(DB$1&lt;CapEx!$O$7,0,(VLOOKUP($B50,Inputs!$F$3:$H$17,3,0)*((1+Inputs!$L$3)^Financials!DB$3)))</f>
        <v>8201.2713651268277</v>
      </c>
      <c r="DC50" s="18">
        <f>IF(DC$1&lt;CapEx!$O$7,0,(VLOOKUP($B50,Inputs!$F$3:$H$17,3,0)*((1+Inputs!$L$3)^Financials!DC$3)))</f>
        <v>8214.9401507353705</v>
      </c>
      <c r="DD50" s="18">
        <f>IF(DD$1&lt;CapEx!$O$7,0,(VLOOKUP($B50,Inputs!$F$3:$H$17,3,0)*((1+Inputs!$L$3)^Financials!DD$3)))</f>
        <v>8228.631717653263</v>
      </c>
      <c r="DE50" s="18">
        <f>IF(DE$1&lt;CapEx!$O$7,0,(VLOOKUP($B50,Inputs!$F$3:$H$17,3,0)*((1+Inputs!$L$3)^Financials!DE$3)))</f>
        <v>8242.3461038493533</v>
      </c>
      <c r="DF50" s="18">
        <f>IF(DF$1&lt;CapEx!$O$7,0,(VLOOKUP($B50,Inputs!$F$3:$H$17,3,0)*((1+Inputs!$L$3)^Financials!DF$3)))</f>
        <v>8256.0833473557705</v>
      </c>
      <c r="DG50" s="18">
        <f>IF(DG$1&lt;CapEx!$O$7,0,(VLOOKUP($B50,Inputs!$F$3:$H$17,3,0)*((1+Inputs!$L$3)^Financials!DG$3)))</f>
        <v>8269.8434862680315</v>
      </c>
      <c r="DH50" s="18">
        <f>IF(DH$1&lt;CapEx!$O$7,0,(VLOOKUP($B50,Inputs!$F$3:$H$17,3,0)*((1+Inputs!$L$3)^Financials!DH$3)))</f>
        <v>8283.6265587451417</v>
      </c>
      <c r="DI50" s="18">
        <f>IF(DI$1&lt;CapEx!$O$7,0,(VLOOKUP($B50,Inputs!$F$3:$H$17,3,0)*((1+Inputs!$L$3)^Financials!DI$3)))</f>
        <v>8297.43260300972</v>
      </c>
      <c r="DJ50" s="18">
        <f>IF(DJ$1&lt;CapEx!$O$7,0,(VLOOKUP($B50,Inputs!$F$3:$H$17,3,0)*((1+Inputs!$L$3)^Financials!DJ$3)))</f>
        <v>8311.2616573480718</v>
      </c>
      <c r="DK50" s="18">
        <f>IF(DK$1&lt;CapEx!$O$7,0,(VLOOKUP($B50,Inputs!$F$3:$H$17,3,0)*((1+Inputs!$L$3)^Financials!DK$3)))</f>
        <v>8325.1137601103183</v>
      </c>
      <c r="DL50" s="18">
        <f>IF(DL$1&lt;CapEx!$O$7,0,(VLOOKUP($B50,Inputs!$F$3:$H$17,3,0)*((1+Inputs!$L$3)^Financials!DL$3)))</f>
        <v>8338.9889497105014</v>
      </c>
      <c r="DM50" s="18">
        <f>IF(DM$1&lt;CapEx!$O$7,0,(VLOOKUP($B50,Inputs!$F$3:$H$17,3,0)*((1+Inputs!$L$3)^Financials!DM$3)))</f>
        <v>8352.8872646266864</v>
      </c>
      <c r="DN50" s="18">
        <f>IF(DN$1&lt;CapEx!$O$7,0,(VLOOKUP($B50,Inputs!$F$3:$H$17,3,0)*((1+Inputs!$L$3)^Financials!DN$3)))</f>
        <v>8366.8087434010649</v>
      </c>
      <c r="DO50" s="18">
        <f>IF(DO$1&lt;CapEx!$O$7,0,(VLOOKUP($B50,Inputs!$F$3:$H$17,3,0)*((1+Inputs!$L$3)^Financials!DO$3)))</f>
        <v>8380.7534246400664</v>
      </c>
      <c r="DP50" s="18">
        <f>IF(DP$1&lt;CapEx!$O$7,0,(VLOOKUP($B50,Inputs!$F$3:$H$17,3,0)*((1+Inputs!$L$3)^Financials!DP$3)))</f>
        <v>8394.721347014467</v>
      </c>
      <c r="DQ50" s="18">
        <f>IF(DQ$1&lt;CapEx!$O$7,0,(VLOOKUP($B50,Inputs!$F$3:$H$17,3,0)*((1+Inputs!$L$3)^Financials!DQ$3)))</f>
        <v>8408.7125492594932</v>
      </c>
      <c r="DR50" s="18">
        <f>IF(DR$1&lt;CapEx!$O$7,0,(VLOOKUP($B50,Inputs!$F$3:$H$17,3,0)*((1+Inputs!$L$3)^Financials!DR$3)))</f>
        <v>8422.7270701749258</v>
      </c>
      <c r="DS50" s="18">
        <f>IF(DS$1&lt;CapEx!$O$7,0,(VLOOKUP($B50,Inputs!$F$3:$H$17,3,0)*((1+Inputs!$L$3)^Financials!DS$3)))</f>
        <v>8436.7649486252176</v>
      </c>
      <c r="DT50" s="18">
        <f>IF(DT$1&lt;CapEx!$O$7,0,(VLOOKUP($B50,Inputs!$F$3:$H$17,3,0)*((1+Inputs!$L$3)^Financials!DT$3)))</f>
        <v>8450.8262235395923</v>
      </c>
      <c r="DU50" s="18">
        <f>IF(DU$1&lt;CapEx!$O$7,0,(VLOOKUP($B50,Inputs!$F$3:$H$17,3,0)*((1+Inputs!$L$3)^Financials!DU$3)))</f>
        <v>8464.9109339121605</v>
      </c>
      <c r="DV50" s="18">
        <f>IF(DV$1&lt;CapEx!$O$7,0,(VLOOKUP($B50,Inputs!$F$3:$H$17,3,0)*((1+Inputs!$L$3)^Financials!DV$3)))</f>
        <v>8479.0191188020126</v>
      </c>
      <c r="DW50" s="18">
        <f>IF(DW$1&lt;CapEx!$O$7,0,(VLOOKUP($B50,Inputs!$F$3:$H$17,3,0)*((1+Inputs!$L$3)^Financials!DW$3)))</f>
        <v>8493.1508173333514</v>
      </c>
      <c r="DX50" s="18">
        <f>IF(DX$1&lt;CapEx!$O$7,0,(VLOOKUP($B50,Inputs!$F$3:$H$17,3,0)*((1+Inputs!$L$3)^Financials!DX$3)))</f>
        <v>8507.3060686955741</v>
      </c>
      <c r="DY50" s="18">
        <f>IF(DY$1&lt;CapEx!$O$7,0,(VLOOKUP($B50,Inputs!$F$3:$H$17,3,0)*((1+Inputs!$L$3)^Financials!DY$3)))</f>
        <v>8521.4849121434017</v>
      </c>
      <c r="DZ50" s="18">
        <f>IF(DZ$1&lt;CapEx!$O$7,0,(VLOOKUP($B50,Inputs!$F$3:$H$17,3,0)*((1+Inputs!$L$3)^Financials!DZ$3)))</f>
        <v>8535.687386996975</v>
      </c>
      <c r="EA50" s="18">
        <f>IF(EA$1&lt;CapEx!$O$7,0,(VLOOKUP($B50,Inputs!$F$3:$H$17,3,0)*((1+Inputs!$L$3)^Financials!EA$3)))</f>
        <v>8549.9135326419691</v>
      </c>
      <c r="EB50" s="18">
        <f>IF(EB$1&lt;CapEx!$O$7,0,(VLOOKUP($B50,Inputs!$F$3:$H$17,3,0)*((1+Inputs!$L$3)^Financials!EB$3)))</f>
        <v>8564.1633885297069</v>
      </c>
      <c r="EC50" s="18">
        <f>IF(EC$1&lt;CapEx!$O$7,0,(VLOOKUP($B50,Inputs!$F$3:$H$17,3,0)*((1+Inputs!$L$3)^Financials!EC$3)))</f>
        <v>8578.4369941772584</v>
      </c>
      <c r="ED50" s="18">
        <f>IF(ED$1&lt;CapEx!$O$7,0,(VLOOKUP($B50,Inputs!$F$3:$H$17,3,0)*((1+Inputs!$L$3)^Financials!ED$3)))</f>
        <v>8592.7343891675537</v>
      </c>
      <c r="EE50" s="18">
        <f>IF(EE$1&lt;CapEx!$O$7,0,(VLOOKUP($B50,Inputs!$F$3:$H$17,3,0)*((1+Inputs!$L$3)^Financials!EE$3)))</f>
        <v>8607.0556131494995</v>
      </c>
      <c r="EF50" s="18">
        <f>IF(EF$1&lt;CapEx!$O$7,0,(VLOOKUP($B50,Inputs!$F$3:$H$17,3,0)*((1+Inputs!$L$3)^Financials!EF$3)))</f>
        <v>8621.4007058380812</v>
      </c>
      <c r="EG50" s="18">
        <f>IF(EG$1&lt;CapEx!$O$7,0,(VLOOKUP($B50,Inputs!$F$3:$H$17,3,0)*((1+Inputs!$L$3)^Financials!EG$3)))</f>
        <v>8635.7697070144786</v>
      </c>
      <c r="EH50" s="18">
        <f>IF(EH$1&lt;CapEx!$O$7,0,(VLOOKUP($B50,Inputs!$F$3:$H$17,3,0)*((1+Inputs!$L$3)^Financials!EH$3)))</f>
        <v>8650.1626565261722</v>
      </c>
      <c r="EI50" s="18">
        <f>IF(EI$1&lt;CapEx!$O$7,0,(VLOOKUP($B50,Inputs!$F$3:$H$17,3,0)*((1+Inputs!$L$3)^Financials!EI$3)))</f>
        <v>8664.5795942870482</v>
      </c>
      <c r="EJ50" s="18">
        <f>IF(EJ$1&lt;CapEx!$O$7,0,(VLOOKUP($B50,Inputs!$F$3:$H$17,3,0)*((1+Inputs!$L$3)^Financials!EJ$3)))</f>
        <v>8679.0205602775277</v>
      </c>
      <c r="EK50" s="18">
        <f>IF(EK$1&lt;CapEx!$O$7,0,(VLOOKUP($B50,Inputs!$F$3:$H$17,3,0)*((1+Inputs!$L$3)^Financials!EK$3)))</f>
        <v>8693.4855945446579</v>
      </c>
      <c r="EL50" s="18">
        <f>IF(EL$1&lt;CapEx!$O$7,0,(VLOOKUP($B50,Inputs!$F$3:$H$17,3,0)*((1+Inputs!$L$3)^Financials!EL$3)))</f>
        <v>8707.9747372022302</v>
      </c>
      <c r="EM50" s="18">
        <f>IF(EM$1&lt;CapEx!$O$7,0,(VLOOKUP($B50,Inputs!$F$3:$H$17,3,0)*((1+Inputs!$L$3)^Financials!EM$3)))</f>
        <v>8722.4880284309038</v>
      </c>
      <c r="EN50" s="18">
        <f>IF(EN$1&lt;CapEx!$O$7,0,(VLOOKUP($B50,Inputs!$F$3:$H$17,3,0)*((1+Inputs!$L$3)^Financials!EN$3)))</f>
        <v>8737.0255084782875</v>
      </c>
      <c r="EO50" s="18">
        <f>IF(EO$1&lt;CapEx!$O$7,0,(VLOOKUP($B50,Inputs!$F$3:$H$17,3,0)*((1+Inputs!$L$3)^Financials!EO$3)))</f>
        <v>8751.5872176590874</v>
      </c>
      <c r="EP50" s="18">
        <f>IF(EP$1&lt;CapEx!$O$7,0,(VLOOKUP($B50,Inputs!$F$3:$H$17,3,0)*((1+Inputs!$L$3)^Financials!EP$3)))</f>
        <v>8766.1731963551865</v>
      </c>
      <c r="EQ50" s="18">
        <f>IF(EQ$1&lt;CapEx!$O$7,0,(VLOOKUP($B50,Inputs!$F$3:$H$17,3,0)*((1+Inputs!$L$3)^Financials!EQ$3)))</f>
        <v>8780.7834850157797</v>
      </c>
      <c r="ER50" s="18">
        <f>IF(ER$1&lt;CapEx!$O$7,0,(VLOOKUP($B50,Inputs!$F$3:$H$17,3,0)*((1+Inputs!$L$3)^Financials!ER$3)))</f>
        <v>8795.4181241574715</v>
      </c>
      <c r="ES50" s="18">
        <f>IF(ES$1&lt;CapEx!$O$7,0,(VLOOKUP($B50,Inputs!$F$3:$H$17,3,0)*((1+Inputs!$L$3)^Financials!ES$3)))</f>
        <v>8810.0771543644023</v>
      </c>
      <c r="ET50" s="18">
        <f>IF(ET$1&lt;CapEx!$O$7,0,(VLOOKUP($B50,Inputs!$F$3:$H$17,3,0)*((1+Inputs!$L$3)^Financials!ET$3)))</f>
        <v>8824.760616288344</v>
      </c>
      <c r="EU50" s="18">
        <f>IF(EU$1&lt;CapEx!$O$7,0,(VLOOKUP($B50,Inputs!$F$3:$H$17,3,0)*((1+Inputs!$L$3)^Financials!EU$3)))</f>
        <v>8839.468550648824</v>
      </c>
      <c r="EV50" s="18">
        <f>IF(EV$1&lt;CapEx!$O$7,0,(VLOOKUP($B50,Inputs!$F$3:$H$17,3,0)*((1+Inputs!$L$3)^Financials!EV$3)))</f>
        <v>8854.2009982332384</v>
      </c>
      <c r="EW50" s="18">
        <f>IF(EW$1&lt;CapEx!$O$7,0,(VLOOKUP($B50,Inputs!$F$3:$H$17,3,0)*((1+Inputs!$L$3)^Financials!EW$3)))</f>
        <v>8868.9579998969621</v>
      </c>
      <c r="EX50" s="18">
        <f>IF(EX$1&lt;CapEx!$O$7,0,(VLOOKUP($B50,Inputs!$F$3:$H$17,3,0)*((1+Inputs!$L$3)^Financials!EX$3)))</f>
        <v>8883.7395965634587</v>
      </c>
      <c r="EY50" s="18">
        <f>IF(EY$1&lt;CapEx!$O$7,0,(VLOOKUP($B50,Inputs!$F$3:$H$17,3,0)*((1+Inputs!$L$3)^Financials!EY$3)))</f>
        <v>8898.5458292243966</v>
      </c>
      <c r="EZ50" s="18">
        <f>IF(EZ$1&lt;CapEx!$O$7,0,(VLOOKUP($B50,Inputs!$F$3:$H$17,3,0)*((1+Inputs!$L$3)^Financials!EZ$3)))</f>
        <v>8913.3767389397726</v>
      </c>
      <c r="FA50" s="18">
        <f>IF(FA$1&lt;CapEx!$O$7,0,(VLOOKUP($B50,Inputs!$F$3:$H$17,3,0)*((1+Inputs!$L$3)^Financials!FA$3)))</f>
        <v>8928.2323668380068</v>
      </c>
      <c r="FB50" s="18">
        <f>IF(FB$1&lt;CapEx!$O$7,0,(VLOOKUP($B50,Inputs!$F$3:$H$17,3,0)*((1+Inputs!$L$3)^Financials!FB$3)))</f>
        <v>8943.1127541160695</v>
      </c>
      <c r="FC50" s="18">
        <f>IF(FC$1&lt;CapEx!$O$7,0,(VLOOKUP($B50,Inputs!$F$3:$H$17,3,0)*((1+Inputs!$L$3)^Financials!FC$3)))</f>
        <v>8958.0179420395962</v>
      </c>
      <c r="FD50" s="18">
        <f>IF(FD$1&lt;CapEx!$O$7,0,(VLOOKUP($B50,Inputs!$F$3:$H$17,3,0)*((1+Inputs!$L$3)^Financials!FD$3)))</f>
        <v>8972.9479719429983</v>
      </c>
      <c r="FE50" s="18">
        <f>IF(FE$1&lt;CapEx!$O$7,0,(VLOOKUP($B50,Inputs!$F$3:$H$17,3,0)*((1+Inputs!$L$3)^Financials!FE$3)))</f>
        <v>8987.9028852295687</v>
      </c>
      <c r="FF50" s="18">
        <f>IF(FF$1&lt;CapEx!$O$7,0,(VLOOKUP($B50,Inputs!$F$3:$H$17,3,0)*((1+Inputs!$L$3)^Financials!FF$3)))</f>
        <v>9002.8827233716202</v>
      </c>
      <c r="FG50" s="18">
        <f>IF(FG$1&lt;CapEx!$O$7,0,(VLOOKUP($B50,Inputs!$F$3:$H$17,3,0)*((1+Inputs!$L$3)^Financials!FG$3)))</f>
        <v>9017.8875279105723</v>
      </c>
      <c r="FH50" s="18">
        <f>IF(FH$1&lt;CapEx!$O$7,0,(VLOOKUP($B50,Inputs!$F$3:$H$17,3,0)*((1+Inputs!$L$3)^Financials!FH$3)))</f>
        <v>9032.9173404570902</v>
      </c>
      <c r="FI50" s="18">
        <f>IF(FI$1&lt;CapEx!$O$7,0,(VLOOKUP($B50,Inputs!$F$3:$H$17,3,0)*((1+Inputs!$L$3)^Financials!FI$3)))</f>
        <v>9047.9722026911877</v>
      </c>
      <c r="FJ50" s="18">
        <f>IF(FJ$1&lt;CapEx!$O$7,0,(VLOOKUP($B50,Inputs!$F$3:$H$17,3,0)*((1+Inputs!$L$3)^Financials!FJ$3)))</f>
        <v>9063.0521563623388</v>
      </c>
      <c r="FK50" s="18">
        <f>IF(FK$1&lt;CapEx!$O$7,0,(VLOOKUP($B50,Inputs!$F$3:$H$17,3,0)*((1+Inputs!$L$3)^Financials!FK$3)))</f>
        <v>9078.1572432896119</v>
      </c>
      <c r="FL50" s="18">
        <f>IF(FL$1&lt;CapEx!$O$7,0,(VLOOKUP($B50,Inputs!$F$3:$H$17,3,0)*((1+Inputs!$L$3)^Financials!FL$3)))</f>
        <v>9093.287505361759</v>
      </c>
      <c r="FM50" s="18">
        <f>IF(FM$1&lt;CapEx!$O$7,0,(VLOOKUP($B50,Inputs!$F$3:$H$17,3,0)*((1+Inputs!$L$3)^Financials!FM$3)))</f>
        <v>9108.4429845373634</v>
      </c>
      <c r="FN50" s="18">
        <f>IF(FN$1&lt;CapEx!$O$7,0,(VLOOKUP($B50,Inputs!$F$3:$H$17,3,0)*((1+Inputs!$L$3)^Financials!FN$3)))</f>
        <v>9123.6237228449281</v>
      </c>
      <c r="FO50" s="18">
        <f>IF(FO$1&lt;CapEx!$O$7,0,(VLOOKUP($B50,Inputs!$F$3:$H$17,3,0)*((1+Inputs!$L$3)^Financials!FO$3)))</f>
        <v>9138.8297623830022</v>
      </c>
      <c r="FP50" s="18">
        <f>IF(FP$1&lt;CapEx!$O$7,0,(VLOOKUP($B50,Inputs!$F$3:$H$17,3,0)*((1+Inputs!$L$3)^Financials!FP$3)))</f>
        <v>9154.0611453203073</v>
      </c>
      <c r="FQ50" s="18">
        <f>IF(FQ$1&lt;CapEx!$O$7,0,(VLOOKUP($B50,Inputs!$F$3:$H$17,3,0)*((1+Inputs!$L$3)^Financials!FQ$3)))</f>
        <v>9169.3179138958421</v>
      </c>
      <c r="FR50" s="18">
        <f>IF(FR$1&lt;CapEx!$O$7,0,(VLOOKUP($B50,Inputs!$F$3:$H$17,3,0)*((1+Inputs!$L$3)^Financials!FR$3)))</f>
        <v>9184.6001104190018</v>
      </c>
      <c r="FS50" s="18">
        <f>IF(FS$1&lt;CapEx!$O$7,0,(VLOOKUP($B50,Inputs!$F$3:$H$17,3,0)*((1+Inputs!$L$3)^Financials!FS$3)))</f>
        <v>9199.9077772697019</v>
      </c>
      <c r="FT50" s="18">
        <f>IF(FT$1&lt;CapEx!$O$7,0,(VLOOKUP($B50,Inputs!$F$3:$H$17,3,0)*((1+Inputs!$L$3)^Financials!FT$3)))</f>
        <v>9215.240956898484</v>
      </c>
      <c r="FU50" s="18">
        <f>IF(FU$1&lt;CapEx!$O$7,0,(VLOOKUP($B50,Inputs!$F$3:$H$17,3,0)*((1+Inputs!$L$3)^Financials!FU$3)))</f>
        <v>9230.5996918266501</v>
      </c>
      <c r="FV50" s="18">
        <f>IF(FV$1&lt;CapEx!$O$7,0,(VLOOKUP($B50,Inputs!$F$3:$H$17,3,0)*((1+Inputs!$L$3)^Financials!FV$3)))</f>
        <v>9245.9840246463627</v>
      </c>
      <c r="FW50" s="18">
        <f>IF(FW$1&lt;CapEx!$O$7,0,(VLOOKUP($B50,Inputs!$F$3:$H$17,3,0)*((1+Inputs!$L$3)^Financials!FW$3)))</f>
        <v>9261.3939980207742</v>
      </c>
      <c r="FX50" s="18">
        <f>IF(FX$1&lt;CapEx!$O$7,0,(VLOOKUP($B50,Inputs!$F$3:$H$17,3,0)*((1+Inputs!$L$3)^Financials!FX$3)))</f>
        <v>9276.8296546841411</v>
      </c>
      <c r="FY50" s="18">
        <f>IF(FY$1&lt;CapEx!$O$7,0,(VLOOKUP($B50,Inputs!$F$3:$H$17,3,0)*((1+Inputs!$L$3)^Financials!FY$3)))</f>
        <v>9292.2910374419498</v>
      </c>
      <c r="FZ50" s="18">
        <f>IF(FZ$1&lt;CapEx!$O$7,0,(VLOOKUP($B50,Inputs!$F$3:$H$17,3,0)*((1+Inputs!$L$3)^Financials!FZ$3)))</f>
        <v>9307.7781891710201</v>
      </c>
      <c r="GA50" s="18">
        <f>IF(GA$1&lt;CapEx!$O$7,0,(VLOOKUP($B50,Inputs!$F$3:$H$17,3,0)*((1+Inputs!$L$3)^Financials!GA$3)))</f>
        <v>9323.29115281964</v>
      </c>
      <c r="GB50" s="18">
        <f>IF(GB$1&lt;CapEx!$O$7,0,(VLOOKUP($B50,Inputs!$F$3:$H$17,3,0)*((1+Inputs!$L$3)^Financials!GB$3)))</f>
        <v>9338.8299714076729</v>
      </c>
      <c r="GC50" s="18">
        <f>IF(GC$1&lt;CapEx!$O$7,0,(VLOOKUP($B50,Inputs!$F$3:$H$17,3,0)*((1+Inputs!$L$3)^Financials!GC$3)))</f>
        <v>9354.3946880266867</v>
      </c>
      <c r="GD50" s="18">
        <f>IF(GD$1&lt;CapEx!$O$7,0,(VLOOKUP($B50,Inputs!$F$3:$H$17,3,0)*((1+Inputs!$L$3)^Financials!GD$3)))</f>
        <v>9369.9853458400667</v>
      </c>
      <c r="GE50" s="18">
        <f>IF(GE$1&lt;CapEx!$O$7,0,(VLOOKUP($B50,Inputs!$F$3:$H$17,3,0)*((1+Inputs!$L$3)^Financials!GE$3)))</f>
        <v>9385.6019880831318</v>
      </c>
      <c r="GF50" s="18">
        <f>IF(GF$1&lt;CapEx!$O$7,0,(VLOOKUP($B50,Inputs!$F$3:$H$17,3,0)*((1+Inputs!$L$3)^Financials!GF$3)))</f>
        <v>9401.2446580632695</v>
      </c>
      <c r="GG50" s="18">
        <f>IF(GG$1&lt;CapEx!$O$7,0,(VLOOKUP($B50,Inputs!$F$3:$H$17,3,0)*((1+Inputs!$L$3)^Financials!GG$3)))</f>
        <v>9416.9133991600429</v>
      </c>
      <c r="GH50" s="18">
        <f>IF(GH$1&lt;CapEx!$O$7,0,(VLOOKUP($B50,Inputs!$F$3:$H$17,3,0)*((1+Inputs!$L$3)^Financials!GH$3)))</f>
        <v>9432.6082548253107</v>
      </c>
      <c r="GI50" s="18">
        <f>IF(GI$1&lt;CapEx!$O$7,0,(VLOOKUP($B50,Inputs!$F$3:$H$17,3,0)*((1+Inputs!$L$3)^Financials!GI$3)))</f>
        <v>9448.3292685833549</v>
      </c>
      <c r="GJ50" s="18">
        <f>IF(GJ$1&lt;CapEx!$O$7,0,(VLOOKUP($B50,Inputs!$F$3:$H$17,3,0)*((1+Inputs!$L$3)^Financials!GJ$3)))</f>
        <v>9464.076484030993</v>
      </c>
      <c r="GK50" s="18">
        <f>IF(GK$1&lt;CapEx!$O$7,0,(VLOOKUP($B50,Inputs!$F$3:$H$17,3,0)*((1+Inputs!$L$3)^Financials!GK$3)))</f>
        <v>9479.8499448377115</v>
      </c>
      <c r="GL50" s="18">
        <f>IF(GL$1&lt;CapEx!$O$7,0,(VLOOKUP($B50,Inputs!$F$3:$H$17,3,0)*((1+Inputs!$L$3)^Financials!GL$3)))</f>
        <v>9495.6496947457781</v>
      </c>
      <c r="GM50" s="18">
        <f>IF(GM$1&lt;CapEx!$O$7,0,(VLOOKUP($B50,Inputs!$F$3:$H$17,3,0)*((1+Inputs!$L$3)^Financials!GM$3)))</f>
        <v>9511.4757775703529</v>
      </c>
      <c r="GN50" s="18">
        <f>IF(GN$1&lt;CapEx!$O$7,0,(VLOOKUP($B50,Inputs!$F$3:$H$17,3,0)*((1+Inputs!$L$3)^Financials!GN$3)))</f>
        <v>9527.3282371996374</v>
      </c>
      <c r="GO50" s="18">
        <f>IF(GO$1&lt;CapEx!$O$7,0,(VLOOKUP($B50,Inputs!$F$3:$H$17,3,0)*((1+Inputs!$L$3)^Financials!GO$3)))</f>
        <v>9543.2071175949714</v>
      </c>
      <c r="GP50" s="18">
        <f>IF(GP$1&lt;CapEx!$O$7,0,(VLOOKUP($B50,Inputs!$F$3:$H$17,3,0)*((1+Inputs!$L$3)^Financials!GP$3)))</f>
        <v>9559.112462790963</v>
      </c>
      <c r="GQ50" s="18">
        <f>IF(GQ$1&lt;CapEx!$O$7,0,(VLOOKUP($B50,Inputs!$F$3:$H$17,3,0)*((1+Inputs!$L$3)^Financials!GQ$3)))</f>
        <v>9575.0443168956153</v>
      </c>
      <c r="GR50" s="18">
        <f>IF(GR$1&lt;CapEx!$O$7,0,(VLOOKUP($B50,Inputs!$F$3:$H$17,3,0)*((1+Inputs!$L$3)^Financials!GR$3)))</f>
        <v>9591.0027240904419</v>
      </c>
      <c r="GS50" s="18">
        <f>IF(GS$1&lt;CapEx!$O$7,0,(VLOOKUP($B50,Inputs!$F$3:$H$17,3,0)*((1+Inputs!$L$3)^Financials!GS$3)))</f>
        <v>9606.9877286305928</v>
      </c>
      <c r="GT50" s="18">
        <f>IF(GT$1&lt;CapEx!$O$7,0,(VLOOKUP($B50,Inputs!$F$3:$H$17,3,0)*((1+Inputs!$L$3)^Financials!GT$3)))</f>
        <v>9622.9993748449797</v>
      </c>
      <c r="GU50" s="18">
        <f>IF(GU$1&lt;CapEx!$O$7,0,(VLOOKUP($B50,Inputs!$F$3:$H$17,3,0)*((1+Inputs!$L$3)^Financials!GU$3)))</f>
        <v>9639.0377071363873</v>
      </c>
      <c r="GV50" s="18">
        <f>IF(GV$1&lt;CapEx!$O$7,0,(VLOOKUP($B50,Inputs!$F$3:$H$17,3,0)*((1+Inputs!$L$3)^Financials!GV$3)))</f>
        <v>9655.102769981615</v>
      </c>
      <c r="GW50" s="18">
        <f>IF(GW$1&lt;CapEx!$O$7,0,(VLOOKUP($B50,Inputs!$F$3:$H$17,3,0)*((1+Inputs!$L$3)^Financials!GW$3)))</f>
        <v>9671.194607931584</v>
      </c>
      <c r="GX50" s="18">
        <f>IF(GX$1&lt;CapEx!$O$7,0,(VLOOKUP($B50,Inputs!$F$3:$H$17,3,0)*((1+Inputs!$L$3)^Financials!GX$3)))</f>
        <v>9687.3132656114722</v>
      </c>
      <c r="GY50" s="18">
        <f>IF(GY$1&lt;CapEx!$O$7,0,(VLOOKUP($B50,Inputs!$F$3:$H$17,3,0)*((1+Inputs!$L$3)^Financials!GY$3)))</f>
        <v>9703.4587877208251</v>
      </c>
      <c r="GZ50" s="18">
        <f>IF(GZ$1&lt;CapEx!$O$7,0,(VLOOKUP($B50,Inputs!$F$3:$H$17,3,0)*((1+Inputs!$L$3)^Financials!GZ$3)))</f>
        <v>9719.6312190336939</v>
      </c>
      <c r="HA50" s="18">
        <f>IF(HA$1&lt;CapEx!$O$7,0,(VLOOKUP($B50,Inputs!$F$3:$H$17,3,0)*((1+Inputs!$L$3)^Financials!HA$3)))</f>
        <v>9735.8306043987523</v>
      </c>
      <c r="HB50" s="18">
        <f>IF(HB$1&lt;CapEx!$O$7,0,(VLOOKUP($B50,Inputs!$F$3:$H$17,3,0)*((1+Inputs!$L$3)^Financials!HB$3)))</f>
        <v>9752.0569887394176</v>
      </c>
      <c r="HC50" s="18">
        <f>IF(HC$1&lt;CapEx!$O$7,0,(VLOOKUP($B50,Inputs!$F$3:$H$17,3,0)*((1+Inputs!$L$3)^Financials!HC$3)))</f>
        <v>9768.3104170539827</v>
      </c>
      <c r="HD50" s="18">
        <f>IF(HD$1&lt;CapEx!$O$7,0,(VLOOKUP($B50,Inputs!$F$3:$H$17,3,0)*((1+Inputs!$L$3)^Financials!HD$3)))</f>
        <v>9784.5909344157408</v>
      </c>
      <c r="HE50" s="18">
        <f>IF(HE$1&lt;CapEx!$O$7,0,(VLOOKUP($B50,Inputs!$F$3:$H$17,3,0)*((1+Inputs!$L$3)^Financials!HE$3)))</f>
        <v>9800.8985859731001</v>
      </c>
      <c r="HF50" s="18">
        <f>IF(HF$1&lt;CapEx!$O$7,0,(VLOOKUP($B50,Inputs!$F$3:$H$17,3,0)*((1+Inputs!$L$3)^Financials!HF$3)))</f>
        <v>9817.2334169497226</v>
      </c>
      <c r="HG50" s="18">
        <f>IF(HG$1&lt;CapEx!$O$7,0,(VLOOKUP($B50,Inputs!$F$3:$H$17,3,0)*((1+Inputs!$L$3)^Financials!HG$3)))</f>
        <v>9833.595472644638</v>
      </c>
      <c r="HH50" s="18">
        <f>IF(HH$1&lt;CapEx!$O$7,0,(VLOOKUP($B50,Inputs!$F$3:$H$17,3,0)*((1+Inputs!$L$3)^Financials!HH$3)))</f>
        <v>9849.9847984323787</v>
      </c>
      <c r="HI50" s="18">
        <f>IF(HI$1&lt;CapEx!$O$7,0,(VLOOKUP($B50,Inputs!$F$3:$H$17,3,0)*((1+Inputs!$L$3)^Financials!HI$3)))</f>
        <v>9866.4014397631017</v>
      </c>
      <c r="HJ50" s="18">
        <f>IF(HJ$1&lt;CapEx!$O$7,0,(VLOOKUP($B50,Inputs!$F$3:$H$17,3,0)*((1+Inputs!$L$3)^Financials!HJ$3)))</f>
        <v>9882.8454421627084</v>
      </c>
      <c r="HK50" s="18">
        <f>IF(HK$1&lt;CapEx!$O$7,0,(VLOOKUP($B50,Inputs!$F$3:$H$17,3,0)*((1+Inputs!$L$3)^Financials!HK$3)))</f>
        <v>9899.3168512329794</v>
      </c>
      <c r="HL50" s="18">
        <f>IF(HL$1&lt;CapEx!$O$7,0,(VLOOKUP($B50,Inputs!$F$3:$H$17,3,0)*((1+Inputs!$L$3)^Financials!HL$3)))</f>
        <v>9915.8157126517017</v>
      </c>
      <c r="HM50" s="18">
        <f>IF(HM$1&lt;CapEx!$O$7,0,(VLOOKUP($B50,Inputs!$F$3:$H$17,3,0)*((1+Inputs!$L$3)^Financials!HM$3)))</f>
        <v>9932.3420721727889</v>
      </c>
      <c r="HN50" s="18">
        <f>IF(HN$1&lt;CapEx!$O$7,0,(VLOOKUP($B50,Inputs!$F$3:$H$17,3,0)*((1+Inputs!$L$3)^Financials!HN$3)))</f>
        <v>9948.8959756264103</v>
      </c>
      <c r="HO50" s="18">
        <f>IF(HO$1&lt;CapEx!$O$7,0,(VLOOKUP($B50,Inputs!$F$3:$H$17,3,0)*((1+Inputs!$L$3)^Financials!HO$3)))</f>
        <v>9965.4774689191217</v>
      </c>
      <c r="HP50" s="18">
        <f>IF(HP$1&lt;CapEx!$O$7,0,(VLOOKUP($B50,Inputs!$F$3:$H$17,3,0)*((1+Inputs!$L$3)^Financials!HP$3)))</f>
        <v>9982.0865980339877</v>
      </c>
      <c r="HQ50" s="18">
        <f>IF(HQ$1&lt;CapEx!$O$7,0,(VLOOKUP($B50,Inputs!$F$3:$H$17,3,0)*((1+Inputs!$L$3)^Financials!HQ$3)))</f>
        <v>9998.7234090307102</v>
      </c>
      <c r="HR50" s="18">
        <f>IF(HR$1&lt;CapEx!$O$7,0,(VLOOKUP($B50,Inputs!$F$3:$H$17,3,0)*((1+Inputs!$L$3)^Financials!HR$3)))</f>
        <v>10015.387948045764</v>
      </c>
      <c r="HS50" s="18">
        <f>IF(HS$1&lt;CapEx!$O$7,0,(VLOOKUP($B50,Inputs!$F$3:$H$17,3,0)*((1+Inputs!$L$3)^Financials!HS$3)))</f>
        <v>10032.080261292507</v>
      </c>
      <c r="HT50" s="18">
        <f>IF(HT$1&lt;CapEx!$O$7,0,(VLOOKUP($B50,Inputs!$F$3:$H$17,3,0)*((1+Inputs!$L$3)^Financials!HT$3)))</f>
        <v>10048.800395061327</v>
      </c>
      <c r="HU50" s="18">
        <f>IF(HU$1&lt;CapEx!$O$7,0,(VLOOKUP($B50,Inputs!$F$3:$H$17,3,0)*((1+Inputs!$L$3)^Financials!HU$3)))</f>
        <v>10065.548395719765</v>
      </c>
      <c r="HV50" s="18">
        <f>IF(HV$1&lt;CapEx!$O$7,0,(VLOOKUP($B50,Inputs!$F$3:$H$17,3,0)*((1+Inputs!$L$3)^Financials!HV$3)))</f>
        <v>10082.324309712634</v>
      </c>
      <c r="HW50" s="18">
        <f>IF(HW$1&lt;CapEx!$O$7,0,(VLOOKUP($B50,Inputs!$F$3:$H$17,3,0)*((1+Inputs!$L$3)^Financials!HW$3)))</f>
        <v>10099.128183562156</v>
      </c>
      <c r="HX50" s="18">
        <f>IF(HX$1&lt;CapEx!$O$7,0,(VLOOKUP($B50,Inputs!$F$3:$H$17,3,0)*((1+Inputs!$L$3)^Financials!HX$3)))</f>
        <v>10115.960063868091</v>
      </c>
      <c r="HY50" s="18">
        <f>IF(HY$1&lt;CapEx!$O$7,0,(VLOOKUP($B50,Inputs!$F$3:$H$17,3,0)*((1+Inputs!$L$3)^Financials!HY$3)))</f>
        <v>10132.819997307874</v>
      </c>
      <c r="HZ50" s="18">
        <f>IF(HZ$1&lt;CapEx!$O$7,0,(VLOOKUP($B50,Inputs!$F$3:$H$17,3,0)*((1+Inputs!$L$3)^Financials!HZ$3)))</f>
        <v>10149.708030636722</v>
      </c>
      <c r="IA50" s="18">
        <f>IF(IA$1&lt;CapEx!$O$7,0,(VLOOKUP($B50,Inputs!$F$3:$H$17,3,0)*((1+Inputs!$L$3)^Financials!IA$3)))</f>
        <v>10166.624210687782</v>
      </c>
      <c r="IB50" s="18">
        <f>IF(IB$1&lt;CapEx!$O$7,0,(VLOOKUP($B50,Inputs!$F$3:$H$17,3,0)*((1+Inputs!$L$3)^Financials!IB$3)))</f>
        <v>10183.56858437226</v>
      </c>
      <c r="IC50" s="18">
        <f>IF(IC$1&lt;CapEx!$O$7,0,(VLOOKUP($B50,Inputs!$F$3:$H$17,3,0)*((1+Inputs!$L$3)^Financials!IC$3)))</f>
        <v>10200.54119867955</v>
      </c>
      <c r="ID50" s="18">
        <f>IF(ID$1&lt;CapEx!$O$7,0,(VLOOKUP($B50,Inputs!$F$3:$H$17,3,0)*((1+Inputs!$L$3)^Financials!ID$3)))</f>
        <v>10217.54210067735</v>
      </c>
      <c r="IE50" s="18">
        <f>IF(IE$1&lt;CapEx!$O$7,0,(VLOOKUP($B50,Inputs!$F$3:$H$17,3,0)*((1+Inputs!$L$3)^Financials!IE$3)))</f>
        <v>10234.571337511814</v>
      </c>
      <c r="IF50" s="18">
        <f>IF(IF$1&lt;CapEx!$O$7,0,(VLOOKUP($B50,Inputs!$F$3:$H$17,3,0)*((1+Inputs!$L$3)^Financials!IF$3)))</f>
        <v>10251.628956407665</v>
      </c>
      <c r="IG50" s="18">
        <f>IF(IG$1&lt;CapEx!$O$7,0,(VLOOKUP($B50,Inputs!$F$3:$H$17,3,0)*((1+Inputs!$L$3)^Financials!IG$3)))</f>
        <v>10268.715004668347</v>
      </c>
      <c r="IH50" s="18">
        <f>IF(IH$1&lt;CapEx!$O$7,0,(VLOOKUP($B50,Inputs!$F$3:$H$17,3,0)*((1+Inputs!$L$3)^Financials!IH$3)))</f>
        <v>10285.82952967613</v>
      </c>
      <c r="II50" s="18">
        <f>IF(II$1&lt;CapEx!$O$7,0,(VLOOKUP($B50,Inputs!$F$3:$H$17,3,0)*((1+Inputs!$L$3)^Financials!II$3)))</f>
        <v>10302.972578892257</v>
      </c>
      <c r="IJ50" s="18">
        <f>IF(IJ$1&lt;CapEx!$O$7,0,(VLOOKUP($B50,Inputs!$F$3:$H$17,3,0)*((1+Inputs!$L$3)^Financials!IJ$3)))</f>
        <v>10320.144199857077</v>
      </c>
      <c r="IK50" s="18">
        <f>IF(IK$1&lt;CapEx!$O$7,0,(VLOOKUP($B50,Inputs!$F$3:$H$17,3,0)*((1+Inputs!$L$3)^Financials!IK$3)))</f>
        <v>10337.344440190174</v>
      </c>
      <c r="IL50" s="18">
        <f>IF(IL$1&lt;CapEx!$O$7,0,(VLOOKUP($B50,Inputs!$F$3:$H$17,3,0)*((1+Inputs!$L$3)^Financials!IL$3)))</f>
        <v>10354.573347590491</v>
      </c>
      <c r="IM50" s="18">
        <f>IF(IM$1&lt;CapEx!$O$7,0,(VLOOKUP($B50,Inputs!$F$3:$H$17,3,0)*((1+Inputs!$L$3)^Financials!IM$3)))</f>
        <v>10371.830969836476</v>
      </c>
      <c r="IN50" s="18">
        <f>IF(IN$1&lt;CapEx!$O$7,0,(VLOOKUP($B50,Inputs!$F$3:$H$17,3,0)*((1+Inputs!$L$3)^Financials!IN$3)))</f>
        <v>10389.117354786202</v>
      </c>
      <c r="IO50" s="18">
        <f>IF(IO$1&lt;CapEx!$O$7,0,(VLOOKUP($B50,Inputs!$F$3:$H$17,3,0)*((1+Inputs!$L$3)^Financials!IO$3)))</f>
        <v>10406.432550377516</v>
      </c>
      <c r="IP50" s="18">
        <f>IF(IP$1&lt;CapEx!$O$7,0,(VLOOKUP($B50,Inputs!$F$3:$H$17,3,0)*((1+Inputs!$L$3)^Financials!IP$3)))</f>
        <v>10423.776604628147</v>
      </c>
      <c r="IQ50" s="18">
        <f>IF(IQ$1&lt;CapEx!$O$7,0,(VLOOKUP($B50,Inputs!$F$3:$H$17,3,0)*((1+Inputs!$L$3)^Financials!IQ$3)))</f>
        <v>10441.149565635857</v>
      </c>
      <c r="IR50" s="18">
        <f>IF(IR$1&lt;CapEx!$O$7,0,(VLOOKUP($B50,Inputs!$F$3:$H$17,3,0)*((1+Inputs!$L$3)^Financials!IR$3)))</f>
        <v>10458.551481578583</v>
      </c>
      <c r="IS50" s="18">
        <f>IF(IS$1&lt;CapEx!$O$7,0,(VLOOKUP($B50,Inputs!$F$3:$H$17,3,0)*((1+Inputs!$L$3)^Financials!IS$3)))</f>
        <v>10475.982400714551</v>
      </c>
      <c r="IT50" s="18">
        <f>IF(IT$1&lt;CapEx!$O$7,0,(VLOOKUP($B50,Inputs!$F$3:$H$17,3,0)*((1+Inputs!$L$3)^Financials!IT$3)))</f>
        <v>10493.442371382407</v>
      </c>
      <c r="IU50" s="18">
        <f>IF(IU$1&lt;CapEx!$O$7,0,(VLOOKUP($B50,Inputs!$F$3:$H$17,3,0)*((1+Inputs!$L$3)^Financials!IU$3)))</f>
        <v>10510.931442001382</v>
      </c>
      <c r="IV50" s="18">
        <f>IF(IV$1&lt;CapEx!$O$7,0,(VLOOKUP($B50,Inputs!$F$3:$H$17,3,0)*((1+Inputs!$L$3)^Financials!IV$3)))</f>
        <v>10528.449661071383</v>
      </c>
      <c r="IW50" s="18">
        <f>IF(IW$1&lt;CapEx!$O$7,0,(VLOOKUP($B50,Inputs!$F$3:$H$17,3,0)*((1+Inputs!$L$3)^Financials!IW$3)))</f>
        <v>10545.99707717317</v>
      </c>
      <c r="IX50" s="18">
        <f>IF(IX$1&lt;CapEx!$O$7,0,(VLOOKUP($B50,Inputs!$F$3:$H$17,3,0)*((1+Inputs!$L$3)^Financials!IX$3)))</f>
        <v>10563.57373896846</v>
      </c>
      <c r="IY50" s="18">
        <f>IF(IY$1&lt;CapEx!$O$7,0,(VLOOKUP($B50,Inputs!$F$3:$H$17,3,0)*((1+Inputs!$L$3)^Financials!IY$3)))</f>
        <v>10581.179695200075</v>
      </c>
      <c r="IZ50" s="18">
        <f>IF(IZ$1&lt;CapEx!$O$7,0,(VLOOKUP($B50,Inputs!$F$3:$H$17,3,0)*((1+Inputs!$L$3)^Financials!IZ$3)))</f>
        <v>10598.814994692075</v>
      </c>
      <c r="JA50" s="18">
        <f>IF(JA$1&lt;CapEx!$O$7,0,(VLOOKUP($B50,Inputs!$F$3:$H$17,3,0)*((1+Inputs!$L$3)^Financials!JA$3)))</f>
        <v>10616.479686349898</v>
      </c>
      <c r="JB50" s="18">
        <f>IF(JB$1&lt;CapEx!$O$7,0,(VLOOKUP($B50,Inputs!$F$3:$H$17,3,0)*((1+Inputs!$L$3)^Financials!JB$3)))</f>
        <v>10634.17381916048</v>
      </c>
      <c r="JC50" s="18">
        <f>IF(JC$1&lt;CapEx!$O$7,0,(VLOOKUP($B50,Inputs!$F$3:$H$17,3,0)*((1+Inputs!$L$3)^Financials!JC$3)))</f>
        <v>10651.897442192416</v>
      </c>
      <c r="JD50" s="18">
        <f>IF(JD$1&lt;CapEx!$O$7,0,(VLOOKUP($B50,Inputs!$F$3:$H$17,3,0)*((1+Inputs!$L$3)^Financials!JD$3)))</f>
        <v>10669.650604596069</v>
      </c>
      <c r="JE50" s="18">
        <f>IF(JE$1&lt;CapEx!$O$7,0,(VLOOKUP($B50,Inputs!$F$3:$H$17,3,0)*((1+Inputs!$L$3)^Financials!JE$3)))</f>
        <v>10687.433355603729</v>
      </c>
      <c r="JF50" s="18">
        <f>IF(JF$1&lt;CapEx!$O$7,0,(VLOOKUP($B50,Inputs!$F$3:$H$17,3,0)*((1+Inputs!$L$3)^Financials!JF$3)))</f>
        <v>10705.245744529739</v>
      </c>
      <c r="JG50" s="18">
        <f>IF(JG$1&lt;CapEx!$O$7,0,(VLOOKUP($B50,Inputs!$F$3:$H$17,3,0)*((1+Inputs!$L$3)^Financials!JG$3)))</f>
        <v>10723.087820770621</v>
      </c>
      <c r="JH50" s="18">
        <f>IF(JH$1&lt;CapEx!$O$7,0,(VLOOKUP($B50,Inputs!$F$3:$H$17,3,0)*((1+Inputs!$L$3)^Financials!JH$3)))</f>
        <v>10740.95963380524</v>
      </c>
      <c r="JI50" s="18">
        <f>IF(JI$1&lt;CapEx!$O$7,0,(VLOOKUP($B50,Inputs!$F$3:$H$17,3,0)*((1+Inputs!$L$3)^Financials!JI$3)))</f>
        <v>10758.861233194915</v>
      </c>
      <c r="JJ50" s="18">
        <f>IF(JJ$1&lt;CapEx!$O$7,0,(VLOOKUP($B50,Inputs!$F$3:$H$17,3,0)*((1+Inputs!$L$3)^Financials!JJ$3)))</f>
        <v>10776.792668583572</v>
      </c>
      <c r="JK50" s="18">
        <f>IF(JK$1&lt;CapEx!$O$7,0,(VLOOKUP($B50,Inputs!$F$3:$H$17,3,0)*((1+Inputs!$L$3)^Financials!JK$3)))</f>
        <v>10794.753989697881</v>
      </c>
      <c r="JL50" s="18">
        <f>IF(JL$1&lt;CapEx!$O$7,0,(VLOOKUP($B50,Inputs!$F$3:$H$17,3,0)*((1+Inputs!$L$3)^Financials!JL$3)))</f>
        <v>10812.745246347378</v>
      </c>
      <c r="JM50" s="18">
        <f>IF(JM$1&lt;CapEx!$O$7,0,(VLOOKUP($B50,Inputs!$F$3:$H$17,3,0)*((1+Inputs!$L$3)^Financials!JM$3)))</f>
        <v>10830.766488424626</v>
      </c>
      <c r="JN50" s="18">
        <f>IF(JN$1&lt;CapEx!$O$7,0,(VLOOKUP($B50,Inputs!$F$3:$H$17,3,0)*((1+Inputs!$L$3)^Financials!JN$3)))</f>
        <v>10848.817765905334</v>
      </c>
      <c r="JO50" s="18">
        <f>IF(JO$1&lt;CapEx!$O$7,0,(VLOOKUP($B50,Inputs!$F$3:$H$17,3,0)*((1+Inputs!$L$3)^Financials!JO$3)))</f>
        <v>10866.89912884851</v>
      </c>
      <c r="JP50" s="18">
        <f>IF(JP$1&lt;CapEx!$O$7,0,(VLOOKUP($B50,Inputs!$F$3:$H$17,3,0)*((1+Inputs!$L$3)^Financials!JP$3)))</f>
        <v>10885.010627396592</v>
      </c>
      <c r="JQ50" s="18">
        <f>IF(JQ$1&lt;CapEx!$O$7,0,(VLOOKUP($B50,Inputs!$F$3:$H$17,3,0)*((1+Inputs!$L$3)^Financials!JQ$3)))</f>
        <v>10903.152311775586</v>
      </c>
      <c r="JR50" s="18">
        <f>IF(JR$1&lt;CapEx!$O$7,0,(VLOOKUP($B50,Inputs!$F$3:$H$17,3,0)*((1+Inputs!$L$3)^Financials!JR$3)))</f>
        <v>10921.324232295214</v>
      </c>
    </row>
    <row r="51" spans="2:278" x14ac:dyDescent="0.2">
      <c r="B51" s="21" t="str">
        <f>'Data Sources'!A98</f>
        <v>Office Supplies</v>
      </c>
      <c r="C51" s="18">
        <f>IF(C$1&lt;CapEx!$O$7,0,(VLOOKUP($B51,Inputs!$F$3:$H$17,3,0)*((1+Inputs!$L$3)^Financials!C$3)))</f>
        <v>0</v>
      </c>
      <c r="D51" s="18">
        <f>IF(D$1&lt;CapEx!$O$7,0,(VLOOKUP($B51,Inputs!$F$3:$H$17,3,0)*((1+Inputs!$L$3)^Financials!D$3)))</f>
        <v>0</v>
      </c>
      <c r="E51" s="18">
        <f>IF(E$1&lt;CapEx!$O$7,0,(VLOOKUP($B51,Inputs!$F$3:$H$17,3,0)*((1+Inputs!$L$3)^Financials!E$3)))</f>
        <v>0</v>
      </c>
      <c r="F51" s="18">
        <f>IF(F$1&lt;CapEx!$O$7,0,(VLOOKUP($B51,Inputs!$F$3:$H$17,3,0)*((1+Inputs!$L$3)^Financials!F$3)))</f>
        <v>0</v>
      </c>
      <c r="G51" s="18">
        <f>IF(G$1&lt;CapEx!$O$7,0,(VLOOKUP($B51,Inputs!$F$3:$H$17,3,0)*((1+Inputs!$L$3)^Financials!G$3)))</f>
        <v>0</v>
      </c>
      <c r="H51" s="18">
        <f>IF(H$1&lt;CapEx!$O$7,0,(VLOOKUP($B51,Inputs!$F$3:$H$17,3,0)*((1+Inputs!$L$3)^Financials!H$3)))</f>
        <v>0</v>
      </c>
      <c r="I51" s="18">
        <f>IF(I$1&lt;CapEx!$O$7,0,(VLOOKUP($B51,Inputs!$F$3:$H$17,3,0)*((1+Inputs!$L$3)^Financials!I$3)))</f>
        <v>0</v>
      </c>
      <c r="J51" s="18">
        <f>IF(J$1&lt;CapEx!$O$7,0,(VLOOKUP($B51,Inputs!$F$3:$H$17,3,0)*((1+Inputs!$L$3)^Financials!J$3)))</f>
        <v>0</v>
      </c>
      <c r="K51" s="18">
        <f>IF(K$1&lt;CapEx!$O$7,0,(VLOOKUP($B51,Inputs!$F$3:$H$17,3,0)*((1+Inputs!$L$3)^Financials!K$3)))</f>
        <v>0</v>
      </c>
      <c r="L51" s="18">
        <f>IF(L$1&lt;CapEx!$O$7,0,(VLOOKUP($B51,Inputs!$F$3:$H$17,3,0)*((1+Inputs!$L$3)^Financials!L$3)))</f>
        <v>0</v>
      </c>
      <c r="M51" s="18">
        <f>IF(M$1&lt;CapEx!$O$7,0,(VLOOKUP($B51,Inputs!$F$3:$H$17,3,0)*((1+Inputs!$L$3)^Financials!M$3)))</f>
        <v>0</v>
      </c>
      <c r="N51" s="18">
        <f>IF(N$1&lt;CapEx!$O$7,0,(VLOOKUP($B51,Inputs!$F$3:$H$17,3,0)*((1+Inputs!$L$3)^Financials!N$3)))</f>
        <v>0</v>
      </c>
      <c r="O51" s="18">
        <f>IF(O$1&lt;CapEx!$O$7,0,(VLOOKUP($B51,Inputs!$F$3:$H$17,3,0)*((1+Inputs!$L$3)^Financials!O$3)))</f>
        <v>0</v>
      </c>
      <c r="P51" s="18">
        <f>IF(P$1&lt;CapEx!$O$7,0,(VLOOKUP($B51,Inputs!$F$3:$H$17,3,0)*((1+Inputs!$L$3)^Financials!P$3)))</f>
        <v>0</v>
      </c>
      <c r="Q51" s="18">
        <f>IF(Q$1&lt;CapEx!$O$7,0,(VLOOKUP($B51,Inputs!$F$3:$H$17,3,0)*((1+Inputs!$L$3)^Financials!Q$3)))</f>
        <v>0</v>
      </c>
      <c r="R51" s="18">
        <f>IF(R$1&lt;CapEx!$O$7,0,(VLOOKUP($B51,Inputs!$F$3:$H$17,3,0)*((1+Inputs!$L$3)^Financials!R$3)))</f>
        <v>6250</v>
      </c>
      <c r="S51" s="18">
        <f>IF(S$1&lt;CapEx!$O$7,0,(VLOOKUP($B51,Inputs!$F$3:$H$17,3,0)*((1+Inputs!$L$3)^Financials!S$3)))</f>
        <v>6260.416666666667</v>
      </c>
      <c r="T51" s="18">
        <f>IF(T$1&lt;CapEx!$O$7,0,(VLOOKUP($B51,Inputs!$F$3:$H$17,3,0)*((1+Inputs!$L$3)^Financials!T$3)))</f>
        <v>6270.8506944444453</v>
      </c>
      <c r="U51" s="18">
        <f>IF(U$1&lt;CapEx!$O$7,0,(VLOOKUP($B51,Inputs!$F$3:$H$17,3,0)*((1+Inputs!$L$3)^Financials!U$3)))</f>
        <v>6281.3021122685195</v>
      </c>
      <c r="V51" s="18">
        <f>IF(V$1&lt;CapEx!$O$7,0,(VLOOKUP($B51,Inputs!$F$3:$H$17,3,0)*((1+Inputs!$L$3)^Financials!V$3)))</f>
        <v>6291.7709491223013</v>
      </c>
      <c r="W51" s="18">
        <f>IF(W$1&lt;CapEx!$O$7,0,(VLOOKUP($B51,Inputs!$F$3:$H$17,3,0)*((1+Inputs!$L$3)^Financials!W$3)))</f>
        <v>6302.2572340375045</v>
      </c>
      <c r="X51" s="18">
        <f>IF(X$1&lt;CapEx!$O$7,0,(VLOOKUP($B51,Inputs!$F$3:$H$17,3,0)*((1+Inputs!$L$3)^Financials!X$3)))</f>
        <v>6312.7609960942336</v>
      </c>
      <c r="Y51" s="18">
        <f>IF(Y$1&lt;CapEx!$O$7,0,(VLOOKUP($B51,Inputs!$F$3:$H$17,3,0)*((1+Inputs!$L$3)^Financials!Y$3)))</f>
        <v>6323.2822644210582</v>
      </c>
      <c r="Z51" s="18">
        <f>IF(Z$1&lt;CapEx!$O$7,0,(VLOOKUP($B51,Inputs!$F$3:$H$17,3,0)*((1+Inputs!$L$3)^Financials!Z$3)))</f>
        <v>6333.821068195095</v>
      </c>
      <c r="AA51" s="18">
        <f>IF(AA$1&lt;CapEx!$O$7,0,(VLOOKUP($B51,Inputs!$F$3:$H$17,3,0)*((1+Inputs!$L$3)^Financials!AA$3)))</f>
        <v>6344.3774366420857</v>
      </c>
      <c r="AB51" s="18">
        <f>IF(AB$1&lt;CapEx!$O$7,0,(VLOOKUP($B51,Inputs!$F$3:$H$17,3,0)*((1+Inputs!$L$3)^Financials!AB$3)))</f>
        <v>6354.9513990364903</v>
      </c>
      <c r="AC51" s="18">
        <f>IF(AC$1&lt;CapEx!$O$7,0,(VLOOKUP($B51,Inputs!$F$3:$H$17,3,0)*((1+Inputs!$L$3)^Financials!AC$3)))</f>
        <v>6365.5429847015512</v>
      </c>
      <c r="AD51" s="18">
        <f>IF(AD$1&lt;CapEx!$O$7,0,(VLOOKUP($B51,Inputs!$F$3:$H$17,3,0)*((1+Inputs!$L$3)^Financials!AD$3)))</f>
        <v>6376.1522230093879</v>
      </c>
      <c r="AE51" s="18">
        <f>IF(AE$1&lt;CapEx!$O$7,0,(VLOOKUP($B51,Inputs!$F$3:$H$17,3,0)*((1+Inputs!$L$3)^Financials!AE$3)))</f>
        <v>6386.7791433810698</v>
      </c>
      <c r="AF51" s="18">
        <f>IF(AF$1&lt;CapEx!$O$7,0,(VLOOKUP($B51,Inputs!$F$3:$H$17,3,0)*((1+Inputs!$L$3)^Financials!AF$3)))</f>
        <v>6397.4237752867066</v>
      </c>
      <c r="AG51" s="18">
        <f>IF(AG$1&lt;CapEx!$O$7,0,(VLOOKUP($B51,Inputs!$F$3:$H$17,3,0)*((1+Inputs!$L$3)^Financials!AG$3)))</f>
        <v>6408.0861482455175</v>
      </c>
      <c r="AH51" s="18">
        <f>IF(AH$1&lt;CapEx!$O$7,0,(VLOOKUP($B51,Inputs!$F$3:$H$17,3,0)*((1+Inputs!$L$3)^Financials!AH$3)))</f>
        <v>6418.7662918259284</v>
      </c>
      <c r="AI51" s="18">
        <f>IF(AI$1&lt;CapEx!$O$7,0,(VLOOKUP($B51,Inputs!$F$3:$H$17,3,0)*((1+Inputs!$L$3)^Financials!AI$3)))</f>
        <v>6429.4642356456379</v>
      </c>
      <c r="AJ51" s="18">
        <f>IF(AJ$1&lt;CapEx!$O$7,0,(VLOOKUP($B51,Inputs!$F$3:$H$17,3,0)*((1+Inputs!$L$3)^Financials!AJ$3)))</f>
        <v>6440.1800093717138</v>
      </c>
      <c r="AK51" s="18">
        <f>IF(AK$1&lt;CapEx!$O$7,0,(VLOOKUP($B51,Inputs!$F$3:$H$17,3,0)*((1+Inputs!$L$3)^Financials!AK$3)))</f>
        <v>6450.9136427206686</v>
      </c>
      <c r="AL51" s="18">
        <f>IF(AL$1&lt;CapEx!$O$7,0,(VLOOKUP($B51,Inputs!$F$3:$H$17,3,0)*((1+Inputs!$L$3)^Financials!AL$3)))</f>
        <v>6461.6651654585357</v>
      </c>
      <c r="AM51" s="18">
        <f>IF(AM$1&lt;CapEx!$O$7,0,(VLOOKUP($B51,Inputs!$F$3:$H$17,3,0)*((1+Inputs!$L$3)^Financials!AM$3)))</f>
        <v>6472.4346074009673</v>
      </c>
      <c r="AN51" s="18">
        <f>IF(AN$1&lt;CapEx!$O$7,0,(VLOOKUP($B51,Inputs!$F$3:$H$17,3,0)*((1+Inputs!$L$3)^Financials!AN$3)))</f>
        <v>6483.2219984133026</v>
      </c>
      <c r="AO51" s="18">
        <f>IF(AO$1&lt;CapEx!$O$7,0,(VLOOKUP($B51,Inputs!$F$3:$H$17,3,0)*((1+Inputs!$L$3)^Financials!AO$3)))</f>
        <v>6494.0273684106587</v>
      </c>
      <c r="AP51" s="18">
        <f>IF(AP$1&lt;CapEx!$O$7,0,(VLOOKUP($B51,Inputs!$F$3:$H$17,3,0)*((1+Inputs!$L$3)^Financials!AP$3)))</f>
        <v>6504.8507473580112</v>
      </c>
      <c r="AQ51" s="18">
        <f>IF(AQ$1&lt;CapEx!$O$7,0,(VLOOKUP($B51,Inputs!$F$3:$H$17,3,0)*((1+Inputs!$L$3)^Financials!AQ$3)))</f>
        <v>6515.6921652702731</v>
      </c>
      <c r="AR51" s="18">
        <f>IF(AR$1&lt;CapEx!$O$7,0,(VLOOKUP($B51,Inputs!$F$3:$H$17,3,0)*((1+Inputs!$L$3)^Financials!AR$3)))</f>
        <v>6526.5516522123908</v>
      </c>
      <c r="AS51" s="18">
        <f>IF(AS$1&lt;CapEx!$O$7,0,(VLOOKUP($B51,Inputs!$F$3:$H$17,3,0)*((1+Inputs!$L$3)^Financials!AS$3)))</f>
        <v>6537.4292382994126</v>
      </c>
      <c r="AT51" s="18">
        <f>IF(AT$1&lt;CapEx!$O$7,0,(VLOOKUP($B51,Inputs!$F$3:$H$17,3,0)*((1+Inputs!$L$3)^Financials!AT$3)))</f>
        <v>6548.3249536965786</v>
      </c>
      <c r="AU51" s="18">
        <f>IF(AU$1&lt;CapEx!$O$7,0,(VLOOKUP($B51,Inputs!$F$3:$H$17,3,0)*((1+Inputs!$L$3)^Financials!AU$3)))</f>
        <v>6559.2388286194073</v>
      </c>
      <c r="AV51" s="18">
        <f>IF(AV$1&lt;CapEx!$O$7,0,(VLOOKUP($B51,Inputs!$F$3:$H$17,3,0)*((1+Inputs!$L$3)^Financials!AV$3)))</f>
        <v>6570.1708933337723</v>
      </c>
      <c r="AW51" s="18">
        <f>IF(AW$1&lt;CapEx!$O$7,0,(VLOOKUP($B51,Inputs!$F$3:$H$17,3,0)*((1+Inputs!$L$3)^Financials!AW$3)))</f>
        <v>6581.1211781559959</v>
      </c>
      <c r="AX51" s="18">
        <f>IF(AX$1&lt;CapEx!$O$7,0,(VLOOKUP($B51,Inputs!$F$3:$H$17,3,0)*((1+Inputs!$L$3)^Financials!AX$3)))</f>
        <v>6592.0897134529241</v>
      </c>
      <c r="AY51" s="18">
        <f>IF(AY$1&lt;CapEx!$O$7,0,(VLOOKUP($B51,Inputs!$F$3:$H$17,3,0)*((1+Inputs!$L$3)^Financials!AY$3)))</f>
        <v>6603.0765296420132</v>
      </c>
      <c r="AZ51" s="18">
        <f>IF(AZ$1&lt;CapEx!$O$7,0,(VLOOKUP($B51,Inputs!$F$3:$H$17,3,0)*((1+Inputs!$L$3)^Financials!AZ$3)))</f>
        <v>6614.0816571914156</v>
      </c>
      <c r="BA51" s="18">
        <f>IF(BA$1&lt;CapEx!$O$7,0,(VLOOKUP($B51,Inputs!$F$3:$H$17,3,0)*((1+Inputs!$L$3)^Financials!BA$3)))</f>
        <v>6625.1051266200693</v>
      </c>
      <c r="BB51" s="18">
        <f>IF(BB$1&lt;CapEx!$O$7,0,(VLOOKUP($B51,Inputs!$F$3:$H$17,3,0)*((1+Inputs!$L$3)^Financials!BB$3)))</f>
        <v>6636.1469684977692</v>
      </c>
      <c r="BC51" s="18">
        <f>IF(BC$1&lt;CapEx!$O$7,0,(VLOOKUP($B51,Inputs!$F$3:$H$17,3,0)*((1+Inputs!$L$3)^Financials!BC$3)))</f>
        <v>6647.2072134452665</v>
      </c>
      <c r="BD51" s="18">
        <f>IF(BD$1&lt;CapEx!$O$7,0,(VLOOKUP($B51,Inputs!$F$3:$H$17,3,0)*((1+Inputs!$L$3)^Financials!BD$3)))</f>
        <v>6658.2858921343413</v>
      </c>
      <c r="BE51" s="18">
        <f>IF(BE$1&lt;CapEx!$O$7,0,(VLOOKUP($B51,Inputs!$F$3:$H$17,3,0)*((1+Inputs!$L$3)^Financials!BE$3)))</f>
        <v>6669.3830352879004</v>
      </c>
      <c r="BF51" s="18">
        <f>IF(BF$1&lt;CapEx!$O$7,0,(VLOOKUP($B51,Inputs!$F$3:$H$17,3,0)*((1+Inputs!$L$3)^Financials!BF$3)))</f>
        <v>6680.4986736800474</v>
      </c>
      <c r="BG51" s="18">
        <f>IF(BG$1&lt;CapEx!$O$7,0,(VLOOKUP($B51,Inputs!$F$3:$H$17,3,0)*((1+Inputs!$L$3)^Financials!BG$3)))</f>
        <v>6691.63283813618</v>
      </c>
      <c r="BH51" s="18">
        <f>IF(BH$1&lt;CapEx!$O$7,0,(VLOOKUP($B51,Inputs!$F$3:$H$17,3,0)*((1+Inputs!$L$3)^Financials!BH$3)))</f>
        <v>6702.7855595330739</v>
      </c>
      <c r="BI51" s="18">
        <f>IF(BI$1&lt;CapEx!$O$7,0,(VLOOKUP($B51,Inputs!$F$3:$H$17,3,0)*((1+Inputs!$L$3)^Financials!BI$3)))</f>
        <v>6713.9568687989631</v>
      </c>
      <c r="BJ51" s="18">
        <f>IF(BJ$1&lt;CapEx!$O$7,0,(VLOOKUP($B51,Inputs!$F$3:$H$17,3,0)*((1+Inputs!$L$3)^Financials!BJ$3)))</f>
        <v>6725.1467969136284</v>
      </c>
      <c r="BK51" s="18">
        <f>IF(BK$1&lt;CapEx!$O$7,0,(VLOOKUP($B51,Inputs!$F$3:$H$17,3,0)*((1+Inputs!$L$3)^Financials!BK$3)))</f>
        <v>6736.3553749084858</v>
      </c>
      <c r="BL51" s="18">
        <f>IF(BL$1&lt;CapEx!$O$7,0,(VLOOKUP($B51,Inputs!$F$3:$H$17,3,0)*((1+Inputs!$L$3)^Financials!BL$3)))</f>
        <v>6747.5826338666666</v>
      </c>
      <c r="BM51" s="18">
        <f>IF(BM$1&lt;CapEx!$O$7,0,(VLOOKUP($B51,Inputs!$F$3:$H$17,3,0)*((1+Inputs!$L$3)^Financials!BM$3)))</f>
        <v>6758.8286049231119</v>
      </c>
      <c r="BN51" s="18">
        <f>IF(BN$1&lt;CapEx!$O$7,0,(VLOOKUP($B51,Inputs!$F$3:$H$17,3,0)*((1+Inputs!$L$3)^Financials!BN$3)))</f>
        <v>6770.0933192646517</v>
      </c>
      <c r="BO51" s="18">
        <f>IF(BO$1&lt;CapEx!$O$7,0,(VLOOKUP($B51,Inputs!$F$3:$H$17,3,0)*((1+Inputs!$L$3)^Financials!BO$3)))</f>
        <v>6781.3768081300923</v>
      </c>
      <c r="BP51" s="18">
        <f>IF(BP$1&lt;CapEx!$O$7,0,(VLOOKUP($B51,Inputs!$F$3:$H$17,3,0)*((1+Inputs!$L$3)^Financials!BP$3)))</f>
        <v>6792.6791028103089</v>
      </c>
      <c r="BQ51" s="18">
        <f>IF(BQ$1&lt;CapEx!$O$7,0,(VLOOKUP($B51,Inputs!$F$3:$H$17,3,0)*((1+Inputs!$L$3)^Financials!BQ$3)))</f>
        <v>6804.0002346483279</v>
      </c>
      <c r="BR51" s="18">
        <f>IF(BR$1&lt;CapEx!$O$7,0,(VLOOKUP($B51,Inputs!$F$3:$H$17,3,0)*((1+Inputs!$L$3)^Financials!BR$3)))</f>
        <v>6815.3402350394081</v>
      </c>
      <c r="BS51" s="18">
        <f>IF(BS$1&lt;CapEx!$O$7,0,(VLOOKUP($B51,Inputs!$F$3:$H$17,3,0)*((1+Inputs!$L$3)^Financials!BS$3)))</f>
        <v>6826.6991354311413</v>
      </c>
      <c r="BT51" s="18">
        <f>IF(BT$1&lt;CapEx!$O$7,0,(VLOOKUP($B51,Inputs!$F$3:$H$17,3,0)*((1+Inputs!$L$3)^Financials!BT$3)))</f>
        <v>6838.0769673235263</v>
      </c>
      <c r="BU51" s="18">
        <f>IF(BU$1&lt;CapEx!$O$7,0,(VLOOKUP($B51,Inputs!$F$3:$H$17,3,0)*((1+Inputs!$L$3)^Financials!BU$3)))</f>
        <v>6849.4737622690664</v>
      </c>
      <c r="BV51" s="18">
        <f>IF(BV$1&lt;CapEx!$O$7,0,(VLOOKUP($B51,Inputs!$F$3:$H$17,3,0)*((1+Inputs!$L$3)^Financials!BV$3)))</f>
        <v>6860.8895518728496</v>
      </c>
      <c r="BW51" s="18">
        <f>IF(BW$1&lt;CapEx!$O$7,0,(VLOOKUP($B51,Inputs!$F$3:$H$17,3,0)*((1+Inputs!$L$3)^Financials!BW$3)))</f>
        <v>6872.3243677926375</v>
      </c>
      <c r="BX51" s="18">
        <f>IF(BX$1&lt;CapEx!$O$7,0,(VLOOKUP($B51,Inputs!$F$3:$H$17,3,0)*((1+Inputs!$L$3)^Financials!BX$3)))</f>
        <v>6883.7782417389581</v>
      </c>
      <c r="BY51" s="18">
        <f>IF(BY$1&lt;CapEx!$O$7,0,(VLOOKUP($B51,Inputs!$F$3:$H$17,3,0)*((1+Inputs!$L$3)^Financials!BY$3)))</f>
        <v>6895.2512054751905</v>
      </c>
      <c r="BZ51" s="18">
        <f>IF(BZ$1&lt;CapEx!$O$7,0,(VLOOKUP($B51,Inputs!$F$3:$H$17,3,0)*((1+Inputs!$L$3)^Financials!BZ$3)))</f>
        <v>6906.7432908176488</v>
      </c>
      <c r="CA51" s="18">
        <f>IF(CA$1&lt;CapEx!$O$7,0,(VLOOKUP($B51,Inputs!$F$3:$H$17,3,0)*((1+Inputs!$L$3)^Financials!CA$3)))</f>
        <v>6918.2545296356802</v>
      </c>
      <c r="CB51" s="18">
        <f>IF(CB$1&lt;CapEx!$O$7,0,(VLOOKUP($B51,Inputs!$F$3:$H$17,3,0)*((1+Inputs!$L$3)^Financials!CB$3)))</f>
        <v>6929.7849538517394</v>
      </c>
      <c r="CC51" s="18">
        <f>IF(CC$1&lt;CapEx!$O$7,0,(VLOOKUP($B51,Inputs!$F$3:$H$17,3,0)*((1+Inputs!$L$3)^Financials!CC$3)))</f>
        <v>6941.3345954414935</v>
      </c>
      <c r="CD51" s="18">
        <f>IF(CD$1&lt;CapEx!$O$7,0,(VLOOKUP($B51,Inputs!$F$3:$H$17,3,0)*((1+Inputs!$L$3)^Financials!CD$3)))</f>
        <v>6952.9034864338964</v>
      </c>
      <c r="CE51" s="18">
        <f>IF(CE$1&lt;CapEx!$O$7,0,(VLOOKUP($B51,Inputs!$F$3:$H$17,3,0)*((1+Inputs!$L$3)^Financials!CE$3)))</f>
        <v>6964.4916589112872</v>
      </c>
      <c r="CF51" s="18">
        <f>IF(CF$1&lt;CapEx!$O$7,0,(VLOOKUP($B51,Inputs!$F$3:$H$17,3,0)*((1+Inputs!$L$3)^Financials!CF$3)))</f>
        <v>6976.0991450094716</v>
      </c>
      <c r="CG51" s="18">
        <f>IF(CG$1&lt;CapEx!$O$7,0,(VLOOKUP($B51,Inputs!$F$3:$H$17,3,0)*((1+Inputs!$L$3)^Financials!CG$3)))</f>
        <v>6987.7259769178218</v>
      </c>
      <c r="CH51" s="18">
        <f>IF(CH$1&lt;CapEx!$O$7,0,(VLOOKUP($B51,Inputs!$F$3:$H$17,3,0)*((1+Inputs!$L$3)^Financials!CH$3)))</f>
        <v>6999.3721868793518</v>
      </c>
      <c r="CI51" s="18">
        <f>IF(CI$1&lt;CapEx!$O$7,0,(VLOOKUP($B51,Inputs!$F$3:$H$17,3,0)*((1+Inputs!$L$3)^Financials!CI$3)))</f>
        <v>7011.0378071908171</v>
      </c>
      <c r="CJ51" s="18">
        <f>IF(CJ$1&lt;CapEx!$O$7,0,(VLOOKUP($B51,Inputs!$F$3:$H$17,3,0)*((1+Inputs!$L$3)^Financials!CJ$3)))</f>
        <v>7022.7228702028024</v>
      </c>
      <c r="CK51" s="18">
        <f>IF(CK$1&lt;CapEx!$O$7,0,(VLOOKUP($B51,Inputs!$F$3:$H$17,3,0)*((1+Inputs!$L$3)^Financials!CK$3)))</f>
        <v>7034.427408319807</v>
      </c>
      <c r="CL51" s="18">
        <f>IF(CL$1&lt;CapEx!$O$7,0,(VLOOKUP($B51,Inputs!$F$3:$H$17,3,0)*((1+Inputs!$L$3)^Financials!CL$3)))</f>
        <v>7046.1514540003418</v>
      </c>
      <c r="CM51" s="18">
        <f>IF(CM$1&lt;CapEx!$O$7,0,(VLOOKUP($B51,Inputs!$F$3:$H$17,3,0)*((1+Inputs!$L$3)^Financials!CM$3)))</f>
        <v>7057.8950397570088</v>
      </c>
      <c r="CN51" s="18">
        <f>IF(CN$1&lt;CapEx!$O$7,0,(VLOOKUP($B51,Inputs!$F$3:$H$17,3,0)*((1+Inputs!$L$3)^Financials!CN$3)))</f>
        <v>7069.6581981566042</v>
      </c>
      <c r="CO51" s="18">
        <f>IF(CO$1&lt;CapEx!$O$7,0,(VLOOKUP($B51,Inputs!$F$3:$H$17,3,0)*((1+Inputs!$L$3)^Financials!CO$3)))</f>
        <v>7081.4409618201998</v>
      </c>
      <c r="CP51" s="18">
        <f>IF(CP$1&lt;CapEx!$O$7,0,(VLOOKUP($B51,Inputs!$F$3:$H$17,3,0)*((1+Inputs!$L$3)^Financials!CP$3)))</f>
        <v>7093.2433634232339</v>
      </c>
      <c r="CQ51" s="18">
        <f>IF(CQ$1&lt;CapEx!$O$7,0,(VLOOKUP($B51,Inputs!$F$3:$H$17,3,0)*((1+Inputs!$L$3)^Financials!CQ$3)))</f>
        <v>7105.0654356956065</v>
      </c>
      <c r="CR51" s="18">
        <f>IF(CR$1&lt;CapEx!$O$7,0,(VLOOKUP($B51,Inputs!$F$3:$H$17,3,0)*((1+Inputs!$L$3)^Financials!CR$3)))</f>
        <v>7116.9072114217661</v>
      </c>
      <c r="CS51" s="18">
        <f>IF(CS$1&lt;CapEx!$O$7,0,(VLOOKUP($B51,Inputs!$F$3:$H$17,3,0)*((1+Inputs!$L$3)^Financials!CS$3)))</f>
        <v>7128.7687234408022</v>
      </c>
      <c r="CT51" s="18">
        <f>IF(CT$1&lt;CapEx!$O$7,0,(VLOOKUP($B51,Inputs!$F$3:$H$17,3,0)*((1+Inputs!$L$3)^Financials!CT$3)))</f>
        <v>7140.650004646538</v>
      </c>
      <c r="CU51" s="18">
        <f>IF(CU$1&lt;CapEx!$O$7,0,(VLOOKUP($B51,Inputs!$F$3:$H$17,3,0)*((1+Inputs!$L$3)^Financials!CU$3)))</f>
        <v>7152.5510879876156</v>
      </c>
      <c r="CV51" s="18">
        <f>IF(CV$1&lt;CapEx!$O$7,0,(VLOOKUP($B51,Inputs!$F$3:$H$17,3,0)*((1+Inputs!$L$3)^Financials!CV$3)))</f>
        <v>7164.4720064675957</v>
      </c>
      <c r="CW51" s="18">
        <f>IF(CW$1&lt;CapEx!$O$7,0,(VLOOKUP($B51,Inputs!$F$3:$H$17,3,0)*((1+Inputs!$L$3)^Financials!CW$3)))</f>
        <v>7176.412793145043</v>
      </c>
      <c r="CX51" s="18">
        <f>IF(CX$1&lt;CapEx!$O$7,0,(VLOOKUP($B51,Inputs!$F$3:$H$17,3,0)*((1+Inputs!$L$3)^Financials!CX$3)))</f>
        <v>7188.373481133618</v>
      </c>
      <c r="CY51" s="18">
        <f>IF(CY$1&lt;CapEx!$O$7,0,(VLOOKUP($B51,Inputs!$F$3:$H$17,3,0)*((1+Inputs!$L$3)^Financials!CY$3)))</f>
        <v>7200.3541036021761</v>
      </c>
      <c r="CZ51" s="18">
        <f>IF(CZ$1&lt;CapEx!$O$7,0,(VLOOKUP($B51,Inputs!$F$3:$H$17,3,0)*((1+Inputs!$L$3)^Financials!CZ$3)))</f>
        <v>7212.3546937748442</v>
      </c>
      <c r="DA51" s="18">
        <f>IF(DA$1&lt;CapEx!$O$7,0,(VLOOKUP($B51,Inputs!$F$3:$H$17,3,0)*((1+Inputs!$L$3)^Financials!DA$3)))</f>
        <v>7224.3752849311377</v>
      </c>
      <c r="DB51" s="18">
        <f>IF(DB$1&lt;CapEx!$O$7,0,(VLOOKUP($B51,Inputs!$F$3:$H$17,3,0)*((1+Inputs!$L$3)^Financials!DB$3)))</f>
        <v>7236.4159104060245</v>
      </c>
      <c r="DC51" s="18">
        <f>IF(DC$1&lt;CapEx!$O$7,0,(VLOOKUP($B51,Inputs!$F$3:$H$17,3,0)*((1+Inputs!$L$3)^Financials!DC$3)))</f>
        <v>7248.4766035900329</v>
      </c>
      <c r="DD51" s="18">
        <f>IF(DD$1&lt;CapEx!$O$7,0,(VLOOKUP($B51,Inputs!$F$3:$H$17,3,0)*((1+Inputs!$L$3)^Financials!DD$3)))</f>
        <v>7260.5573979293504</v>
      </c>
      <c r="DE51" s="18">
        <f>IF(DE$1&lt;CapEx!$O$7,0,(VLOOKUP($B51,Inputs!$F$3:$H$17,3,0)*((1+Inputs!$L$3)^Financials!DE$3)))</f>
        <v>7272.6583269258999</v>
      </c>
      <c r="DF51" s="18">
        <f>IF(DF$1&lt;CapEx!$O$7,0,(VLOOKUP($B51,Inputs!$F$3:$H$17,3,0)*((1+Inputs!$L$3)^Financials!DF$3)))</f>
        <v>7284.779424137444</v>
      </c>
      <c r="DG51" s="18">
        <f>IF(DG$1&lt;CapEx!$O$7,0,(VLOOKUP($B51,Inputs!$F$3:$H$17,3,0)*((1+Inputs!$L$3)^Financials!DG$3)))</f>
        <v>7296.9207231776745</v>
      </c>
      <c r="DH51" s="18">
        <f>IF(DH$1&lt;CapEx!$O$7,0,(VLOOKUP($B51,Inputs!$F$3:$H$17,3,0)*((1+Inputs!$L$3)^Financials!DH$3)))</f>
        <v>7309.0822577163026</v>
      </c>
      <c r="DI51" s="18">
        <f>IF(DI$1&lt;CapEx!$O$7,0,(VLOOKUP($B51,Inputs!$F$3:$H$17,3,0)*((1+Inputs!$L$3)^Financials!DI$3)))</f>
        <v>7321.2640614791644</v>
      </c>
      <c r="DJ51" s="18">
        <f>IF(DJ$1&lt;CapEx!$O$7,0,(VLOOKUP($B51,Inputs!$F$3:$H$17,3,0)*((1+Inputs!$L$3)^Financials!DJ$3)))</f>
        <v>7333.4661682482983</v>
      </c>
      <c r="DK51" s="18">
        <f>IF(DK$1&lt;CapEx!$O$7,0,(VLOOKUP($B51,Inputs!$F$3:$H$17,3,0)*((1+Inputs!$L$3)^Financials!DK$3)))</f>
        <v>7345.6886118620459</v>
      </c>
      <c r="DL51" s="18">
        <f>IF(DL$1&lt;CapEx!$O$7,0,(VLOOKUP($B51,Inputs!$F$3:$H$17,3,0)*((1+Inputs!$L$3)^Financials!DL$3)))</f>
        <v>7357.9314262151483</v>
      </c>
      <c r="DM51" s="18">
        <f>IF(DM$1&lt;CapEx!$O$7,0,(VLOOKUP($B51,Inputs!$F$3:$H$17,3,0)*((1+Inputs!$L$3)^Financials!DM$3)))</f>
        <v>7370.1946452588418</v>
      </c>
      <c r="DN51" s="18">
        <f>IF(DN$1&lt;CapEx!$O$7,0,(VLOOKUP($B51,Inputs!$F$3:$H$17,3,0)*((1+Inputs!$L$3)^Financials!DN$3)))</f>
        <v>7382.4783030009403</v>
      </c>
      <c r="DO51" s="18">
        <f>IF(DO$1&lt;CapEx!$O$7,0,(VLOOKUP($B51,Inputs!$F$3:$H$17,3,0)*((1+Inputs!$L$3)^Financials!DO$3)))</f>
        <v>7394.7824335059422</v>
      </c>
      <c r="DP51" s="18">
        <f>IF(DP$1&lt;CapEx!$O$7,0,(VLOOKUP($B51,Inputs!$F$3:$H$17,3,0)*((1+Inputs!$L$3)^Financials!DP$3)))</f>
        <v>7407.1070708951174</v>
      </c>
      <c r="DQ51" s="18">
        <f>IF(DQ$1&lt;CapEx!$O$7,0,(VLOOKUP($B51,Inputs!$F$3:$H$17,3,0)*((1+Inputs!$L$3)^Financials!DQ$3)))</f>
        <v>7419.4522493466111</v>
      </c>
      <c r="DR51" s="18">
        <f>IF(DR$1&lt;CapEx!$O$7,0,(VLOOKUP($B51,Inputs!$F$3:$H$17,3,0)*((1+Inputs!$L$3)^Financials!DR$3)))</f>
        <v>7431.8180030955236</v>
      </c>
      <c r="DS51" s="18">
        <f>IF(DS$1&lt;CapEx!$O$7,0,(VLOOKUP($B51,Inputs!$F$3:$H$17,3,0)*((1+Inputs!$L$3)^Financials!DS$3)))</f>
        <v>7444.2043664340154</v>
      </c>
      <c r="DT51" s="18">
        <f>IF(DT$1&lt;CapEx!$O$7,0,(VLOOKUP($B51,Inputs!$F$3:$H$17,3,0)*((1+Inputs!$L$3)^Financials!DT$3)))</f>
        <v>7456.6113737114056</v>
      </c>
      <c r="DU51" s="18">
        <f>IF(DU$1&lt;CapEx!$O$7,0,(VLOOKUP($B51,Inputs!$F$3:$H$17,3,0)*((1+Inputs!$L$3)^Financials!DU$3)))</f>
        <v>7469.039059334259</v>
      </c>
      <c r="DV51" s="18">
        <f>IF(DV$1&lt;CapEx!$O$7,0,(VLOOKUP($B51,Inputs!$F$3:$H$17,3,0)*((1+Inputs!$L$3)^Financials!DV$3)))</f>
        <v>7481.4874577664823</v>
      </c>
      <c r="DW51" s="18">
        <f>IF(DW$1&lt;CapEx!$O$7,0,(VLOOKUP($B51,Inputs!$F$3:$H$17,3,0)*((1+Inputs!$L$3)^Financials!DW$3)))</f>
        <v>7493.9566035294283</v>
      </c>
      <c r="DX51" s="18">
        <f>IF(DX$1&lt;CapEx!$O$7,0,(VLOOKUP($B51,Inputs!$F$3:$H$17,3,0)*((1+Inputs!$L$3)^Financials!DX$3)))</f>
        <v>7506.4465312019784</v>
      </c>
      <c r="DY51" s="18">
        <f>IF(DY$1&lt;CapEx!$O$7,0,(VLOOKUP($B51,Inputs!$F$3:$H$17,3,0)*((1+Inputs!$L$3)^Financials!DY$3)))</f>
        <v>7518.9572754206483</v>
      </c>
      <c r="DZ51" s="18">
        <f>IF(DZ$1&lt;CapEx!$O$7,0,(VLOOKUP($B51,Inputs!$F$3:$H$17,3,0)*((1+Inputs!$L$3)^Financials!DZ$3)))</f>
        <v>7531.4888708796834</v>
      </c>
      <c r="EA51" s="18">
        <f>IF(EA$1&lt;CapEx!$O$7,0,(VLOOKUP($B51,Inputs!$F$3:$H$17,3,0)*((1+Inputs!$L$3)^Financials!EA$3)))</f>
        <v>7544.0413523311499</v>
      </c>
      <c r="EB51" s="18">
        <f>IF(EB$1&lt;CapEx!$O$7,0,(VLOOKUP($B51,Inputs!$F$3:$H$17,3,0)*((1+Inputs!$L$3)^Financials!EB$3)))</f>
        <v>7556.6147545850354</v>
      </c>
      <c r="EC51" s="18">
        <f>IF(EC$1&lt;CapEx!$O$7,0,(VLOOKUP($B51,Inputs!$F$3:$H$17,3,0)*((1+Inputs!$L$3)^Financials!EC$3)))</f>
        <v>7569.2091125093457</v>
      </c>
      <c r="ED51" s="18">
        <f>IF(ED$1&lt;CapEx!$O$7,0,(VLOOKUP($B51,Inputs!$F$3:$H$17,3,0)*((1+Inputs!$L$3)^Financials!ED$3)))</f>
        <v>7581.8244610301945</v>
      </c>
      <c r="EE51" s="18">
        <f>IF(EE$1&lt;CapEx!$O$7,0,(VLOOKUP($B51,Inputs!$F$3:$H$17,3,0)*((1+Inputs!$L$3)^Financials!EE$3)))</f>
        <v>7594.4608351319121</v>
      </c>
      <c r="EF51" s="18">
        <f>IF(EF$1&lt;CapEx!$O$7,0,(VLOOKUP($B51,Inputs!$F$3:$H$17,3,0)*((1+Inputs!$L$3)^Financials!EF$3)))</f>
        <v>7607.1182698571311</v>
      </c>
      <c r="EG51" s="18">
        <f>IF(EG$1&lt;CapEx!$O$7,0,(VLOOKUP($B51,Inputs!$F$3:$H$17,3,0)*((1+Inputs!$L$3)^Financials!EG$3)))</f>
        <v>7619.7968003068936</v>
      </c>
      <c r="EH51" s="18">
        <f>IF(EH$1&lt;CapEx!$O$7,0,(VLOOKUP($B51,Inputs!$F$3:$H$17,3,0)*((1+Inputs!$L$3)^Financials!EH$3)))</f>
        <v>7632.4964616407406</v>
      </c>
      <c r="EI51" s="18">
        <f>IF(EI$1&lt;CapEx!$O$7,0,(VLOOKUP($B51,Inputs!$F$3:$H$17,3,0)*((1+Inputs!$L$3)^Financials!EI$3)))</f>
        <v>7645.2172890768079</v>
      </c>
      <c r="EJ51" s="18">
        <f>IF(EJ$1&lt;CapEx!$O$7,0,(VLOOKUP($B51,Inputs!$F$3:$H$17,3,0)*((1+Inputs!$L$3)^Financials!EJ$3)))</f>
        <v>7657.9593178919367</v>
      </c>
      <c r="EK51" s="18">
        <f>IF(EK$1&lt;CapEx!$O$7,0,(VLOOKUP($B51,Inputs!$F$3:$H$17,3,0)*((1+Inputs!$L$3)^Financials!EK$3)))</f>
        <v>7670.722583421757</v>
      </c>
      <c r="EL51" s="18">
        <f>IF(EL$1&lt;CapEx!$O$7,0,(VLOOKUP($B51,Inputs!$F$3:$H$17,3,0)*((1+Inputs!$L$3)^Financials!EL$3)))</f>
        <v>7683.5071210607921</v>
      </c>
      <c r="EM51" s="18">
        <f>IF(EM$1&lt;CapEx!$O$7,0,(VLOOKUP($B51,Inputs!$F$3:$H$17,3,0)*((1+Inputs!$L$3)^Financials!EM$3)))</f>
        <v>7696.3129662625624</v>
      </c>
      <c r="EN51" s="18">
        <f>IF(EN$1&lt;CapEx!$O$7,0,(VLOOKUP($B51,Inputs!$F$3:$H$17,3,0)*((1+Inputs!$L$3)^Financials!EN$3)))</f>
        <v>7709.1401545396666</v>
      </c>
      <c r="EO51" s="18">
        <f>IF(EO$1&lt;CapEx!$O$7,0,(VLOOKUP($B51,Inputs!$F$3:$H$17,3,0)*((1+Inputs!$L$3)^Financials!EO$3)))</f>
        <v>7721.988721463902</v>
      </c>
      <c r="EP51" s="18">
        <f>IF(EP$1&lt;CapEx!$O$7,0,(VLOOKUP($B51,Inputs!$F$3:$H$17,3,0)*((1+Inputs!$L$3)^Financials!EP$3)))</f>
        <v>7734.8587026663417</v>
      </c>
      <c r="EQ51" s="18">
        <f>IF(EQ$1&lt;CapEx!$O$7,0,(VLOOKUP($B51,Inputs!$F$3:$H$17,3,0)*((1+Inputs!$L$3)^Financials!EQ$3)))</f>
        <v>7747.7501338374523</v>
      </c>
      <c r="ER51" s="18">
        <f>IF(ER$1&lt;CapEx!$O$7,0,(VLOOKUP($B51,Inputs!$F$3:$H$17,3,0)*((1+Inputs!$L$3)^Financials!ER$3)))</f>
        <v>7760.6630507271821</v>
      </c>
      <c r="ES51" s="18">
        <f>IF(ES$1&lt;CapEx!$O$7,0,(VLOOKUP($B51,Inputs!$F$3:$H$17,3,0)*((1+Inputs!$L$3)^Financials!ES$3)))</f>
        <v>7773.5974891450605</v>
      </c>
      <c r="ET51" s="18">
        <f>IF(ET$1&lt;CapEx!$O$7,0,(VLOOKUP($B51,Inputs!$F$3:$H$17,3,0)*((1+Inputs!$L$3)^Financials!ET$3)))</f>
        <v>7786.5534849603036</v>
      </c>
      <c r="EU51" s="18">
        <f>IF(EU$1&lt;CapEx!$O$7,0,(VLOOKUP($B51,Inputs!$F$3:$H$17,3,0)*((1+Inputs!$L$3)^Financials!EU$3)))</f>
        <v>7799.5310741019039</v>
      </c>
      <c r="EV51" s="18">
        <f>IF(EV$1&lt;CapEx!$O$7,0,(VLOOKUP($B51,Inputs!$F$3:$H$17,3,0)*((1+Inputs!$L$3)^Financials!EV$3)))</f>
        <v>7812.5302925587403</v>
      </c>
      <c r="EW51" s="18">
        <f>IF(EW$1&lt;CapEx!$O$7,0,(VLOOKUP($B51,Inputs!$F$3:$H$17,3,0)*((1+Inputs!$L$3)^Financials!EW$3)))</f>
        <v>7825.5511763796721</v>
      </c>
      <c r="EX51" s="18">
        <f>IF(EX$1&lt;CapEx!$O$7,0,(VLOOKUP($B51,Inputs!$F$3:$H$17,3,0)*((1+Inputs!$L$3)^Financials!EX$3)))</f>
        <v>7838.5937616736401</v>
      </c>
      <c r="EY51" s="18">
        <f>IF(EY$1&lt;CapEx!$O$7,0,(VLOOKUP($B51,Inputs!$F$3:$H$17,3,0)*((1+Inputs!$L$3)^Financials!EY$3)))</f>
        <v>7851.6580846097622</v>
      </c>
      <c r="EZ51" s="18">
        <f>IF(EZ$1&lt;CapEx!$O$7,0,(VLOOKUP($B51,Inputs!$F$3:$H$17,3,0)*((1+Inputs!$L$3)^Financials!EZ$3)))</f>
        <v>7864.7441814174463</v>
      </c>
      <c r="FA51" s="18">
        <f>IF(FA$1&lt;CapEx!$O$7,0,(VLOOKUP($B51,Inputs!$F$3:$H$17,3,0)*((1+Inputs!$L$3)^Financials!FA$3)))</f>
        <v>7877.8520883864767</v>
      </c>
      <c r="FB51" s="18">
        <f>IF(FB$1&lt;CapEx!$O$7,0,(VLOOKUP($B51,Inputs!$F$3:$H$17,3,0)*((1+Inputs!$L$3)^Financials!FB$3)))</f>
        <v>7890.9818418671202</v>
      </c>
      <c r="FC51" s="18">
        <f>IF(FC$1&lt;CapEx!$O$7,0,(VLOOKUP($B51,Inputs!$F$3:$H$17,3,0)*((1+Inputs!$L$3)^Financials!FC$3)))</f>
        <v>7904.1334782702324</v>
      </c>
      <c r="FD51" s="18">
        <f>IF(FD$1&lt;CapEx!$O$7,0,(VLOOKUP($B51,Inputs!$F$3:$H$17,3,0)*((1+Inputs!$L$3)^Financials!FD$3)))</f>
        <v>7917.3070340673512</v>
      </c>
      <c r="FE51" s="18">
        <f>IF(FE$1&lt;CapEx!$O$7,0,(VLOOKUP($B51,Inputs!$F$3:$H$17,3,0)*((1+Inputs!$L$3)^Financials!FE$3)))</f>
        <v>7930.5025457907959</v>
      </c>
      <c r="FF51" s="18">
        <f>IF(FF$1&lt;CapEx!$O$7,0,(VLOOKUP($B51,Inputs!$F$3:$H$17,3,0)*((1+Inputs!$L$3)^Financials!FF$3)))</f>
        <v>7943.7200500337822</v>
      </c>
      <c r="FG51" s="18">
        <f>IF(FG$1&lt;CapEx!$O$7,0,(VLOOKUP($B51,Inputs!$F$3:$H$17,3,0)*((1+Inputs!$L$3)^Financials!FG$3)))</f>
        <v>7956.9595834505053</v>
      </c>
      <c r="FH51" s="18">
        <f>IF(FH$1&lt;CapEx!$O$7,0,(VLOOKUP($B51,Inputs!$F$3:$H$17,3,0)*((1+Inputs!$L$3)^Financials!FH$3)))</f>
        <v>7970.2211827562569</v>
      </c>
      <c r="FI51" s="18">
        <f>IF(FI$1&lt;CapEx!$O$7,0,(VLOOKUP($B51,Inputs!$F$3:$H$17,3,0)*((1+Inputs!$L$3)^Financials!FI$3)))</f>
        <v>7983.5048847275184</v>
      </c>
      <c r="FJ51" s="18">
        <f>IF(FJ$1&lt;CapEx!$O$7,0,(VLOOKUP($B51,Inputs!$F$3:$H$17,3,0)*((1+Inputs!$L$3)^Financials!FJ$3)))</f>
        <v>7996.810726202064</v>
      </c>
      <c r="FK51" s="18">
        <f>IF(FK$1&lt;CapEx!$O$7,0,(VLOOKUP($B51,Inputs!$F$3:$H$17,3,0)*((1+Inputs!$L$3)^Financials!FK$3)))</f>
        <v>8010.1387440790695</v>
      </c>
      <c r="FL51" s="18">
        <f>IF(FL$1&lt;CapEx!$O$7,0,(VLOOKUP($B51,Inputs!$F$3:$H$17,3,0)*((1+Inputs!$L$3)^Financials!FL$3)))</f>
        <v>8023.4889753192001</v>
      </c>
      <c r="FM51" s="18">
        <f>IF(FM$1&lt;CapEx!$O$7,0,(VLOOKUP($B51,Inputs!$F$3:$H$17,3,0)*((1+Inputs!$L$3)^Financials!FM$3)))</f>
        <v>8036.8614569447327</v>
      </c>
      <c r="FN51" s="18">
        <f>IF(FN$1&lt;CapEx!$O$7,0,(VLOOKUP($B51,Inputs!$F$3:$H$17,3,0)*((1+Inputs!$L$3)^Financials!FN$3)))</f>
        <v>8050.2562260396426</v>
      </c>
      <c r="FO51" s="18">
        <f>IF(FO$1&lt;CapEx!$O$7,0,(VLOOKUP($B51,Inputs!$F$3:$H$17,3,0)*((1+Inputs!$L$3)^Financials!FO$3)))</f>
        <v>8063.6733197497078</v>
      </c>
      <c r="FP51" s="18">
        <f>IF(FP$1&lt;CapEx!$O$7,0,(VLOOKUP($B51,Inputs!$F$3:$H$17,3,0)*((1+Inputs!$L$3)^Financials!FP$3)))</f>
        <v>8077.1127752826242</v>
      </c>
      <c r="FQ51" s="18">
        <f>IF(FQ$1&lt;CapEx!$O$7,0,(VLOOKUP($B51,Inputs!$F$3:$H$17,3,0)*((1+Inputs!$L$3)^Financials!FQ$3)))</f>
        <v>8090.5746299080965</v>
      </c>
      <c r="FR51" s="18">
        <f>IF(FR$1&lt;CapEx!$O$7,0,(VLOOKUP($B51,Inputs!$F$3:$H$17,3,0)*((1+Inputs!$L$3)^Financials!FR$3)))</f>
        <v>8104.058920957943</v>
      </c>
      <c r="FS51" s="18">
        <f>IF(FS$1&lt;CapEx!$O$7,0,(VLOOKUP($B51,Inputs!$F$3:$H$17,3,0)*((1+Inputs!$L$3)^Financials!FS$3)))</f>
        <v>8117.5656858262082</v>
      </c>
      <c r="FT51" s="18">
        <f>IF(FT$1&lt;CapEx!$O$7,0,(VLOOKUP($B51,Inputs!$F$3:$H$17,3,0)*((1+Inputs!$L$3)^Financials!FT$3)))</f>
        <v>8131.094961969251</v>
      </c>
      <c r="FU51" s="18">
        <f>IF(FU$1&lt;CapEx!$O$7,0,(VLOOKUP($B51,Inputs!$F$3:$H$17,3,0)*((1+Inputs!$L$3)^Financials!FU$3)))</f>
        <v>8144.6467869058679</v>
      </c>
      <c r="FV51" s="18">
        <f>IF(FV$1&lt;CapEx!$O$7,0,(VLOOKUP($B51,Inputs!$F$3:$H$17,3,0)*((1+Inputs!$L$3)^Financials!FV$3)))</f>
        <v>8158.2211982173785</v>
      </c>
      <c r="FW51" s="18">
        <f>IF(FW$1&lt;CapEx!$O$7,0,(VLOOKUP($B51,Inputs!$F$3:$H$17,3,0)*((1+Inputs!$L$3)^Financials!FW$3)))</f>
        <v>8171.8182335477422</v>
      </c>
      <c r="FX51" s="18">
        <f>IF(FX$1&lt;CapEx!$O$7,0,(VLOOKUP($B51,Inputs!$F$3:$H$17,3,0)*((1+Inputs!$L$3)^Financials!FX$3)))</f>
        <v>8185.4379306036544</v>
      </c>
      <c r="FY51" s="18">
        <f>IF(FY$1&lt;CapEx!$O$7,0,(VLOOKUP($B51,Inputs!$F$3:$H$17,3,0)*((1+Inputs!$L$3)^Financials!FY$3)))</f>
        <v>8199.0803271546611</v>
      </c>
      <c r="FZ51" s="18">
        <f>IF(FZ$1&lt;CapEx!$O$7,0,(VLOOKUP($B51,Inputs!$F$3:$H$17,3,0)*((1+Inputs!$L$3)^Financials!FZ$3)))</f>
        <v>8212.7454610332534</v>
      </c>
      <c r="GA51" s="18">
        <f>IF(GA$1&lt;CapEx!$O$7,0,(VLOOKUP($B51,Inputs!$F$3:$H$17,3,0)*((1+Inputs!$L$3)^Financials!GA$3)))</f>
        <v>8226.4333701349769</v>
      </c>
      <c r="GB51" s="18">
        <f>IF(GB$1&lt;CapEx!$O$7,0,(VLOOKUP($B51,Inputs!$F$3:$H$17,3,0)*((1+Inputs!$L$3)^Financials!GB$3)))</f>
        <v>8240.1440924185354</v>
      </c>
      <c r="GC51" s="18">
        <f>IF(GC$1&lt;CapEx!$O$7,0,(VLOOKUP($B51,Inputs!$F$3:$H$17,3,0)*((1+Inputs!$L$3)^Financials!GC$3)))</f>
        <v>8253.8776659059004</v>
      </c>
      <c r="GD51" s="18">
        <f>IF(GD$1&lt;CapEx!$O$7,0,(VLOOKUP($B51,Inputs!$F$3:$H$17,3,0)*((1+Inputs!$L$3)^Financials!GD$3)))</f>
        <v>8267.6341286824118</v>
      </c>
      <c r="GE51" s="18">
        <f>IF(GE$1&lt;CapEx!$O$7,0,(VLOOKUP($B51,Inputs!$F$3:$H$17,3,0)*((1+Inputs!$L$3)^Financials!GE$3)))</f>
        <v>8281.4135188968812</v>
      </c>
      <c r="GF51" s="18">
        <f>IF(GF$1&lt;CapEx!$O$7,0,(VLOOKUP($B51,Inputs!$F$3:$H$17,3,0)*((1+Inputs!$L$3)^Financials!GF$3)))</f>
        <v>8295.2158747617086</v>
      </c>
      <c r="GG51" s="18">
        <f>IF(GG$1&lt;CapEx!$O$7,0,(VLOOKUP($B51,Inputs!$F$3:$H$17,3,0)*((1+Inputs!$L$3)^Financials!GG$3)))</f>
        <v>8309.0412345529803</v>
      </c>
      <c r="GH51" s="18">
        <f>IF(GH$1&lt;CapEx!$O$7,0,(VLOOKUP($B51,Inputs!$F$3:$H$17,3,0)*((1+Inputs!$L$3)^Financials!GH$3)))</f>
        <v>8322.8896366105691</v>
      </c>
      <c r="GI51" s="18">
        <f>IF(GI$1&lt;CapEx!$O$7,0,(VLOOKUP($B51,Inputs!$F$3:$H$17,3,0)*((1+Inputs!$L$3)^Financials!GI$3)))</f>
        <v>8336.7611193382545</v>
      </c>
      <c r="GJ51" s="18">
        <f>IF(GJ$1&lt;CapEx!$O$7,0,(VLOOKUP($B51,Inputs!$F$3:$H$17,3,0)*((1+Inputs!$L$3)^Financials!GJ$3)))</f>
        <v>8350.6557212038169</v>
      </c>
      <c r="GK51" s="18">
        <f>IF(GK$1&lt;CapEx!$O$7,0,(VLOOKUP($B51,Inputs!$F$3:$H$17,3,0)*((1+Inputs!$L$3)^Financials!GK$3)))</f>
        <v>8364.5734807391582</v>
      </c>
      <c r="GL51" s="18">
        <f>IF(GL$1&lt;CapEx!$O$7,0,(VLOOKUP($B51,Inputs!$F$3:$H$17,3,0)*((1+Inputs!$L$3)^Financials!GL$3)))</f>
        <v>8378.5144365403921</v>
      </c>
      <c r="GM51" s="18">
        <f>IF(GM$1&lt;CapEx!$O$7,0,(VLOOKUP($B51,Inputs!$F$3:$H$17,3,0)*((1+Inputs!$L$3)^Financials!GM$3)))</f>
        <v>8392.4786272679594</v>
      </c>
      <c r="GN51" s="18">
        <f>IF(GN$1&lt;CapEx!$O$7,0,(VLOOKUP($B51,Inputs!$F$3:$H$17,3,0)*((1+Inputs!$L$3)^Financials!GN$3)))</f>
        <v>8406.4660916467383</v>
      </c>
      <c r="GO51" s="18">
        <f>IF(GO$1&lt;CapEx!$O$7,0,(VLOOKUP($B51,Inputs!$F$3:$H$17,3,0)*((1+Inputs!$L$3)^Financials!GO$3)))</f>
        <v>8420.4768684661522</v>
      </c>
      <c r="GP51" s="18">
        <f>IF(GP$1&lt;CapEx!$O$7,0,(VLOOKUP($B51,Inputs!$F$3:$H$17,3,0)*((1+Inputs!$L$3)^Financials!GP$3)))</f>
        <v>8434.5109965802621</v>
      </c>
      <c r="GQ51" s="18">
        <f>IF(GQ$1&lt;CapEx!$O$7,0,(VLOOKUP($B51,Inputs!$F$3:$H$17,3,0)*((1+Inputs!$L$3)^Financials!GQ$3)))</f>
        <v>8448.5685149078963</v>
      </c>
      <c r="GR51" s="18">
        <f>IF(GR$1&lt;CapEx!$O$7,0,(VLOOKUP($B51,Inputs!$F$3:$H$17,3,0)*((1+Inputs!$L$3)^Financials!GR$3)))</f>
        <v>8462.6494624327443</v>
      </c>
      <c r="GS51" s="18">
        <f>IF(GS$1&lt;CapEx!$O$7,0,(VLOOKUP($B51,Inputs!$F$3:$H$17,3,0)*((1+Inputs!$L$3)^Financials!GS$3)))</f>
        <v>8476.7538782034644</v>
      </c>
      <c r="GT51" s="18">
        <f>IF(GT$1&lt;CapEx!$O$7,0,(VLOOKUP($B51,Inputs!$F$3:$H$17,3,0)*((1+Inputs!$L$3)^Financials!GT$3)))</f>
        <v>8490.8818013338059</v>
      </c>
      <c r="GU51" s="18">
        <f>IF(GU$1&lt;CapEx!$O$7,0,(VLOOKUP($B51,Inputs!$F$3:$H$17,3,0)*((1+Inputs!$L$3)^Financials!GU$3)))</f>
        <v>8505.0332710026942</v>
      </c>
      <c r="GV51" s="18">
        <f>IF(GV$1&lt;CapEx!$O$7,0,(VLOOKUP($B51,Inputs!$F$3:$H$17,3,0)*((1+Inputs!$L$3)^Financials!GV$3)))</f>
        <v>8519.2083264543671</v>
      </c>
      <c r="GW51" s="18">
        <f>IF(GW$1&lt;CapEx!$O$7,0,(VLOOKUP($B51,Inputs!$F$3:$H$17,3,0)*((1+Inputs!$L$3)^Financials!GW$3)))</f>
        <v>8533.4070069984573</v>
      </c>
      <c r="GX51" s="18">
        <f>IF(GX$1&lt;CapEx!$O$7,0,(VLOOKUP($B51,Inputs!$F$3:$H$17,3,0)*((1+Inputs!$L$3)^Financials!GX$3)))</f>
        <v>8547.6293520101226</v>
      </c>
      <c r="GY51" s="18">
        <f>IF(GY$1&lt;CapEx!$O$7,0,(VLOOKUP($B51,Inputs!$F$3:$H$17,3,0)*((1+Inputs!$L$3)^Financials!GY$3)))</f>
        <v>8561.8754009301392</v>
      </c>
      <c r="GZ51" s="18">
        <f>IF(GZ$1&lt;CapEx!$O$7,0,(VLOOKUP($B51,Inputs!$F$3:$H$17,3,0)*((1+Inputs!$L$3)^Financials!GZ$3)))</f>
        <v>8576.1451932650234</v>
      </c>
      <c r="HA51" s="18">
        <f>IF(HA$1&lt;CapEx!$O$7,0,(VLOOKUP($B51,Inputs!$F$3:$H$17,3,0)*((1+Inputs!$L$3)^Financials!HA$3)))</f>
        <v>8590.4387685871352</v>
      </c>
      <c r="HB51" s="18">
        <f>IF(HB$1&lt;CapEx!$O$7,0,(VLOOKUP($B51,Inputs!$F$3:$H$17,3,0)*((1+Inputs!$L$3)^Financials!HB$3)))</f>
        <v>8604.7561665347803</v>
      </c>
      <c r="HC51" s="18">
        <f>IF(HC$1&lt;CapEx!$O$7,0,(VLOOKUP($B51,Inputs!$F$3:$H$17,3,0)*((1+Inputs!$L$3)^Financials!HC$3)))</f>
        <v>8619.0974268123391</v>
      </c>
      <c r="HD51" s="18">
        <f>IF(HD$1&lt;CapEx!$O$7,0,(VLOOKUP($B51,Inputs!$F$3:$H$17,3,0)*((1+Inputs!$L$3)^Financials!HD$3)))</f>
        <v>8633.4625891903597</v>
      </c>
      <c r="HE51" s="18">
        <f>IF(HE$1&lt;CapEx!$O$7,0,(VLOOKUP($B51,Inputs!$F$3:$H$17,3,0)*((1+Inputs!$L$3)^Financials!HE$3)))</f>
        <v>8647.8516935056778</v>
      </c>
      <c r="HF51" s="18">
        <f>IF(HF$1&lt;CapEx!$O$7,0,(VLOOKUP($B51,Inputs!$F$3:$H$17,3,0)*((1+Inputs!$L$3)^Financials!HF$3)))</f>
        <v>8662.2647796615202</v>
      </c>
      <c r="HG51" s="18">
        <f>IF(HG$1&lt;CapEx!$O$7,0,(VLOOKUP($B51,Inputs!$F$3:$H$17,3,0)*((1+Inputs!$L$3)^Financials!HG$3)))</f>
        <v>8676.7018876276215</v>
      </c>
      <c r="HH51" s="18">
        <f>IF(HH$1&lt;CapEx!$O$7,0,(VLOOKUP($B51,Inputs!$F$3:$H$17,3,0)*((1+Inputs!$L$3)^Financials!HH$3)))</f>
        <v>8691.1630574403353</v>
      </c>
      <c r="HI51" s="18">
        <f>IF(HI$1&lt;CapEx!$O$7,0,(VLOOKUP($B51,Inputs!$F$3:$H$17,3,0)*((1+Inputs!$L$3)^Financials!HI$3)))</f>
        <v>8705.6483292027369</v>
      </c>
      <c r="HJ51" s="18">
        <f>IF(HJ$1&lt;CapEx!$O$7,0,(VLOOKUP($B51,Inputs!$F$3:$H$17,3,0)*((1+Inputs!$L$3)^Financials!HJ$3)))</f>
        <v>8720.1577430847428</v>
      </c>
      <c r="HK51" s="18">
        <f>IF(HK$1&lt;CapEx!$O$7,0,(VLOOKUP($B51,Inputs!$F$3:$H$17,3,0)*((1+Inputs!$L$3)^Financials!HK$3)))</f>
        <v>8734.6913393232171</v>
      </c>
      <c r="HL51" s="18">
        <f>IF(HL$1&lt;CapEx!$O$7,0,(VLOOKUP($B51,Inputs!$F$3:$H$17,3,0)*((1+Inputs!$L$3)^Financials!HL$3)))</f>
        <v>8749.24915822209</v>
      </c>
      <c r="HM51" s="18">
        <f>IF(HM$1&lt;CapEx!$O$7,0,(VLOOKUP($B51,Inputs!$F$3:$H$17,3,0)*((1+Inputs!$L$3)^Financials!HM$3)))</f>
        <v>8763.8312401524618</v>
      </c>
      <c r="HN51" s="18">
        <f>IF(HN$1&lt;CapEx!$O$7,0,(VLOOKUP($B51,Inputs!$F$3:$H$17,3,0)*((1+Inputs!$L$3)^Financials!HN$3)))</f>
        <v>8778.437625552715</v>
      </c>
      <c r="HO51" s="18">
        <f>IF(HO$1&lt;CapEx!$O$7,0,(VLOOKUP($B51,Inputs!$F$3:$H$17,3,0)*((1+Inputs!$L$3)^Financials!HO$3)))</f>
        <v>8793.0683549286368</v>
      </c>
      <c r="HP51" s="18">
        <f>IF(HP$1&lt;CapEx!$O$7,0,(VLOOKUP($B51,Inputs!$F$3:$H$17,3,0)*((1+Inputs!$L$3)^Financials!HP$3)))</f>
        <v>8807.7234688535191</v>
      </c>
      <c r="HQ51" s="18">
        <f>IF(HQ$1&lt;CapEx!$O$7,0,(VLOOKUP($B51,Inputs!$F$3:$H$17,3,0)*((1+Inputs!$L$3)^Financials!HQ$3)))</f>
        <v>8822.4030079682743</v>
      </c>
      <c r="HR51" s="18">
        <f>IF(HR$1&lt;CapEx!$O$7,0,(VLOOKUP($B51,Inputs!$F$3:$H$17,3,0)*((1+Inputs!$L$3)^Financials!HR$3)))</f>
        <v>8837.107012981558</v>
      </c>
      <c r="HS51" s="18">
        <f>IF(HS$1&lt;CapEx!$O$7,0,(VLOOKUP($B51,Inputs!$F$3:$H$17,3,0)*((1+Inputs!$L$3)^Financials!HS$3)))</f>
        <v>8851.8355246698593</v>
      </c>
      <c r="HT51" s="18">
        <f>IF(HT$1&lt;CapEx!$O$7,0,(VLOOKUP($B51,Inputs!$F$3:$H$17,3,0)*((1+Inputs!$L$3)^Financials!HT$3)))</f>
        <v>8866.588583877643</v>
      </c>
      <c r="HU51" s="18">
        <f>IF(HU$1&lt;CapEx!$O$7,0,(VLOOKUP($B51,Inputs!$F$3:$H$17,3,0)*((1+Inputs!$L$3)^Financials!HU$3)))</f>
        <v>8881.3662315174406</v>
      </c>
      <c r="HV51" s="18">
        <f>IF(HV$1&lt;CapEx!$O$7,0,(VLOOKUP($B51,Inputs!$F$3:$H$17,3,0)*((1+Inputs!$L$3)^Financials!HV$3)))</f>
        <v>8896.1685085699719</v>
      </c>
      <c r="HW51" s="18">
        <f>IF(HW$1&lt;CapEx!$O$7,0,(VLOOKUP($B51,Inputs!$F$3:$H$17,3,0)*((1+Inputs!$L$3)^Financials!HW$3)))</f>
        <v>8910.9954560842561</v>
      </c>
      <c r="HX51" s="18">
        <f>IF(HX$1&lt;CapEx!$O$7,0,(VLOOKUP($B51,Inputs!$F$3:$H$17,3,0)*((1+Inputs!$L$3)^Financials!HX$3)))</f>
        <v>8925.8471151777285</v>
      </c>
      <c r="HY51" s="18">
        <f>IF(HY$1&lt;CapEx!$O$7,0,(VLOOKUP($B51,Inputs!$F$3:$H$17,3,0)*((1+Inputs!$L$3)^Financials!HY$3)))</f>
        <v>8940.7235270363599</v>
      </c>
      <c r="HZ51" s="18">
        <f>IF(HZ$1&lt;CapEx!$O$7,0,(VLOOKUP($B51,Inputs!$F$3:$H$17,3,0)*((1+Inputs!$L$3)^Financials!HZ$3)))</f>
        <v>8955.6247329147554</v>
      </c>
      <c r="IA51" s="18">
        <f>IF(IA$1&lt;CapEx!$O$7,0,(VLOOKUP($B51,Inputs!$F$3:$H$17,3,0)*((1+Inputs!$L$3)^Financials!IA$3)))</f>
        <v>8970.5507741362781</v>
      </c>
      <c r="IB51" s="18">
        <f>IF(IB$1&lt;CapEx!$O$7,0,(VLOOKUP($B51,Inputs!$F$3:$H$17,3,0)*((1+Inputs!$L$3)^Financials!IB$3)))</f>
        <v>8985.5016920931721</v>
      </c>
      <c r="IC51" s="18">
        <f>IF(IC$1&lt;CapEx!$O$7,0,(VLOOKUP($B51,Inputs!$F$3:$H$17,3,0)*((1+Inputs!$L$3)^Financials!IC$3)))</f>
        <v>9000.4775282466617</v>
      </c>
      <c r="ID51" s="18">
        <f>IF(ID$1&lt;CapEx!$O$7,0,(VLOOKUP($B51,Inputs!$F$3:$H$17,3,0)*((1+Inputs!$L$3)^Financials!ID$3)))</f>
        <v>9015.4783241270743</v>
      </c>
      <c r="IE51" s="18">
        <f>IF(IE$1&lt;CapEx!$O$7,0,(VLOOKUP($B51,Inputs!$F$3:$H$17,3,0)*((1+Inputs!$L$3)^Financials!IE$3)))</f>
        <v>9030.5041213339537</v>
      </c>
      <c r="IF51" s="18">
        <f>IF(IF$1&lt;CapEx!$O$7,0,(VLOOKUP($B51,Inputs!$F$3:$H$17,3,0)*((1+Inputs!$L$3)^Financials!IF$3)))</f>
        <v>9045.5549615361761</v>
      </c>
      <c r="IG51" s="18">
        <f>IF(IG$1&lt;CapEx!$O$7,0,(VLOOKUP($B51,Inputs!$F$3:$H$17,3,0)*((1+Inputs!$L$3)^Financials!IG$3)))</f>
        <v>9060.6308864720704</v>
      </c>
      <c r="IH51" s="18">
        <f>IF(IH$1&lt;CapEx!$O$7,0,(VLOOKUP($B51,Inputs!$F$3:$H$17,3,0)*((1+Inputs!$L$3)^Financials!IH$3)))</f>
        <v>9075.7319379495275</v>
      </c>
      <c r="II51" s="18">
        <f>IF(II$1&lt;CapEx!$O$7,0,(VLOOKUP($B51,Inputs!$F$3:$H$17,3,0)*((1+Inputs!$L$3)^Financials!II$3)))</f>
        <v>9090.8581578461108</v>
      </c>
      <c r="IJ51" s="18">
        <f>IF(IJ$1&lt;CapEx!$O$7,0,(VLOOKUP($B51,Inputs!$F$3:$H$17,3,0)*((1+Inputs!$L$3)^Financials!IJ$3)))</f>
        <v>9106.0095881091856</v>
      </c>
      <c r="IK51" s="18">
        <f>IF(IK$1&lt;CapEx!$O$7,0,(VLOOKUP($B51,Inputs!$F$3:$H$17,3,0)*((1+Inputs!$L$3)^Financials!IK$3)))</f>
        <v>9121.1862707560358</v>
      </c>
      <c r="IL51" s="18">
        <f>IF(IL$1&lt;CapEx!$O$7,0,(VLOOKUP($B51,Inputs!$F$3:$H$17,3,0)*((1+Inputs!$L$3)^Financials!IL$3)))</f>
        <v>9136.3882478739633</v>
      </c>
      <c r="IM51" s="18">
        <f>IF(IM$1&lt;CapEx!$O$7,0,(VLOOKUP($B51,Inputs!$F$3:$H$17,3,0)*((1+Inputs!$L$3)^Financials!IM$3)))</f>
        <v>9151.6155616204196</v>
      </c>
      <c r="IN51" s="18">
        <f>IF(IN$1&lt;CapEx!$O$7,0,(VLOOKUP($B51,Inputs!$F$3:$H$17,3,0)*((1+Inputs!$L$3)^Financials!IN$3)))</f>
        <v>9166.8682542231199</v>
      </c>
      <c r="IO51" s="18">
        <f>IF(IO$1&lt;CapEx!$O$7,0,(VLOOKUP($B51,Inputs!$F$3:$H$17,3,0)*((1+Inputs!$L$3)^Financials!IO$3)))</f>
        <v>9182.1463679801618</v>
      </c>
      <c r="IP51" s="18">
        <f>IF(IP$1&lt;CapEx!$O$7,0,(VLOOKUP($B51,Inputs!$F$3:$H$17,3,0)*((1+Inputs!$L$3)^Financials!IP$3)))</f>
        <v>9197.4499452601285</v>
      </c>
      <c r="IQ51" s="18">
        <f>IF(IQ$1&lt;CapEx!$O$7,0,(VLOOKUP($B51,Inputs!$F$3:$H$17,3,0)*((1+Inputs!$L$3)^Financials!IQ$3)))</f>
        <v>9212.7790285022274</v>
      </c>
      <c r="IR51" s="18">
        <f>IF(IR$1&lt;CapEx!$O$7,0,(VLOOKUP($B51,Inputs!$F$3:$H$17,3,0)*((1+Inputs!$L$3)^Financials!IR$3)))</f>
        <v>9228.1336602163974</v>
      </c>
      <c r="IS51" s="18">
        <f>IF(IS$1&lt;CapEx!$O$7,0,(VLOOKUP($B51,Inputs!$F$3:$H$17,3,0)*((1+Inputs!$L$3)^Financials!IS$3)))</f>
        <v>9243.5138829834268</v>
      </c>
      <c r="IT51" s="18">
        <f>IF(IT$1&lt;CapEx!$O$7,0,(VLOOKUP($B51,Inputs!$F$3:$H$17,3,0)*((1+Inputs!$L$3)^Financials!IT$3)))</f>
        <v>9258.9197394550647</v>
      </c>
      <c r="IU51" s="18">
        <f>IF(IU$1&lt;CapEx!$O$7,0,(VLOOKUP($B51,Inputs!$F$3:$H$17,3,0)*((1+Inputs!$L$3)^Financials!IU$3)))</f>
        <v>9274.3512723541608</v>
      </c>
      <c r="IV51" s="18">
        <f>IF(IV$1&lt;CapEx!$O$7,0,(VLOOKUP($B51,Inputs!$F$3:$H$17,3,0)*((1+Inputs!$L$3)^Financials!IV$3)))</f>
        <v>9289.8085244747508</v>
      </c>
      <c r="IW51" s="18">
        <f>IF(IW$1&lt;CapEx!$O$7,0,(VLOOKUP($B51,Inputs!$F$3:$H$17,3,0)*((1+Inputs!$L$3)^Financials!IW$3)))</f>
        <v>9305.2915386822096</v>
      </c>
      <c r="IX51" s="18">
        <f>IF(IX$1&lt;CapEx!$O$7,0,(VLOOKUP($B51,Inputs!$F$3:$H$17,3,0)*((1+Inputs!$L$3)^Financials!IX$3)))</f>
        <v>9320.8003579133474</v>
      </c>
      <c r="IY51" s="18">
        <f>IF(IY$1&lt;CapEx!$O$7,0,(VLOOKUP($B51,Inputs!$F$3:$H$17,3,0)*((1+Inputs!$L$3)^Financials!IY$3)))</f>
        <v>9336.3350251765369</v>
      </c>
      <c r="IZ51" s="18">
        <f>IF(IZ$1&lt;CapEx!$O$7,0,(VLOOKUP($B51,Inputs!$F$3:$H$17,3,0)*((1+Inputs!$L$3)^Financials!IZ$3)))</f>
        <v>9351.89558355183</v>
      </c>
      <c r="JA51" s="18">
        <f>IF(JA$1&lt;CapEx!$O$7,0,(VLOOKUP($B51,Inputs!$F$3:$H$17,3,0)*((1+Inputs!$L$3)^Financials!JA$3)))</f>
        <v>9367.4820761910851</v>
      </c>
      <c r="JB51" s="18">
        <f>IF(JB$1&lt;CapEx!$O$7,0,(VLOOKUP($B51,Inputs!$F$3:$H$17,3,0)*((1+Inputs!$L$3)^Financials!JB$3)))</f>
        <v>9383.0945463180724</v>
      </c>
      <c r="JC51" s="18">
        <f>IF(JC$1&lt;CapEx!$O$7,0,(VLOOKUP($B51,Inputs!$F$3:$H$17,3,0)*((1+Inputs!$L$3)^Financials!JC$3)))</f>
        <v>9398.7330372286033</v>
      </c>
      <c r="JD51" s="18">
        <f>IF(JD$1&lt;CapEx!$O$7,0,(VLOOKUP($B51,Inputs!$F$3:$H$17,3,0)*((1+Inputs!$L$3)^Financials!JD$3)))</f>
        <v>9414.3975922906484</v>
      </c>
      <c r="JE51" s="18">
        <f>IF(JE$1&lt;CapEx!$O$7,0,(VLOOKUP($B51,Inputs!$F$3:$H$17,3,0)*((1+Inputs!$L$3)^Financials!JE$3)))</f>
        <v>9430.0882549444668</v>
      </c>
      <c r="JF51" s="18">
        <f>IF(JF$1&lt;CapEx!$O$7,0,(VLOOKUP($B51,Inputs!$F$3:$H$17,3,0)*((1+Inputs!$L$3)^Financials!JF$3)))</f>
        <v>9445.8050687027098</v>
      </c>
      <c r="JG51" s="18">
        <f>IF(JG$1&lt;CapEx!$O$7,0,(VLOOKUP($B51,Inputs!$F$3:$H$17,3,0)*((1+Inputs!$L$3)^Financials!JG$3)))</f>
        <v>9461.5480771505481</v>
      </c>
      <c r="JH51" s="18">
        <f>IF(JH$1&lt;CapEx!$O$7,0,(VLOOKUP($B51,Inputs!$F$3:$H$17,3,0)*((1+Inputs!$L$3)^Financials!JH$3)))</f>
        <v>9477.3173239457992</v>
      </c>
      <c r="JI51" s="18">
        <f>IF(JI$1&lt;CapEx!$O$7,0,(VLOOKUP($B51,Inputs!$F$3:$H$17,3,0)*((1+Inputs!$L$3)^Financials!JI$3)))</f>
        <v>9493.1128528190438</v>
      </c>
      <c r="JJ51" s="18">
        <f>IF(JJ$1&lt;CapEx!$O$7,0,(VLOOKUP($B51,Inputs!$F$3:$H$17,3,0)*((1+Inputs!$L$3)^Financials!JJ$3)))</f>
        <v>9508.9347075737405</v>
      </c>
      <c r="JK51" s="18">
        <f>IF(JK$1&lt;CapEx!$O$7,0,(VLOOKUP($B51,Inputs!$F$3:$H$17,3,0)*((1+Inputs!$L$3)^Financials!JK$3)))</f>
        <v>9524.7829320863657</v>
      </c>
      <c r="JL51" s="18">
        <f>IF(JL$1&lt;CapEx!$O$7,0,(VLOOKUP($B51,Inputs!$F$3:$H$17,3,0)*((1+Inputs!$L$3)^Financials!JL$3)))</f>
        <v>9540.65757030651</v>
      </c>
      <c r="JM51" s="18">
        <f>IF(JM$1&lt;CapEx!$O$7,0,(VLOOKUP($B51,Inputs!$F$3:$H$17,3,0)*((1+Inputs!$L$3)^Financials!JM$3)))</f>
        <v>9556.5586662570222</v>
      </c>
      <c r="JN51" s="18">
        <f>IF(JN$1&lt;CapEx!$O$7,0,(VLOOKUP($B51,Inputs!$F$3:$H$17,3,0)*((1+Inputs!$L$3)^Financials!JN$3)))</f>
        <v>9572.4862640341198</v>
      </c>
      <c r="JO51" s="18">
        <f>IF(JO$1&lt;CapEx!$O$7,0,(VLOOKUP($B51,Inputs!$F$3:$H$17,3,0)*((1+Inputs!$L$3)^Financials!JO$3)))</f>
        <v>9588.4404078075095</v>
      </c>
      <c r="JP51" s="18">
        <f>IF(JP$1&lt;CapEx!$O$7,0,(VLOOKUP($B51,Inputs!$F$3:$H$17,3,0)*((1+Inputs!$L$3)^Financials!JP$3)))</f>
        <v>9604.4211418205232</v>
      </c>
      <c r="JQ51" s="18">
        <f>IF(JQ$1&lt;CapEx!$O$7,0,(VLOOKUP($B51,Inputs!$F$3:$H$17,3,0)*((1+Inputs!$L$3)^Financials!JQ$3)))</f>
        <v>9620.4285103902239</v>
      </c>
      <c r="JR51" s="18">
        <f>IF(JR$1&lt;CapEx!$O$7,0,(VLOOKUP($B51,Inputs!$F$3:$H$17,3,0)*((1+Inputs!$L$3)^Financials!JR$3)))</f>
        <v>9636.4625579075418</v>
      </c>
    </row>
    <row r="52" spans="2:278" x14ac:dyDescent="0.2">
      <c r="B52" s="21" t="str">
        <f>'Data Sources'!A99</f>
        <v>Gas Transmission Costs</v>
      </c>
      <c r="C52" s="18">
        <f>IF(C$1&lt;CapEx!$O$7,0,(VLOOKUP($B52,Inputs!$F$3:$H$17,3,0)*((1+Inputs!$L$3)^Financials!C$3)))</f>
        <v>0</v>
      </c>
      <c r="D52" s="18">
        <f>IF(D$1&lt;CapEx!$O$7,0,(VLOOKUP($B52,Inputs!$F$3:$H$17,3,0)*((1+Inputs!$L$3)^Financials!D$3)))</f>
        <v>0</v>
      </c>
      <c r="E52" s="18">
        <f>IF(E$1&lt;CapEx!$O$7,0,(VLOOKUP($B52,Inputs!$F$3:$H$17,3,0)*((1+Inputs!$L$3)^Financials!E$3)))</f>
        <v>0</v>
      </c>
      <c r="F52" s="18">
        <f>IF(F$1&lt;CapEx!$O$7,0,(VLOOKUP($B52,Inputs!$F$3:$H$17,3,0)*((1+Inputs!$L$3)^Financials!F$3)))</f>
        <v>0</v>
      </c>
      <c r="G52" s="18">
        <f>IF(G$1&lt;CapEx!$O$7,0,(VLOOKUP($B52,Inputs!$F$3:$H$17,3,0)*((1+Inputs!$L$3)^Financials!G$3)))</f>
        <v>0</v>
      </c>
      <c r="H52" s="18">
        <f>IF(H$1&lt;CapEx!$O$7,0,(VLOOKUP($B52,Inputs!$F$3:$H$17,3,0)*((1+Inputs!$L$3)^Financials!H$3)))</f>
        <v>0</v>
      </c>
      <c r="I52" s="18">
        <f>IF(I$1&lt;CapEx!$O$7,0,(VLOOKUP($B52,Inputs!$F$3:$H$17,3,0)*((1+Inputs!$L$3)^Financials!I$3)))</f>
        <v>0</v>
      </c>
      <c r="J52" s="18">
        <f>IF(J$1&lt;CapEx!$O$7,0,(VLOOKUP($B52,Inputs!$F$3:$H$17,3,0)*((1+Inputs!$L$3)^Financials!J$3)))</f>
        <v>0</v>
      </c>
      <c r="K52" s="18">
        <f>IF(K$1&lt;CapEx!$O$7,0,(VLOOKUP($B52,Inputs!$F$3:$H$17,3,0)*((1+Inputs!$L$3)^Financials!K$3)))</f>
        <v>0</v>
      </c>
      <c r="L52" s="18">
        <f>IF(L$1&lt;CapEx!$O$7,0,(VLOOKUP($B52,Inputs!$F$3:$H$17,3,0)*((1+Inputs!$L$3)^Financials!L$3)))</f>
        <v>0</v>
      </c>
      <c r="M52" s="18">
        <f>IF(M$1&lt;CapEx!$O$7,0,(VLOOKUP($B52,Inputs!$F$3:$H$17,3,0)*((1+Inputs!$L$3)^Financials!M$3)))</f>
        <v>0</v>
      </c>
      <c r="N52" s="18">
        <f>IF(N$1&lt;CapEx!$O$7,0,(VLOOKUP($B52,Inputs!$F$3:$H$17,3,0)*((1+Inputs!$L$3)^Financials!N$3)))</f>
        <v>0</v>
      </c>
      <c r="O52" s="18">
        <f>IF(O$1&lt;CapEx!$O$7,0,(VLOOKUP($B52,Inputs!$F$3:$H$17,3,0)*((1+Inputs!$L$3)^Financials!O$3)))</f>
        <v>0</v>
      </c>
      <c r="P52" s="18">
        <f>IF(P$1&lt;CapEx!$O$7,0,(VLOOKUP($B52,Inputs!$F$3:$H$17,3,0)*((1+Inputs!$L$3)^Financials!P$3)))</f>
        <v>0</v>
      </c>
      <c r="Q52" s="18">
        <f>IF(Q$1&lt;CapEx!$O$7,0,(VLOOKUP($B52,Inputs!$F$3:$H$17,3,0)*((1+Inputs!$L$3)^Financials!Q$3)))</f>
        <v>0</v>
      </c>
      <c r="R52" s="18">
        <f>IF(R$1&lt;CapEx!$O$7,0,(VLOOKUP($B52,Inputs!$F$3:$H$17,3,0)*((1+Inputs!$L$3)^Financials!R$3)))</f>
        <v>0</v>
      </c>
      <c r="S52" s="18">
        <f>IF(S$1&lt;CapEx!$O$7,0,(VLOOKUP($B52,Inputs!$F$3:$H$17,3,0)*((1+Inputs!$L$3)^Financials!S$3)))</f>
        <v>0</v>
      </c>
      <c r="T52" s="18">
        <f>IF(T$1&lt;CapEx!$O$7,0,(VLOOKUP($B52,Inputs!$F$3:$H$17,3,0)*((1+Inputs!$L$3)^Financials!T$3)))</f>
        <v>0</v>
      </c>
      <c r="U52" s="18">
        <f>IF(U$1&lt;CapEx!$O$7,0,(VLOOKUP($B52,Inputs!$F$3:$H$17,3,0)*((1+Inputs!$L$3)^Financials!U$3)))</f>
        <v>0</v>
      </c>
      <c r="V52" s="18">
        <f>IF(V$1&lt;CapEx!$O$7,0,(VLOOKUP($B52,Inputs!$F$3:$H$17,3,0)*((1+Inputs!$L$3)^Financials!V$3)))</f>
        <v>0</v>
      </c>
      <c r="W52" s="18">
        <f>IF(W$1&lt;CapEx!$O$7,0,(VLOOKUP($B52,Inputs!$F$3:$H$17,3,0)*((1+Inputs!$L$3)^Financials!W$3)))</f>
        <v>0</v>
      </c>
      <c r="X52" s="18">
        <f>IF(X$1&lt;CapEx!$O$7,0,(VLOOKUP($B52,Inputs!$F$3:$H$17,3,0)*((1+Inputs!$L$3)^Financials!X$3)))</f>
        <v>0</v>
      </c>
      <c r="Y52" s="18">
        <f>IF(Y$1&lt;CapEx!$O$7,0,(VLOOKUP($B52,Inputs!$F$3:$H$17,3,0)*((1+Inputs!$L$3)^Financials!Y$3)))</f>
        <v>0</v>
      </c>
      <c r="Z52" s="18">
        <f>IF(Z$1&lt;CapEx!$O$7,0,(VLOOKUP($B52,Inputs!$F$3:$H$17,3,0)*((1+Inputs!$L$3)^Financials!Z$3)))</f>
        <v>0</v>
      </c>
      <c r="AA52" s="18">
        <f>IF(AA$1&lt;CapEx!$O$7,0,(VLOOKUP($B52,Inputs!$F$3:$H$17,3,0)*((1+Inputs!$L$3)^Financials!AA$3)))</f>
        <v>0</v>
      </c>
      <c r="AB52" s="18">
        <f>IF(AB$1&lt;CapEx!$O$7,0,(VLOOKUP($B52,Inputs!$F$3:$H$17,3,0)*((1+Inputs!$L$3)^Financials!AB$3)))</f>
        <v>0</v>
      </c>
      <c r="AC52" s="18">
        <f>IF(AC$1&lt;CapEx!$O$7,0,(VLOOKUP($B52,Inputs!$F$3:$H$17,3,0)*((1+Inputs!$L$3)^Financials!AC$3)))</f>
        <v>0</v>
      </c>
      <c r="AD52" s="18">
        <f>IF(AD$1&lt;CapEx!$O$7,0,(VLOOKUP($B52,Inputs!$F$3:$H$17,3,0)*((1+Inputs!$L$3)^Financials!AD$3)))</f>
        <v>0</v>
      </c>
      <c r="AE52" s="18">
        <f>IF(AE$1&lt;CapEx!$O$7,0,(VLOOKUP($B52,Inputs!$F$3:$H$17,3,0)*((1+Inputs!$L$3)^Financials!AE$3)))</f>
        <v>0</v>
      </c>
      <c r="AF52" s="18">
        <f>IF(AF$1&lt;CapEx!$O$7,0,(VLOOKUP($B52,Inputs!$F$3:$H$17,3,0)*((1+Inputs!$L$3)^Financials!AF$3)))</f>
        <v>0</v>
      </c>
      <c r="AG52" s="18">
        <f>IF(AG$1&lt;CapEx!$O$7,0,(VLOOKUP($B52,Inputs!$F$3:$H$17,3,0)*((1+Inputs!$L$3)^Financials!AG$3)))</f>
        <v>0</v>
      </c>
      <c r="AH52" s="18">
        <f>IF(AH$1&lt;CapEx!$O$7,0,(VLOOKUP($B52,Inputs!$F$3:$H$17,3,0)*((1+Inputs!$L$3)^Financials!AH$3)))</f>
        <v>0</v>
      </c>
      <c r="AI52" s="18">
        <f>IF(AI$1&lt;CapEx!$O$7,0,(VLOOKUP($B52,Inputs!$F$3:$H$17,3,0)*((1+Inputs!$L$3)^Financials!AI$3)))</f>
        <v>0</v>
      </c>
      <c r="AJ52" s="18">
        <f>IF(AJ$1&lt;CapEx!$O$7,0,(VLOOKUP($B52,Inputs!$F$3:$H$17,3,0)*((1+Inputs!$L$3)^Financials!AJ$3)))</f>
        <v>0</v>
      </c>
      <c r="AK52" s="18">
        <f>IF(AK$1&lt;CapEx!$O$7,0,(VLOOKUP($B52,Inputs!$F$3:$H$17,3,0)*((1+Inputs!$L$3)^Financials!AK$3)))</f>
        <v>0</v>
      </c>
      <c r="AL52" s="18">
        <f>IF(AL$1&lt;CapEx!$O$7,0,(VLOOKUP($B52,Inputs!$F$3:$H$17,3,0)*((1+Inputs!$L$3)^Financials!AL$3)))</f>
        <v>0</v>
      </c>
      <c r="AM52" s="18">
        <f>IF(AM$1&lt;CapEx!$O$7,0,(VLOOKUP($B52,Inputs!$F$3:$H$17,3,0)*((1+Inputs!$L$3)^Financials!AM$3)))</f>
        <v>0</v>
      </c>
      <c r="AN52" s="18">
        <f>IF(AN$1&lt;CapEx!$O$7,0,(VLOOKUP($B52,Inputs!$F$3:$H$17,3,0)*((1+Inputs!$L$3)^Financials!AN$3)))</f>
        <v>0</v>
      </c>
      <c r="AO52" s="18">
        <f>IF(AO$1&lt;CapEx!$O$7,0,(VLOOKUP($B52,Inputs!$F$3:$H$17,3,0)*((1+Inputs!$L$3)^Financials!AO$3)))</f>
        <v>0</v>
      </c>
      <c r="AP52" s="18">
        <f>IF(AP$1&lt;CapEx!$O$7,0,(VLOOKUP($B52,Inputs!$F$3:$H$17,3,0)*((1+Inputs!$L$3)^Financials!AP$3)))</f>
        <v>0</v>
      </c>
      <c r="AQ52" s="18">
        <f>IF(AQ$1&lt;CapEx!$O$7,0,(VLOOKUP($B52,Inputs!$F$3:$H$17,3,0)*((1+Inputs!$L$3)^Financials!AQ$3)))</f>
        <v>0</v>
      </c>
      <c r="AR52" s="18">
        <f>IF(AR$1&lt;CapEx!$O$7,0,(VLOOKUP($B52,Inputs!$F$3:$H$17,3,0)*((1+Inputs!$L$3)^Financials!AR$3)))</f>
        <v>0</v>
      </c>
      <c r="AS52" s="18">
        <f>IF(AS$1&lt;CapEx!$O$7,0,(VLOOKUP($B52,Inputs!$F$3:$H$17,3,0)*((1+Inputs!$L$3)^Financials!AS$3)))</f>
        <v>0</v>
      </c>
      <c r="AT52" s="18">
        <f>IF(AT$1&lt;CapEx!$O$7,0,(VLOOKUP($B52,Inputs!$F$3:$H$17,3,0)*((1+Inputs!$L$3)^Financials!AT$3)))</f>
        <v>0</v>
      </c>
      <c r="AU52" s="18">
        <f>IF(AU$1&lt;CapEx!$O$7,0,(VLOOKUP($B52,Inputs!$F$3:$H$17,3,0)*((1+Inputs!$L$3)^Financials!AU$3)))</f>
        <v>0</v>
      </c>
      <c r="AV52" s="18">
        <f>IF(AV$1&lt;CapEx!$O$7,0,(VLOOKUP($B52,Inputs!$F$3:$H$17,3,0)*((1+Inputs!$L$3)^Financials!AV$3)))</f>
        <v>0</v>
      </c>
      <c r="AW52" s="18">
        <f>IF(AW$1&lt;CapEx!$O$7,0,(VLOOKUP($B52,Inputs!$F$3:$H$17,3,0)*((1+Inputs!$L$3)^Financials!AW$3)))</f>
        <v>0</v>
      </c>
      <c r="AX52" s="18">
        <f>IF(AX$1&lt;CapEx!$O$7,0,(VLOOKUP($B52,Inputs!$F$3:$H$17,3,0)*((1+Inputs!$L$3)^Financials!AX$3)))</f>
        <v>0</v>
      </c>
      <c r="AY52" s="18">
        <f>IF(AY$1&lt;CapEx!$O$7,0,(VLOOKUP($B52,Inputs!$F$3:$H$17,3,0)*((1+Inputs!$L$3)^Financials!AY$3)))</f>
        <v>0</v>
      </c>
      <c r="AZ52" s="18">
        <f>IF(AZ$1&lt;CapEx!$O$7,0,(VLOOKUP($B52,Inputs!$F$3:$H$17,3,0)*((1+Inputs!$L$3)^Financials!AZ$3)))</f>
        <v>0</v>
      </c>
      <c r="BA52" s="18">
        <f>IF(BA$1&lt;CapEx!$O$7,0,(VLOOKUP($B52,Inputs!$F$3:$H$17,3,0)*((1+Inputs!$L$3)^Financials!BA$3)))</f>
        <v>0</v>
      </c>
      <c r="BB52" s="18">
        <f>IF(BB$1&lt;CapEx!$O$7,0,(VLOOKUP($B52,Inputs!$F$3:$H$17,3,0)*((1+Inputs!$L$3)^Financials!BB$3)))</f>
        <v>0</v>
      </c>
      <c r="BC52" s="18">
        <f>IF(BC$1&lt;CapEx!$O$7,0,(VLOOKUP($B52,Inputs!$F$3:$H$17,3,0)*((1+Inputs!$L$3)^Financials!BC$3)))</f>
        <v>0</v>
      </c>
      <c r="BD52" s="18">
        <f>IF(BD$1&lt;CapEx!$O$7,0,(VLOOKUP($B52,Inputs!$F$3:$H$17,3,0)*((1+Inputs!$L$3)^Financials!BD$3)))</f>
        <v>0</v>
      </c>
      <c r="BE52" s="18">
        <f>IF(BE$1&lt;CapEx!$O$7,0,(VLOOKUP($B52,Inputs!$F$3:$H$17,3,0)*((1+Inputs!$L$3)^Financials!BE$3)))</f>
        <v>0</v>
      </c>
      <c r="BF52" s="18">
        <f>IF(BF$1&lt;CapEx!$O$7,0,(VLOOKUP($B52,Inputs!$F$3:$H$17,3,0)*((1+Inputs!$L$3)^Financials!BF$3)))</f>
        <v>0</v>
      </c>
      <c r="BG52" s="18">
        <f>IF(BG$1&lt;CapEx!$O$7,0,(VLOOKUP($B52,Inputs!$F$3:$H$17,3,0)*((1+Inputs!$L$3)^Financials!BG$3)))</f>
        <v>0</v>
      </c>
      <c r="BH52" s="18">
        <f>IF(BH$1&lt;CapEx!$O$7,0,(VLOOKUP($B52,Inputs!$F$3:$H$17,3,0)*((1+Inputs!$L$3)^Financials!BH$3)))</f>
        <v>0</v>
      </c>
      <c r="BI52" s="18">
        <f>IF(BI$1&lt;CapEx!$O$7,0,(VLOOKUP($B52,Inputs!$F$3:$H$17,3,0)*((1+Inputs!$L$3)^Financials!BI$3)))</f>
        <v>0</v>
      </c>
      <c r="BJ52" s="18">
        <f>IF(BJ$1&lt;CapEx!$O$7,0,(VLOOKUP($B52,Inputs!$F$3:$H$17,3,0)*((1+Inputs!$L$3)^Financials!BJ$3)))</f>
        <v>0</v>
      </c>
      <c r="BK52" s="18">
        <f>IF(BK$1&lt;CapEx!$O$7,0,(VLOOKUP($B52,Inputs!$F$3:$H$17,3,0)*((1+Inputs!$L$3)^Financials!BK$3)))</f>
        <v>0</v>
      </c>
      <c r="BL52" s="18">
        <f>IF(BL$1&lt;CapEx!$O$7,0,(VLOOKUP($B52,Inputs!$F$3:$H$17,3,0)*((1+Inputs!$L$3)^Financials!BL$3)))</f>
        <v>0</v>
      </c>
      <c r="BM52" s="18">
        <f>IF(BM$1&lt;CapEx!$O$7,0,(VLOOKUP($B52,Inputs!$F$3:$H$17,3,0)*((1+Inputs!$L$3)^Financials!BM$3)))</f>
        <v>0</v>
      </c>
      <c r="BN52" s="18">
        <f>IF(BN$1&lt;CapEx!$O$7,0,(VLOOKUP($B52,Inputs!$F$3:$H$17,3,0)*((1+Inputs!$L$3)^Financials!BN$3)))</f>
        <v>0</v>
      </c>
      <c r="BO52" s="18">
        <f>IF(BO$1&lt;CapEx!$O$7,0,(VLOOKUP($B52,Inputs!$F$3:$H$17,3,0)*((1+Inputs!$L$3)^Financials!BO$3)))</f>
        <v>0</v>
      </c>
      <c r="BP52" s="18">
        <f>IF(BP$1&lt;CapEx!$O$7,0,(VLOOKUP($B52,Inputs!$F$3:$H$17,3,0)*((1+Inputs!$L$3)^Financials!BP$3)))</f>
        <v>0</v>
      </c>
      <c r="BQ52" s="18">
        <f>IF(BQ$1&lt;CapEx!$O$7,0,(VLOOKUP($B52,Inputs!$F$3:$H$17,3,0)*((1+Inputs!$L$3)^Financials!BQ$3)))</f>
        <v>0</v>
      </c>
      <c r="BR52" s="18">
        <f>IF(BR$1&lt;CapEx!$O$7,0,(VLOOKUP($B52,Inputs!$F$3:$H$17,3,0)*((1+Inputs!$L$3)^Financials!BR$3)))</f>
        <v>0</v>
      </c>
      <c r="BS52" s="18">
        <f>IF(BS$1&lt;CapEx!$O$7,0,(VLOOKUP($B52,Inputs!$F$3:$H$17,3,0)*((1+Inputs!$L$3)^Financials!BS$3)))</f>
        <v>0</v>
      </c>
      <c r="BT52" s="18">
        <f>IF(BT$1&lt;CapEx!$O$7,0,(VLOOKUP($B52,Inputs!$F$3:$H$17,3,0)*((1+Inputs!$L$3)^Financials!BT$3)))</f>
        <v>0</v>
      </c>
      <c r="BU52" s="18">
        <f>IF(BU$1&lt;CapEx!$O$7,0,(VLOOKUP($B52,Inputs!$F$3:$H$17,3,0)*((1+Inputs!$L$3)^Financials!BU$3)))</f>
        <v>0</v>
      </c>
      <c r="BV52" s="18">
        <f>IF(BV$1&lt;CapEx!$O$7,0,(VLOOKUP($B52,Inputs!$F$3:$H$17,3,0)*((1+Inputs!$L$3)^Financials!BV$3)))</f>
        <v>0</v>
      </c>
      <c r="BW52" s="18">
        <f>IF(BW$1&lt;CapEx!$O$7,0,(VLOOKUP($B52,Inputs!$F$3:$H$17,3,0)*((1+Inputs!$L$3)^Financials!BW$3)))</f>
        <v>0</v>
      </c>
      <c r="BX52" s="18">
        <f>IF(BX$1&lt;CapEx!$O$7,0,(VLOOKUP($B52,Inputs!$F$3:$H$17,3,0)*((1+Inputs!$L$3)^Financials!BX$3)))</f>
        <v>0</v>
      </c>
      <c r="BY52" s="18">
        <f>IF(BY$1&lt;CapEx!$O$7,0,(VLOOKUP($B52,Inputs!$F$3:$H$17,3,0)*((1+Inputs!$L$3)^Financials!BY$3)))</f>
        <v>0</v>
      </c>
      <c r="BZ52" s="18">
        <f>IF(BZ$1&lt;CapEx!$O$7,0,(VLOOKUP($B52,Inputs!$F$3:$H$17,3,0)*((1+Inputs!$L$3)^Financials!BZ$3)))</f>
        <v>0</v>
      </c>
      <c r="CA52" s="18">
        <f>IF(CA$1&lt;CapEx!$O$7,0,(VLOOKUP($B52,Inputs!$F$3:$H$17,3,0)*((1+Inputs!$L$3)^Financials!CA$3)))</f>
        <v>0</v>
      </c>
      <c r="CB52" s="18">
        <f>IF(CB$1&lt;CapEx!$O$7,0,(VLOOKUP($B52,Inputs!$F$3:$H$17,3,0)*((1+Inputs!$L$3)^Financials!CB$3)))</f>
        <v>0</v>
      </c>
      <c r="CC52" s="18">
        <f>IF(CC$1&lt;CapEx!$O$7,0,(VLOOKUP($B52,Inputs!$F$3:$H$17,3,0)*((1+Inputs!$L$3)^Financials!CC$3)))</f>
        <v>0</v>
      </c>
      <c r="CD52" s="18">
        <f>IF(CD$1&lt;CapEx!$O$7,0,(VLOOKUP($B52,Inputs!$F$3:$H$17,3,0)*((1+Inputs!$L$3)^Financials!CD$3)))</f>
        <v>0</v>
      </c>
      <c r="CE52" s="18">
        <f>IF(CE$1&lt;CapEx!$O$7,0,(VLOOKUP($B52,Inputs!$F$3:$H$17,3,0)*((1+Inputs!$L$3)^Financials!CE$3)))</f>
        <v>0</v>
      </c>
      <c r="CF52" s="18">
        <f>IF(CF$1&lt;CapEx!$O$7,0,(VLOOKUP($B52,Inputs!$F$3:$H$17,3,0)*((1+Inputs!$L$3)^Financials!CF$3)))</f>
        <v>0</v>
      </c>
      <c r="CG52" s="18">
        <f>IF(CG$1&lt;CapEx!$O$7,0,(VLOOKUP($B52,Inputs!$F$3:$H$17,3,0)*((1+Inputs!$L$3)^Financials!CG$3)))</f>
        <v>0</v>
      </c>
      <c r="CH52" s="18">
        <f>IF(CH$1&lt;CapEx!$O$7,0,(VLOOKUP($B52,Inputs!$F$3:$H$17,3,0)*((1+Inputs!$L$3)^Financials!CH$3)))</f>
        <v>0</v>
      </c>
      <c r="CI52" s="18">
        <f>IF(CI$1&lt;CapEx!$O$7,0,(VLOOKUP($B52,Inputs!$F$3:$H$17,3,0)*((1+Inputs!$L$3)^Financials!CI$3)))</f>
        <v>0</v>
      </c>
      <c r="CJ52" s="18">
        <f>IF(CJ$1&lt;CapEx!$O$7,0,(VLOOKUP($B52,Inputs!$F$3:$H$17,3,0)*((1+Inputs!$L$3)^Financials!CJ$3)))</f>
        <v>0</v>
      </c>
      <c r="CK52" s="18">
        <f>IF(CK$1&lt;CapEx!$O$7,0,(VLOOKUP($B52,Inputs!$F$3:$H$17,3,0)*((1+Inputs!$L$3)^Financials!CK$3)))</f>
        <v>0</v>
      </c>
      <c r="CL52" s="18">
        <f>IF(CL$1&lt;CapEx!$O$7,0,(VLOOKUP($B52,Inputs!$F$3:$H$17,3,0)*((1+Inputs!$L$3)^Financials!CL$3)))</f>
        <v>0</v>
      </c>
      <c r="CM52" s="18">
        <f>IF(CM$1&lt;CapEx!$O$7,0,(VLOOKUP($B52,Inputs!$F$3:$H$17,3,0)*((1+Inputs!$L$3)^Financials!CM$3)))</f>
        <v>0</v>
      </c>
      <c r="CN52" s="18">
        <f>IF(CN$1&lt;CapEx!$O$7,0,(VLOOKUP($B52,Inputs!$F$3:$H$17,3,0)*((1+Inputs!$L$3)^Financials!CN$3)))</f>
        <v>0</v>
      </c>
      <c r="CO52" s="18">
        <f>IF(CO$1&lt;CapEx!$O$7,0,(VLOOKUP($B52,Inputs!$F$3:$H$17,3,0)*((1+Inputs!$L$3)^Financials!CO$3)))</f>
        <v>0</v>
      </c>
      <c r="CP52" s="18">
        <f>IF(CP$1&lt;CapEx!$O$7,0,(VLOOKUP($B52,Inputs!$F$3:$H$17,3,0)*((1+Inputs!$L$3)^Financials!CP$3)))</f>
        <v>0</v>
      </c>
      <c r="CQ52" s="18">
        <f>IF(CQ$1&lt;CapEx!$O$7,0,(VLOOKUP($B52,Inputs!$F$3:$H$17,3,0)*((1+Inputs!$L$3)^Financials!CQ$3)))</f>
        <v>0</v>
      </c>
      <c r="CR52" s="18">
        <f>IF(CR$1&lt;CapEx!$O$7,0,(VLOOKUP($B52,Inputs!$F$3:$H$17,3,0)*((1+Inputs!$L$3)^Financials!CR$3)))</f>
        <v>0</v>
      </c>
      <c r="CS52" s="18">
        <f>IF(CS$1&lt;CapEx!$O$7,0,(VLOOKUP($B52,Inputs!$F$3:$H$17,3,0)*((1+Inputs!$L$3)^Financials!CS$3)))</f>
        <v>0</v>
      </c>
      <c r="CT52" s="18">
        <f>IF(CT$1&lt;CapEx!$O$7,0,(VLOOKUP($B52,Inputs!$F$3:$H$17,3,0)*((1+Inputs!$L$3)^Financials!CT$3)))</f>
        <v>0</v>
      </c>
      <c r="CU52" s="18">
        <f>IF(CU$1&lt;CapEx!$O$7,0,(VLOOKUP($B52,Inputs!$F$3:$H$17,3,0)*((1+Inputs!$L$3)^Financials!CU$3)))</f>
        <v>0</v>
      </c>
      <c r="CV52" s="18">
        <f>IF(CV$1&lt;CapEx!$O$7,0,(VLOOKUP($B52,Inputs!$F$3:$H$17,3,0)*((1+Inputs!$L$3)^Financials!CV$3)))</f>
        <v>0</v>
      </c>
      <c r="CW52" s="18">
        <f>IF(CW$1&lt;CapEx!$O$7,0,(VLOOKUP($B52,Inputs!$F$3:$H$17,3,0)*((1+Inputs!$L$3)^Financials!CW$3)))</f>
        <v>0</v>
      </c>
      <c r="CX52" s="18">
        <f>IF(CX$1&lt;CapEx!$O$7,0,(VLOOKUP($B52,Inputs!$F$3:$H$17,3,0)*((1+Inputs!$L$3)^Financials!CX$3)))</f>
        <v>0</v>
      </c>
      <c r="CY52" s="18">
        <f>IF(CY$1&lt;CapEx!$O$7,0,(VLOOKUP($B52,Inputs!$F$3:$H$17,3,0)*((1+Inputs!$L$3)^Financials!CY$3)))</f>
        <v>0</v>
      </c>
      <c r="CZ52" s="18">
        <f>IF(CZ$1&lt;CapEx!$O$7,0,(VLOOKUP($B52,Inputs!$F$3:$H$17,3,0)*((1+Inputs!$L$3)^Financials!CZ$3)))</f>
        <v>0</v>
      </c>
      <c r="DA52" s="18">
        <f>IF(DA$1&lt;CapEx!$O$7,0,(VLOOKUP($B52,Inputs!$F$3:$H$17,3,0)*((1+Inputs!$L$3)^Financials!DA$3)))</f>
        <v>0</v>
      </c>
      <c r="DB52" s="18">
        <f>IF(DB$1&lt;CapEx!$O$7,0,(VLOOKUP($B52,Inputs!$F$3:$H$17,3,0)*((1+Inputs!$L$3)^Financials!DB$3)))</f>
        <v>0</v>
      </c>
      <c r="DC52" s="18">
        <f>IF(DC$1&lt;CapEx!$O$7,0,(VLOOKUP($B52,Inputs!$F$3:$H$17,3,0)*((1+Inputs!$L$3)^Financials!DC$3)))</f>
        <v>0</v>
      </c>
      <c r="DD52" s="18">
        <f>IF(DD$1&lt;CapEx!$O$7,0,(VLOOKUP($B52,Inputs!$F$3:$H$17,3,0)*((1+Inputs!$L$3)^Financials!DD$3)))</f>
        <v>0</v>
      </c>
      <c r="DE52" s="18">
        <f>IF(DE$1&lt;CapEx!$O$7,0,(VLOOKUP($B52,Inputs!$F$3:$H$17,3,0)*((1+Inputs!$L$3)^Financials!DE$3)))</f>
        <v>0</v>
      </c>
      <c r="DF52" s="18">
        <f>IF(DF$1&lt;CapEx!$O$7,0,(VLOOKUP($B52,Inputs!$F$3:$H$17,3,0)*((1+Inputs!$L$3)^Financials!DF$3)))</f>
        <v>0</v>
      </c>
      <c r="DG52" s="18">
        <f>IF(DG$1&lt;CapEx!$O$7,0,(VLOOKUP($B52,Inputs!$F$3:$H$17,3,0)*((1+Inputs!$L$3)^Financials!DG$3)))</f>
        <v>0</v>
      </c>
      <c r="DH52" s="18">
        <f>IF(DH$1&lt;CapEx!$O$7,0,(VLOOKUP($B52,Inputs!$F$3:$H$17,3,0)*((1+Inputs!$L$3)^Financials!DH$3)))</f>
        <v>0</v>
      </c>
      <c r="DI52" s="18">
        <f>IF(DI$1&lt;CapEx!$O$7,0,(VLOOKUP($B52,Inputs!$F$3:$H$17,3,0)*((1+Inputs!$L$3)^Financials!DI$3)))</f>
        <v>0</v>
      </c>
      <c r="DJ52" s="18">
        <f>IF(DJ$1&lt;CapEx!$O$7,0,(VLOOKUP($B52,Inputs!$F$3:$H$17,3,0)*((1+Inputs!$L$3)^Financials!DJ$3)))</f>
        <v>0</v>
      </c>
      <c r="DK52" s="18">
        <f>IF(DK$1&lt;CapEx!$O$7,0,(VLOOKUP($B52,Inputs!$F$3:$H$17,3,0)*((1+Inputs!$L$3)^Financials!DK$3)))</f>
        <v>0</v>
      </c>
      <c r="DL52" s="18">
        <f>IF(DL$1&lt;CapEx!$O$7,0,(VLOOKUP($B52,Inputs!$F$3:$H$17,3,0)*((1+Inputs!$L$3)^Financials!DL$3)))</f>
        <v>0</v>
      </c>
      <c r="DM52" s="18">
        <f>IF(DM$1&lt;CapEx!$O$7,0,(VLOOKUP($B52,Inputs!$F$3:$H$17,3,0)*((1+Inputs!$L$3)^Financials!DM$3)))</f>
        <v>0</v>
      </c>
      <c r="DN52" s="18">
        <f>IF(DN$1&lt;CapEx!$O$7,0,(VLOOKUP($B52,Inputs!$F$3:$H$17,3,0)*((1+Inputs!$L$3)^Financials!DN$3)))</f>
        <v>0</v>
      </c>
      <c r="DO52" s="18">
        <f>IF(DO$1&lt;CapEx!$O$7,0,(VLOOKUP($B52,Inputs!$F$3:$H$17,3,0)*((1+Inputs!$L$3)^Financials!DO$3)))</f>
        <v>0</v>
      </c>
      <c r="DP52" s="18">
        <f>IF(DP$1&lt;CapEx!$O$7,0,(VLOOKUP($B52,Inputs!$F$3:$H$17,3,0)*((1+Inputs!$L$3)^Financials!DP$3)))</f>
        <v>0</v>
      </c>
      <c r="DQ52" s="18">
        <f>IF(DQ$1&lt;CapEx!$O$7,0,(VLOOKUP($B52,Inputs!$F$3:$H$17,3,0)*((1+Inputs!$L$3)^Financials!DQ$3)))</f>
        <v>0</v>
      </c>
      <c r="DR52" s="18">
        <f>IF(DR$1&lt;CapEx!$O$7,0,(VLOOKUP($B52,Inputs!$F$3:$H$17,3,0)*((1+Inputs!$L$3)^Financials!DR$3)))</f>
        <v>0</v>
      </c>
      <c r="DS52" s="18">
        <f>IF(DS$1&lt;CapEx!$O$7,0,(VLOOKUP($B52,Inputs!$F$3:$H$17,3,0)*((1+Inputs!$L$3)^Financials!DS$3)))</f>
        <v>0</v>
      </c>
      <c r="DT52" s="18">
        <f>IF(DT$1&lt;CapEx!$O$7,0,(VLOOKUP($B52,Inputs!$F$3:$H$17,3,0)*((1+Inputs!$L$3)^Financials!DT$3)))</f>
        <v>0</v>
      </c>
      <c r="DU52" s="18">
        <f>IF(DU$1&lt;CapEx!$O$7,0,(VLOOKUP($B52,Inputs!$F$3:$H$17,3,0)*((1+Inputs!$L$3)^Financials!DU$3)))</f>
        <v>0</v>
      </c>
      <c r="DV52" s="18">
        <f>IF(DV$1&lt;CapEx!$O$7,0,(VLOOKUP($B52,Inputs!$F$3:$H$17,3,0)*((1+Inputs!$L$3)^Financials!DV$3)))</f>
        <v>0</v>
      </c>
      <c r="DW52" s="18">
        <f>IF(DW$1&lt;CapEx!$O$7,0,(VLOOKUP($B52,Inputs!$F$3:$H$17,3,0)*((1+Inputs!$L$3)^Financials!DW$3)))</f>
        <v>0</v>
      </c>
      <c r="DX52" s="18">
        <f>IF(DX$1&lt;CapEx!$O$7,0,(VLOOKUP($B52,Inputs!$F$3:$H$17,3,0)*((1+Inputs!$L$3)^Financials!DX$3)))</f>
        <v>0</v>
      </c>
      <c r="DY52" s="18">
        <f>IF(DY$1&lt;CapEx!$O$7,0,(VLOOKUP($B52,Inputs!$F$3:$H$17,3,0)*((1+Inputs!$L$3)^Financials!DY$3)))</f>
        <v>0</v>
      </c>
      <c r="DZ52" s="18">
        <f>IF(DZ$1&lt;CapEx!$O$7,0,(VLOOKUP($B52,Inputs!$F$3:$H$17,3,0)*((1+Inputs!$L$3)^Financials!DZ$3)))</f>
        <v>0</v>
      </c>
      <c r="EA52" s="18">
        <f>IF(EA$1&lt;CapEx!$O$7,0,(VLOOKUP($B52,Inputs!$F$3:$H$17,3,0)*((1+Inputs!$L$3)^Financials!EA$3)))</f>
        <v>0</v>
      </c>
      <c r="EB52" s="18">
        <f>IF(EB$1&lt;CapEx!$O$7,0,(VLOOKUP($B52,Inputs!$F$3:$H$17,3,0)*((1+Inputs!$L$3)^Financials!EB$3)))</f>
        <v>0</v>
      </c>
      <c r="EC52" s="18">
        <f>IF(EC$1&lt;CapEx!$O$7,0,(VLOOKUP($B52,Inputs!$F$3:$H$17,3,0)*((1+Inputs!$L$3)^Financials!EC$3)))</f>
        <v>0</v>
      </c>
      <c r="ED52" s="18">
        <f>IF(ED$1&lt;CapEx!$O$7,0,(VLOOKUP($B52,Inputs!$F$3:$H$17,3,0)*((1+Inputs!$L$3)^Financials!ED$3)))</f>
        <v>0</v>
      </c>
      <c r="EE52" s="18">
        <f>IF(EE$1&lt;CapEx!$O$7,0,(VLOOKUP($B52,Inputs!$F$3:$H$17,3,0)*((1+Inputs!$L$3)^Financials!EE$3)))</f>
        <v>0</v>
      </c>
      <c r="EF52" s="18">
        <f>IF(EF$1&lt;CapEx!$O$7,0,(VLOOKUP($B52,Inputs!$F$3:$H$17,3,0)*((1+Inputs!$L$3)^Financials!EF$3)))</f>
        <v>0</v>
      </c>
      <c r="EG52" s="18">
        <f>IF(EG$1&lt;CapEx!$O$7,0,(VLOOKUP($B52,Inputs!$F$3:$H$17,3,0)*((1+Inputs!$L$3)^Financials!EG$3)))</f>
        <v>0</v>
      </c>
      <c r="EH52" s="18">
        <f>IF(EH$1&lt;CapEx!$O$7,0,(VLOOKUP($B52,Inputs!$F$3:$H$17,3,0)*((1+Inputs!$L$3)^Financials!EH$3)))</f>
        <v>0</v>
      </c>
      <c r="EI52" s="18">
        <f>IF(EI$1&lt;CapEx!$O$7,0,(VLOOKUP($B52,Inputs!$F$3:$H$17,3,0)*((1+Inputs!$L$3)^Financials!EI$3)))</f>
        <v>0</v>
      </c>
      <c r="EJ52" s="18">
        <f>IF(EJ$1&lt;CapEx!$O$7,0,(VLOOKUP($B52,Inputs!$F$3:$H$17,3,0)*((1+Inputs!$L$3)^Financials!EJ$3)))</f>
        <v>0</v>
      </c>
      <c r="EK52" s="18">
        <f>IF(EK$1&lt;CapEx!$O$7,0,(VLOOKUP($B52,Inputs!$F$3:$H$17,3,0)*((1+Inputs!$L$3)^Financials!EK$3)))</f>
        <v>0</v>
      </c>
      <c r="EL52" s="18">
        <f>IF(EL$1&lt;CapEx!$O$7,0,(VLOOKUP($B52,Inputs!$F$3:$H$17,3,0)*((1+Inputs!$L$3)^Financials!EL$3)))</f>
        <v>0</v>
      </c>
      <c r="EM52" s="18">
        <f>IF(EM$1&lt;CapEx!$O$7,0,(VLOOKUP($B52,Inputs!$F$3:$H$17,3,0)*((1+Inputs!$L$3)^Financials!EM$3)))</f>
        <v>0</v>
      </c>
      <c r="EN52" s="18">
        <f>IF(EN$1&lt;CapEx!$O$7,0,(VLOOKUP($B52,Inputs!$F$3:$H$17,3,0)*((1+Inputs!$L$3)^Financials!EN$3)))</f>
        <v>0</v>
      </c>
      <c r="EO52" s="18">
        <f>IF(EO$1&lt;CapEx!$O$7,0,(VLOOKUP($B52,Inputs!$F$3:$H$17,3,0)*((1+Inputs!$L$3)^Financials!EO$3)))</f>
        <v>0</v>
      </c>
      <c r="EP52" s="18">
        <f>IF(EP$1&lt;CapEx!$O$7,0,(VLOOKUP($B52,Inputs!$F$3:$H$17,3,0)*((1+Inputs!$L$3)^Financials!EP$3)))</f>
        <v>0</v>
      </c>
      <c r="EQ52" s="18">
        <f>IF(EQ$1&lt;CapEx!$O$7,0,(VLOOKUP($B52,Inputs!$F$3:$H$17,3,0)*((1+Inputs!$L$3)^Financials!EQ$3)))</f>
        <v>0</v>
      </c>
      <c r="ER52" s="18">
        <f>IF(ER$1&lt;CapEx!$O$7,0,(VLOOKUP($B52,Inputs!$F$3:$H$17,3,0)*((1+Inputs!$L$3)^Financials!ER$3)))</f>
        <v>0</v>
      </c>
      <c r="ES52" s="18">
        <f>IF(ES$1&lt;CapEx!$O$7,0,(VLOOKUP($B52,Inputs!$F$3:$H$17,3,0)*((1+Inputs!$L$3)^Financials!ES$3)))</f>
        <v>0</v>
      </c>
      <c r="ET52" s="18">
        <f>IF(ET$1&lt;CapEx!$O$7,0,(VLOOKUP($B52,Inputs!$F$3:$H$17,3,0)*((1+Inputs!$L$3)^Financials!ET$3)))</f>
        <v>0</v>
      </c>
      <c r="EU52" s="18">
        <f>IF(EU$1&lt;CapEx!$O$7,0,(VLOOKUP($B52,Inputs!$F$3:$H$17,3,0)*((1+Inputs!$L$3)^Financials!EU$3)))</f>
        <v>0</v>
      </c>
      <c r="EV52" s="18">
        <f>IF(EV$1&lt;CapEx!$O$7,0,(VLOOKUP($B52,Inputs!$F$3:$H$17,3,0)*((1+Inputs!$L$3)^Financials!EV$3)))</f>
        <v>0</v>
      </c>
      <c r="EW52" s="18">
        <f>IF(EW$1&lt;CapEx!$O$7,0,(VLOOKUP($B52,Inputs!$F$3:$H$17,3,0)*((1+Inputs!$L$3)^Financials!EW$3)))</f>
        <v>0</v>
      </c>
      <c r="EX52" s="18">
        <f>IF(EX$1&lt;CapEx!$O$7,0,(VLOOKUP($B52,Inputs!$F$3:$H$17,3,0)*((1+Inputs!$L$3)^Financials!EX$3)))</f>
        <v>0</v>
      </c>
      <c r="EY52" s="18">
        <f>IF(EY$1&lt;CapEx!$O$7,0,(VLOOKUP($B52,Inputs!$F$3:$H$17,3,0)*((1+Inputs!$L$3)^Financials!EY$3)))</f>
        <v>0</v>
      </c>
      <c r="EZ52" s="18">
        <f>IF(EZ$1&lt;CapEx!$O$7,0,(VLOOKUP($B52,Inputs!$F$3:$H$17,3,0)*((1+Inputs!$L$3)^Financials!EZ$3)))</f>
        <v>0</v>
      </c>
      <c r="FA52" s="18">
        <f>IF(FA$1&lt;CapEx!$O$7,0,(VLOOKUP($B52,Inputs!$F$3:$H$17,3,0)*((1+Inputs!$L$3)^Financials!FA$3)))</f>
        <v>0</v>
      </c>
      <c r="FB52" s="18">
        <f>IF(FB$1&lt;CapEx!$O$7,0,(VLOOKUP($B52,Inputs!$F$3:$H$17,3,0)*((1+Inputs!$L$3)^Financials!FB$3)))</f>
        <v>0</v>
      </c>
      <c r="FC52" s="18">
        <f>IF(FC$1&lt;CapEx!$O$7,0,(VLOOKUP($B52,Inputs!$F$3:$H$17,3,0)*((1+Inputs!$L$3)^Financials!FC$3)))</f>
        <v>0</v>
      </c>
      <c r="FD52" s="18">
        <f>IF(FD$1&lt;CapEx!$O$7,0,(VLOOKUP($B52,Inputs!$F$3:$H$17,3,0)*((1+Inputs!$L$3)^Financials!FD$3)))</f>
        <v>0</v>
      </c>
      <c r="FE52" s="18">
        <f>IF(FE$1&lt;CapEx!$O$7,0,(VLOOKUP($B52,Inputs!$F$3:$H$17,3,0)*((1+Inputs!$L$3)^Financials!FE$3)))</f>
        <v>0</v>
      </c>
      <c r="FF52" s="18">
        <f>IF(FF$1&lt;CapEx!$O$7,0,(VLOOKUP($B52,Inputs!$F$3:$H$17,3,0)*((1+Inputs!$L$3)^Financials!FF$3)))</f>
        <v>0</v>
      </c>
      <c r="FG52" s="18">
        <f>IF(FG$1&lt;CapEx!$O$7,0,(VLOOKUP($B52,Inputs!$F$3:$H$17,3,0)*((1+Inputs!$L$3)^Financials!FG$3)))</f>
        <v>0</v>
      </c>
      <c r="FH52" s="18">
        <f>IF(FH$1&lt;CapEx!$O$7,0,(VLOOKUP($B52,Inputs!$F$3:$H$17,3,0)*((1+Inputs!$L$3)^Financials!FH$3)))</f>
        <v>0</v>
      </c>
      <c r="FI52" s="18">
        <f>IF(FI$1&lt;CapEx!$O$7,0,(VLOOKUP($B52,Inputs!$F$3:$H$17,3,0)*((1+Inputs!$L$3)^Financials!FI$3)))</f>
        <v>0</v>
      </c>
      <c r="FJ52" s="18">
        <f>IF(FJ$1&lt;CapEx!$O$7,0,(VLOOKUP($B52,Inputs!$F$3:$H$17,3,0)*((1+Inputs!$L$3)^Financials!FJ$3)))</f>
        <v>0</v>
      </c>
      <c r="FK52" s="18">
        <f>IF(FK$1&lt;CapEx!$O$7,0,(VLOOKUP($B52,Inputs!$F$3:$H$17,3,0)*((1+Inputs!$L$3)^Financials!FK$3)))</f>
        <v>0</v>
      </c>
      <c r="FL52" s="18">
        <f>IF(FL$1&lt;CapEx!$O$7,0,(VLOOKUP($B52,Inputs!$F$3:$H$17,3,0)*((1+Inputs!$L$3)^Financials!FL$3)))</f>
        <v>0</v>
      </c>
      <c r="FM52" s="18">
        <f>IF(FM$1&lt;CapEx!$O$7,0,(VLOOKUP($B52,Inputs!$F$3:$H$17,3,0)*((1+Inputs!$L$3)^Financials!FM$3)))</f>
        <v>0</v>
      </c>
      <c r="FN52" s="18">
        <f>IF(FN$1&lt;CapEx!$O$7,0,(VLOOKUP($B52,Inputs!$F$3:$H$17,3,0)*((1+Inputs!$L$3)^Financials!FN$3)))</f>
        <v>0</v>
      </c>
      <c r="FO52" s="18">
        <f>IF(FO$1&lt;CapEx!$O$7,0,(VLOOKUP($B52,Inputs!$F$3:$H$17,3,0)*((1+Inputs!$L$3)^Financials!FO$3)))</f>
        <v>0</v>
      </c>
      <c r="FP52" s="18">
        <f>IF(FP$1&lt;CapEx!$O$7,0,(VLOOKUP($B52,Inputs!$F$3:$H$17,3,0)*((1+Inputs!$L$3)^Financials!FP$3)))</f>
        <v>0</v>
      </c>
      <c r="FQ52" s="18">
        <f>IF(FQ$1&lt;CapEx!$O$7,0,(VLOOKUP($B52,Inputs!$F$3:$H$17,3,0)*((1+Inputs!$L$3)^Financials!FQ$3)))</f>
        <v>0</v>
      </c>
      <c r="FR52" s="18">
        <f>IF(FR$1&lt;CapEx!$O$7,0,(VLOOKUP($B52,Inputs!$F$3:$H$17,3,0)*((1+Inputs!$L$3)^Financials!FR$3)))</f>
        <v>0</v>
      </c>
      <c r="FS52" s="18">
        <f>IF(FS$1&lt;CapEx!$O$7,0,(VLOOKUP($B52,Inputs!$F$3:$H$17,3,0)*((1+Inputs!$L$3)^Financials!FS$3)))</f>
        <v>0</v>
      </c>
      <c r="FT52" s="18">
        <f>IF(FT$1&lt;CapEx!$O$7,0,(VLOOKUP($B52,Inputs!$F$3:$H$17,3,0)*((1+Inputs!$L$3)^Financials!FT$3)))</f>
        <v>0</v>
      </c>
      <c r="FU52" s="18">
        <f>IF(FU$1&lt;CapEx!$O$7,0,(VLOOKUP($B52,Inputs!$F$3:$H$17,3,0)*((1+Inputs!$L$3)^Financials!FU$3)))</f>
        <v>0</v>
      </c>
      <c r="FV52" s="18">
        <f>IF(FV$1&lt;CapEx!$O$7,0,(VLOOKUP($B52,Inputs!$F$3:$H$17,3,0)*((1+Inputs!$L$3)^Financials!FV$3)))</f>
        <v>0</v>
      </c>
      <c r="FW52" s="18">
        <f>IF(FW$1&lt;CapEx!$O$7,0,(VLOOKUP($B52,Inputs!$F$3:$H$17,3,0)*((1+Inputs!$L$3)^Financials!FW$3)))</f>
        <v>0</v>
      </c>
      <c r="FX52" s="18">
        <f>IF(FX$1&lt;CapEx!$O$7,0,(VLOOKUP($B52,Inputs!$F$3:$H$17,3,0)*((1+Inputs!$L$3)^Financials!FX$3)))</f>
        <v>0</v>
      </c>
      <c r="FY52" s="18">
        <f>IF(FY$1&lt;CapEx!$O$7,0,(VLOOKUP($B52,Inputs!$F$3:$H$17,3,0)*((1+Inputs!$L$3)^Financials!FY$3)))</f>
        <v>0</v>
      </c>
      <c r="FZ52" s="18">
        <f>IF(FZ$1&lt;CapEx!$O$7,0,(VLOOKUP($B52,Inputs!$F$3:$H$17,3,0)*((1+Inputs!$L$3)^Financials!FZ$3)))</f>
        <v>0</v>
      </c>
      <c r="GA52" s="18">
        <f>IF(GA$1&lt;CapEx!$O$7,0,(VLOOKUP($B52,Inputs!$F$3:$H$17,3,0)*((1+Inputs!$L$3)^Financials!GA$3)))</f>
        <v>0</v>
      </c>
      <c r="GB52" s="18">
        <f>IF(GB$1&lt;CapEx!$O$7,0,(VLOOKUP($B52,Inputs!$F$3:$H$17,3,0)*((1+Inputs!$L$3)^Financials!GB$3)))</f>
        <v>0</v>
      </c>
      <c r="GC52" s="18">
        <f>IF(GC$1&lt;CapEx!$O$7,0,(VLOOKUP($B52,Inputs!$F$3:$H$17,3,0)*((1+Inputs!$L$3)^Financials!GC$3)))</f>
        <v>0</v>
      </c>
      <c r="GD52" s="18">
        <f>IF(GD$1&lt;CapEx!$O$7,0,(VLOOKUP($B52,Inputs!$F$3:$H$17,3,0)*((1+Inputs!$L$3)^Financials!GD$3)))</f>
        <v>0</v>
      </c>
      <c r="GE52" s="18">
        <f>IF(GE$1&lt;CapEx!$O$7,0,(VLOOKUP($B52,Inputs!$F$3:$H$17,3,0)*((1+Inputs!$L$3)^Financials!GE$3)))</f>
        <v>0</v>
      </c>
      <c r="GF52" s="18">
        <f>IF(GF$1&lt;CapEx!$O$7,0,(VLOOKUP($B52,Inputs!$F$3:$H$17,3,0)*((1+Inputs!$L$3)^Financials!GF$3)))</f>
        <v>0</v>
      </c>
      <c r="GG52" s="18">
        <f>IF(GG$1&lt;CapEx!$O$7,0,(VLOOKUP($B52,Inputs!$F$3:$H$17,3,0)*((1+Inputs!$L$3)^Financials!GG$3)))</f>
        <v>0</v>
      </c>
      <c r="GH52" s="18">
        <f>IF(GH$1&lt;CapEx!$O$7,0,(VLOOKUP($B52,Inputs!$F$3:$H$17,3,0)*((1+Inputs!$L$3)^Financials!GH$3)))</f>
        <v>0</v>
      </c>
      <c r="GI52" s="18">
        <f>IF(GI$1&lt;CapEx!$O$7,0,(VLOOKUP($B52,Inputs!$F$3:$H$17,3,0)*((1+Inputs!$L$3)^Financials!GI$3)))</f>
        <v>0</v>
      </c>
      <c r="GJ52" s="18">
        <f>IF(GJ$1&lt;CapEx!$O$7,0,(VLOOKUP($B52,Inputs!$F$3:$H$17,3,0)*((1+Inputs!$L$3)^Financials!GJ$3)))</f>
        <v>0</v>
      </c>
      <c r="GK52" s="18">
        <f>IF(GK$1&lt;CapEx!$O$7,0,(VLOOKUP($B52,Inputs!$F$3:$H$17,3,0)*((1+Inputs!$L$3)^Financials!GK$3)))</f>
        <v>0</v>
      </c>
      <c r="GL52" s="18">
        <f>IF(GL$1&lt;CapEx!$O$7,0,(VLOOKUP($B52,Inputs!$F$3:$H$17,3,0)*((1+Inputs!$L$3)^Financials!GL$3)))</f>
        <v>0</v>
      </c>
      <c r="GM52" s="18">
        <f>IF(GM$1&lt;CapEx!$O$7,0,(VLOOKUP($B52,Inputs!$F$3:$H$17,3,0)*((1+Inputs!$L$3)^Financials!GM$3)))</f>
        <v>0</v>
      </c>
      <c r="GN52" s="18">
        <f>IF(GN$1&lt;CapEx!$O$7,0,(VLOOKUP($B52,Inputs!$F$3:$H$17,3,0)*((1+Inputs!$L$3)^Financials!GN$3)))</f>
        <v>0</v>
      </c>
      <c r="GO52" s="18">
        <f>IF(GO$1&lt;CapEx!$O$7,0,(VLOOKUP($B52,Inputs!$F$3:$H$17,3,0)*((1+Inputs!$L$3)^Financials!GO$3)))</f>
        <v>0</v>
      </c>
      <c r="GP52" s="18">
        <f>IF(GP$1&lt;CapEx!$O$7,0,(VLOOKUP($B52,Inputs!$F$3:$H$17,3,0)*((1+Inputs!$L$3)^Financials!GP$3)))</f>
        <v>0</v>
      </c>
      <c r="GQ52" s="18">
        <f>IF(GQ$1&lt;CapEx!$O$7,0,(VLOOKUP($B52,Inputs!$F$3:$H$17,3,0)*((1+Inputs!$L$3)^Financials!GQ$3)))</f>
        <v>0</v>
      </c>
      <c r="GR52" s="18">
        <f>IF(GR$1&lt;CapEx!$O$7,0,(VLOOKUP($B52,Inputs!$F$3:$H$17,3,0)*((1+Inputs!$L$3)^Financials!GR$3)))</f>
        <v>0</v>
      </c>
      <c r="GS52" s="18">
        <f>IF(GS$1&lt;CapEx!$O$7,0,(VLOOKUP($B52,Inputs!$F$3:$H$17,3,0)*((1+Inputs!$L$3)^Financials!GS$3)))</f>
        <v>0</v>
      </c>
      <c r="GT52" s="18">
        <f>IF(GT$1&lt;CapEx!$O$7,0,(VLOOKUP($B52,Inputs!$F$3:$H$17,3,0)*((1+Inputs!$L$3)^Financials!GT$3)))</f>
        <v>0</v>
      </c>
      <c r="GU52" s="18">
        <f>IF(GU$1&lt;CapEx!$O$7,0,(VLOOKUP($B52,Inputs!$F$3:$H$17,3,0)*((1+Inputs!$L$3)^Financials!GU$3)))</f>
        <v>0</v>
      </c>
      <c r="GV52" s="18">
        <f>IF(GV$1&lt;CapEx!$O$7,0,(VLOOKUP($B52,Inputs!$F$3:$H$17,3,0)*((1+Inputs!$L$3)^Financials!GV$3)))</f>
        <v>0</v>
      </c>
      <c r="GW52" s="18">
        <f>IF(GW$1&lt;CapEx!$O$7,0,(VLOOKUP($B52,Inputs!$F$3:$H$17,3,0)*((1+Inputs!$L$3)^Financials!GW$3)))</f>
        <v>0</v>
      </c>
      <c r="GX52" s="18">
        <f>IF(GX$1&lt;CapEx!$O$7,0,(VLOOKUP($B52,Inputs!$F$3:$H$17,3,0)*((1+Inputs!$L$3)^Financials!GX$3)))</f>
        <v>0</v>
      </c>
      <c r="GY52" s="18">
        <f>IF(GY$1&lt;CapEx!$O$7,0,(VLOOKUP($B52,Inputs!$F$3:$H$17,3,0)*((1+Inputs!$L$3)^Financials!GY$3)))</f>
        <v>0</v>
      </c>
      <c r="GZ52" s="18">
        <f>IF(GZ$1&lt;CapEx!$O$7,0,(VLOOKUP($B52,Inputs!$F$3:$H$17,3,0)*((1+Inputs!$L$3)^Financials!GZ$3)))</f>
        <v>0</v>
      </c>
      <c r="HA52" s="18">
        <f>IF(HA$1&lt;CapEx!$O$7,0,(VLOOKUP($B52,Inputs!$F$3:$H$17,3,0)*((1+Inputs!$L$3)^Financials!HA$3)))</f>
        <v>0</v>
      </c>
      <c r="HB52" s="18">
        <f>IF(HB$1&lt;CapEx!$O$7,0,(VLOOKUP($B52,Inputs!$F$3:$H$17,3,0)*((1+Inputs!$L$3)^Financials!HB$3)))</f>
        <v>0</v>
      </c>
      <c r="HC52" s="18">
        <f>IF(HC$1&lt;CapEx!$O$7,0,(VLOOKUP($B52,Inputs!$F$3:$H$17,3,0)*((1+Inputs!$L$3)^Financials!HC$3)))</f>
        <v>0</v>
      </c>
      <c r="HD52" s="18">
        <f>IF(HD$1&lt;CapEx!$O$7,0,(VLOOKUP($B52,Inputs!$F$3:$H$17,3,0)*((1+Inputs!$L$3)^Financials!HD$3)))</f>
        <v>0</v>
      </c>
      <c r="HE52" s="18">
        <f>IF(HE$1&lt;CapEx!$O$7,0,(VLOOKUP($B52,Inputs!$F$3:$H$17,3,0)*((1+Inputs!$L$3)^Financials!HE$3)))</f>
        <v>0</v>
      </c>
      <c r="HF52" s="18">
        <f>IF(HF$1&lt;CapEx!$O$7,0,(VLOOKUP($B52,Inputs!$F$3:$H$17,3,0)*((1+Inputs!$L$3)^Financials!HF$3)))</f>
        <v>0</v>
      </c>
      <c r="HG52" s="18">
        <f>IF(HG$1&lt;CapEx!$O$7,0,(VLOOKUP($B52,Inputs!$F$3:$H$17,3,0)*((1+Inputs!$L$3)^Financials!HG$3)))</f>
        <v>0</v>
      </c>
      <c r="HH52" s="18">
        <f>IF(HH$1&lt;CapEx!$O$7,0,(VLOOKUP($B52,Inputs!$F$3:$H$17,3,0)*((1+Inputs!$L$3)^Financials!HH$3)))</f>
        <v>0</v>
      </c>
      <c r="HI52" s="18">
        <f>IF(HI$1&lt;CapEx!$O$7,0,(VLOOKUP($B52,Inputs!$F$3:$H$17,3,0)*((1+Inputs!$L$3)^Financials!HI$3)))</f>
        <v>0</v>
      </c>
      <c r="HJ52" s="18">
        <f>IF(HJ$1&lt;CapEx!$O$7,0,(VLOOKUP($B52,Inputs!$F$3:$H$17,3,0)*((1+Inputs!$L$3)^Financials!HJ$3)))</f>
        <v>0</v>
      </c>
      <c r="HK52" s="18">
        <f>IF(HK$1&lt;CapEx!$O$7,0,(VLOOKUP($B52,Inputs!$F$3:$H$17,3,0)*((1+Inputs!$L$3)^Financials!HK$3)))</f>
        <v>0</v>
      </c>
      <c r="HL52" s="18">
        <f>IF(HL$1&lt;CapEx!$O$7,0,(VLOOKUP($B52,Inputs!$F$3:$H$17,3,0)*((1+Inputs!$L$3)^Financials!HL$3)))</f>
        <v>0</v>
      </c>
      <c r="HM52" s="18">
        <f>IF(HM$1&lt;CapEx!$O$7,0,(VLOOKUP($B52,Inputs!$F$3:$H$17,3,0)*((1+Inputs!$L$3)^Financials!HM$3)))</f>
        <v>0</v>
      </c>
      <c r="HN52" s="18">
        <f>IF(HN$1&lt;CapEx!$O$7,0,(VLOOKUP($B52,Inputs!$F$3:$H$17,3,0)*((1+Inputs!$L$3)^Financials!HN$3)))</f>
        <v>0</v>
      </c>
      <c r="HO52" s="18">
        <f>IF(HO$1&lt;CapEx!$O$7,0,(VLOOKUP($B52,Inputs!$F$3:$H$17,3,0)*((1+Inputs!$L$3)^Financials!HO$3)))</f>
        <v>0</v>
      </c>
      <c r="HP52" s="18">
        <f>IF(HP$1&lt;CapEx!$O$7,0,(VLOOKUP($B52,Inputs!$F$3:$H$17,3,0)*((1+Inputs!$L$3)^Financials!HP$3)))</f>
        <v>0</v>
      </c>
      <c r="HQ52" s="18">
        <f>IF(HQ$1&lt;CapEx!$O$7,0,(VLOOKUP($B52,Inputs!$F$3:$H$17,3,0)*((1+Inputs!$L$3)^Financials!HQ$3)))</f>
        <v>0</v>
      </c>
      <c r="HR52" s="18">
        <f>IF(HR$1&lt;CapEx!$O$7,0,(VLOOKUP($B52,Inputs!$F$3:$H$17,3,0)*((1+Inputs!$L$3)^Financials!HR$3)))</f>
        <v>0</v>
      </c>
      <c r="HS52" s="18">
        <f>IF(HS$1&lt;CapEx!$O$7,0,(VLOOKUP($B52,Inputs!$F$3:$H$17,3,0)*((1+Inputs!$L$3)^Financials!HS$3)))</f>
        <v>0</v>
      </c>
      <c r="HT52" s="18">
        <f>IF(HT$1&lt;CapEx!$O$7,0,(VLOOKUP($B52,Inputs!$F$3:$H$17,3,0)*((1+Inputs!$L$3)^Financials!HT$3)))</f>
        <v>0</v>
      </c>
      <c r="HU52" s="18">
        <f>IF(HU$1&lt;CapEx!$O$7,0,(VLOOKUP($B52,Inputs!$F$3:$H$17,3,0)*((1+Inputs!$L$3)^Financials!HU$3)))</f>
        <v>0</v>
      </c>
      <c r="HV52" s="18">
        <f>IF(HV$1&lt;CapEx!$O$7,0,(VLOOKUP($B52,Inputs!$F$3:$H$17,3,0)*((1+Inputs!$L$3)^Financials!HV$3)))</f>
        <v>0</v>
      </c>
      <c r="HW52" s="18">
        <f>IF(HW$1&lt;CapEx!$O$7,0,(VLOOKUP($B52,Inputs!$F$3:$H$17,3,0)*((1+Inputs!$L$3)^Financials!HW$3)))</f>
        <v>0</v>
      </c>
      <c r="HX52" s="18">
        <f>IF(HX$1&lt;CapEx!$O$7,0,(VLOOKUP($B52,Inputs!$F$3:$H$17,3,0)*((1+Inputs!$L$3)^Financials!HX$3)))</f>
        <v>0</v>
      </c>
      <c r="HY52" s="18">
        <f>IF(HY$1&lt;CapEx!$O$7,0,(VLOOKUP($B52,Inputs!$F$3:$H$17,3,0)*((1+Inputs!$L$3)^Financials!HY$3)))</f>
        <v>0</v>
      </c>
      <c r="HZ52" s="18">
        <f>IF(HZ$1&lt;CapEx!$O$7,0,(VLOOKUP($B52,Inputs!$F$3:$H$17,3,0)*((1+Inputs!$L$3)^Financials!HZ$3)))</f>
        <v>0</v>
      </c>
      <c r="IA52" s="18">
        <f>IF(IA$1&lt;CapEx!$O$7,0,(VLOOKUP($B52,Inputs!$F$3:$H$17,3,0)*((1+Inputs!$L$3)^Financials!IA$3)))</f>
        <v>0</v>
      </c>
      <c r="IB52" s="18">
        <f>IF(IB$1&lt;CapEx!$O$7,0,(VLOOKUP($B52,Inputs!$F$3:$H$17,3,0)*((1+Inputs!$L$3)^Financials!IB$3)))</f>
        <v>0</v>
      </c>
      <c r="IC52" s="18">
        <f>IF(IC$1&lt;CapEx!$O$7,0,(VLOOKUP($B52,Inputs!$F$3:$H$17,3,0)*((1+Inputs!$L$3)^Financials!IC$3)))</f>
        <v>0</v>
      </c>
      <c r="ID52" s="18">
        <f>IF(ID$1&lt;CapEx!$O$7,0,(VLOOKUP($B52,Inputs!$F$3:$H$17,3,0)*((1+Inputs!$L$3)^Financials!ID$3)))</f>
        <v>0</v>
      </c>
      <c r="IE52" s="18">
        <f>IF(IE$1&lt;CapEx!$O$7,0,(VLOOKUP($B52,Inputs!$F$3:$H$17,3,0)*((1+Inputs!$L$3)^Financials!IE$3)))</f>
        <v>0</v>
      </c>
      <c r="IF52" s="18">
        <f>IF(IF$1&lt;CapEx!$O$7,0,(VLOOKUP($B52,Inputs!$F$3:$H$17,3,0)*((1+Inputs!$L$3)^Financials!IF$3)))</f>
        <v>0</v>
      </c>
      <c r="IG52" s="18">
        <f>IF(IG$1&lt;CapEx!$O$7,0,(VLOOKUP($B52,Inputs!$F$3:$H$17,3,0)*((1+Inputs!$L$3)^Financials!IG$3)))</f>
        <v>0</v>
      </c>
      <c r="IH52" s="18">
        <f>IF(IH$1&lt;CapEx!$O$7,0,(VLOOKUP($B52,Inputs!$F$3:$H$17,3,0)*((1+Inputs!$L$3)^Financials!IH$3)))</f>
        <v>0</v>
      </c>
      <c r="II52" s="18">
        <f>IF(II$1&lt;CapEx!$O$7,0,(VLOOKUP($B52,Inputs!$F$3:$H$17,3,0)*((1+Inputs!$L$3)^Financials!II$3)))</f>
        <v>0</v>
      </c>
      <c r="IJ52" s="18">
        <f>IF(IJ$1&lt;CapEx!$O$7,0,(VLOOKUP($B52,Inputs!$F$3:$H$17,3,0)*((1+Inputs!$L$3)^Financials!IJ$3)))</f>
        <v>0</v>
      </c>
      <c r="IK52" s="18">
        <f>IF(IK$1&lt;CapEx!$O$7,0,(VLOOKUP($B52,Inputs!$F$3:$H$17,3,0)*((1+Inputs!$L$3)^Financials!IK$3)))</f>
        <v>0</v>
      </c>
      <c r="IL52" s="18">
        <f>IF(IL$1&lt;CapEx!$O$7,0,(VLOOKUP($B52,Inputs!$F$3:$H$17,3,0)*((1+Inputs!$L$3)^Financials!IL$3)))</f>
        <v>0</v>
      </c>
      <c r="IM52" s="18">
        <f>IF(IM$1&lt;CapEx!$O$7,0,(VLOOKUP($B52,Inputs!$F$3:$H$17,3,0)*((1+Inputs!$L$3)^Financials!IM$3)))</f>
        <v>0</v>
      </c>
      <c r="IN52" s="18">
        <f>IF(IN$1&lt;CapEx!$O$7,0,(VLOOKUP($B52,Inputs!$F$3:$H$17,3,0)*((1+Inputs!$L$3)^Financials!IN$3)))</f>
        <v>0</v>
      </c>
      <c r="IO52" s="18">
        <f>IF(IO$1&lt;CapEx!$O$7,0,(VLOOKUP($B52,Inputs!$F$3:$H$17,3,0)*((1+Inputs!$L$3)^Financials!IO$3)))</f>
        <v>0</v>
      </c>
      <c r="IP52" s="18">
        <f>IF(IP$1&lt;CapEx!$O$7,0,(VLOOKUP($B52,Inputs!$F$3:$H$17,3,0)*((1+Inputs!$L$3)^Financials!IP$3)))</f>
        <v>0</v>
      </c>
      <c r="IQ52" s="18">
        <f>IF(IQ$1&lt;CapEx!$O$7,0,(VLOOKUP($B52,Inputs!$F$3:$H$17,3,0)*((1+Inputs!$L$3)^Financials!IQ$3)))</f>
        <v>0</v>
      </c>
      <c r="IR52" s="18">
        <f>IF(IR$1&lt;CapEx!$O$7,0,(VLOOKUP($B52,Inputs!$F$3:$H$17,3,0)*((1+Inputs!$L$3)^Financials!IR$3)))</f>
        <v>0</v>
      </c>
      <c r="IS52" s="18">
        <f>IF(IS$1&lt;CapEx!$O$7,0,(VLOOKUP($B52,Inputs!$F$3:$H$17,3,0)*((1+Inputs!$L$3)^Financials!IS$3)))</f>
        <v>0</v>
      </c>
      <c r="IT52" s="18">
        <f>IF(IT$1&lt;CapEx!$O$7,0,(VLOOKUP($B52,Inputs!$F$3:$H$17,3,0)*((1+Inputs!$L$3)^Financials!IT$3)))</f>
        <v>0</v>
      </c>
      <c r="IU52" s="18">
        <f>IF(IU$1&lt;CapEx!$O$7,0,(VLOOKUP($B52,Inputs!$F$3:$H$17,3,0)*((1+Inputs!$L$3)^Financials!IU$3)))</f>
        <v>0</v>
      </c>
      <c r="IV52" s="18">
        <f>IF(IV$1&lt;CapEx!$O$7,0,(VLOOKUP($B52,Inputs!$F$3:$H$17,3,0)*((1+Inputs!$L$3)^Financials!IV$3)))</f>
        <v>0</v>
      </c>
      <c r="IW52" s="18">
        <f>IF(IW$1&lt;CapEx!$O$7,0,(VLOOKUP($B52,Inputs!$F$3:$H$17,3,0)*((1+Inputs!$L$3)^Financials!IW$3)))</f>
        <v>0</v>
      </c>
      <c r="IX52" s="18">
        <f>IF(IX$1&lt;CapEx!$O$7,0,(VLOOKUP($B52,Inputs!$F$3:$H$17,3,0)*((1+Inputs!$L$3)^Financials!IX$3)))</f>
        <v>0</v>
      </c>
      <c r="IY52" s="18">
        <f>IF(IY$1&lt;CapEx!$O$7,0,(VLOOKUP($B52,Inputs!$F$3:$H$17,3,0)*((1+Inputs!$L$3)^Financials!IY$3)))</f>
        <v>0</v>
      </c>
      <c r="IZ52" s="18">
        <f>IF(IZ$1&lt;CapEx!$O$7,0,(VLOOKUP($B52,Inputs!$F$3:$H$17,3,0)*((1+Inputs!$L$3)^Financials!IZ$3)))</f>
        <v>0</v>
      </c>
      <c r="JA52" s="18">
        <f>IF(JA$1&lt;CapEx!$O$7,0,(VLOOKUP($B52,Inputs!$F$3:$H$17,3,0)*((1+Inputs!$L$3)^Financials!JA$3)))</f>
        <v>0</v>
      </c>
      <c r="JB52" s="18">
        <f>IF(JB$1&lt;CapEx!$O$7,0,(VLOOKUP($B52,Inputs!$F$3:$H$17,3,0)*((1+Inputs!$L$3)^Financials!JB$3)))</f>
        <v>0</v>
      </c>
      <c r="JC52" s="18">
        <f>IF(JC$1&lt;CapEx!$O$7,0,(VLOOKUP($B52,Inputs!$F$3:$H$17,3,0)*((1+Inputs!$L$3)^Financials!JC$3)))</f>
        <v>0</v>
      </c>
      <c r="JD52" s="18">
        <f>IF(JD$1&lt;CapEx!$O$7,0,(VLOOKUP($B52,Inputs!$F$3:$H$17,3,0)*((1+Inputs!$L$3)^Financials!JD$3)))</f>
        <v>0</v>
      </c>
      <c r="JE52" s="18">
        <f>IF(JE$1&lt;CapEx!$O$7,0,(VLOOKUP($B52,Inputs!$F$3:$H$17,3,0)*((1+Inputs!$L$3)^Financials!JE$3)))</f>
        <v>0</v>
      </c>
      <c r="JF52" s="18">
        <f>IF(JF$1&lt;CapEx!$O$7,0,(VLOOKUP($B52,Inputs!$F$3:$H$17,3,0)*((1+Inputs!$L$3)^Financials!JF$3)))</f>
        <v>0</v>
      </c>
      <c r="JG52" s="18">
        <f>IF(JG$1&lt;CapEx!$O$7,0,(VLOOKUP($B52,Inputs!$F$3:$H$17,3,0)*((1+Inputs!$L$3)^Financials!JG$3)))</f>
        <v>0</v>
      </c>
      <c r="JH52" s="18">
        <f>IF(JH$1&lt;CapEx!$O$7,0,(VLOOKUP($B52,Inputs!$F$3:$H$17,3,0)*((1+Inputs!$L$3)^Financials!JH$3)))</f>
        <v>0</v>
      </c>
      <c r="JI52" s="18">
        <f>IF(JI$1&lt;CapEx!$O$7,0,(VLOOKUP($B52,Inputs!$F$3:$H$17,3,0)*((1+Inputs!$L$3)^Financials!JI$3)))</f>
        <v>0</v>
      </c>
      <c r="JJ52" s="18">
        <f>IF(JJ$1&lt;CapEx!$O$7,0,(VLOOKUP($B52,Inputs!$F$3:$H$17,3,0)*((1+Inputs!$L$3)^Financials!JJ$3)))</f>
        <v>0</v>
      </c>
      <c r="JK52" s="18">
        <f>IF(JK$1&lt;CapEx!$O$7,0,(VLOOKUP($B52,Inputs!$F$3:$H$17,3,0)*((1+Inputs!$L$3)^Financials!JK$3)))</f>
        <v>0</v>
      </c>
      <c r="JL52" s="18">
        <f>IF(JL$1&lt;CapEx!$O$7,0,(VLOOKUP($B52,Inputs!$F$3:$H$17,3,0)*((1+Inputs!$L$3)^Financials!JL$3)))</f>
        <v>0</v>
      </c>
      <c r="JM52" s="18">
        <f>IF(JM$1&lt;CapEx!$O$7,0,(VLOOKUP($B52,Inputs!$F$3:$H$17,3,0)*((1+Inputs!$L$3)^Financials!JM$3)))</f>
        <v>0</v>
      </c>
      <c r="JN52" s="18">
        <f>IF(JN$1&lt;CapEx!$O$7,0,(VLOOKUP($B52,Inputs!$F$3:$H$17,3,0)*((1+Inputs!$L$3)^Financials!JN$3)))</f>
        <v>0</v>
      </c>
      <c r="JO52" s="18">
        <f>IF(JO$1&lt;CapEx!$O$7,0,(VLOOKUP($B52,Inputs!$F$3:$H$17,3,0)*((1+Inputs!$L$3)^Financials!JO$3)))</f>
        <v>0</v>
      </c>
      <c r="JP52" s="18">
        <f>IF(JP$1&lt;CapEx!$O$7,0,(VLOOKUP($B52,Inputs!$F$3:$H$17,3,0)*((1+Inputs!$L$3)^Financials!JP$3)))</f>
        <v>0</v>
      </c>
      <c r="JQ52" s="18">
        <f>IF(JQ$1&lt;CapEx!$O$7,0,(VLOOKUP($B52,Inputs!$F$3:$H$17,3,0)*((1+Inputs!$L$3)^Financials!JQ$3)))</f>
        <v>0</v>
      </c>
      <c r="JR52" s="18">
        <f>IF(JR$1&lt;CapEx!$O$7,0,(VLOOKUP($B52,Inputs!$F$3:$H$17,3,0)*((1+Inputs!$L$3)^Financials!JR$3)))</f>
        <v>0</v>
      </c>
    </row>
    <row r="53" spans="2:278" x14ac:dyDescent="0.2">
      <c r="B53" s="21" t="str">
        <f>'Data Sources'!A100</f>
        <v>Permit  Renewals</v>
      </c>
      <c r="C53" s="18">
        <f>IF(C$1&lt;CapEx!$O$7,0,(VLOOKUP($B53,Inputs!$F$3:$H$17,3,0)*((1+Inputs!$L$3)^Financials!C$3)))</f>
        <v>0</v>
      </c>
      <c r="D53" s="18">
        <f>IF(D$1&lt;CapEx!$O$7,0,(VLOOKUP($B53,Inputs!$F$3:$H$17,3,0)*((1+Inputs!$L$3)^Financials!D$3)))</f>
        <v>0</v>
      </c>
      <c r="E53" s="18">
        <f>IF(E$1&lt;CapEx!$O$7,0,(VLOOKUP($B53,Inputs!$F$3:$H$17,3,0)*((1+Inputs!$L$3)^Financials!E$3)))</f>
        <v>0</v>
      </c>
      <c r="F53" s="18">
        <f>IF(F$1&lt;CapEx!$O$7,0,(VLOOKUP($B53,Inputs!$F$3:$H$17,3,0)*((1+Inputs!$L$3)^Financials!F$3)))</f>
        <v>0</v>
      </c>
      <c r="G53" s="18">
        <f>IF(G$1&lt;CapEx!$O$7,0,(VLOOKUP($B53,Inputs!$F$3:$H$17,3,0)*((1+Inputs!$L$3)^Financials!G$3)))</f>
        <v>0</v>
      </c>
      <c r="H53" s="18">
        <f>IF(H$1&lt;CapEx!$O$7,0,(VLOOKUP($B53,Inputs!$F$3:$H$17,3,0)*((1+Inputs!$L$3)^Financials!H$3)))</f>
        <v>0</v>
      </c>
      <c r="I53" s="18">
        <f>IF(I$1&lt;CapEx!$O$7,0,(VLOOKUP($B53,Inputs!$F$3:$H$17,3,0)*((1+Inputs!$L$3)^Financials!I$3)))</f>
        <v>0</v>
      </c>
      <c r="J53" s="18">
        <f>IF(J$1&lt;CapEx!$O$7,0,(VLOOKUP($B53,Inputs!$F$3:$H$17,3,0)*((1+Inputs!$L$3)^Financials!J$3)))</f>
        <v>0</v>
      </c>
      <c r="K53" s="18">
        <f>IF(K$1&lt;CapEx!$O$7,0,(VLOOKUP($B53,Inputs!$F$3:$H$17,3,0)*((1+Inputs!$L$3)^Financials!K$3)))</f>
        <v>0</v>
      </c>
      <c r="L53" s="18">
        <f>IF(L$1&lt;CapEx!$O$7,0,(VLOOKUP($B53,Inputs!$F$3:$H$17,3,0)*((1+Inputs!$L$3)^Financials!L$3)))</f>
        <v>0</v>
      </c>
      <c r="M53" s="18">
        <f>IF(M$1&lt;CapEx!$O$7,0,(VLOOKUP($B53,Inputs!$F$3:$H$17,3,0)*((1+Inputs!$L$3)^Financials!M$3)))</f>
        <v>0</v>
      </c>
      <c r="N53" s="18">
        <f>IF(N$1&lt;CapEx!$O$7,0,(VLOOKUP($B53,Inputs!$F$3:$H$17,3,0)*((1+Inputs!$L$3)^Financials!N$3)))</f>
        <v>0</v>
      </c>
      <c r="O53" s="18">
        <f>IF(O$1&lt;CapEx!$O$7,0,(VLOOKUP($B53,Inputs!$F$3:$H$17,3,0)*((1+Inputs!$L$3)^Financials!O$3)))</f>
        <v>0</v>
      </c>
      <c r="P53" s="18">
        <f>IF(P$1&lt;CapEx!$O$7,0,(VLOOKUP($B53,Inputs!$F$3:$H$17,3,0)*((1+Inputs!$L$3)^Financials!P$3)))</f>
        <v>0</v>
      </c>
      <c r="Q53" s="18">
        <f>IF(Q$1&lt;CapEx!$O$7,0,(VLOOKUP($B53,Inputs!$F$3:$H$17,3,0)*((1+Inputs!$L$3)^Financials!Q$3)))</f>
        <v>0</v>
      </c>
      <c r="R53" s="18">
        <f>IF(R$1&lt;CapEx!$O$7,0,(VLOOKUP($B53,Inputs!$F$3:$H$17,3,0)*((1+Inputs!$L$3)^Financials!R$3)))</f>
        <v>6250</v>
      </c>
      <c r="S53" s="18">
        <f>IF(S$1&lt;CapEx!$O$7,0,(VLOOKUP($B53,Inputs!$F$3:$H$17,3,0)*((1+Inputs!$L$3)^Financials!S$3)))</f>
        <v>6260.416666666667</v>
      </c>
      <c r="T53" s="18">
        <f>IF(T$1&lt;CapEx!$O$7,0,(VLOOKUP($B53,Inputs!$F$3:$H$17,3,0)*((1+Inputs!$L$3)^Financials!T$3)))</f>
        <v>6270.8506944444453</v>
      </c>
      <c r="U53" s="18">
        <f>IF(U$1&lt;CapEx!$O$7,0,(VLOOKUP($B53,Inputs!$F$3:$H$17,3,0)*((1+Inputs!$L$3)^Financials!U$3)))</f>
        <v>6281.3021122685195</v>
      </c>
      <c r="V53" s="18">
        <f>IF(V$1&lt;CapEx!$O$7,0,(VLOOKUP($B53,Inputs!$F$3:$H$17,3,0)*((1+Inputs!$L$3)^Financials!V$3)))</f>
        <v>6291.7709491223013</v>
      </c>
      <c r="W53" s="18">
        <f>IF(W$1&lt;CapEx!$O$7,0,(VLOOKUP($B53,Inputs!$F$3:$H$17,3,0)*((1+Inputs!$L$3)^Financials!W$3)))</f>
        <v>6302.2572340375045</v>
      </c>
      <c r="X53" s="18">
        <f>IF(X$1&lt;CapEx!$O$7,0,(VLOOKUP($B53,Inputs!$F$3:$H$17,3,0)*((1+Inputs!$L$3)^Financials!X$3)))</f>
        <v>6312.7609960942336</v>
      </c>
      <c r="Y53" s="18">
        <f>IF(Y$1&lt;CapEx!$O$7,0,(VLOOKUP($B53,Inputs!$F$3:$H$17,3,0)*((1+Inputs!$L$3)^Financials!Y$3)))</f>
        <v>6323.2822644210582</v>
      </c>
      <c r="Z53" s="18">
        <f>IF(Z$1&lt;CapEx!$O$7,0,(VLOOKUP($B53,Inputs!$F$3:$H$17,3,0)*((1+Inputs!$L$3)^Financials!Z$3)))</f>
        <v>6333.821068195095</v>
      </c>
      <c r="AA53" s="18">
        <f>IF(AA$1&lt;CapEx!$O$7,0,(VLOOKUP($B53,Inputs!$F$3:$H$17,3,0)*((1+Inputs!$L$3)^Financials!AA$3)))</f>
        <v>6344.3774366420857</v>
      </c>
      <c r="AB53" s="18">
        <f>IF(AB$1&lt;CapEx!$O$7,0,(VLOOKUP($B53,Inputs!$F$3:$H$17,3,0)*((1+Inputs!$L$3)^Financials!AB$3)))</f>
        <v>6354.9513990364903</v>
      </c>
      <c r="AC53" s="18">
        <f>IF(AC$1&lt;CapEx!$O$7,0,(VLOOKUP($B53,Inputs!$F$3:$H$17,3,0)*((1+Inputs!$L$3)^Financials!AC$3)))</f>
        <v>6365.5429847015512</v>
      </c>
      <c r="AD53" s="18">
        <f>IF(AD$1&lt;CapEx!$O$7,0,(VLOOKUP($B53,Inputs!$F$3:$H$17,3,0)*((1+Inputs!$L$3)^Financials!AD$3)))</f>
        <v>6376.1522230093879</v>
      </c>
      <c r="AE53" s="18">
        <f>IF(AE$1&lt;CapEx!$O$7,0,(VLOOKUP($B53,Inputs!$F$3:$H$17,3,0)*((1+Inputs!$L$3)^Financials!AE$3)))</f>
        <v>6386.7791433810698</v>
      </c>
      <c r="AF53" s="18">
        <f>IF(AF$1&lt;CapEx!$O$7,0,(VLOOKUP($B53,Inputs!$F$3:$H$17,3,0)*((1+Inputs!$L$3)^Financials!AF$3)))</f>
        <v>6397.4237752867066</v>
      </c>
      <c r="AG53" s="18">
        <f>IF(AG$1&lt;CapEx!$O$7,0,(VLOOKUP($B53,Inputs!$F$3:$H$17,3,0)*((1+Inputs!$L$3)^Financials!AG$3)))</f>
        <v>6408.0861482455175</v>
      </c>
      <c r="AH53" s="18">
        <f>IF(AH$1&lt;CapEx!$O$7,0,(VLOOKUP($B53,Inputs!$F$3:$H$17,3,0)*((1+Inputs!$L$3)^Financials!AH$3)))</f>
        <v>6418.7662918259284</v>
      </c>
      <c r="AI53" s="18">
        <f>IF(AI$1&lt;CapEx!$O$7,0,(VLOOKUP($B53,Inputs!$F$3:$H$17,3,0)*((1+Inputs!$L$3)^Financials!AI$3)))</f>
        <v>6429.4642356456379</v>
      </c>
      <c r="AJ53" s="18">
        <f>IF(AJ$1&lt;CapEx!$O$7,0,(VLOOKUP($B53,Inputs!$F$3:$H$17,3,0)*((1+Inputs!$L$3)^Financials!AJ$3)))</f>
        <v>6440.1800093717138</v>
      </c>
      <c r="AK53" s="18">
        <f>IF(AK$1&lt;CapEx!$O$7,0,(VLOOKUP($B53,Inputs!$F$3:$H$17,3,0)*((1+Inputs!$L$3)^Financials!AK$3)))</f>
        <v>6450.9136427206686</v>
      </c>
      <c r="AL53" s="18">
        <f>IF(AL$1&lt;CapEx!$O$7,0,(VLOOKUP($B53,Inputs!$F$3:$H$17,3,0)*((1+Inputs!$L$3)^Financials!AL$3)))</f>
        <v>6461.6651654585357</v>
      </c>
      <c r="AM53" s="18">
        <f>IF(AM$1&lt;CapEx!$O$7,0,(VLOOKUP($B53,Inputs!$F$3:$H$17,3,0)*((1+Inputs!$L$3)^Financials!AM$3)))</f>
        <v>6472.4346074009673</v>
      </c>
      <c r="AN53" s="18">
        <f>IF(AN$1&lt;CapEx!$O$7,0,(VLOOKUP($B53,Inputs!$F$3:$H$17,3,0)*((1+Inputs!$L$3)^Financials!AN$3)))</f>
        <v>6483.2219984133026</v>
      </c>
      <c r="AO53" s="18">
        <f>IF(AO$1&lt;CapEx!$O$7,0,(VLOOKUP($B53,Inputs!$F$3:$H$17,3,0)*((1+Inputs!$L$3)^Financials!AO$3)))</f>
        <v>6494.0273684106587</v>
      </c>
      <c r="AP53" s="18">
        <f>IF(AP$1&lt;CapEx!$O$7,0,(VLOOKUP($B53,Inputs!$F$3:$H$17,3,0)*((1+Inputs!$L$3)^Financials!AP$3)))</f>
        <v>6504.8507473580112</v>
      </c>
      <c r="AQ53" s="18">
        <f>IF(AQ$1&lt;CapEx!$O$7,0,(VLOOKUP($B53,Inputs!$F$3:$H$17,3,0)*((1+Inputs!$L$3)^Financials!AQ$3)))</f>
        <v>6515.6921652702731</v>
      </c>
      <c r="AR53" s="18">
        <f>IF(AR$1&lt;CapEx!$O$7,0,(VLOOKUP($B53,Inputs!$F$3:$H$17,3,0)*((1+Inputs!$L$3)^Financials!AR$3)))</f>
        <v>6526.5516522123908</v>
      </c>
      <c r="AS53" s="18">
        <f>IF(AS$1&lt;CapEx!$O$7,0,(VLOOKUP($B53,Inputs!$F$3:$H$17,3,0)*((1+Inputs!$L$3)^Financials!AS$3)))</f>
        <v>6537.4292382994126</v>
      </c>
      <c r="AT53" s="18">
        <f>IF(AT$1&lt;CapEx!$O$7,0,(VLOOKUP($B53,Inputs!$F$3:$H$17,3,0)*((1+Inputs!$L$3)^Financials!AT$3)))</f>
        <v>6548.3249536965786</v>
      </c>
      <c r="AU53" s="18">
        <f>IF(AU$1&lt;CapEx!$O$7,0,(VLOOKUP($B53,Inputs!$F$3:$H$17,3,0)*((1+Inputs!$L$3)^Financials!AU$3)))</f>
        <v>6559.2388286194073</v>
      </c>
      <c r="AV53" s="18">
        <f>IF(AV$1&lt;CapEx!$O$7,0,(VLOOKUP($B53,Inputs!$F$3:$H$17,3,0)*((1+Inputs!$L$3)^Financials!AV$3)))</f>
        <v>6570.1708933337723</v>
      </c>
      <c r="AW53" s="18">
        <f>IF(AW$1&lt;CapEx!$O$7,0,(VLOOKUP($B53,Inputs!$F$3:$H$17,3,0)*((1+Inputs!$L$3)^Financials!AW$3)))</f>
        <v>6581.1211781559959</v>
      </c>
      <c r="AX53" s="18">
        <f>IF(AX$1&lt;CapEx!$O$7,0,(VLOOKUP($B53,Inputs!$F$3:$H$17,3,0)*((1+Inputs!$L$3)^Financials!AX$3)))</f>
        <v>6592.0897134529241</v>
      </c>
      <c r="AY53" s="18">
        <f>IF(AY$1&lt;CapEx!$O$7,0,(VLOOKUP($B53,Inputs!$F$3:$H$17,3,0)*((1+Inputs!$L$3)^Financials!AY$3)))</f>
        <v>6603.0765296420132</v>
      </c>
      <c r="AZ53" s="18">
        <f>IF(AZ$1&lt;CapEx!$O$7,0,(VLOOKUP($B53,Inputs!$F$3:$H$17,3,0)*((1+Inputs!$L$3)^Financials!AZ$3)))</f>
        <v>6614.0816571914156</v>
      </c>
      <c r="BA53" s="18">
        <f>IF(BA$1&lt;CapEx!$O$7,0,(VLOOKUP($B53,Inputs!$F$3:$H$17,3,0)*((1+Inputs!$L$3)^Financials!BA$3)))</f>
        <v>6625.1051266200693</v>
      </c>
      <c r="BB53" s="18">
        <f>IF(BB$1&lt;CapEx!$O$7,0,(VLOOKUP($B53,Inputs!$F$3:$H$17,3,0)*((1+Inputs!$L$3)^Financials!BB$3)))</f>
        <v>6636.1469684977692</v>
      </c>
      <c r="BC53" s="18">
        <f>IF(BC$1&lt;CapEx!$O$7,0,(VLOOKUP($B53,Inputs!$F$3:$H$17,3,0)*((1+Inputs!$L$3)^Financials!BC$3)))</f>
        <v>6647.2072134452665</v>
      </c>
      <c r="BD53" s="18">
        <f>IF(BD$1&lt;CapEx!$O$7,0,(VLOOKUP($B53,Inputs!$F$3:$H$17,3,0)*((1+Inputs!$L$3)^Financials!BD$3)))</f>
        <v>6658.2858921343413</v>
      </c>
      <c r="BE53" s="18">
        <f>IF(BE$1&lt;CapEx!$O$7,0,(VLOOKUP($B53,Inputs!$F$3:$H$17,3,0)*((1+Inputs!$L$3)^Financials!BE$3)))</f>
        <v>6669.3830352879004</v>
      </c>
      <c r="BF53" s="18">
        <f>IF(BF$1&lt;CapEx!$O$7,0,(VLOOKUP($B53,Inputs!$F$3:$H$17,3,0)*((1+Inputs!$L$3)^Financials!BF$3)))</f>
        <v>6680.4986736800474</v>
      </c>
      <c r="BG53" s="18">
        <f>IF(BG$1&lt;CapEx!$O$7,0,(VLOOKUP($B53,Inputs!$F$3:$H$17,3,0)*((1+Inputs!$L$3)^Financials!BG$3)))</f>
        <v>6691.63283813618</v>
      </c>
      <c r="BH53" s="18">
        <f>IF(BH$1&lt;CapEx!$O$7,0,(VLOOKUP($B53,Inputs!$F$3:$H$17,3,0)*((1+Inputs!$L$3)^Financials!BH$3)))</f>
        <v>6702.7855595330739</v>
      </c>
      <c r="BI53" s="18">
        <f>IF(BI$1&lt;CapEx!$O$7,0,(VLOOKUP($B53,Inputs!$F$3:$H$17,3,0)*((1+Inputs!$L$3)^Financials!BI$3)))</f>
        <v>6713.9568687989631</v>
      </c>
      <c r="BJ53" s="18">
        <f>IF(BJ$1&lt;CapEx!$O$7,0,(VLOOKUP($B53,Inputs!$F$3:$H$17,3,0)*((1+Inputs!$L$3)^Financials!BJ$3)))</f>
        <v>6725.1467969136284</v>
      </c>
      <c r="BK53" s="18">
        <f>IF(BK$1&lt;CapEx!$O$7,0,(VLOOKUP($B53,Inputs!$F$3:$H$17,3,0)*((1+Inputs!$L$3)^Financials!BK$3)))</f>
        <v>6736.3553749084858</v>
      </c>
      <c r="BL53" s="18">
        <f>IF(BL$1&lt;CapEx!$O$7,0,(VLOOKUP($B53,Inputs!$F$3:$H$17,3,0)*((1+Inputs!$L$3)^Financials!BL$3)))</f>
        <v>6747.5826338666666</v>
      </c>
      <c r="BM53" s="18">
        <f>IF(BM$1&lt;CapEx!$O$7,0,(VLOOKUP($B53,Inputs!$F$3:$H$17,3,0)*((1+Inputs!$L$3)^Financials!BM$3)))</f>
        <v>6758.8286049231119</v>
      </c>
      <c r="BN53" s="18">
        <f>IF(BN$1&lt;CapEx!$O$7,0,(VLOOKUP($B53,Inputs!$F$3:$H$17,3,0)*((1+Inputs!$L$3)^Financials!BN$3)))</f>
        <v>6770.0933192646517</v>
      </c>
      <c r="BO53" s="18">
        <f>IF(BO$1&lt;CapEx!$O$7,0,(VLOOKUP($B53,Inputs!$F$3:$H$17,3,0)*((1+Inputs!$L$3)^Financials!BO$3)))</f>
        <v>6781.3768081300923</v>
      </c>
      <c r="BP53" s="18">
        <f>IF(BP$1&lt;CapEx!$O$7,0,(VLOOKUP($B53,Inputs!$F$3:$H$17,3,0)*((1+Inputs!$L$3)^Financials!BP$3)))</f>
        <v>6792.6791028103089</v>
      </c>
      <c r="BQ53" s="18">
        <f>IF(BQ$1&lt;CapEx!$O$7,0,(VLOOKUP($B53,Inputs!$F$3:$H$17,3,0)*((1+Inputs!$L$3)^Financials!BQ$3)))</f>
        <v>6804.0002346483279</v>
      </c>
      <c r="BR53" s="18">
        <f>IF(BR$1&lt;CapEx!$O$7,0,(VLOOKUP($B53,Inputs!$F$3:$H$17,3,0)*((1+Inputs!$L$3)^Financials!BR$3)))</f>
        <v>6815.3402350394081</v>
      </c>
      <c r="BS53" s="18">
        <f>IF(BS$1&lt;CapEx!$O$7,0,(VLOOKUP($B53,Inputs!$F$3:$H$17,3,0)*((1+Inputs!$L$3)^Financials!BS$3)))</f>
        <v>6826.6991354311413</v>
      </c>
      <c r="BT53" s="18">
        <f>IF(BT$1&lt;CapEx!$O$7,0,(VLOOKUP($B53,Inputs!$F$3:$H$17,3,0)*((1+Inputs!$L$3)^Financials!BT$3)))</f>
        <v>6838.0769673235263</v>
      </c>
      <c r="BU53" s="18">
        <f>IF(BU$1&lt;CapEx!$O$7,0,(VLOOKUP($B53,Inputs!$F$3:$H$17,3,0)*((1+Inputs!$L$3)^Financials!BU$3)))</f>
        <v>6849.4737622690664</v>
      </c>
      <c r="BV53" s="18">
        <f>IF(BV$1&lt;CapEx!$O$7,0,(VLOOKUP($B53,Inputs!$F$3:$H$17,3,0)*((1+Inputs!$L$3)^Financials!BV$3)))</f>
        <v>6860.8895518728496</v>
      </c>
      <c r="BW53" s="18">
        <f>IF(BW$1&lt;CapEx!$O$7,0,(VLOOKUP($B53,Inputs!$F$3:$H$17,3,0)*((1+Inputs!$L$3)^Financials!BW$3)))</f>
        <v>6872.3243677926375</v>
      </c>
      <c r="BX53" s="18">
        <f>IF(BX$1&lt;CapEx!$O$7,0,(VLOOKUP($B53,Inputs!$F$3:$H$17,3,0)*((1+Inputs!$L$3)^Financials!BX$3)))</f>
        <v>6883.7782417389581</v>
      </c>
      <c r="BY53" s="18">
        <f>IF(BY$1&lt;CapEx!$O$7,0,(VLOOKUP($B53,Inputs!$F$3:$H$17,3,0)*((1+Inputs!$L$3)^Financials!BY$3)))</f>
        <v>6895.2512054751905</v>
      </c>
      <c r="BZ53" s="18">
        <f>IF(BZ$1&lt;CapEx!$O$7,0,(VLOOKUP($B53,Inputs!$F$3:$H$17,3,0)*((1+Inputs!$L$3)^Financials!BZ$3)))</f>
        <v>6906.7432908176488</v>
      </c>
      <c r="CA53" s="18">
        <f>IF(CA$1&lt;CapEx!$O$7,0,(VLOOKUP($B53,Inputs!$F$3:$H$17,3,0)*((1+Inputs!$L$3)^Financials!CA$3)))</f>
        <v>6918.2545296356802</v>
      </c>
      <c r="CB53" s="18">
        <f>IF(CB$1&lt;CapEx!$O$7,0,(VLOOKUP($B53,Inputs!$F$3:$H$17,3,0)*((1+Inputs!$L$3)^Financials!CB$3)))</f>
        <v>6929.7849538517394</v>
      </c>
      <c r="CC53" s="18">
        <f>IF(CC$1&lt;CapEx!$O$7,0,(VLOOKUP($B53,Inputs!$F$3:$H$17,3,0)*((1+Inputs!$L$3)^Financials!CC$3)))</f>
        <v>6941.3345954414935</v>
      </c>
      <c r="CD53" s="18">
        <f>IF(CD$1&lt;CapEx!$O$7,0,(VLOOKUP($B53,Inputs!$F$3:$H$17,3,0)*((1+Inputs!$L$3)^Financials!CD$3)))</f>
        <v>6952.9034864338964</v>
      </c>
      <c r="CE53" s="18">
        <f>IF(CE$1&lt;CapEx!$O$7,0,(VLOOKUP($B53,Inputs!$F$3:$H$17,3,0)*((1+Inputs!$L$3)^Financials!CE$3)))</f>
        <v>6964.4916589112872</v>
      </c>
      <c r="CF53" s="18">
        <f>IF(CF$1&lt;CapEx!$O$7,0,(VLOOKUP($B53,Inputs!$F$3:$H$17,3,0)*((1+Inputs!$L$3)^Financials!CF$3)))</f>
        <v>6976.0991450094716</v>
      </c>
      <c r="CG53" s="18">
        <f>IF(CG$1&lt;CapEx!$O$7,0,(VLOOKUP($B53,Inputs!$F$3:$H$17,3,0)*((1+Inputs!$L$3)^Financials!CG$3)))</f>
        <v>6987.7259769178218</v>
      </c>
      <c r="CH53" s="18">
        <f>IF(CH$1&lt;CapEx!$O$7,0,(VLOOKUP($B53,Inputs!$F$3:$H$17,3,0)*((1+Inputs!$L$3)^Financials!CH$3)))</f>
        <v>6999.3721868793518</v>
      </c>
      <c r="CI53" s="18">
        <f>IF(CI$1&lt;CapEx!$O$7,0,(VLOOKUP($B53,Inputs!$F$3:$H$17,3,0)*((1+Inputs!$L$3)^Financials!CI$3)))</f>
        <v>7011.0378071908171</v>
      </c>
      <c r="CJ53" s="18">
        <f>IF(CJ$1&lt;CapEx!$O$7,0,(VLOOKUP($B53,Inputs!$F$3:$H$17,3,0)*((1+Inputs!$L$3)^Financials!CJ$3)))</f>
        <v>7022.7228702028024</v>
      </c>
      <c r="CK53" s="18">
        <f>IF(CK$1&lt;CapEx!$O$7,0,(VLOOKUP($B53,Inputs!$F$3:$H$17,3,0)*((1+Inputs!$L$3)^Financials!CK$3)))</f>
        <v>7034.427408319807</v>
      </c>
      <c r="CL53" s="18">
        <f>IF(CL$1&lt;CapEx!$O$7,0,(VLOOKUP($B53,Inputs!$F$3:$H$17,3,0)*((1+Inputs!$L$3)^Financials!CL$3)))</f>
        <v>7046.1514540003418</v>
      </c>
      <c r="CM53" s="18">
        <f>IF(CM$1&lt;CapEx!$O$7,0,(VLOOKUP($B53,Inputs!$F$3:$H$17,3,0)*((1+Inputs!$L$3)^Financials!CM$3)))</f>
        <v>7057.8950397570088</v>
      </c>
      <c r="CN53" s="18">
        <f>IF(CN$1&lt;CapEx!$O$7,0,(VLOOKUP($B53,Inputs!$F$3:$H$17,3,0)*((1+Inputs!$L$3)^Financials!CN$3)))</f>
        <v>7069.6581981566042</v>
      </c>
      <c r="CO53" s="18">
        <f>IF(CO$1&lt;CapEx!$O$7,0,(VLOOKUP($B53,Inputs!$F$3:$H$17,3,0)*((1+Inputs!$L$3)^Financials!CO$3)))</f>
        <v>7081.4409618201998</v>
      </c>
      <c r="CP53" s="18">
        <f>IF(CP$1&lt;CapEx!$O$7,0,(VLOOKUP($B53,Inputs!$F$3:$H$17,3,0)*((1+Inputs!$L$3)^Financials!CP$3)))</f>
        <v>7093.2433634232339</v>
      </c>
      <c r="CQ53" s="18">
        <f>IF(CQ$1&lt;CapEx!$O$7,0,(VLOOKUP($B53,Inputs!$F$3:$H$17,3,0)*((1+Inputs!$L$3)^Financials!CQ$3)))</f>
        <v>7105.0654356956065</v>
      </c>
      <c r="CR53" s="18">
        <f>IF(CR$1&lt;CapEx!$O$7,0,(VLOOKUP($B53,Inputs!$F$3:$H$17,3,0)*((1+Inputs!$L$3)^Financials!CR$3)))</f>
        <v>7116.9072114217661</v>
      </c>
      <c r="CS53" s="18">
        <f>IF(CS$1&lt;CapEx!$O$7,0,(VLOOKUP($B53,Inputs!$F$3:$H$17,3,0)*((1+Inputs!$L$3)^Financials!CS$3)))</f>
        <v>7128.7687234408022</v>
      </c>
      <c r="CT53" s="18">
        <f>IF(CT$1&lt;CapEx!$O$7,0,(VLOOKUP($B53,Inputs!$F$3:$H$17,3,0)*((1+Inputs!$L$3)^Financials!CT$3)))</f>
        <v>7140.650004646538</v>
      </c>
      <c r="CU53" s="18">
        <f>IF(CU$1&lt;CapEx!$O$7,0,(VLOOKUP($B53,Inputs!$F$3:$H$17,3,0)*((1+Inputs!$L$3)^Financials!CU$3)))</f>
        <v>7152.5510879876156</v>
      </c>
      <c r="CV53" s="18">
        <f>IF(CV$1&lt;CapEx!$O$7,0,(VLOOKUP($B53,Inputs!$F$3:$H$17,3,0)*((1+Inputs!$L$3)^Financials!CV$3)))</f>
        <v>7164.4720064675957</v>
      </c>
      <c r="CW53" s="18">
        <f>IF(CW$1&lt;CapEx!$O$7,0,(VLOOKUP($B53,Inputs!$F$3:$H$17,3,0)*((1+Inputs!$L$3)^Financials!CW$3)))</f>
        <v>7176.412793145043</v>
      </c>
      <c r="CX53" s="18">
        <f>IF(CX$1&lt;CapEx!$O$7,0,(VLOOKUP($B53,Inputs!$F$3:$H$17,3,0)*((1+Inputs!$L$3)^Financials!CX$3)))</f>
        <v>7188.373481133618</v>
      </c>
      <c r="CY53" s="18">
        <f>IF(CY$1&lt;CapEx!$O$7,0,(VLOOKUP($B53,Inputs!$F$3:$H$17,3,0)*((1+Inputs!$L$3)^Financials!CY$3)))</f>
        <v>7200.3541036021761</v>
      </c>
      <c r="CZ53" s="18">
        <f>IF(CZ$1&lt;CapEx!$O$7,0,(VLOOKUP($B53,Inputs!$F$3:$H$17,3,0)*((1+Inputs!$L$3)^Financials!CZ$3)))</f>
        <v>7212.3546937748442</v>
      </c>
      <c r="DA53" s="18">
        <f>IF(DA$1&lt;CapEx!$O$7,0,(VLOOKUP($B53,Inputs!$F$3:$H$17,3,0)*((1+Inputs!$L$3)^Financials!DA$3)))</f>
        <v>7224.3752849311377</v>
      </c>
      <c r="DB53" s="18">
        <f>IF(DB$1&lt;CapEx!$O$7,0,(VLOOKUP($B53,Inputs!$F$3:$H$17,3,0)*((1+Inputs!$L$3)^Financials!DB$3)))</f>
        <v>7236.4159104060245</v>
      </c>
      <c r="DC53" s="18">
        <f>IF(DC$1&lt;CapEx!$O$7,0,(VLOOKUP($B53,Inputs!$F$3:$H$17,3,0)*((1+Inputs!$L$3)^Financials!DC$3)))</f>
        <v>7248.4766035900329</v>
      </c>
      <c r="DD53" s="18">
        <f>IF(DD$1&lt;CapEx!$O$7,0,(VLOOKUP($B53,Inputs!$F$3:$H$17,3,0)*((1+Inputs!$L$3)^Financials!DD$3)))</f>
        <v>7260.5573979293504</v>
      </c>
      <c r="DE53" s="18">
        <f>IF(DE$1&lt;CapEx!$O$7,0,(VLOOKUP($B53,Inputs!$F$3:$H$17,3,0)*((1+Inputs!$L$3)^Financials!DE$3)))</f>
        <v>7272.6583269258999</v>
      </c>
      <c r="DF53" s="18">
        <f>IF(DF$1&lt;CapEx!$O$7,0,(VLOOKUP($B53,Inputs!$F$3:$H$17,3,0)*((1+Inputs!$L$3)^Financials!DF$3)))</f>
        <v>7284.779424137444</v>
      </c>
      <c r="DG53" s="18">
        <f>IF(DG$1&lt;CapEx!$O$7,0,(VLOOKUP($B53,Inputs!$F$3:$H$17,3,0)*((1+Inputs!$L$3)^Financials!DG$3)))</f>
        <v>7296.9207231776745</v>
      </c>
      <c r="DH53" s="18">
        <f>IF(DH$1&lt;CapEx!$O$7,0,(VLOOKUP($B53,Inputs!$F$3:$H$17,3,0)*((1+Inputs!$L$3)^Financials!DH$3)))</f>
        <v>7309.0822577163026</v>
      </c>
      <c r="DI53" s="18">
        <f>IF(DI$1&lt;CapEx!$O$7,0,(VLOOKUP($B53,Inputs!$F$3:$H$17,3,0)*((1+Inputs!$L$3)^Financials!DI$3)))</f>
        <v>7321.2640614791644</v>
      </c>
      <c r="DJ53" s="18">
        <f>IF(DJ$1&lt;CapEx!$O$7,0,(VLOOKUP($B53,Inputs!$F$3:$H$17,3,0)*((1+Inputs!$L$3)^Financials!DJ$3)))</f>
        <v>7333.4661682482983</v>
      </c>
      <c r="DK53" s="18">
        <f>IF(DK$1&lt;CapEx!$O$7,0,(VLOOKUP($B53,Inputs!$F$3:$H$17,3,0)*((1+Inputs!$L$3)^Financials!DK$3)))</f>
        <v>7345.6886118620459</v>
      </c>
      <c r="DL53" s="18">
        <f>IF(DL$1&lt;CapEx!$O$7,0,(VLOOKUP($B53,Inputs!$F$3:$H$17,3,0)*((1+Inputs!$L$3)^Financials!DL$3)))</f>
        <v>7357.9314262151483</v>
      </c>
      <c r="DM53" s="18">
        <f>IF(DM$1&lt;CapEx!$O$7,0,(VLOOKUP($B53,Inputs!$F$3:$H$17,3,0)*((1+Inputs!$L$3)^Financials!DM$3)))</f>
        <v>7370.1946452588418</v>
      </c>
      <c r="DN53" s="18">
        <f>IF(DN$1&lt;CapEx!$O$7,0,(VLOOKUP($B53,Inputs!$F$3:$H$17,3,0)*((1+Inputs!$L$3)^Financials!DN$3)))</f>
        <v>7382.4783030009403</v>
      </c>
      <c r="DO53" s="18">
        <f>IF(DO$1&lt;CapEx!$O$7,0,(VLOOKUP($B53,Inputs!$F$3:$H$17,3,0)*((1+Inputs!$L$3)^Financials!DO$3)))</f>
        <v>7394.7824335059422</v>
      </c>
      <c r="DP53" s="18">
        <f>IF(DP$1&lt;CapEx!$O$7,0,(VLOOKUP($B53,Inputs!$F$3:$H$17,3,0)*((1+Inputs!$L$3)^Financials!DP$3)))</f>
        <v>7407.1070708951174</v>
      </c>
      <c r="DQ53" s="18">
        <f>IF(DQ$1&lt;CapEx!$O$7,0,(VLOOKUP($B53,Inputs!$F$3:$H$17,3,0)*((1+Inputs!$L$3)^Financials!DQ$3)))</f>
        <v>7419.4522493466111</v>
      </c>
      <c r="DR53" s="18">
        <f>IF(DR$1&lt;CapEx!$O$7,0,(VLOOKUP($B53,Inputs!$F$3:$H$17,3,0)*((1+Inputs!$L$3)^Financials!DR$3)))</f>
        <v>7431.8180030955236</v>
      </c>
      <c r="DS53" s="18">
        <f>IF(DS$1&lt;CapEx!$O$7,0,(VLOOKUP($B53,Inputs!$F$3:$H$17,3,0)*((1+Inputs!$L$3)^Financials!DS$3)))</f>
        <v>7444.2043664340154</v>
      </c>
      <c r="DT53" s="18">
        <f>IF(DT$1&lt;CapEx!$O$7,0,(VLOOKUP($B53,Inputs!$F$3:$H$17,3,0)*((1+Inputs!$L$3)^Financials!DT$3)))</f>
        <v>7456.6113737114056</v>
      </c>
      <c r="DU53" s="18">
        <f>IF(DU$1&lt;CapEx!$O$7,0,(VLOOKUP($B53,Inputs!$F$3:$H$17,3,0)*((1+Inputs!$L$3)^Financials!DU$3)))</f>
        <v>7469.039059334259</v>
      </c>
      <c r="DV53" s="18">
        <f>IF(DV$1&lt;CapEx!$O$7,0,(VLOOKUP($B53,Inputs!$F$3:$H$17,3,0)*((1+Inputs!$L$3)^Financials!DV$3)))</f>
        <v>7481.4874577664823</v>
      </c>
      <c r="DW53" s="18">
        <f>IF(DW$1&lt;CapEx!$O$7,0,(VLOOKUP($B53,Inputs!$F$3:$H$17,3,0)*((1+Inputs!$L$3)^Financials!DW$3)))</f>
        <v>7493.9566035294283</v>
      </c>
      <c r="DX53" s="18">
        <f>IF(DX$1&lt;CapEx!$O$7,0,(VLOOKUP($B53,Inputs!$F$3:$H$17,3,0)*((1+Inputs!$L$3)^Financials!DX$3)))</f>
        <v>7506.4465312019784</v>
      </c>
      <c r="DY53" s="18">
        <f>IF(DY$1&lt;CapEx!$O$7,0,(VLOOKUP($B53,Inputs!$F$3:$H$17,3,0)*((1+Inputs!$L$3)^Financials!DY$3)))</f>
        <v>7518.9572754206483</v>
      </c>
      <c r="DZ53" s="18">
        <f>IF(DZ$1&lt;CapEx!$O$7,0,(VLOOKUP($B53,Inputs!$F$3:$H$17,3,0)*((1+Inputs!$L$3)^Financials!DZ$3)))</f>
        <v>7531.4888708796834</v>
      </c>
      <c r="EA53" s="18">
        <f>IF(EA$1&lt;CapEx!$O$7,0,(VLOOKUP($B53,Inputs!$F$3:$H$17,3,0)*((1+Inputs!$L$3)^Financials!EA$3)))</f>
        <v>7544.0413523311499</v>
      </c>
      <c r="EB53" s="18">
        <f>IF(EB$1&lt;CapEx!$O$7,0,(VLOOKUP($B53,Inputs!$F$3:$H$17,3,0)*((1+Inputs!$L$3)^Financials!EB$3)))</f>
        <v>7556.6147545850354</v>
      </c>
      <c r="EC53" s="18">
        <f>IF(EC$1&lt;CapEx!$O$7,0,(VLOOKUP($B53,Inputs!$F$3:$H$17,3,0)*((1+Inputs!$L$3)^Financials!EC$3)))</f>
        <v>7569.2091125093457</v>
      </c>
      <c r="ED53" s="18">
        <f>IF(ED$1&lt;CapEx!$O$7,0,(VLOOKUP($B53,Inputs!$F$3:$H$17,3,0)*((1+Inputs!$L$3)^Financials!ED$3)))</f>
        <v>7581.8244610301945</v>
      </c>
      <c r="EE53" s="18">
        <f>IF(EE$1&lt;CapEx!$O$7,0,(VLOOKUP($B53,Inputs!$F$3:$H$17,3,0)*((1+Inputs!$L$3)^Financials!EE$3)))</f>
        <v>7594.4608351319121</v>
      </c>
      <c r="EF53" s="18">
        <f>IF(EF$1&lt;CapEx!$O$7,0,(VLOOKUP($B53,Inputs!$F$3:$H$17,3,0)*((1+Inputs!$L$3)^Financials!EF$3)))</f>
        <v>7607.1182698571311</v>
      </c>
      <c r="EG53" s="18">
        <f>IF(EG$1&lt;CapEx!$O$7,0,(VLOOKUP($B53,Inputs!$F$3:$H$17,3,0)*((1+Inputs!$L$3)^Financials!EG$3)))</f>
        <v>7619.7968003068936</v>
      </c>
      <c r="EH53" s="18">
        <f>IF(EH$1&lt;CapEx!$O$7,0,(VLOOKUP($B53,Inputs!$F$3:$H$17,3,0)*((1+Inputs!$L$3)^Financials!EH$3)))</f>
        <v>7632.4964616407406</v>
      </c>
      <c r="EI53" s="18">
        <f>IF(EI$1&lt;CapEx!$O$7,0,(VLOOKUP($B53,Inputs!$F$3:$H$17,3,0)*((1+Inputs!$L$3)^Financials!EI$3)))</f>
        <v>7645.2172890768079</v>
      </c>
      <c r="EJ53" s="18">
        <f>IF(EJ$1&lt;CapEx!$O$7,0,(VLOOKUP($B53,Inputs!$F$3:$H$17,3,0)*((1+Inputs!$L$3)^Financials!EJ$3)))</f>
        <v>7657.9593178919367</v>
      </c>
      <c r="EK53" s="18">
        <f>IF(EK$1&lt;CapEx!$O$7,0,(VLOOKUP($B53,Inputs!$F$3:$H$17,3,0)*((1+Inputs!$L$3)^Financials!EK$3)))</f>
        <v>7670.722583421757</v>
      </c>
      <c r="EL53" s="18">
        <f>IF(EL$1&lt;CapEx!$O$7,0,(VLOOKUP($B53,Inputs!$F$3:$H$17,3,0)*((1+Inputs!$L$3)^Financials!EL$3)))</f>
        <v>7683.5071210607921</v>
      </c>
      <c r="EM53" s="18">
        <f>IF(EM$1&lt;CapEx!$O$7,0,(VLOOKUP($B53,Inputs!$F$3:$H$17,3,0)*((1+Inputs!$L$3)^Financials!EM$3)))</f>
        <v>7696.3129662625624</v>
      </c>
      <c r="EN53" s="18">
        <f>IF(EN$1&lt;CapEx!$O$7,0,(VLOOKUP($B53,Inputs!$F$3:$H$17,3,0)*((1+Inputs!$L$3)^Financials!EN$3)))</f>
        <v>7709.1401545396666</v>
      </c>
      <c r="EO53" s="18">
        <f>IF(EO$1&lt;CapEx!$O$7,0,(VLOOKUP($B53,Inputs!$F$3:$H$17,3,0)*((1+Inputs!$L$3)^Financials!EO$3)))</f>
        <v>7721.988721463902</v>
      </c>
      <c r="EP53" s="18">
        <f>IF(EP$1&lt;CapEx!$O$7,0,(VLOOKUP($B53,Inputs!$F$3:$H$17,3,0)*((1+Inputs!$L$3)^Financials!EP$3)))</f>
        <v>7734.8587026663417</v>
      </c>
      <c r="EQ53" s="18">
        <f>IF(EQ$1&lt;CapEx!$O$7,0,(VLOOKUP($B53,Inputs!$F$3:$H$17,3,0)*((1+Inputs!$L$3)^Financials!EQ$3)))</f>
        <v>7747.7501338374523</v>
      </c>
      <c r="ER53" s="18">
        <f>IF(ER$1&lt;CapEx!$O$7,0,(VLOOKUP($B53,Inputs!$F$3:$H$17,3,0)*((1+Inputs!$L$3)^Financials!ER$3)))</f>
        <v>7760.6630507271821</v>
      </c>
      <c r="ES53" s="18">
        <f>IF(ES$1&lt;CapEx!$O$7,0,(VLOOKUP($B53,Inputs!$F$3:$H$17,3,0)*((1+Inputs!$L$3)^Financials!ES$3)))</f>
        <v>7773.5974891450605</v>
      </c>
      <c r="ET53" s="18">
        <f>IF(ET$1&lt;CapEx!$O$7,0,(VLOOKUP($B53,Inputs!$F$3:$H$17,3,0)*((1+Inputs!$L$3)^Financials!ET$3)))</f>
        <v>7786.5534849603036</v>
      </c>
      <c r="EU53" s="18">
        <f>IF(EU$1&lt;CapEx!$O$7,0,(VLOOKUP($B53,Inputs!$F$3:$H$17,3,0)*((1+Inputs!$L$3)^Financials!EU$3)))</f>
        <v>7799.5310741019039</v>
      </c>
      <c r="EV53" s="18">
        <f>IF(EV$1&lt;CapEx!$O$7,0,(VLOOKUP($B53,Inputs!$F$3:$H$17,3,0)*((1+Inputs!$L$3)^Financials!EV$3)))</f>
        <v>7812.5302925587403</v>
      </c>
      <c r="EW53" s="18">
        <f>IF(EW$1&lt;CapEx!$O$7,0,(VLOOKUP($B53,Inputs!$F$3:$H$17,3,0)*((1+Inputs!$L$3)^Financials!EW$3)))</f>
        <v>7825.5511763796721</v>
      </c>
      <c r="EX53" s="18">
        <f>IF(EX$1&lt;CapEx!$O$7,0,(VLOOKUP($B53,Inputs!$F$3:$H$17,3,0)*((1+Inputs!$L$3)^Financials!EX$3)))</f>
        <v>7838.5937616736401</v>
      </c>
      <c r="EY53" s="18">
        <f>IF(EY$1&lt;CapEx!$O$7,0,(VLOOKUP($B53,Inputs!$F$3:$H$17,3,0)*((1+Inputs!$L$3)^Financials!EY$3)))</f>
        <v>7851.6580846097622</v>
      </c>
      <c r="EZ53" s="18">
        <f>IF(EZ$1&lt;CapEx!$O$7,0,(VLOOKUP($B53,Inputs!$F$3:$H$17,3,0)*((1+Inputs!$L$3)^Financials!EZ$3)))</f>
        <v>7864.7441814174463</v>
      </c>
      <c r="FA53" s="18">
        <f>IF(FA$1&lt;CapEx!$O$7,0,(VLOOKUP($B53,Inputs!$F$3:$H$17,3,0)*((1+Inputs!$L$3)^Financials!FA$3)))</f>
        <v>7877.8520883864767</v>
      </c>
      <c r="FB53" s="18">
        <f>IF(FB$1&lt;CapEx!$O$7,0,(VLOOKUP($B53,Inputs!$F$3:$H$17,3,0)*((1+Inputs!$L$3)^Financials!FB$3)))</f>
        <v>7890.9818418671202</v>
      </c>
      <c r="FC53" s="18">
        <f>IF(FC$1&lt;CapEx!$O$7,0,(VLOOKUP($B53,Inputs!$F$3:$H$17,3,0)*((1+Inputs!$L$3)^Financials!FC$3)))</f>
        <v>7904.1334782702324</v>
      </c>
      <c r="FD53" s="18">
        <f>IF(FD$1&lt;CapEx!$O$7,0,(VLOOKUP($B53,Inputs!$F$3:$H$17,3,0)*((1+Inputs!$L$3)^Financials!FD$3)))</f>
        <v>7917.3070340673512</v>
      </c>
      <c r="FE53" s="18">
        <f>IF(FE$1&lt;CapEx!$O$7,0,(VLOOKUP($B53,Inputs!$F$3:$H$17,3,0)*((1+Inputs!$L$3)^Financials!FE$3)))</f>
        <v>7930.5025457907959</v>
      </c>
      <c r="FF53" s="18">
        <f>IF(FF$1&lt;CapEx!$O$7,0,(VLOOKUP($B53,Inputs!$F$3:$H$17,3,0)*((1+Inputs!$L$3)^Financials!FF$3)))</f>
        <v>7943.7200500337822</v>
      </c>
      <c r="FG53" s="18">
        <f>IF(FG$1&lt;CapEx!$O$7,0,(VLOOKUP($B53,Inputs!$F$3:$H$17,3,0)*((1+Inputs!$L$3)^Financials!FG$3)))</f>
        <v>7956.9595834505053</v>
      </c>
      <c r="FH53" s="18">
        <f>IF(FH$1&lt;CapEx!$O$7,0,(VLOOKUP($B53,Inputs!$F$3:$H$17,3,0)*((1+Inputs!$L$3)^Financials!FH$3)))</f>
        <v>7970.2211827562569</v>
      </c>
      <c r="FI53" s="18">
        <f>IF(FI$1&lt;CapEx!$O$7,0,(VLOOKUP($B53,Inputs!$F$3:$H$17,3,0)*((1+Inputs!$L$3)^Financials!FI$3)))</f>
        <v>7983.5048847275184</v>
      </c>
      <c r="FJ53" s="18">
        <f>IF(FJ$1&lt;CapEx!$O$7,0,(VLOOKUP($B53,Inputs!$F$3:$H$17,3,0)*((1+Inputs!$L$3)^Financials!FJ$3)))</f>
        <v>7996.810726202064</v>
      </c>
      <c r="FK53" s="18">
        <f>IF(FK$1&lt;CapEx!$O$7,0,(VLOOKUP($B53,Inputs!$F$3:$H$17,3,0)*((1+Inputs!$L$3)^Financials!FK$3)))</f>
        <v>8010.1387440790695</v>
      </c>
      <c r="FL53" s="18">
        <f>IF(FL$1&lt;CapEx!$O$7,0,(VLOOKUP($B53,Inputs!$F$3:$H$17,3,0)*((1+Inputs!$L$3)^Financials!FL$3)))</f>
        <v>8023.4889753192001</v>
      </c>
      <c r="FM53" s="18">
        <f>IF(FM$1&lt;CapEx!$O$7,0,(VLOOKUP($B53,Inputs!$F$3:$H$17,3,0)*((1+Inputs!$L$3)^Financials!FM$3)))</f>
        <v>8036.8614569447327</v>
      </c>
      <c r="FN53" s="18">
        <f>IF(FN$1&lt;CapEx!$O$7,0,(VLOOKUP($B53,Inputs!$F$3:$H$17,3,0)*((1+Inputs!$L$3)^Financials!FN$3)))</f>
        <v>8050.2562260396426</v>
      </c>
      <c r="FO53" s="18">
        <f>IF(FO$1&lt;CapEx!$O$7,0,(VLOOKUP($B53,Inputs!$F$3:$H$17,3,0)*((1+Inputs!$L$3)^Financials!FO$3)))</f>
        <v>8063.6733197497078</v>
      </c>
      <c r="FP53" s="18">
        <f>IF(FP$1&lt;CapEx!$O$7,0,(VLOOKUP($B53,Inputs!$F$3:$H$17,3,0)*((1+Inputs!$L$3)^Financials!FP$3)))</f>
        <v>8077.1127752826242</v>
      </c>
      <c r="FQ53" s="18">
        <f>IF(FQ$1&lt;CapEx!$O$7,0,(VLOOKUP($B53,Inputs!$F$3:$H$17,3,0)*((1+Inputs!$L$3)^Financials!FQ$3)))</f>
        <v>8090.5746299080965</v>
      </c>
      <c r="FR53" s="18">
        <f>IF(FR$1&lt;CapEx!$O$7,0,(VLOOKUP($B53,Inputs!$F$3:$H$17,3,0)*((1+Inputs!$L$3)^Financials!FR$3)))</f>
        <v>8104.058920957943</v>
      </c>
      <c r="FS53" s="18">
        <f>IF(FS$1&lt;CapEx!$O$7,0,(VLOOKUP($B53,Inputs!$F$3:$H$17,3,0)*((1+Inputs!$L$3)^Financials!FS$3)))</f>
        <v>8117.5656858262082</v>
      </c>
      <c r="FT53" s="18">
        <f>IF(FT$1&lt;CapEx!$O$7,0,(VLOOKUP($B53,Inputs!$F$3:$H$17,3,0)*((1+Inputs!$L$3)^Financials!FT$3)))</f>
        <v>8131.094961969251</v>
      </c>
      <c r="FU53" s="18">
        <f>IF(FU$1&lt;CapEx!$O$7,0,(VLOOKUP($B53,Inputs!$F$3:$H$17,3,0)*((1+Inputs!$L$3)^Financials!FU$3)))</f>
        <v>8144.6467869058679</v>
      </c>
      <c r="FV53" s="18">
        <f>IF(FV$1&lt;CapEx!$O$7,0,(VLOOKUP($B53,Inputs!$F$3:$H$17,3,0)*((1+Inputs!$L$3)^Financials!FV$3)))</f>
        <v>8158.2211982173785</v>
      </c>
      <c r="FW53" s="18">
        <f>IF(FW$1&lt;CapEx!$O$7,0,(VLOOKUP($B53,Inputs!$F$3:$H$17,3,0)*((1+Inputs!$L$3)^Financials!FW$3)))</f>
        <v>8171.8182335477422</v>
      </c>
      <c r="FX53" s="18">
        <f>IF(FX$1&lt;CapEx!$O$7,0,(VLOOKUP($B53,Inputs!$F$3:$H$17,3,0)*((1+Inputs!$L$3)^Financials!FX$3)))</f>
        <v>8185.4379306036544</v>
      </c>
      <c r="FY53" s="18">
        <f>IF(FY$1&lt;CapEx!$O$7,0,(VLOOKUP($B53,Inputs!$F$3:$H$17,3,0)*((1+Inputs!$L$3)^Financials!FY$3)))</f>
        <v>8199.0803271546611</v>
      </c>
      <c r="FZ53" s="18">
        <f>IF(FZ$1&lt;CapEx!$O$7,0,(VLOOKUP($B53,Inputs!$F$3:$H$17,3,0)*((1+Inputs!$L$3)^Financials!FZ$3)))</f>
        <v>8212.7454610332534</v>
      </c>
      <c r="GA53" s="18">
        <f>IF(GA$1&lt;CapEx!$O$7,0,(VLOOKUP($B53,Inputs!$F$3:$H$17,3,0)*((1+Inputs!$L$3)^Financials!GA$3)))</f>
        <v>8226.4333701349769</v>
      </c>
      <c r="GB53" s="18">
        <f>IF(GB$1&lt;CapEx!$O$7,0,(VLOOKUP($B53,Inputs!$F$3:$H$17,3,0)*((1+Inputs!$L$3)^Financials!GB$3)))</f>
        <v>8240.1440924185354</v>
      </c>
      <c r="GC53" s="18">
        <f>IF(GC$1&lt;CapEx!$O$7,0,(VLOOKUP($B53,Inputs!$F$3:$H$17,3,0)*((1+Inputs!$L$3)^Financials!GC$3)))</f>
        <v>8253.8776659059004</v>
      </c>
      <c r="GD53" s="18">
        <f>IF(GD$1&lt;CapEx!$O$7,0,(VLOOKUP($B53,Inputs!$F$3:$H$17,3,0)*((1+Inputs!$L$3)^Financials!GD$3)))</f>
        <v>8267.6341286824118</v>
      </c>
      <c r="GE53" s="18">
        <f>IF(GE$1&lt;CapEx!$O$7,0,(VLOOKUP($B53,Inputs!$F$3:$H$17,3,0)*((1+Inputs!$L$3)^Financials!GE$3)))</f>
        <v>8281.4135188968812</v>
      </c>
      <c r="GF53" s="18">
        <f>IF(GF$1&lt;CapEx!$O$7,0,(VLOOKUP($B53,Inputs!$F$3:$H$17,3,0)*((1+Inputs!$L$3)^Financials!GF$3)))</f>
        <v>8295.2158747617086</v>
      </c>
      <c r="GG53" s="18">
        <f>IF(GG$1&lt;CapEx!$O$7,0,(VLOOKUP($B53,Inputs!$F$3:$H$17,3,0)*((1+Inputs!$L$3)^Financials!GG$3)))</f>
        <v>8309.0412345529803</v>
      </c>
      <c r="GH53" s="18">
        <f>IF(GH$1&lt;CapEx!$O$7,0,(VLOOKUP($B53,Inputs!$F$3:$H$17,3,0)*((1+Inputs!$L$3)^Financials!GH$3)))</f>
        <v>8322.8896366105691</v>
      </c>
      <c r="GI53" s="18">
        <f>IF(GI$1&lt;CapEx!$O$7,0,(VLOOKUP($B53,Inputs!$F$3:$H$17,3,0)*((1+Inputs!$L$3)^Financials!GI$3)))</f>
        <v>8336.7611193382545</v>
      </c>
      <c r="GJ53" s="18">
        <f>IF(GJ$1&lt;CapEx!$O$7,0,(VLOOKUP($B53,Inputs!$F$3:$H$17,3,0)*((1+Inputs!$L$3)^Financials!GJ$3)))</f>
        <v>8350.6557212038169</v>
      </c>
      <c r="GK53" s="18">
        <f>IF(GK$1&lt;CapEx!$O$7,0,(VLOOKUP($B53,Inputs!$F$3:$H$17,3,0)*((1+Inputs!$L$3)^Financials!GK$3)))</f>
        <v>8364.5734807391582</v>
      </c>
      <c r="GL53" s="18">
        <f>IF(GL$1&lt;CapEx!$O$7,0,(VLOOKUP($B53,Inputs!$F$3:$H$17,3,0)*((1+Inputs!$L$3)^Financials!GL$3)))</f>
        <v>8378.5144365403921</v>
      </c>
      <c r="GM53" s="18">
        <f>IF(GM$1&lt;CapEx!$O$7,0,(VLOOKUP($B53,Inputs!$F$3:$H$17,3,0)*((1+Inputs!$L$3)^Financials!GM$3)))</f>
        <v>8392.4786272679594</v>
      </c>
      <c r="GN53" s="18">
        <f>IF(GN$1&lt;CapEx!$O$7,0,(VLOOKUP($B53,Inputs!$F$3:$H$17,3,0)*((1+Inputs!$L$3)^Financials!GN$3)))</f>
        <v>8406.4660916467383</v>
      </c>
      <c r="GO53" s="18">
        <f>IF(GO$1&lt;CapEx!$O$7,0,(VLOOKUP($B53,Inputs!$F$3:$H$17,3,0)*((1+Inputs!$L$3)^Financials!GO$3)))</f>
        <v>8420.4768684661522</v>
      </c>
      <c r="GP53" s="18">
        <f>IF(GP$1&lt;CapEx!$O$7,0,(VLOOKUP($B53,Inputs!$F$3:$H$17,3,0)*((1+Inputs!$L$3)^Financials!GP$3)))</f>
        <v>8434.5109965802621</v>
      </c>
      <c r="GQ53" s="18">
        <f>IF(GQ$1&lt;CapEx!$O$7,0,(VLOOKUP($B53,Inputs!$F$3:$H$17,3,0)*((1+Inputs!$L$3)^Financials!GQ$3)))</f>
        <v>8448.5685149078963</v>
      </c>
      <c r="GR53" s="18">
        <f>IF(GR$1&lt;CapEx!$O$7,0,(VLOOKUP($B53,Inputs!$F$3:$H$17,3,0)*((1+Inputs!$L$3)^Financials!GR$3)))</f>
        <v>8462.6494624327443</v>
      </c>
      <c r="GS53" s="18">
        <f>IF(GS$1&lt;CapEx!$O$7,0,(VLOOKUP($B53,Inputs!$F$3:$H$17,3,0)*((1+Inputs!$L$3)^Financials!GS$3)))</f>
        <v>8476.7538782034644</v>
      </c>
      <c r="GT53" s="18">
        <f>IF(GT$1&lt;CapEx!$O$7,0,(VLOOKUP($B53,Inputs!$F$3:$H$17,3,0)*((1+Inputs!$L$3)^Financials!GT$3)))</f>
        <v>8490.8818013338059</v>
      </c>
      <c r="GU53" s="18">
        <f>IF(GU$1&lt;CapEx!$O$7,0,(VLOOKUP($B53,Inputs!$F$3:$H$17,3,0)*((1+Inputs!$L$3)^Financials!GU$3)))</f>
        <v>8505.0332710026942</v>
      </c>
      <c r="GV53" s="18">
        <f>IF(GV$1&lt;CapEx!$O$7,0,(VLOOKUP($B53,Inputs!$F$3:$H$17,3,0)*((1+Inputs!$L$3)^Financials!GV$3)))</f>
        <v>8519.2083264543671</v>
      </c>
      <c r="GW53" s="18">
        <f>IF(GW$1&lt;CapEx!$O$7,0,(VLOOKUP($B53,Inputs!$F$3:$H$17,3,0)*((1+Inputs!$L$3)^Financials!GW$3)))</f>
        <v>8533.4070069984573</v>
      </c>
      <c r="GX53" s="18">
        <f>IF(GX$1&lt;CapEx!$O$7,0,(VLOOKUP($B53,Inputs!$F$3:$H$17,3,0)*((1+Inputs!$L$3)^Financials!GX$3)))</f>
        <v>8547.6293520101226</v>
      </c>
      <c r="GY53" s="18">
        <f>IF(GY$1&lt;CapEx!$O$7,0,(VLOOKUP($B53,Inputs!$F$3:$H$17,3,0)*((1+Inputs!$L$3)^Financials!GY$3)))</f>
        <v>8561.8754009301392</v>
      </c>
      <c r="GZ53" s="18">
        <f>IF(GZ$1&lt;CapEx!$O$7,0,(VLOOKUP($B53,Inputs!$F$3:$H$17,3,0)*((1+Inputs!$L$3)^Financials!GZ$3)))</f>
        <v>8576.1451932650234</v>
      </c>
      <c r="HA53" s="18">
        <f>IF(HA$1&lt;CapEx!$O$7,0,(VLOOKUP($B53,Inputs!$F$3:$H$17,3,0)*((1+Inputs!$L$3)^Financials!HA$3)))</f>
        <v>8590.4387685871352</v>
      </c>
      <c r="HB53" s="18">
        <f>IF(HB$1&lt;CapEx!$O$7,0,(VLOOKUP($B53,Inputs!$F$3:$H$17,3,0)*((1+Inputs!$L$3)^Financials!HB$3)))</f>
        <v>8604.7561665347803</v>
      </c>
      <c r="HC53" s="18">
        <f>IF(HC$1&lt;CapEx!$O$7,0,(VLOOKUP($B53,Inputs!$F$3:$H$17,3,0)*((1+Inputs!$L$3)^Financials!HC$3)))</f>
        <v>8619.0974268123391</v>
      </c>
      <c r="HD53" s="18">
        <f>IF(HD$1&lt;CapEx!$O$7,0,(VLOOKUP($B53,Inputs!$F$3:$H$17,3,0)*((1+Inputs!$L$3)^Financials!HD$3)))</f>
        <v>8633.4625891903597</v>
      </c>
      <c r="HE53" s="18">
        <f>IF(HE$1&lt;CapEx!$O$7,0,(VLOOKUP($B53,Inputs!$F$3:$H$17,3,0)*((1+Inputs!$L$3)^Financials!HE$3)))</f>
        <v>8647.8516935056778</v>
      </c>
      <c r="HF53" s="18">
        <f>IF(HF$1&lt;CapEx!$O$7,0,(VLOOKUP($B53,Inputs!$F$3:$H$17,3,0)*((1+Inputs!$L$3)^Financials!HF$3)))</f>
        <v>8662.2647796615202</v>
      </c>
      <c r="HG53" s="18">
        <f>IF(HG$1&lt;CapEx!$O$7,0,(VLOOKUP($B53,Inputs!$F$3:$H$17,3,0)*((1+Inputs!$L$3)^Financials!HG$3)))</f>
        <v>8676.7018876276215</v>
      </c>
      <c r="HH53" s="18">
        <f>IF(HH$1&lt;CapEx!$O$7,0,(VLOOKUP($B53,Inputs!$F$3:$H$17,3,0)*((1+Inputs!$L$3)^Financials!HH$3)))</f>
        <v>8691.1630574403353</v>
      </c>
      <c r="HI53" s="18">
        <f>IF(HI$1&lt;CapEx!$O$7,0,(VLOOKUP($B53,Inputs!$F$3:$H$17,3,0)*((1+Inputs!$L$3)^Financials!HI$3)))</f>
        <v>8705.6483292027369</v>
      </c>
      <c r="HJ53" s="18">
        <f>IF(HJ$1&lt;CapEx!$O$7,0,(VLOOKUP($B53,Inputs!$F$3:$H$17,3,0)*((1+Inputs!$L$3)^Financials!HJ$3)))</f>
        <v>8720.1577430847428</v>
      </c>
      <c r="HK53" s="18">
        <f>IF(HK$1&lt;CapEx!$O$7,0,(VLOOKUP($B53,Inputs!$F$3:$H$17,3,0)*((1+Inputs!$L$3)^Financials!HK$3)))</f>
        <v>8734.6913393232171</v>
      </c>
      <c r="HL53" s="18">
        <f>IF(HL$1&lt;CapEx!$O$7,0,(VLOOKUP($B53,Inputs!$F$3:$H$17,3,0)*((1+Inputs!$L$3)^Financials!HL$3)))</f>
        <v>8749.24915822209</v>
      </c>
      <c r="HM53" s="18">
        <f>IF(HM$1&lt;CapEx!$O$7,0,(VLOOKUP($B53,Inputs!$F$3:$H$17,3,0)*((1+Inputs!$L$3)^Financials!HM$3)))</f>
        <v>8763.8312401524618</v>
      </c>
      <c r="HN53" s="18">
        <f>IF(HN$1&lt;CapEx!$O$7,0,(VLOOKUP($B53,Inputs!$F$3:$H$17,3,0)*((1+Inputs!$L$3)^Financials!HN$3)))</f>
        <v>8778.437625552715</v>
      </c>
      <c r="HO53" s="18">
        <f>IF(HO$1&lt;CapEx!$O$7,0,(VLOOKUP($B53,Inputs!$F$3:$H$17,3,0)*((1+Inputs!$L$3)^Financials!HO$3)))</f>
        <v>8793.0683549286368</v>
      </c>
      <c r="HP53" s="18">
        <f>IF(HP$1&lt;CapEx!$O$7,0,(VLOOKUP($B53,Inputs!$F$3:$H$17,3,0)*((1+Inputs!$L$3)^Financials!HP$3)))</f>
        <v>8807.7234688535191</v>
      </c>
      <c r="HQ53" s="18">
        <f>IF(HQ$1&lt;CapEx!$O$7,0,(VLOOKUP($B53,Inputs!$F$3:$H$17,3,0)*((1+Inputs!$L$3)^Financials!HQ$3)))</f>
        <v>8822.4030079682743</v>
      </c>
      <c r="HR53" s="18">
        <f>IF(HR$1&lt;CapEx!$O$7,0,(VLOOKUP($B53,Inputs!$F$3:$H$17,3,0)*((1+Inputs!$L$3)^Financials!HR$3)))</f>
        <v>8837.107012981558</v>
      </c>
      <c r="HS53" s="18">
        <f>IF(HS$1&lt;CapEx!$O$7,0,(VLOOKUP($B53,Inputs!$F$3:$H$17,3,0)*((1+Inputs!$L$3)^Financials!HS$3)))</f>
        <v>8851.8355246698593</v>
      </c>
      <c r="HT53" s="18">
        <f>IF(HT$1&lt;CapEx!$O$7,0,(VLOOKUP($B53,Inputs!$F$3:$H$17,3,0)*((1+Inputs!$L$3)^Financials!HT$3)))</f>
        <v>8866.588583877643</v>
      </c>
      <c r="HU53" s="18">
        <f>IF(HU$1&lt;CapEx!$O$7,0,(VLOOKUP($B53,Inputs!$F$3:$H$17,3,0)*((1+Inputs!$L$3)^Financials!HU$3)))</f>
        <v>8881.3662315174406</v>
      </c>
      <c r="HV53" s="18">
        <f>IF(HV$1&lt;CapEx!$O$7,0,(VLOOKUP($B53,Inputs!$F$3:$H$17,3,0)*((1+Inputs!$L$3)^Financials!HV$3)))</f>
        <v>8896.1685085699719</v>
      </c>
      <c r="HW53" s="18">
        <f>IF(HW$1&lt;CapEx!$O$7,0,(VLOOKUP($B53,Inputs!$F$3:$H$17,3,0)*((1+Inputs!$L$3)^Financials!HW$3)))</f>
        <v>8910.9954560842561</v>
      </c>
      <c r="HX53" s="18">
        <f>IF(HX$1&lt;CapEx!$O$7,0,(VLOOKUP($B53,Inputs!$F$3:$H$17,3,0)*((1+Inputs!$L$3)^Financials!HX$3)))</f>
        <v>8925.8471151777285</v>
      </c>
      <c r="HY53" s="18">
        <f>IF(HY$1&lt;CapEx!$O$7,0,(VLOOKUP($B53,Inputs!$F$3:$H$17,3,0)*((1+Inputs!$L$3)^Financials!HY$3)))</f>
        <v>8940.7235270363599</v>
      </c>
      <c r="HZ53" s="18">
        <f>IF(HZ$1&lt;CapEx!$O$7,0,(VLOOKUP($B53,Inputs!$F$3:$H$17,3,0)*((1+Inputs!$L$3)^Financials!HZ$3)))</f>
        <v>8955.6247329147554</v>
      </c>
      <c r="IA53" s="18">
        <f>IF(IA$1&lt;CapEx!$O$7,0,(VLOOKUP($B53,Inputs!$F$3:$H$17,3,0)*((1+Inputs!$L$3)^Financials!IA$3)))</f>
        <v>8970.5507741362781</v>
      </c>
      <c r="IB53" s="18">
        <f>IF(IB$1&lt;CapEx!$O$7,0,(VLOOKUP($B53,Inputs!$F$3:$H$17,3,0)*((1+Inputs!$L$3)^Financials!IB$3)))</f>
        <v>8985.5016920931721</v>
      </c>
      <c r="IC53" s="18">
        <f>IF(IC$1&lt;CapEx!$O$7,0,(VLOOKUP($B53,Inputs!$F$3:$H$17,3,0)*((1+Inputs!$L$3)^Financials!IC$3)))</f>
        <v>9000.4775282466617</v>
      </c>
      <c r="ID53" s="18">
        <f>IF(ID$1&lt;CapEx!$O$7,0,(VLOOKUP($B53,Inputs!$F$3:$H$17,3,0)*((1+Inputs!$L$3)^Financials!ID$3)))</f>
        <v>9015.4783241270743</v>
      </c>
      <c r="IE53" s="18">
        <f>IF(IE$1&lt;CapEx!$O$7,0,(VLOOKUP($B53,Inputs!$F$3:$H$17,3,0)*((1+Inputs!$L$3)^Financials!IE$3)))</f>
        <v>9030.5041213339537</v>
      </c>
      <c r="IF53" s="18">
        <f>IF(IF$1&lt;CapEx!$O$7,0,(VLOOKUP($B53,Inputs!$F$3:$H$17,3,0)*((1+Inputs!$L$3)^Financials!IF$3)))</f>
        <v>9045.5549615361761</v>
      </c>
      <c r="IG53" s="18">
        <f>IF(IG$1&lt;CapEx!$O$7,0,(VLOOKUP($B53,Inputs!$F$3:$H$17,3,0)*((1+Inputs!$L$3)^Financials!IG$3)))</f>
        <v>9060.6308864720704</v>
      </c>
      <c r="IH53" s="18">
        <f>IF(IH$1&lt;CapEx!$O$7,0,(VLOOKUP($B53,Inputs!$F$3:$H$17,3,0)*((1+Inputs!$L$3)^Financials!IH$3)))</f>
        <v>9075.7319379495275</v>
      </c>
      <c r="II53" s="18">
        <f>IF(II$1&lt;CapEx!$O$7,0,(VLOOKUP($B53,Inputs!$F$3:$H$17,3,0)*((1+Inputs!$L$3)^Financials!II$3)))</f>
        <v>9090.8581578461108</v>
      </c>
      <c r="IJ53" s="18">
        <f>IF(IJ$1&lt;CapEx!$O$7,0,(VLOOKUP($B53,Inputs!$F$3:$H$17,3,0)*((1+Inputs!$L$3)^Financials!IJ$3)))</f>
        <v>9106.0095881091856</v>
      </c>
      <c r="IK53" s="18">
        <f>IF(IK$1&lt;CapEx!$O$7,0,(VLOOKUP($B53,Inputs!$F$3:$H$17,3,0)*((1+Inputs!$L$3)^Financials!IK$3)))</f>
        <v>9121.1862707560358</v>
      </c>
      <c r="IL53" s="18">
        <f>IF(IL$1&lt;CapEx!$O$7,0,(VLOOKUP($B53,Inputs!$F$3:$H$17,3,0)*((1+Inputs!$L$3)^Financials!IL$3)))</f>
        <v>9136.3882478739633</v>
      </c>
      <c r="IM53" s="18">
        <f>IF(IM$1&lt;CapEx!$O$7,0,(VLOOKUP($B53,Inputs!$F$3:$H$17,3,0)*((1+Inputs!$L$3)^Financials!IM$3)))</f>
        <v>9151.6155616204196</v>
      </c>
      <c r="IN53" s="18">
        <f>IF(IN$1&lt;CapEx!$O$7,0,(VLOOKUP($B53,Inputs!$F$3:$H$17,3,0)*((1+Inputs!$L$3)^Financials!IN$3)))</f>
        <v>9166.8682542231199</v>
      </c>
      <c r="IO53" s="18">
        <f>IF(IO$1&lt;CapEx!$O$7,0,(VLOOKUP($B53,Inputs!$F$3:$H$17,3,0)*((1+Inputs!$L$3)^Financials!IO$3)))</f>
        <v>9182.1463679801618</v>
      </c>
      <c r="IP53" s="18">
        <f>IF(IP$1&lt;CapEx!$O$7,0,(VLOOKUP($B53,Inputs!$F$3:$H$17,3,0)*((1+Inputs!$L$3)^Financials!IP$3)))</f>
        <v>9197.4499452601285</v>
      </c>
      <c r="IQ53" s="18">
        <f>IF(IQ$1&lt;CapEx!$O$7,0,(VLOOKUP($B53,Inputs!$F$3:$H$17,3,0)*((1+Inputs!$L$3)^Financials!IQ$3)))</f>
        <v>9212.7790285022274</v>
      </c>
      <c r="IR53" s="18">
        <f>IF(IR$1&lt;CapEx!$O$7,0,(VLOOKUP($B53,Inputs!$F$3:$H$17,3,0)*((1+Inputs!$L$3)^Financials!IR$3)))</f>
        <v>9228.1336602163974</v>
      </c>
      <c r="IS53" s="18">
        <f>IF(IS$1&lt;CapEx!$O$7,0,(VLOOKUP($B53,Inputs!$F$3:$H$17,3,0)*((1+Inputs!$L$3)^Financials!IS$3)))</f>
        <v>9243.5138829834268</v>
      </c>
      <c r="IT53" s="18">
        <f>IF(IT$1&lt;CapEx!$O$7,0,(VLOOKUP($B53,Inputs!$F$3:$H$17,3,0)*((1+Inputs!$L$3)^Financials!IT$3)))</f>
        <v>9258.9197394550647</v>
      </c>
      <c r="IU53" s="18">
        <f>IF(IU$1&lt;CapEx!$O$7,0,(VLOOKUP($B53,Inputs!$F$3:$H$17,3,0)*((1+Inputs!$L$3)^Financials!IU$3)))</f>
        <v>9274.3512723541608</v>
      </c>
      <c r="IV53" s="18">
        <f>IF(IV$1&lt;CapEx!$O$7,0,(VLOOKUP($B53,Inputs!$F$3:$H$17,3,0)*((1+Inputs!$L$3)^Financials!IV$3)))</f>
        <v>9289.8085244747508</v>
      </c>
      <c r="IW53" s="18">
        <f>IF(IW$1&lt;CapEx!$O$7,0,(VLOOKUP($B53,Inputs!$F$3:$H$17,3,0)*((1+Inputs!$L$3)^Financials!IW$3)))</f>
        <v>9305.2915386822096</v>
      </c>
      <c r="IX53" s="18">
        <f>IF(IX$1&lt;CapEx!$O$7,0,(VLOOKUP($B53,Inputs!$F$3:$H$17,3,0)*((1+Inputs!$L$3)^Financials!IX$3)))</f>
        <v>9320.8003579133474</v>
      </c>
      <c r="IY53" s="18">
        <f>IF(IY$1&lt;CapEx!$O$7,0,(VLOOKUP($B53,Inputs!$F$3:$H$17,3,0)*((1+Inputs!$L$3)^Financials!IY$3)))</f>
        <v>9336.3350251765369</v>
      </c>
      <c r="IZ53" s="18">
        <f>IF(IZ$1&lt;CapEx!$O$7,0,(VLOOKUP($B53,Inputs!$F$3:$H$17,3,0)*((1+Inputs!$L$3)^Financials!IZ$3)))</f>
        <v>9351.89558355183</v>
      </c>
      <c r="JA53" s="18">
        <f>IF(JA$1&lt;CapEx!$O$7,0,(VLOOKUP($B53,Inputs!$F$3:$H$17,3,0)*((1+Inputs!$L$3)^Financials!JA$3)))</f>
        <v>9367.4820761910851</v>
      </c>
      <c r="JB53" s="18">
        <f>IF(JB$1&lt;CapEx!$O$7,0,(VLOOKUP($B53,Inputs!$F$3:$H$17,3,0)*((1+Inputs!$L$3)^Financials!JB$3)))</f>
        <v>9383.0945463180724</v>
      </c>
      <c r="JC53" s="18">
        <f>IF(JC$1&lt;CapEx!$O$7,0,(VLOOKUP($B53,Inputs!$F$3:$H$17,3,0)*((1+Inputs!$L$3)^Financials!JC$3)))</f>
        <v>9398.7330372286033</v>
      </c>
      <c r="JD53" s="18">
        <f>IF(JD$1&lt;CapEx!$O$7,0,(VLOOKUP($B53,Inputs!$F$3:$H$17,3,0)*((1+Inputs!$L$3)^Financials!JD$3)))</f>
        <v>9414.3975922906484</v>
      </c>
      <c r="JE53" s="18">
        <f>IF(JE$1&lt;CapEx!$O$7,0,(VLOOKUP($B53,Inputs!$F$3:$H$17,3,0)*((1+Inputs!$L$3)^Financials!JE$3)))</f>
        <v>9430.0882549444668</v>
      </c>
      <c r="JF53" s="18">
        <f>IF(JF$1&lt;CapEx!$O$7,0,(VLOOKUP($B53,Inputs!$F$3:$H$17,3,0)*((1+Inputs!$L$3)^Financials!JF$3)))</f>
        <v>9445.8050687027098</v>
      </c>
      <c r="JG53" s="18">
        <f>IF(JG$1&lt;CapEx!$O$7,0,(VLOOKUP($B53,Inputs!$F$3:$H$17,3,0)*((1+Inputs!$L$3)^Financials!JG$3)))</f>
        <v>9461.5480771505481</v>
      </c>
      <c r="JH53" s="18">
        <f>IF(JH$1&lt;CapEx!$O$7,0,(VLOOKUP($B53,Inputs!$F$3:$H$17,3,0)*((1+Inputs!$L$3)^Financials!JH$3)))</f>
        <v>9477.3173239457992</v>
      </c>
      <c r="JI53" s="18">
        <f>IF(JI$1&lt;CapEx!$O$7,0,(VLOOKUP($B53,Inputs!$F$3:$H$17,3,0)*((1+Inputs!$L$3)^Financials!JI$3)))</f>
        <v>9493.1128528190438</v>
      </c>
      <c r="JJ53" s="18">
        <f>IF(JJ$1&lt;CapEx!$O$7,0,(VLOOKUP($B53,Inputs!$F$3:$H$17,3,0)*((1+Inputs!$L$3)^Financials!JJ$3)))</f>
        <v>9508.9347075737405</v>
      </c>
      <c r="JK53" s="18">
        <f>IF(JK$1&lt;CapEx!$O$7,0,(VLOOKUP($B53,Inputs!$F$3:$H$17,3,0)*((1+Inputs!$L$3)^Financials!JK$3)))</f>
        <v>9524.7829320863657</v>
      </c>
      <c r="JL53" s="18">
        <f>IF(JL$1&lt;CapEx!$O$7,0,(VLOOKUP($B53,Inputs!$F$3:$H$17,3,0)*((1+Inputs!$L$3)^Financials!JL$3)))</f>
        <v>9540.65757030651</v>
      </c>
      <c r="JM53" s="18">
        <f>IF(JM$1&lt;CapEx!$O$7,0,(VLOOKUP($B53,Inputs!$F$3:$H$17,3,0)*((1+Inputs!$L$3)^Financials!JM$3)))</f>
        <v>9556.5586662570222</v>
      </c>
      <c r="JN53" s="18">
        <f>IF(JN$1&lt;CapEx!$O$7,0,(VLOOKUP($B53,Inputs!$F$3:$H$17,3,0)*((1+Inputs!$L$3)^Financials!JN$3)))</f>
        <v>9572.4862640341198</v>
      </c>
      <c r="JO53" s="18">
        <f>IF(JO$1&lt;CapEx!$O$7,0,(VLOOKUP($B53,Inputs!$F$3:$H$17,3,0)*((1+Inputs!$L$3)^Financials!JO$3)))</f>
        <v>9588.4404078075095</v>
      </c>
      <c r="JP53" s="18">
        <f>IF(JP$1&lt;CapEx!$O$7,0,(VLOOKUP($B53,Inputs!$F$3:$H$17,3,0)*((1+Inputs!$L$3)^Financials!JP$3)))</f>
        <v>9604.4211418205232</v>
      </c>
      <c r="JQ53" s="18">
        <f>IF(JQ$1&lt;CapEx!$O$7,0,(VLOOKUP($B53,Inputs!$F$3:$H$17,3,0)*((1+Inputs!$L$3)^Financials!JQ$3)))</f>
        <v>9620.4285103902239</v>
      </c>
      <c r="JR53" s="18">
        <f>IF(JR$1&lt;CapEx!$O$7,0,(VLOOKUP($B53,Inputs!$F$3:$H$17,3,0)*((1+Inputs!$L$3)^Financials!JR$3)))</f>
        <v>9636.4625579075418</v>
      </c>
    </row>
    <row r="54" spans="2:278" x14ac:dyDescent="0.2">
      <c r="B54" s="21" t="str">
        <f>'Data Sources'!A101</f>
        <v>Property Taxes</v>
      </c>
      <c r="C54" s="18">
        <f>IF(C$1&lt;CapEx!$O$7,0,(VLOOKUP($B54,Inputs!$F$3:$H$17,3,0)*((1+Inputs!$L$12)^Financials!C$3)))</f>
        <v>0</v>
      </c>
      <c r="D54" s="18">
        <f>IF(D$1&lt;CapEx!$O$7,0,(VLOOKUP($B54,Inputs!$F$3:$H$17,3,0)*((1+Inputs!$L$3)^Financials!D$3)))</f>
        <v>0</v>
      </c>
      <c r="E54" s="18">
        <f>IF(E$1&lt;CapEx!$O$7,0,(VLOOKUP($B54,Inputs!$F$3:$H$17,3,0)*((1+Inputs!$L$3)^Financials!E$3)))</f>
        <v>0</v>
      </c>
      <c r="F54" s="18">
        <f>IF(F$1&lt;CapEx!$O$7,0,(VLOOKUP($B54,Inputs!$F$3:$H$17,3,0)*((1+Inputs!$L$3)^Financials!F$3)))</f>
        <v>0</v>
      </c>
      <c r="G54" s="18">
        <f>IF(G$1&lt;CapEx!$O$7,0,(VLOOKUP($B54,Inputs!$F$3:$H$17,3,0)*((1+Inputs!$L$3)^Financials!G$3)))</f>
        <v>0</v>
      </c>
      <c r="H54" s="18">
        <f>IF(H$1&lt;CapEx!$O$7,0,(VLOOKUP($B54,Inputs!$F$3:$H$17,3,0)*((1+Inputs!$L$3)^Financials!H$3)))</f>
        <v>0</v>
      </c>
      <c r="I54" s="18">
        <f>IF(I$1&lt;CapEx!$O$7,0,(VLOOKUP($B54,Inputs!$F$3:$H$17,3,0)*((1+Inputs!$L$3)^Financials!I$3)))</f>
        <v>0</v>
      </c>
      <c r="J54" s="18">
        <f>IF(J$1&lt;CapEx!$O$7,0,(VLOOKUP($B54,Inputs!$F$3:$H$17,3,0)*((1+Inputs!$L$3)^Financials!J$3)))</f>
        <v>0</v>
      </c>
      <c r="K54" s="18">
        <f>IF(K$1&lt;CapEx!$O$7,0,(VLOOKUP($B54,Inputs!$F$3:$H$17,3,0)*((1+Inputs!$L$3)^Financials!K$3)))</f>
        <v>0</v>
      </c>
      <c r="L54" s="18">
        <f>IF(L$1&lt;CapEx!$O$7,0,(VLOOKUP($B54,Inputs!$F$3:$H$17,3,0)*((1+Inputs!$L$3)^Financials!L$3)))</f>
        <v>0</v>
      </c>
      <c r="M54" s="18">
        <f>IF(M$1&lt;CapEx!$O$7,0,(VLOOKUP($B54,Inputs!$F$3:$H$17,3,0)*((1+Inputs!$L$3)^Financials!M$3)))</f>
        <v>0</v>
      </c>
      <c r="N54" s="18">
        <f>IF(N$1&lt;CapEx!$O$7,0,(VLOOKUP($B54,Inputs!$F$3:$H$17,3,0)*((1+Inputs!$L$3)^Financials!N$3)))</f>
        <v>0</v>
      </c>
      <c r="O54" s="18">
        <f>IF(O$1&lt;CapEx!$O$7,0,(VLOOKUP($B54,Inputs!$F$3:$H$17,3,0)*((1+Inputs!$L$3)^Financials!O$3)))</f>
        <v>0</v>
      </c>
      <c r="P54" s="18">
        <f>IF(P$1&lt;CapEx!$O$7,0,(VLOOKUP($B54,Inputs!$F$3:$H$17,3,0)*((1+Inputs!$L$3)^Financials!P$3)))</f>
        <v>0</v>
      </c>
      <c r="Q54" s="18">
        <f>IF(Q$1&lt;CapEx!$O$7,0,(VLOOKUP($B54,Inputs!$F$3:$H$17,3,0)*((1+Inputs!$L$3)^Financials!Q$3)))</f>
        <v>0</v>
      </c>
      <c r="R54" s="18">
        <f>IF(R$1&lt;CapEx!$O$7,0,(VLOOKUP($B54,Inputs!$F$3:$H$17,3,0)*((1+Inputs!$L$3)^Financials!R$3)))</f>
        <v>7083.333333333333</v>
      </c>
      <c r="S54" s="18">
        <f>IF(S$1&lt;CapEx!$O$7,0,(VLOOKUP($B54,Inputs!$F$3:$H$17,3,0)*((1+Inputs!$L$3)^Financials!S$3)))</f>
        <v>7095.1388888888887</v>
      </c>
      <c r="T54" s="18">
        <f>IF(T$1&lt;CapEx!$O$7,0,(VLOOKUP($B54,Inputs!$F$3:$H$17,3,0)*((1+Inputs!$L$3)^Financials!T$3)))</f>
        <v>7106.9641203703704</v>
      </c>
      <c r="U54" s="18">
        <f>IF(U$1&lt;CapEx!$O$7,0,(VLOOKUP($B54,Inputs!$F$3:$H$17,3,0)*((1+Inputs!$L$3)^Financials!U$3)))</f>
        <v>7118.8090605709885</v>
      </c>
      <c r="V54" s="18">
        <f>IF(V$1&lt;CapEx!$O$7,0,(VLOOKUP($B54,Inputs!$F$3:$H$17,3,0)*((1+Inputs!$L$3)^Financials!V$3)))</f>
        <v>7130.6737423386076</v>
      </c>
      <c r="W54" s="18">
        <f>IF(W$1&lt;CapEx!$O$7,0,(VLOOKUP($B54,Inputs!$F$3:$H$17,3,0)*((1+Inputs!$L$3)^Financials!W$3)))</f>
        <v>7142.5581985758381</v>
      </c>
      <c r="X54" s="18">
        <f>IF(X$1&lt;CapEx!$O$7,0,(VLOOKUP($B54,Inputs!$F$3:$H$17,3,0)*((1+Inputs!$L$3)^Financials!X$3)))</f>
        <v>7154.4624622401316</v>
      </c>
      <c r="Y54" s="18">
        <f>IF(Y$1&lt;CapEx!$O$7,0,(VLOOKUP($B54,Inputs!$F$3:$H$17,3,0)*((1+Inputs!$L$3)^Financials!Y$3)))</f>
        <v>7166.3865663438655</v>
      </c>
      <c r="Z54" s="18">
        <f>IF(Z$1&lt;CapEx!$O$7,0,(VLOOKUP($B54,Inputs!$F$3:$H$17,3,0)*((1+Inputs!$L$3)^Financials!Z$3)))</f>
        <v>7178.3305439544401</v>
      </c>
      <c r="AA54" s="18">
        <f>IF(AA$1&lt;CapEx!$O$7,0,(VLOOKUP($B54,Inputs!$F$3:$H$17,3,0)*((1+Inputs!$L$3)^Financials!AA$3)))</f>
        <v>7190.2944281943637</v>
      </c>
      <c r="AB54" s="18">
        <f>IF(AB$1&lt;CapEx!$O$7,0,(VLOOKUP($B54,Inputs!$F$3:$H$17,3,0)*((1+Inputs!$L$3)^Financials!AB$3)))</f>
        <v>7202.2782522413554</v>
      </c>
      <c r="AC54" s="18">
        <f>IF(AC$1&lt;CapEx!$O$7,0,(VLOOKUP($B54,Inputs!$F$3:$H$17,3,0)*((1+Inputs!$L$3)^Financials!AC$3)))</f>
        <v>7214.2820493284244</v>
      </c>
      <c r="AD54" s="18">
        <f>IF(AD$1&lt;CapEx!$O$7,0,(VLOOKUP($B54,Inputs!$F$3:$H$17,3,0)*((1+Inputs!$L$3)^Financials!AD$3)))</f>
        <v>7226.3058527439725</v>
      </c>
      <c r="AE54" s="18">
        <f>IF(AE$1&lt;CapEx!$O$7,0,(VLOOKUP($B54,Inputs!$F$3:$H$17,3,0)*((1+Inputs!$L$3)^Financials!AE$3)))</f>
        <v>7238.3496958318792</v>
      </c>
      <c r="AF54" s="18">
        <f>IF(AF$1&lt;CapEx!$O$7,0,(VLOOKUP($B54,Inputs!$F$3:$H$17,3,0)*((1+Inputs!$L$3)^Financials!AF$3)))</f>
        <v>7250.4136119916002</v>
      </c>
      <c r="AG54" s="18">
        <f>IF(AG$1&lt;CapEx!$O$7,0,(VLOOKUP($B54,Inputs!$F$3:$H$17,3,0)*((1+Inputs!$L$3)^Financials!AG$3)))</f>
        <v>7262.4976346782532</v>
      </c>
      <c r="AH54" s="18">
        <f>IF(AH$1&lt;CapEx!$O$7,0,(VLOOKUP($B54,Inputs!$F$3:$H$17,3,0)*((1+Inputs!$L$3)^Financials!AH$3)))</f>
        <v>7274.6017974027181</v>
      </c>
      <c r="AI54" s="18">
        <f>IF(AI$1&lt;CapEx!$O$7,0,(VLOOKUP($B54,Inputs!$F$3:$H$17,3,0)*((1+Inputs!$L$3)^Financials!AI$3)))</f>
        <v>7286.7261337317223</v>
      </c>
      <c r="AJ54" s="18">
        <f>IF(AJ$1&lt;CapEx!$O$7,0,(VLOOKUP($B54,Inputs!$F$3:$H$17,3,0)*((1+Inputs!$L$3)^Financials!AJ$3)))</f>
        <v>7298.8706772879423</v>
      </c>
      <c r="AK54" s="18">
        <f>IF(AK$1&lt;CapEx!$O$7,0,(VLOOKUP($B54,Inputs!$F$3:$H$17,3,0)*((1+Inputs!$L$3)^Financials!AK$3)))</f>
        <v>7311.0354617500907</v>
      </c>
      <c r="AL54" s="18">
        <f>IF(AL$1&lt;CapEx!$O$7,0,(VLOOKUP($B54,Inputs!$F$3:$H$17,3,0)*((1+Inputs!$L$3)^Financials!AL$3)))</f>
        <v>7323.2205208530067</v>
      </c>
      <c r="AM54" s="18">
        <f>IF(AM$1&lt;CapEx!$O$7,0,(VLOOKUP($B54,Inputs!$F$3:$H$17,3,0)*((1+Inputs!$L$3)^Financials!AM$3)))</f>
        <v>7335.4258883877628</v>
      </c>
      <c r="AN54" s="18">
        <f>IF(AN$1&lt;CapEx!$O$7,0,(VLOOKUP($B54,Inputs!$F$3:$H$17,3,0)*((1+Inputs!$L$3)^Financials!AN$3)))</f>
        <v>7347.6515982017418</v>
      </c>
      <c r="AO54" s="18">
        <f>IF(AO$1&lt;CapEx!$O$7,0,(VLOOKUP($B54,Inputs!$F$3:$H$17,3,0)*((1+Inputs!$L$3)^Financials!AO$3)))</f>
        <v>7359.897684198746</v>
      </c>
      <c r="AP54" s="18">
        <f>IF(AP$1&lt;CapEx!$O$7,0,(VLOOKUP($B54,Inputs!$F$3:$H$17,3,0)*((1+Inputs!$L$3)^Financials!AP$3)))</f>
        <v>7372.1641803390794</v>
      </c>
      <c r="AQ54" s="18">
        <f>IF(AQ$1&lt;CapEx!$O$7,0,(VLOOKUP($B54,Inputs!$F$3:$H$17,3,0)*((1+Inputs!$L$3)^Financials!AQ$3)))</f>
        <v>7384.4511206396428</v>
      </c>
      <c r="AR54" s="18">
        <f>IF(AR$1&lt;CapEx!$O$7,0,(VLOOKUP($B54,Inputs!$F$3:$H$17,3,0)*((1+Inputs!$L$3)^Financials!AR$3)))</f>
        <v>7396.7585391740431</v>
      </c>
      <c r="AS54" s="18">
        <f>IF(AS$1&lt;CapEx!$O$7,0,(VLOOKUP($B54,Inputs!$F$3:$H$17,3,0)*((1+Inputs!$L$3)^Financials!AS$3)))</f>
        <v>7409.086470072667</v>
      </c>
      <c r="AT54" s="18">
        <f>IF(AT$1&lt;CapEx!$O$7,0,(VLOOKUP($B54,Inputs!$F$3:$H$17,3,0)*((1+Inputs!$L$3)^Financials!AT$3)))</f>
        <v>7421.4349475227882</v>
      </c>
      <c r="AU54" s="18">
        <f>IF(AU$1&lt;CapEx!$O$7,0,(VLOOKUP($B54,Inputs!$F$3:$H$17,3,0)*((1+Inputs!$L$3)^Financials!AU$3)))</f>
        <v>7433.8040057686612</v>
      </c>
      <c r="AV54" s="18">
        <f>IF(AV$1&lt;CapEx!$O$7,0,(VLOOKUP($B54,Inputs!$F$3:$H$17,3,0)*((1+Inputs!$L$3)^Financials!AV$3)))</f>
        <v>7446.1936791116086</v>
      </c>
      <c r="AW54" s="18">
        <f>IF(AW$1&lt;CapEx!$O$7,0,(VLOOKUP($B54,Inputs!$F$3:$H$17,3,0)*((1+Inputs!$L$3)^Financials!AW$3)))</f>
        <v>7458.6040019101292</v>
      </c>
      <c r="AX54" s="18">
        <f>IF(AX$1&lt;CapEx!$O$7,0,(VLOOKUP($B54,Inputs!$F$3:$H$17,3,0)*((1+Inputs!$L$3)^Financials!AX$3)))</f>
        <v>7471.0350085799801</v>
      </c>
      <c r="AY54" s="18">
        <f>IF(AY$1&lt;CapEx!$O$7,0,(VLOOKUP($B54,Inputs!$F$3:$H$17,3,0)*((1+Inputs!$L$3)^Financials!AY$3)))</f>
        <v>7483.4867335942808</v>
      </c>
      <c r="AZ54" s="18">
        <f>IF(AZ$1&lt;CapEx!$O$7,0,(VLOOKUP($B54,Inputs!$F$3:$H$17,3,0)*((1+Inputs!$L$3)^Financials!AZ$3)))</f>
        <v>7495.9592114836041</v>
      </c>
      <c r="BA54" s="18">
        <f>IF(BA$1&lt;CapEx!$O$7,0,(VLOOKUP($B54,Inputs!$F$3:$H$17,3,0)*((1+Inputs!$L$3)^Financials!BA$3)))</f>
        <v>7508.4524768360779</v>
      </c>
      <c r="BB54" s="18">
        <f>IF(BB$1&lt;CapEx!$O$7,0,(VLOOKUP($B54,Inputs!$F$3:$H$17,3,0)*((1+Inputs!$L$3)^Financials!BB$3)))</f>
        <v>7520.9665642974715</v>
      </c>
      <c r="BC54" s="18">
        <f>IF(BC$1&lt;CapEx!$O$7,0,(VLOOKUP($B54,Inputs!$F$3:$H$17,3,0)*((1+Inputs!$L$3)^Financials!BC$3)))</f>
        <v>7533.5015085713012</v>
      </c>
      <c r="BD54" s="18">
        <f>IF(BD$1&lt;CapEx!$O$7,0,(VLOOKUP($B54,Inputs!$F$3:$H$17,3,0)*((1+Inputs!$L$3)^Financials!BD$3)))</f>
        <v>7546.0573444189195</v>
      </c>
      <c r="BE54" s="18">
        <f>IF(BE$1&lt;CapEx!$O$7,0,(VLOOKUP($B54,Inputs!$F$3:$H$17,3,0)*((1+Inputs!$L$3)^Financials!BE$3)))</f>
        <v>7558.6341066596196</v>
      </c>
      <c r="BF54" s="18">
        <f>IF(BF$1&lt;CapEx!$O$7,0,(VLOOKUP($B54,Inputs!$F$3:$H$17,3,0)*((1+Inputs!$L$3)^Financials!BF$3)))</f>
        <v>7571.231830170721</v>
      </c>
      <c r="BG54" s="18">
        <f>IF(BG$1&lt;CapEx!$O$7,0,(VLOOKUP($B54,Inputs!$F$3:$H$17,3,0)*((1+Inputs!$L$3)^Financials!BG$3)))</f>
        <v>7583.8505498876702</v>
      </c>
      <c r="BH54" s="18">
        <f>IF(BH$1&lt;CapEx!$O$7,0,(VLOOKUP($B54,Inputs!$F$3:$H$17,3,0)*((1+Inputs!$L$3)^Financials!BH$3)))</f>
        <v>7596.4903008041501</v>
      </c>
      <c r="BI54" s="18">
        <f>IF(BI$1&lt;CapEx!$O$7,0,(VLOOKUP($B54,Inputs!$F$3:$H$17,3,0)*((1+Inputs!$L$3)^Financials!BI$3)))</f>
        <v>7609.1511179721583</v>
      </c>
      <c r="BJ54" s="18">
        <f>IF(BJ$1&lt;CapEx!$O$7,0,(VLOOKUP($B54,Inputs!$F$3:$H$17,3,0)*((1+Inputs!$L$3)^Financials!BJ$3)))</f>
        <v>7621.8330365021111</v>
      </c>
      <c r="BK54" s="18">
        <f>IF(BK$1&lt;CapEx!$O$7,0,(VLOOKUP($B54,Inputs!$F$3:$H$17,3,0)*((1+Inputs!$L$3)^Financials!BK$3)))</f>
        <v>7634.5360915629499</v>
      </c>
      <c r="BL54" s="18">
        <f>IF(BL$1&lt;CapEx!$O$7,0,(VLOOKUP($B54,Inputs!$F$3:$H$17,3,0)*((1+Inputs!$L$3)^Financials!BL$3)))</f>
        <v>7647.2603183822221</v>
      </c>
      <c r="BM54" s="18">
        <f>IF(BM$1&lt;CapEx!$O$7,0,(VLOOKUP($B54,Inputs!$F$3:$H$17,3,0)*((1+Inputs!$L$3)^Financials!BM$3)))</f>
        <v>7660.005752246193</v>
      </c>
      <c r="BN54" s="18">
        <f>IF(BN$1&lt;CapEx!$O$7,0,(VLOOKUP($B54,Inputs!$F$3:$H$17,3,0)*((1+Inputs!$L$3)^Financials!BN$3)))</f>
        <v>7672.7724284999376</v>
      </c>
      <c r="BO54" s="18">
        <f>IF(BO$1&lt;CapEx!$O$7,0,(VLOOKUP($B54,Inputs!$F$3:$H$17,3,0)*((1+Inputs!$L$3)^Financials!BO$3)))</f>
        <v>7685.5603825474373</v>
      </c>
      <c r="BP54" s="18">
        <f>IF(BP$1&lt;CapEx!$O$7,0,(VLOOKUP($B54,Inputs!$F$3:$H$17,3,0)*((1+Inputs!$L$3)^Financials!BP$3)))</f>
        <v>7698.3696498516829</v>
      </c>
      <c r="BQ54" s="18">
        <f>IF(BQ$1&lt;CapEx!$O$7,0,(VLOOKUP($B54,Inputs!$F$3:$H$17,3,0)*((1+Inputs!$L$3)^Financials!BQ$3)))</f>
        <v>7711.2002659347709</v>
      </c>
      <c r="BR54" s="18">
        <f>IF(BR$1&lt;CapEx!$O$7,0,(VLOOKUP($B54,Inputs!$F$3:$H$17,3,0)*((1+Inputs!$L$3)^Financials!BR$3)))</f>
        <v>7724.0522663779948</v>
      </c>
      <c r="BS54" s="18">
        <f>IF(BS$1&lt;CapEx!$O$7,0,(VLOOKUP($B54,Inputs!$F$3:$H$17,3,0)*((1+Inputs!$L$3)^Financials!BS$3)))</f>
        <v>7736.92568682196</v>
      </c>
      <c r="BT54" s="18">
        <f>IF(BT$1&lt;CapEx!$O$7,0,(VLOOKUP($B54,Inputs!$F$3:$H$17,3,0)*((1+Inputs!$L$3)^Financials!BT$3)))</f>
        <v>7749.8205629666636</v>
      </c>
      <c r="BU54" s="18">
        <f>IF(BU$1&lt;CapEx!$O$7,0,(VLOOKUP($B54,Inputs!$F$3:$H$17,3,0)*((1+Inputs!$L$3)^Financials!BU$3)))</f>
        <v>7762.7369305716084</v>
      </c>
      <c r="BV54" s="18">
        <f>IF(BV$1&lt;CapEx!$O$7,0,(VLOOKUP($B54,Inputs!$F$3:$H$17,3,0)*((1+Inputs!$L$3)^Financials!BV$3)))</f>
        <v>7775.6748254558952</v>
      </c>
      <c r="BW54" s="18">
        <f>IF(BW$1&lt;CapEx!$O$7,0,(VLOOKUP($B54,Inputs!$F$3:$H$17,3,0)*((1+Inputs!$L$3)^Financials!BW$3)))</f>
        <v>7788.6342834983216</v>
      </c>
      <c r="BX54" s="18">
        <f>IF(BX$1&lt;CapEx!$O$7,0,(VLOOKUP($B54,Inputs!$F$3:$H$17,3,0)*((1+Inputs!$L$3)^Financials!BX$3)))</f>
        <v>7801.6153406374851</v>
      </c>
      <c r="BY54" s="18">
        <f>IF(BY$1&lt;CapEx!$O$7,0,(VLOOKUP($B54,Inputs!$F$3:$H$17,3,0)*((1+Inputs!$L$3)^Financials!BY$3)))</f>
        <v>7814.618032871882</v>
      </c>
      <c r="BZ54" s="18">
        <f>IF(BZ$1&lt;CapEx!$O$7,0,(VLOOKUP($B54,Inputs!$F$3:$H$17,3,0)*((1+Inputs!$L$3)^Financials!BZ$3)))</f>
        <v>7827.642396260002</v>
      </c>
      <c r="CA54" s="18">
        <f>IF(CA$1&lt;CapEx!$O$7,0,(VLOOKUP($B54,Inputs!$F$3:$H$17,3,0)*((1+Inputs!$L$3)^Financials!CA$3)))</f>
        <v>7840.6884669204364</v>
      </c>
      <c r="CB54" s="18">
        <f>IF(CB$1&lt;CapEx!$O$7,0,(VLOOKUP($B54,Inputs!$F$3:$H$17,3,0)*((1+Inputs!$L$3)^Financials!CB$3)))</f>
        <v>7853.7562810319705</v>
      </c>
      <c r="CC54" s="18">
        <f>IF(CC$1&lt;CapEx!$O$7,0,(VLOOKUP($B54,Inputs!$F$3:$H$17,3,0)*((1+Inputs!$L$3)^Financials!CC$3)))</f>
        <v>7866.8458748336925</v>
      </c>
      <c r="CD54" s="18">
        <f>IF(CD$1&lt;CapEx!$O$7,0,(VLOOKUP($B54,Inputs!$F$3:$H$17,3,0)*((1+Inputs!$L$3)^Financials!CD$3)))</f>
        <v>7879.9572846250821</v>
      </c>
      <c r="CE54" s="18">
        <f>IF(CE$1&lt;CapEx!$O$7,0,(VLOOKUP($B54,Inputs!$F$3:$H$17,3,0)*((1+Inputs!$L$3)^Financials!CE$3)))</f>
        <v>7893.090546766125</v>
      </c>
      <c r="CF54" s="18">
        <f>IF(CF$1&lt;CapEx!$O$7,0,(VLOOKUP($B54,Inputs!$F$3:$H$17,3,0)*((1+Inputs!$L$3)^Financials!CF$3)))</f>
        <v>7906.245697677401</v>
      </c>
      <c r="CG54" s="18">
        <f>IF(CG$1&lt;CapEx!$O$7,0,(VLOOKUP($B54,Inputs!$F$3:$H$17,3,0)*((1+Inputs!$L$3)^Financials!CG$3)))</f>
        <v>7919.4227738401978</v>
      </c>
      <c r="CH54" s="18">
        <f>IF(CH$1&lt;CapEx!$O$7,0,(VLOOKUP($B54,Inputs!$F$3:$H$17,3,0)*((1+Inputs!$L$3)^Financials!CH$3)))</f>
        <v>7932.6218117965982</v>
      </c>
      <c r="CI54" s="18">
        <f>IF(CI$1&lt;CapEx!$O$7,0,(VLOOKUP($B54,Inputs!$F$3:$H$17,3,0)*((1+Inputs!$L$3)^Financials!CI$3)))</f>
        <v>7945.842848149593</v>
      </c>
      <c r="CJ54" s="18">
        <f>IF(CJ$1&lt;CapEx!$O$7,0,(VLOOKUP($B54,Inputs!$F$3:$H$17,3,0)*((1+Inputs!$L$3)^Financials!CJ$3)))</f>
        <v>7959.0859195631756</v>
      </c>
      <c r="CK54" s="18">
        <f>IF(CK$1&lt;CapEx!$O$7,0,(VLOOKUP($B54,Inputs!$F$3:$H$17,3,0)*((1+Inputs!$L$3)^Financials!CK$3)))</f>
        <v>7972.3510627624482</v>
      </c>
      <c r="CL54" s="18">
        <f>IF(CL$1&lt;CapEx!$O$7,0,(VLOOKUP($B54,Inputs!$F$3:$H$17,3,0)*((1+Inputs!$L$3)^Financials!CL$3)))</f>
        <v>7985.6383145337204</v>
      </c>
      <c r="CM54" s="18">
        <f>IF(CM$1&lt;CapEx!$O$7,0,(VLOOKUP($B54,Inputs!$F$3:$H$17,3,0)*((1+Inputs!$L$3)^Financials!CM$3)))</f>
        <v>7998.9477117246097</v>
      </c>
      <c r="CN54" s="18">
        <f>IF(CN$1&lt;CapEx!$O$7,0,(VLOOKUP($B54,Inputs!$F$3:$H$17,3,0)*((1+Inputs!$L$3)^Financials!CN$3)))</f>
        <v>8012.2792912441519</v>
      </c>
      <c r="CO54" s="18">
        <f>IF(CO$1&lt;CapEx!$O$7,0,(VLOOKUP($B54,Inputs!$F$3:$H$17,3,0)*((1+Inputs!$L$3)^Financials!CO$3)))</f>
        <v>8025.6330900628927</v>
      </c>
      <c r="CP54" s="18">
        <f>IF(CP$1&lt;CapEx!$O$7,0,(VLOOKUP($B54,Inputs!$F$3:$H$17,3,0)*((1+Inputs!$L$3)^Financials!CP$3)))</f>
        <v>8039.0091452129982</v>
      </c>
      <c r="CQ54" s="18">
        <f>IF(CQ$1&lt;CapEx!$O$7,0,(VLOOKUP($B54,Inputs!$F$3:$H$17,3,0)*((1+Inputs!$L$3)^Financials!CQ$3)))</f>
        <v>8052.4074937883543</v>
      </c>
      <c r="CR54" s="18">
        <f>IF(CR$1&lt;CapEx!$O$7,0,(VLOOKUP($B54,Inputs!$F$3:$H$17,3,0)*((1+Inputs!$L$3)^Financials!CR$3)))</f>
        <v>8065.828172944668</v>
      </c>
      <c r="CS54" s="18">
        <f>IF(CS$1&lt;CapEx!$O$7,0,(VLOOKUP($B54,Inputs!$F$3:$H$17,3,0)*((1+Inputs!$L$3)^Financials!CS$3)))</f>
        <v>8079.271219899576</v>
      </c>
      <c r="CT54" s="18">
        <f>IF(CT$1&lt;CapEx!$O$7,0,(VLOOKUP($B54,Inputs!$F$3:$H$17,3,0)*((1+Inputs!$L$3)^Financials!CT$3)))</f>
        <v>8092.7366719327429</v>
      </c>
      <c r="CU54" s="18">
        <f>IF(CU$1&lt;CapEx!$O$7,0,(VLOOKUP($B54,Inputs!$F$3:$H$17,3,0)*((1+Inputs!$L$3)^Financials!CU$3)))</f>
        <v>8106.224566385964</v>
      </c>
      <c r="CV54" s="18">
        <f>IF(CV$1&lt;CapEx!$O$7,0,(VLOOKUP($B54,Inputs!$F$3:$H$17,3,0)*((1+Inputs!$L$3)^Financials!CV$3)))</f>
        <v>8119.7349406632748</v>
      </c>
      <c r="CW54" s="18">
        <f>IF(CW$1&lt;CapEx!$O$7,0,(VLOOKUP($B54,Inputs!$F$3:$H$17,3,0)*((1+Inputs!$L$3)^Financials!CW$3)))</f>
        <v>8133.2678322310485</v>
      </c>
      <c r="CX54" s="18">
        <f>IF(CX$1&lt;CapEx!$O$7,0,(VLOOKUP($B54,Inputs!$F$3:$H$17,3,0)*((1+Inputs!$L$3)^Financials!CX$3)))</f>
        <v>8146.8232786181006</v>
      </c>
      <c r="CY54" s="18">
        <f>IF(CY$1&lt;CapEx!$O$7,0,(VLOOKUP($B54,Inputs!$F$3:$H$17,3,0)*((1+Inputs!$L$3)^Financials!CY$3)))</f>
        <v>8160.401317415799</v>
      </c>
      <c r="CZ54" s="18">
        <f>IF(CZ$1&lt;CapEx!$O$7,0,(VLOOKUP($B54,Inputs!$F$3:$H$17,3,0)*((1+Inputs!$L$3)^Financials!CZ$3)))</f>
        <v>8174.0019862781564</v>
      </c>
      <c r="DA54" s="18">
        <f>IF(DA$1&lt;CapEx!$O$7,0,(VLOOKUP($B54,Inputs!$F$3:$H$17,3,0)*((1+Inputs!$L$3)^Financials!DA$3)))</f>
        <v>8187.6253229219556</v>
      </c>
      <c r="DB54" s="18">
        <f>IF(DB$1&lt;CapEx!$O$7,0,(VLOOKUP($B54,Inputs!$F$3:$H$17,3,0)*((1+Inputs!$L$3)^Financials!DB$3)))</f>
        <v>8201.2713651268277</v>
      </c>
      <c r="DC54" s="18">
        <f>IF(DC$1&lt;CapEx!$O$7,0,(VLOOKUP($B54,Inputs!$F$3:$H$17,3,0)*((1+Inputs!$L$3)^Financials!DC$3)))</f>
        <v>8214.9401507353705</v>
      </c>
      <c r="DD54" s="18">
        <f>IF(DD$1&lt;CapEx!$O$7,0,(VLOOKUP($B54,Inputs!$F$3:$H$17,3,0)*((1+Inputs!$L$3)^Financials!DD$3)))</f>
        <v>8228.631717653263</v>
      </c>
      <c r="DE54" s="18">
        <f>IF(DE$1&lt;CapEx!$O$7,0,(VLOOKUP($B54,Inputs!$F$3:$H$17,3,0)*((1+Inputs!$L$3)^Financials!DE$3)))</f>
        <v>8242.3461038493533</v>
      </c>
      <c r="DF54" s="18">
        <f>IF(DF$1&lt;CapEx!$O$7,0,(VLOOKUP($B54,Inputs!$F$3:$H$17,3,0)*((1+Inputs!$L$3)^Financials!DF$3)))</f>
        <v>8256.0833473557705</v>
      </c>
      <c r="DG54" s="18">
        <f>IF(DG$1&lt;CapEx!$O$7,0,(VLOOKUP($B54,Inputs!$F$3:$H$17,3,0)*((1+Inputs!$L$3)^Financials!DG$3)))</f>
        <v>8269.8434862680315</v>
      </c>
      <c r="DH54" s="18">
        <f>IF(DH$1&lt;CapEx!$O$7,0,(VLOOKUP($B54,Inputs!$F$3:$H$17,3,0)*((1+Inputs!$L$3)^Financials!DH$3)))</f>
        <v>8283.6265587451417</v>
      </c>
      <c r="DI54" s="18">
        <f>IF(DI$1&lt;CapEx!$O$7,0,(VLOOKUP($B54,Inputs!$F$3:$H$17,3,0)*((1+Inputs!$L$3)^Financials!DI$3)))</f>
        <v>8297.43260300972</v>
      </c>
      <c r="DJ54" s="18">
        <f>IF(DJ$1&lt;CapEx!$O$7,0,(VLOOKUP($B54,Inputs!$F$3:$H$17,3,0)*((1+Inputs!$L$3)^Financials!DJ$3)))</f>
        <v>8311.2616573480718</v>
      </c>
      <c r="DK54" s="18">
        <f>IF(DK$1&lt;CapEx!$O$7,0,(VLOOKUP($B54,Inputs!$F$3:$H$17,3,0)*((1+Inputs!$L$3)^Financials!DK$3)))</f>
        <v>8325.1137601103183</v>
      </c>
      <c r="DL54" s="18">
        <f>IF(DL$1&lt;CapEx!$O$7,0,(VLOOKUP($B54,Inputs!$F$3:$H$17,3,0)*((1+Inputs!$L$3)^Financials!DL$3)))</f>
        <v>8338.9889497105014</v>
      </c>
      <c r="DM54" s="18">
        <f>IF(DM$1&lt;CapEx!$O$7,0,(VLOOKUP($B54,Inputs!$F$3:$H$17,3,0)*((1+Inputs!$L$3)^Financials!DM$3)))</f>
        <v>8352.8872646266864</v>
      </c>
      <c r="DN54" s="18">
        <f>IF(DN$1&lt;CapEx!$O$7,0,(VLOOKUP($B54,Inputs!$F$3:$H$17,3,0)*((1+Inputs!$L$3)^Financials!DN$3)))</f>
        <v>8366.8087434010649</v>
      </c>
      <c r="DO54" s="18">
        <f>IF(DO$1&lt;CapEx!$O$7,0,(VLOOKUP($B54,Inputs!$F$3:$H$17,3,0)*((1+Inputs!$L$3)^Financials!DO$3)))</f>
        <v>8380.7534246400664</v>
      </c>
      <c r="DP54" s="18">
        <f>IF(DP$1&lt;CapEx!$O$7,0,(VLOOKUP($B54,Inputs!$F$3:$H$17,3,0)*((1+Inputs!$L$3)^Financials!DP$3)))</f>
        <v>8394.721347014467</v>
      </c>
      <c r="DQ54" s="18">
        <f>IF(DQ$1&lt;CapEx!$O$7,0,(VLOOKUP($B54,Inputs!$F$3:$H$17,3,0)*((1+Inputs!$L$3)^Financials!DQ$3)))</f>
        <v>8408.7125492594932</v>
      </c>
      <c r="DR54" s="18">
        <f>IF(DR$1&lt;CapEx!$O$7,0,(VLOOKUP($B54,Inputs!$F$3:$H$17,3,0)*((1+Inputs!$L$3)^Financials!DR$3)))</f>
        <v>8422.7270701749258</v>
      </c>
      <c r="DS54" s="18">
        <f>IF(DS$1&lt;CapEx!$O$7,0,(VLOOKUP($B54,Inputs!$F$3:$H$17,3,0)*((1+Inputs!$L$3)^Financials!DS$3)))</f>
        <v>8436.7649486252176</v>
      </c>
      <c r="DT54" s="18">
        <f>IF(DT$1&lt;CapEx!$O$7,0,(VLOOKUP($B54,Inputs!$F$3:$H$17,3,0)*((1+Inputs!$L$3)^Financials!DT$3)))</f>
        <v>8450.8262235395923</v>
      </c>
      <c r="DU54" s="18">
        <f>IF(DU$1&lt;CapEx!$O$7,0,(VLOOKUP($B54,Inputs!$F$3:$H$17,3,0)*((1+Inputs!$L$3)^Financials!DU$3)))</f>
        <v>8464.9109339121605</v>
      </c>
      <c r="DV54" s="18">
        <f>IF(DV$1&lt;CapEx!$O$7,0,(VLOOKUP($B54,Inputs!$F$3:$H$17,3,0)*((1+Inputs!$L$3)^Financials!DV$3)))</f>
        <v>8479.0191188020126</v>
      </c>
      <c r="DW54" s="18">
        <f>IF(DW$1&lt;CapEx!$O$7,0,(VLOOKUP($B54,Inputs!$F$3:$H$17,3,0)*((1+Inputs!$L$3)^Financials!DW$3)))</f>
        <v>8493.1508173333514</v>
      </c>
      <c r="DX54" s="18">
        <f>IF(DX$1&lt;CapEx!$O$7,0,(VLOOKUP($B54,Inputs!$F$3:$H$17,3,0)*((1+Inputs!$L$3)^Financials!DX$3)))</f>
        <v>8507.3060686955741</v>
      </c>
      <c r="DY54" s="18">
        <f>IF(DY$1&lt;CapEx!$O$7,0,(VLOOKUP($B54,Inputs!$F$3:$H$17,3,0)*((1+Inputs!$L$3)^Financials!DY$3)))</f>
        <v>8521.4849121434017</v>
      </c>
      <c r="DZ54" s="18">
        <f>IF(DZ$1&lt;CapEx!$O$7,0,(VLOOKUP($B54,Inputs!$F$3:$H$17,3,0)*((1+Inputs!$L$3)^Financials!DZ$3)))</f>
        <v>8535.687386996975</v>
      </c>
      <c r="EA54" s="18">
        <f>IF(EA$1&lt;CapEx!$O$7,0,(VLOOKUP($B54,Inputs!$F$3:$H$17,3,0)*((1+Inputs!$L$3)^Financials!EA$3)))</f>
        <v>8549.9135326419691</v>
      </c>
      <c r="EB54" s="18">
        <f>IF(EB$1&lt;CapEx!$O$7,0,(VLOOKUP($B54,Inputs!$F$3:$H$17,3,0)*((1+Inputs!$L$3)^Financials!EB$3)))</f>
        <v>8564.1633885297069</v>
      </c>
      <c r="EC54" s="18">
        <f>IF(EC$1&lt;CapEx!$O$7,0,(VLOOKUP($B54,Inputs!$F$3:$H$17,3,0)*((1+Inputs!$L$3)^Financials!EC$3)))</f>
        <v>8578.4369941772584</v>
      </c>
      <c r="ED54" s="18">
        <f>IF(ED$1&lt;CapEx!$O$7,0,(VLOOKUP($B54,Inputs!$F$3:$H$17,3,0)*((1+Inputs!$L$3)^Financials!ED$3)))</f>
        <v>8592.7343891675537</v>
      </c>
      <c r="EE54" s="18">
        <f>IF(EE$1&lt;CapEx!$O$7,0,(VLOOKUP($B54,Inputs!$F$3:$H$17,3,0)*((1+Inputs!$L$3)^Financials!EE$3)))</f>
        <v>8607.0556131494995</v>
      </c>
      <c r="EF54" s="18">
        <f>IF(EF$1&lt;CapEx!$O$7,0,(VLOOKUP($B54,Inputs!$F$3:$H$17,3,0)*((1+Inputs!$L$3)^Financials!EF$3)))</f>
        <v>8621.4007058380812</v>
      </c>
      <c r="EG54" s="18">
        <f>IF(EG$1&lt;CapEx!$O$7,0,(VLOOKUP($B54,Inputs!$F$3:$H$17,3,0)*((1+Inputs!$L$3)^Financials!EG$3)))</f>
        <v>8635.7697070144786</v>
      </c>
      <c r="EH54" s="18">
        <f>IF(EH$1&lt;CapEx!$O$7,0,(VLOOKUP($B54,Inputs!$F$3:$H$17,3,0)*((1+Inputs!$L$3)^Financials!EH$3)))</f>
        <v>8650.1626565261722</v>
      </c>
      <c r="EI54" s="18">
        <f>IF(EI$1&lt;CapEx!$O$7,0,(VLOOKUP($B54,Inputs!$F$3:$H$17,3,0)*((1+Inputs!$L$3)^Financials!EI$3)))</f>
        <v>8664.5795942870482</v>
      </c>
      <c r="EJ54" s="18">
        <f>IF(EJ$1&lt;CapEx!$O$7,0,(VLOOKUP($B54,Inputs!$F$3:$H$17,3,0)*((1+Inputs!$L$3)^Financials!EJ$3)))</f>
        <v>8679.0205602775277</v>
      </c>
      <c r="EK54" s="18">
        <f>IF(EK$1&lt;CapEx!$O$7,0,(VLOOKUP($B54,Inputs!$F$3:$H$17,3,0)*((1+Inputs!$L$3)^Financials!EK$3)))</f>
        <v>8693.4855945446579</v>
      </c>
      <c r="EL54" s="18">
        <f>IF(EL$1&lt;CapEx!$O$7,0,(VLOOKUP($B54,Inputs!$F$3:$H$17,3,0)*((1+Inputs!$L$3)^Financials!EL$3)))</f>
        <v>8707.9747372022302</v>
      </c>
      <c r="EM54" s="18">
        <f>IF(EM$1&lt;CapEx!$O$7,0,(VLOOKUP($B54,Inputs!$F$3:$H$17,3,0)*((1+Inputs!$L$3)^Financials!EM$3)))</f>
        <v>8722.4880284309038</v>
      </c>
      <c r="EN54" s="18">
        <f>IF(EN$1&lt;CapEx!$O$7,0,(VLOOKUP($B54,Inputs!$F$3:$H$17,3,0)*((1+Inputs!$L$3)^Financials!EN$3)))</f>
        <v>8737.0255084782875</v>
      </c>
      <c r="EO54" s="18">
        <f>IF(EO$1&lt;CapEx!$O$7,0,(VLOOKUP($B54,Inputs!$F$3:$H$17,3,0)*((1+Inputs!$L$3)^Financials!EO$3)))</f>
        <v>8751.5872176590874</v>
      </c>
      <c r="EP54" s="18">
        <f>IF(EP$1&lt;CapEx!$O$7,0,(VLOOKUP($B54,Inputs!$F$3:$H$17,3,0)*((1+Inputs!$L$3)^Financials!EP$3)))</f>
        <v>8766.1731963551865</v>
      </c>
      <c r="EQ54" s="18">
        <f>IF(EQ$1&lt;CapEx!$O$7,0,(VLOOKUP($B54,Inputs!$F$3:$H$17,3,0)*((1+Inputs!$L$3)^Financials!EQ$3)))</f>
        <v>8780.7834850157797</v>
      </c>
      <c r="ER54" s="18">
        <f>IF(ER$1&lt;CapEx!$O$7,0,(VLOOKUP($B54,Inputs!$F$3:$H$17,3,0)*((1+Inputs!$L$3)^Financials!ER$3)))</f>
        <v>8795.4181241574715</v>
      </c>
      <c r="ES54" s="18">
        <f>IF(ES$1&lt;CapEx!$O$7,0,(VLOOKUP($B54,Inputs!$F$3:$H$17,3,0)*((1+Inputs!$L$3)^Financials!ES$3)))</f>
        <v>8810.0771543644023</v>
      </c>
      <c r="ET54" s="18">
        <f>IF(ET$1&lt;CapEx!$O$7,0,(VLOOKUP($B54,Inputs!$F$3:$H$17,3,0)*((1+Inputs!$L$3)^Financials!ET$3)))</f>
        <v>8824.760616288344</v>
      </c>
      <c r="EU54" s="18">
        <f>IF(EU$1&lt;CapEx!$O$7,0,(VLOOKUP($B54,Inputs!$F$3:$H$17,3,0)*((1+Inputs!$L$3)^Financials!EU$3)))</f>
        <v>8839.468550648824</v>
      </c>
      <c r="EV54" s="18">
        <f>IF(EV$1&lt;CapEx!$O$7,0,(VLOOKUP($B54,Inputs!$F$3:$H$17,3,0)*((1+Inputs!$L$3)^Financials!EV$3)))</f>
        <v>8854.2009982332384</v>
      </c>
      <c r="EW54" s="18">
        <f>IF(EW$1&lt;CapEx!$O$7,0,(VLOOKUP($B54,Inputs!$F$3:$H$17,3,0)*((1+Inputs!$L$3)^Financials!EW$3)))</f>
        <v>8868.9579998969621</v>
      </c>
      <c r="EX54" s="18">
        <f>IF(EX$1&lt;CapEx!$O$7,0,(VLOOKUP($B54,Inputs!$F$3:$H$17,3,0)*((1+Inputs!$L$3)^Financials!EX$3)))</f>
        <v>8883.7395965634587</v>
      </c>
      <c r="EY54" s="18">
        <f>IF(EY$1&lt;CapEx!$O$7,0,(VLOOKUP($B54,Inputs!$F$3:$H$17,3,0)*((1+Inputs!$L$3)^Financials!EY$3)))</f>
        <v>8898.5458292243966</v>
      </c>
      <c r="EZ54" s="18">
        <f>IF(EZ$1&lt;CapEx!$O$7,0,(VLOOKUP($B54,Inputs!$F$3:$H$17,3,0)*((1+Inputs!$L$3)^Financials!EZ$3)))</f>
        <v>8913.3767389397726</v>
      </c>
      <c r="FA54" s="18">
        <f>IF(FA$1&lt;CapEx!$O$7,0,(VLOOKUP($B54,Inputs!$F$3:$H$17,3,0)*((1+Inputs!$L$3)^Financials!FA$3)))</f>
        <v>8928.2323668380068</v>
      </c>
      <c r="FB54" s="18">
        <f>IF(FB$1&lt;CapEx!$O$7,0,(VLOOKUP($B54,Inputs!$F$3:$H$17,3,0)*((1+Inputs!$L$3)^Financials!FB$3)))</f>
        <v>8943.1127541160695</v>
      </c>
      <c r="FC54" s="18">
        <f>IF(FC$1&lt;CapEx!$O$7,0,(VLOOKUP($B54,Inputs!$F$3:$H$17,3,0)*((1+Inputs!$L$3)^Financials!FC$3)))</f>
        <v>8958.0179420395962</v>
      </c>
      <c r="FD54" s="18">
        <f>IF(FD$1&lt;CapEx!$O$7,0,(VLOOKUP($B54,Inputs!$F$3:$H$17,3,0)*((1+Inputs!$L$3)^Financials!FD$3)))</f>
        <v>8972.9479719429983</v>
      </c>
      <c r="FE54" s="18">
        <f>IF(FE$1&lt;CapEx!$O$7,0,(VLOOKUP($B54,Inputs!$F$3:$H$17,3,0)*((1+Inputs!$L$3)^Financials!FE$3)))</f>
        <v>8987.9028852295687</v>
      </c>
      <c r="FF54" s="18">
        <f>IF(FF$1&lt;CapEx!$O$7,0,(VLOOKUP($B54,Inputs!$F$3:$H$17,3,0)*((1+Inputs!$L$3)^Financials!FF$3)))</f>
        <v>9002.8827233716202</v>
      </c>
      <c r="FG54" s="18">
        <f>IF(FG$1&lt;CapEx!$O$7,0,(VLOOKUP($B54,Inputs!$F$3:$H$17,3,0)*((1+Inputs!$L$3)^Financials!FG$3)))</f>
        <v>9017.8875279105723</v>
      </c>
      <c r="FH54" s="18">
        <f>IF(FH$1&lt;CapEx!$O$7,0,(VLOOKUP($B54,Inputs!$F$3:$H$17,3,0)*((1+Inputs!$L$3)^Financials!FH$3)))</f>
        <v>9032.9173404570902</v>
      </c>
      <c r="FI54" s="18">
        <f>IF(FI$1&lt;CapEx!$O$7,0,(VLOOKUP($B54,Inputs!$F$3:$H$17,3,0)*((1+Inputs!$L$3)^Financials!FI$3)))</f>
        <v>9047.9722026911877</v>
      </c>
      <c r="FJ54" s="18">
        <f>IF(FJ$1&lt;CapEx!$O$7,0,(VLOOKUP($B54,Inputs!$F$3:$H$17,3,0)*((1+Inputs!$L$3)^Financials!FJ$3)))</f>
        <v>9063.0521563623388</v>
      </c>
      <c r="FK54" s="18">
        <f>IF(FK$1&lt;CapEx!$O$7,0,(VLOOKUP($B54,Inputs!$F$3:$H$17,3,0)*((1+Inputs!$L$3)^Financials!FK$3)))</f>
        <v>9078.1572432896119</v>
      </c>
      <c r="FL54" s="18">
        <f>IF(FL$1&lt;CapEx!$O$7,0,(VLOOKUP($B54,Inputs!$F$3:$H$17,3,0)*((1+Inputs!$L$3)^Financials!FL$3)))</f>
        <v>9093.287505361759</v>
      </c>
      <c r="FM54" s="18">
        <f>IF(FM$1&lt;CapEx!$O$7,0,(VLOOKUP($B54,Inputs!$F$3:$H$17,3,0)*((1+Inputs!$L$3)^Financials!FM$3)))</f>
        <v>9108.4429845373634</v>
      </c>
      <c r="FN54" s="18">
        <f>IF(FN$1&lt;CapEx!$O$7,0,(VLOOKUP($B54,Inputs!$F$3:$H$17,3,0)*((1+Inputs!$L$3)^Financials!FN$3)))</f>
        <v>9123.6237228449281</v>
      </c>
      <c r="FO54" s="18">
        <f>IF(FO$1&lt;CapEx!$O$7,0,(VLOOKUP($B54,Inputs!$F$3:$H$17,3,0)*((1+Inputs!$L$3)^Financials!FO$3)))</f>
        <v>9138.8297623830022</v>
      </c>
      <c r="FP54" s="18">
        <f>IF(FP$1&lt;CapEx!$O$7,0,(VLOOKUP($B54,Inputs!$F$3:$H$17,3,0)*((1+Inputs!$L$3)^Financials!FP$3)))</f>
        <v>9154.0611453203073</v>
      </c>
      <c r="FQ54" s="18">
        <f>IF(FQ$1&lt;CapEx!$O$7,0,(VLOOKUP($B54,Inputs!$F$3:$H$17,3,0)*((1+Inputs!$L$3)^Financials!FQ$3)))</f>
        <v>9169.3179138958421</v>
      </c>
      <c r="FR54" s="18">
        <f>IF(FR$1&lt;CapEx!$O$7,0,(VLOOKUP($B54,Inputs!$F$3:$H$17,3,0)*((1+Inputs!$L$3)^Financials!FR$3)))</f>
        <v>9184.6001104190018</v>
      </c>
      <c r="FS54" s="18">
        <f>IF(FS$1&lt;CapEx!$O$7,0,(VLOOKUP($B54,Inputs!$F$3:$H$17,3,0)*((1+Inputs!$L$3)^Financials!FS$3)))</f>
        <v>9199.9077772697019</v>
      </c>
      <c r="FT54" s="18">
        <f>IF(FT$1&lt;CapEx!$O$7,0,(VLOOKUP($B54,Inputs!$F$3:$H$17,3,0)*((1+Inputs!$L$3)^Financials!FT$3)))</f>
        <v>9215.240956898484</v>
      </c>
      <c r="FU54" s="18">
        <f>IF(FU$1&lt;CapEx!$O$7,0,(VLOOKUP($B54,Inputs!$F$3:$H$17,3,0)*((1+Inputs!$L$3)^Financials!FU$3)))</f>
        <v>9230.5996918266501</v>
      </c>
      <c r="FV54" s="18">
        <f>IF(FV$1&lt;CapEx!$O$7,0,(VLOOKUP($B54,Inputs!$F$3:$H$17,3,0)*((1+Inputs!$L$3)^Financials!FV$3)))</f>
        <v>9245.9840246463627</v>
      </c>
      <c r="FW54" s="18">
        <f>IF(FW$1&lt;CapEx!$O$7,0,(VLOOKUP($B54,Inputs!$F$3:$H$17,3,0)*((1+Inputs!$L$3)^Financials!FW$3)))</f>
        <v>9261.3939980207742</v>
      </c>
      <c r="FX54" s="18">
        <f>IF(FX$1&lt;CapEx!$O$7,0,(VLOOKUP($B54,Inputs!$F$3:$H$17,3,0)*((1+Inputs!$L$3)^Financials!FX$3)))</f>
        <v>9276.8296546841411</v>
      </c>
      <c r="FY54" s="18">
        <f>IF(FY$1&lt;CapEx!$O$7,0,(VLOOKUP($B54,Inputs!$F$3:$H$17,3,0)*((1+Inputs!$L$3)^Financials!FY$3)))</f>
        <v>9292.2910374419498</v>
      </c>
      <c r="FZ54" s="18">
        <f>IF(FZ$1&lt;CapEx!$O$7,0,(VLOOKUP($B54,Inputs!$F$3:$H$17,3,0)*((1+Inputs!$L$3)^Financials!FZ$3)))</f>
        <v>9307.7781891710201</v>
      </c>
      <c r="GA54" s="18">
        <f>IF(GA$1&lt;CapEx!$O$7,0,(VLOOKUP($B54,Inputs!$F$3:$H$17,3,0)*((1+Inputs!$L$3)^Financials!GA$3)))</f>
        <v>9323.29115281964</v>
      </c>
      <c r="GB54" s="18">
        <f>IF(GB$1&lt;CapEx!$O$7,0,(VLOOKUP($B54,Inputs!$F$3:$H$17,3,0)*((1+Inputs!$L$3)^Financials!GB$3)))</f>
        <v>9338.8299714076729</v>
      </c>
      <c r="GC54" s="18">
        <f>IF(GC$1&lt;CapEx!$O$7,0,(VLOOKUP($B54,Inputs!$F$3:$H$17,3,0)*((1+Inputs!$L$3)^Financials!GC$3)))</f>
        <v>9354.3946880266867</v>
      </c>
      <c r="GD54" s="18">
        <f>IF(GD$1&lt;CapEx!$O$7,0,(VLOOKUP($B54,Inputs!$F$3:$H$17,3,0)*((1+Inputs!$L$3)^Financials!GD$3)))</f>
        <v>9369.9853458400667</v>
      </c>
      <c r="GE54" s="18">
        <f>IF(GE$1&lt;CapEx!$O$7,0,(VLOOKUP($B54,Inputs!$F$3:$H$17,3,0)*((1+Inputs!$L$3)^Financials!GE$3)))</f>
        <v>9385.6019880831318</v>
      </c>
      <c r="GF54" s="18">
        <f>IF(GF$1&lt;CapEx!$O$7,0,(VLOOKUP($B54,Inputs!$F$3:$H$17,3,0)*((1+Inputs!$L$3)^Financials!GF$3)))</f>
        <v>9401.2446580632695</v>
      </c>
      <c r="GG54" s="18">
        <f>IF(GG$1&lt;CapEx!$O$7,0,(VLOOKUP($B54,Inputs!$F$3:$H$17,3,0)*((1+Inputs!$L$3)^Financials!GG$3)))</f>
        <v>9416.9133991600429</v>
      </c>
      <c r="GH54" s="18">
        <f>IF(GH$1&lt;CapEx!$O$7,0,(VLOOKUP($B54,Inputs!$F$3:$H$17,3,0)*((1+Inputs!$L$3)^Financials!GH$3)))</f>
        <v>9432.6082548253107</v>
      </c>
      <c r="GI54" s="18">
        <f>IF(GI$1&lt;CapEx!$O$7,0,(VLOOKUP($B54,Inputs!$F$3:$H$17,3,0)*((1+Inputs!$L$3)^Financials!GI$3)))</f>
        <v>9448.3292685833549</v>
      </c>
      <c r="GJ54" s="18">
        <f>IF(GJ$1&lt;CapEx!$O$7,0,(VLOOKUP($B54,Inputs!$F$3:$H$17,3,0)*((1+Inputs!$L$3)^Financials!GJ$3)))</f>
        <v>9464.076484030993</v>
      </c>
      <c r="GK54" s="18">
        <f>IF(GK$1&lt;CapEx!$O$7,0,(VLOOKUP($B54,Inputs!$F$3:$H$17,3,0)*((1+Inputs!$L$3)^Financials!GK$3)))</f>
        <v>9479.8499448377115</v>
      </c>
      <c r="GL54" s="18">
        <f>IF(GL$1&lt;CapEx!$O$7,0,(VLOOKUP($B54,Inputs!$F$3:$H$17,3,0)*((1+Inputs!$L$3)^Financials!GL$3)))</f>
        <v>9495.6496947457781</v>
      </c>
      <c r="GM54" s="18">
        <f>IF(GM$1&lt;CapEx!$O$7,0,(VLOOKUP($B54,Inputs!$F$3:$H$17,3,0)*((1+Inputs!$L$3)^Financials!GM$3)))</f>
        <v>9511.4757775703529</v>
      </c>
      <c r="GN54" s="18">
        <f>IF(GN$1&lt;CapEx!$O$7,0,(VLOOKUP($B54,Inputs!$F$3:$H$17,3,0)*((1+Inputs!$L$3)^Financials!GN$3)))</f>
        <v>9527.3282371996374</v>
      </c>
      <c r="GO54" s="18">
        <f>IF(GO$1&lt;CapEx!$O$7,0,(VLOOKUP($B54,Inputs!$F$3:$H$17,3,0)*((1+Inputs!$L$3)^Financials!GO$3)))</f>
        <v>9543.2071175949714</v>
      </c>
      <c r="GP54" s="18">
        <f>IF(GP$1&lt;CapEx!$O$7,0,(VLOOKUP($B54,Inputs!$F$3:$H$17,3,0)*((1+Inputs!$L$3)^Financials!GP$3)))</f>
        <v>9559.112462790963</v>
      </c>
      <c r="GQ54" s="18">
        <f>IF(GQ$1&lt;CapEx!$O$7,0,(VLOOKUP($B54,Inputs!$F$3:$H$17,3,0)*((1+Inputs!$L$3)^Financials!GQ$3)))</f>
        <v>9575.0443168956153</v>
      </c>
      <c r="GR54" s="18">
        <f>IF(GR$1&lt;CapEx!$O$7,0,(VLOOKUP($B54,Inputs!$F$3:$H$17,3,0)*((1+Inputs!$L$3)^Financials!GR$3)))</f>
        <v>9591.0027240904419</v>
      </c>
      <c r="GS54" s="18">
        <f>IF(GS$1&lt;CapEx!$O$7,0,(VLOOKUP($B54,Inputs!$F$3:$H$17,3,0)*((1+Inputs!$L$3)^Financials!GS$3)))</f>
        <v>9606.9877286305928</v>
      </c>
      <c r="GT54" s="18">
        <f>IF(GT$1&lt;CapEx!$O$7,0,(VLOOKUP($B54,Inputs!$F$3:$H$17,3,0)*((1+Inputs!$L$3)^Financials!GT$3)))</f>
        <v>9622.9993748449797</v>
      </c>
      <c r="GU54" s="18">
        <f>IF(GU$1&lt;CapEx!$O$7,0,(VLOOKUP($B54,Inputs!$F$3:$H$17,3,0)*((1+Inputs!$L$3)^Financials!GU$3)))</f>
        <v>9639.0377071363873</v>
      </c>
      <c r="GV54" s="18">
        <f>IF(GV$1&lt;CapEx!$O$7,0,(VLOOKUP($B54,Inputs!$F$3:$H$17,3,0)*((1+Inputs!$L$3)^Financials!GV$3)))</f>
        <v>9655.102769981615</v>
      </c>
      <c r="GW54" s="18">
        <f>IF(GW$1&lt;CapEx!$O$7,0,(VLOOKUP($B54,Inputs!$F$3:$H$17,3,0)*((1+Inputs!$L$3)^Financials!GW$3)))</f>
        <v>9671.194607931584</v>
      </c>
      <c r="GX54" s="18">
        <f>IF(GX$1&lt;CapEx!$O$7,0,(VLOOKUP($B54,Inputs!$F$3:$H$17,3,0)*((1+Inputs!$L$3)^Financials!GX$3)))</f>
        <v>9687.3132656114722</v>
      </c>
      <c r="GY54" s="18">
        <f>IF(GY$1&lt;CapEx!$O$7,0,(VLOOKUP($B54,Inputs!$F$3:$H$17,3,0)*((1+Inputs!$L$3)^Financials!GY$3)))</f>
        <v>9703.4587877208251</v>
      </c>
      <c r="GZ54" s="18">
        <f>IF(GZ$1&lt;CapEx!$O$7,0,(VLOOKUP($B54,Inputs!$F$3:$H$17,3,0)*((1+Inputs!$L$3)^Financials!GZ$3)))</f>
        <v>9719.6312190336939</v>
      </c>
      <c r="HA54" s="18">
        <f>IF(HA$1&lt;CapEx!$O$7,0,(VLOOKUP($B54,Inputs!$F$3:$H$17,3,0)*((1+Inputs!$L$3)^Financials!HA$3)))</f>
        <v>9735.8306043987523</v>
      </c>
      <c r="HB54" s="18">
        <f>IF(HB$1&lt;CapEx!$O$7,0,(VLOOKUP($B54,Inputs!$F$3:$H$17,3,0)*((1+Inputs!$L$3)^Financials!HB$3)))</f>
        <v>9752.0569887394176</v>
      </c>
      <c r="HC54" s="18">
        <f>IF(HC$1&lt;CapEx!$O$7,0,(VLOOKUP($B54,Inputs!$F$3:$H$17,3,0)*((1+Inputs!$L$3)^Financials!HC$3)))</f>
        <v>9768.3104170539827</v>
      </c>
      <c r="HD54" s="18">
        <f>IF(HD$1&lt;CapEx!$O$7,0,(VLOOKUP($B54,Inputs!$F$3:$H$17,3,0)*((1+Inputs!$L$3)^Financials!HD$3)))</f>
        <v>9784.5909344157408</v>
      </c>
      <c r="HE54" s="18">
        <f>IF(HE$1&lt;CapEx!$O$7,0,(VLOOKUP($B54,Inputs!$F$3:$H$17,3,0)*((1+Inputs!$L$3)^Financials!HE$3)))</f>
        <v>9800.8985859731001</v>
      </c>
      <c r="HF54" s="18">
        <f>IF(HF$1&lt;CapEx!$O$7,0,(VLOOKUP($B54,Inputs!$F$3:$H$17,3,0)*((1+Inputs!$L$3)^Financials!HF$3)))</f>
        <v>9817.2334169497226</v>
      </c>
      <c r="HG54" s="18">
        <f>IF(HG$1&lt;CapEx!$O$7,0,(VLOOKUP($B54,Inputs!$F$3:$H$17,3,0)*((1+Inputs!$L$3)^Financials!HG$3)))</f>
        <v>9833.595472644638</v>
      </c>
      <c r="HH54" s="18">
        <f>IF(HH$1&lt;CapEx!$O$7,0,(VLOOKUP($B54,Inputs!$F$3:$H$17,3,0)*((1+Inputs!$L$3)^Financials!HH$3)))</f>
        <v>9849.9847984323787</v>
      </c>
      <c r="HI54" s="18">
        <f>IF(HI$1&lt;CapEx!$O$7,0,(VLOOKUP($B54,Inputs!$F$3:$H$17,3,0)*((1+Inputs!$L$3)^Financials!HI$3)))</f>
        <v>9866.4014397631017</v>
      </c>
      <c r="HJ54" s="18">
        <f>IF(HJ$1&lt;CapEx!$O$7,0,(VLOOKUP($B54,Inputs!$F$3:$H$17,3,0)*((1+Inputs!$L$3)^Financials!HJ$3)))</f>
        <v>9882.8454421627084</v>
      </c>
      <c r="HK54" s="18">
        <f>IF(HK$1&lt;CapEx!$O$7,0,(VLOOKUP($B54,Inputs!$F$3:$H$17,3,0)*((1+Inputs!$L$3)^Financials!HK$3)))</f>
        <v>9899.3168512329794</v>
      </c>
      <c r="HL54" s="18">
        <f>IF(HL$1&lt;CapEx!$O$7,0,(VLOOKUP($B54,Inputs!$F$3:$H$17,3,0)*((1+Inputs!$L$3)^Financials!HL$3)))</f>
        <v>9915.8157126517017</v>
      </c>
      <c r="HM54" s="18">
        <f>IF(HM$1&lt;CapEx!$O$7,0,(VLOOKUP($B54,Inputs!$F$3:$H$17,3,0)*((1+Inputs!$L$3)^Financials!HM$3)))</f>
        <v>9932.3420721727889</v>
      </c>
      <c r="HN54" s="18">
        <f>IF(HN$1&lt;CapEx!$O$7,0,(VLOOKUP($B54,Inputs!$F$3:$H$17,3,0)*((1+Inputs!$L$3)^Financials!HN$3)))</f>
        <v>9948.8959756264103</v>
      </c>
      <c r="HO54" s="18">
        <f>IF(HO$1&lt;CapEx!$O$7,0,(VLOOKUP($B54,Inputs!$F$3:$H$17,3,0)*((1+Inputs!$L$3)^Financials!HO$3)))</f>
        <v>9965.4774689191217</v>
      </c>
      <c r="HP54" s="18">
        <f>IF(HP$1&lt;CapEx!$O$7,0,(VLOOKUP($B54,Inputs!$F$3:$H$17,3,0)*((1+Inputs!$L$3)^Financials!HP$3)))</f>
        <v>9982.0865980339877</v>
      </c>
      <c r="HQ54" s="18">
        <f>IF(HQ$1&lt;CapEx!$O$7,0,(VLOOKUP($B54,Inputs!$F$3:$H$17,3,0)*((1+Inputs!$L$3)^Financials!HQ$3)))</f>
        <v>9998.7234090307102</v>
      </c>
      <c r="HR54" s="18">
        <f>IF(HR$1&lt;CapEx!$O$7,0,(VLOOKUP($B54,Inputs!$F$3:$H$17,3,0)*((1+Inputs!$L$3)^Financials!HR$3)))</f>
        <v>10015.387948045764</v>
      </c>
      <c r="HS54" s="18">
        <f>IF(HS$1&lt;CapEx!$O$7,0,(VLOOKUP($B54,Inputs!$F$3:$H$17,3,0)*((1+Inputs!$L$3)^Financials!HS$3)))</f>
        <v>10032.080261292507</v>
      </c>
      <c r="HT54" s="18">
        <f>IF(HT$1&lt;CapEx!$O$7,0,(VLOOKUP($B54,Inputs!$F$3:$H$17,3,0)*((1+Inputs!$L$3)^Financials!HT$3)))</f>
        <v>10048.800395061327</v>
      </c>
      <c r="HU54" s="18">
        <f>IF(HU$1&lt;CapEx!$O$7,0,(VLOOKUP($B54,Inputs!$F$3:$H$17,3,0)*((1+Inputs!$L$3)^Financials!HU$3)))</f>
        <v>10065.548395719765</v>
      </c>
      <c r="HV54" s="18">
        <f>IF(HV$1&lt;CapEx!$O$7,0,(VLOOKUP($B54,Inputs!$F$3:$H$17,3,0)*((1+Inputs!$L$3)^Financials!HV$3)))</f>
        <v>10082.324309712634</v>
      </c>
      <c r="HW54" s="18">
        <f>IF(HW$1&lt;CapEx!$O$7,0,(VLOOKUP($B54,Inputs!$F$3:$H$17,3,0)*((1+Inputs!$L$3)^Financials!HW$3)))</f>
        <v>10099.128183562156</v>
      </c>
      <c r="HX54" s="18">
        <f>IF(HX$1&lt;CapEx!$O$7,0,(VLOOKUP($B54,Inputs!$F$3:$H$17,3,0)*((1+Inputs!$L$3)^Financials!HX$3)))</f>
        <v>10115.960063868091</v>
      </c>
      <c r="HY54" s="18">
        <f>IF(HY$1&lt;CapEx!$O$7,0,(VLOOKUP($B54,Inputs!$F$3:$H$17,3,0)*((1+Inputs!$L$3)^Financials!HY$3)))</f>
        <v>10132.819997307874</v>
      </c>
      <c r="HZ54" s="18">
        <f>IF(HZ$1&lt;CapEx!$O$7,0,(VLOOKUP($B54,Inputs!$F$3:$H$17,3,0)*((1+Inputs!$L$3)^Financials!HZ$3)))</f>
        <v>10149.708030636722</v>
      </c>
      <c r="IA54" s="18">
        <f>IF(IA$1&lt;CapEx!$O$7,0,(VLOOKUP($B54,Inputs!$F$3:$H$17,3,0)*((1+Inputs!$L$3)^Financials!IA$3)))</f>
        <v>10166.624210687782</v>
      </c>
      <c r="IB54" s="18">
        <f>IF(IB$1&lt;CapEx!$O$7,0,(VLOOKUP($B54,Inputs!$F$3:$H$17,3,0)*((1+Inputs!$L$3)^Financials!IB$3)))</f>
        <v>10183.56858437226</v>
      </c>
      <c r="IC54" s="18">
        <f>IF(IC$1&lt;CapEx!$O$7,0,(VLOOKUP($B54,Inputs!$F$3:$H$17,3,0)*((1+Inputs!$L$3)^Financials!IC$3)))</f>
        <v>10200.54119867955</v>
      </c>
      <c r="ID54" s="18">
        <f>IF(ID$1&lt;CapEx!$O$7,0,(VLOOKUP($B54,Inputs!$F$3:$H$17,3,0)*((1+Inputs!$L$3)^Financials!ID$3)))</f>
        <v>10217.54210067735</v>
      </c>
      <c r="IE54" s="18">
        <f>IF(IE$1&lt;CapEx!$O$7,0,(VLOOKUP($B54,Inputs!$F$3:$H$17,3,0)*((1+Inputs!$L$3)^Financials!IE$3)))</f>
        <v>10234.571337511814</v>
      </c>
      <c r="IF54" s="18">
        <f>IF(IF$1&lt;CapEx!$O$7,0,(VLOOKUP($B54,Inputs!$F$3:$H$17,3,0)*((1+Inputs!$L$3)^Financials!IF$3)))</f>
        <v>10251.628956407665</v>
      </c>
      <c r="IG54" s="18">
        <f>IF(IG$1&lt;CapEx!$O$7,0,(VLOOKUP($B54,Inputs!$F$3:$H$17,3,0)*((1+Inputs!$L$3)^Financials!IG$3)))</f>
        <v>10268.715004668347</v>
      </c>
      <c r="IH54" s="18">
        <f>IF(IH$1&lt;CapEx!$O$7,0,(VLOOKUP($B54,Inputs!$F$3:$H$17,3,0)*((1+Inputs!$L$3)^Financials!IH$3)))</f>
        <v>10285.82952967613</v>
      </c>
      <c r="II54" s="18">
        <f>IF(II$1&lt;CapEx!$O$7,0,(VLOOKUP($B54,Inputs!$F$3:$H$17,3,0)*((1+Inputs!$L$3)^Financials!II$3)))</f>
        <v>10302.972578892257</v>
      </c>
      <c r="IJ54" s="18">
        <f>IF(IJ$1&lt;CapEx!$O$7,0,(VLOOKUP($B54,Inputs!$F$3:$H$17,3,0)*((1+Inputs!$L$3)^Financials!IJ$3)))</f>
        <v>10320.144199857077</v>
      </c>
      <c r="IK54" s="18">
        <f>IF(IK$1&lt;CapEx!$O$7,0,(VLOOKUP($B54,Inputs!$F$3:$H$17,3,0)*((1+Inputs!$L$3)^Financials!IK$3)))</f>
        <v>10337.344440190174</v>
      </c>
      <c r="IL54" s="18">
        <f>IF(IL$1&lt;CapEx!$O$7,0,(VLOOKUP($B54,Inputs!$F$3:$H$17,3,0)*((1+Inputs!$L$3)^Financials!IL$3)))</f>
        <v>10354.573347590491</v>
      </c>
      <c r="IM54" s="18">
        <f>IF(IM$1&lt;CapEx!$O$7,0,(VLOOKUP($B54,Inputs!$F$3:$H$17,3,0)*((1+Inputs!$L$3)^Financials!IM$3)))</f>
        <v>10371.830969836476</v>
      </c>
      <c r="IN54" s="18">
        <f>IF(IN$1&lt;CapEx!$O$7,0,(VLOOKUP($B54,Inputs!$F$3:$H$17,3,0)*((1+Inputs!$L$3)^Financials!IN$3)))</f>
        <v>10389.117354786202</v>
      </c>
      <c r="IO54" s="18">
        <f>IF(IO$1&lt;CapEx!$O$7,0,(VLOOKUP($B54,Inputs!$F$3:$H$17,3,0)*((1+Inputs!$L$3)^Financials!IO$3)))</f>
        <v>10406.432550377516</v>
      </c>
      <c r="IP54" s="18">
        <f>IF(IP$1&lt;CapEx!$O$7,0,(VLOOKUP($B54,Inputs!$F$3:$H$17,3,0)*((1+Inputs!$L$3)^Financials!IP$3)))</f>
        <v>10423.776604628147</v>
      </c>
      <c r="IQ54" s="18">
        <f>IF(IQ$1&lt;CapEx!$O$7,0,(VLOOKUP($B54,Inputs!$F$3:$H$17,3,0)*((1+Inputs!$L$3)^Financials!IQ$3)))</f>
        <v>10441.149565635857</v>
      </c>
      <c r="IR54" s="18">
        <f>IF(IR$1&lt;CapEx!$O$7,0,(VLOOKUP($B54,Inputs!$F$3:$H$17,3,0)*((1+Inputs!$L$3)^Financials!IR$3)))</f>
        <v>10458.551481578583</v>
      </c>
      <c r="IS54" s="18">
        <f>IF(IS$1&lt;CapEx!$O$7,0,(VLOOKUP($B54,Inputs!$F$3:$H$17,3,0)*((1+Inputs!$L$3)^Financials!IS$3)))</f>
        <v>10475.982400714551</v>
      </c>
      <c r="IT54" s="18">
        <f>IF(IT$1&lt;CapEx!$O$7,0,(VLOOKUP($B54,Inputs!$F$3:$H$17,3,0)*((1+Inputs!$L$3)^Financials!IT$3)))</f>
        <v>10493.442371382407</v>
      </c>
      <c r="IU54" s="18">
        <f>IF(IU$1&lt;CapEx!$O$7,0,(VLOOKUP($B54,Inputs!$F$3:$H$17,3,0)*((1+Inputs!$L$3)^Financials!IU$3)))</f>
        <v>10510.931442001382</v>
      </c>
      <c r="IV54" s="18">
        <f>IF(IV$1&lt;CapEx!$O$7,0,(VLOOKUP($B54,Inputs!$F$3:$H$17,3,0)*((1+Inputs!$L$3)^Financials!IV$3)))</f>
        <v>10528.449661071383</v>
      </c>
      <c r="IW54" s="18">
        <f>IF(IW$1&lt;CapEx!$O$7,0,(VLOOKUP($B54,Inputs!$F$3:$H$17,3,0)*((1+Inputs!$L$3)^Financials!IW$3)))</f>
        <v>10545.99707717317</v>
      </c>
      <c r="IX54" s="18">
        <f>IF(IX$1&lt;CapEx!$O$7,0,(VLOOKUP($B54,Inputs!$F$3:$H$17,3,0)*((1+Inputs!$L$3)^Financials!IX$3)))</f>
        <v>10563.57373896846</v>
      </c>
      <c r="IY54" s="18">
        <f>IF(IY$1&lt;CapEx!$O$7,0,(VLOOKUP($B54,Inputs!$F$3:$H$17,3,0)*((1+Inputs!$L$3)^Financials!IY$3)))</f>
        <v>10581.179695200075</v>
      </c>
      <c r="IZ54" s="18">
        <f>IF(IZ$1&lt;CapEx!$O$7,0,(VLOOKUP($B54,Inputs!$F$3:$H$17,3,0)*((1+Inputs!$L$3)^Financials!IZ$3)))</f>
        <v>10598.814994692075</v>
      </c>
      <c r="JA54" s="18">
        <f>IF(JA$1&lt;CapEx!$O$7,0,(VLOOKUP($B54,Inputs!$F$3:$H$17,3,0)*((1+Inputs!$L$3)^Financials!JA$3)))</f>
        <v>10616.479686349898</v>
      </c>
      <c r="JB54" s="18">
        <f>IF(JB$1&lt;CapEx!$O$7,0,(VLOOKUP($B54,Inputs!$F$3:$H$17,3,0)*((1+Inputs!$L$3)^Financials!JB$3)))</f>
        <v>10634.17381916048</v>
      </c>
      <c r="JC54" s="18">
        <f>IF(JC$1&lt;CapEx!$O$7,0,(VLOOKUP($B54,Inputs!$F$3:$H$17,3,0)*((1+Inputs!$L$3)^Financials!JC$3)))</f>
        <v>10651.897442192416</v>
      </c>
      <c r="JD54" s="18">
        <f>IF(JD$1&lt;CapEx!$O$7,0,(VLOOKUP($B54,Inputs!$F$3:$H$17,3,0)*((1+Inputs!$L$3)^Financials!JD$3)))</f>
        <v>10669.650604596069</v>
      </c>
      <c r="JE54" s="18">
        <f>IF(JE$1&lt;CapEx!$O$7,0,(VLOOKUP($B54,Inputs!$F$3:$H$17,3,0)*((1+Inputs!$L$3)^Financials!JE$3)))</f>
        <v>10687.433355603729</v>
      </c>
      <c r="JF54" s="18">
        <f>IF(JF$1&lt;CapEx!$O$7,0,(VLOOKUP($B54,Inputs!$F$3:$H$17,3,0)*((1+Inputs!$L$3)^Financials!JF$3)))</f>
        <v>10705.245744529739</v>
      </c>
      <c r="JG54" s="18">
        <f>IF(JG$1&lt;CapEx!$O$7,0,(VLOOKUP($B54,Inputs!$F$3:$H$17,3,0)*((1+Inputs!$L$3)^Financials!JG$3)))</f>
        <v>10723.087820770621</v>
      </c>
      <c r="JH54" s="18">
        <f>IF(JH$1&lt;CapEx!$O$7,0,(VLOOKUP($B54,Inputs!$F$3:$H$17,3,0)*((1+Inputs!$L$3)^Financials!JH$3)))</f>
        <v>10740.95963380524</v>
      </c>
      <c r="JI54" s="18">
        <f>IF(JI$1&lt;CapEx!$O$7,0,(VLOOKUP($B54,Inputs!$F$3:$H$17,3,0)*((1+Inputs!$L$3)^Financials!JI$3)))</f>
        <v>10758.861233194915</v>
      </c>
      <c r="JJ54" s="18">
        <f>IF(JJ$1&lt;CapEx!$O$7,0,(VLOOKUP($B54,Inputs!$F$3:$H$17,3,0)*((1+Inputs!$L$3)^Financials!JJ$3)))</f>
        <v>10776.792668583572</v>
      </c>
      <c r="JK54" s="18">
        <f>IF(JK$1&lt;CapEx!$O$7,0,(VLOOKUP($B54,Inputs!$F$3:$H$17,3,0)*((1+Inputs!$L$3)^Financials!JK$3)))</f>
        <v>10794.753989697881</v>
      </c>
      <c r="JL54" s="18">
        <f>IF(JL$1&lt;CapEx!$O$7,0,(VLOOKUP($B54,Inputs!$F$3:$H$17,3,0)*((1+Inputs!$L$3)^Financials!JL$3)))</f>
        <v>10812.745246347378</v>
      </c>
      <c r="JM54" s="18">
        <f>IF(JM$1&lt;CapEx!$O$7,0,(VLOOKUP($B54,Inputs!$F$3:$H$17,3,0)*((1+Inputs!$L$3)^Financials!JM$3)))</f>
        <v>10830.766488424626</v>
      </c>
      <c r="JN54" s="18">
        <f>IF(JN$1&lt;CapEx!$O$7,0,(VLOOKUP($B54,Inputs!$F$3:$H$17,3,0)*((1+Inputs!$L$3)^Financials!JN$3)))</f>
        <v>10848.817765905334</v>
      </c>
      <c r="JO54" s="18">
        <f>IF(JO$1&lt;CapEx!$O$7,0,(VLOOKUP($B54,Inputs!$F$3:$H$17,3,0)*((1+Inputs!$L$3)^Financials!JO$3)))</f>
        <v>10866.89912884851</v>
      </c>
      <c r="JP54" s="18">
        <f>IF(JP$1&lt;CapEx!$O$7,0,(VLOOKUP($B54,Inputs!$F$3:$H$17,3,0)*((1+Inputs!$L$3)^Financials!JP$3)))</f>
        <v>10885.010627396592</v>
      </c>
      <c r="JQ54" s="18">
        <f>IF(JQ$1&lt;CapEx!$O$7,0,(VLOOKUP($B54,Inputs!$F$3:$H$17,3,0)*((1+Inputs!$L$3)^Financials!JQ$3)))</f>
        <v>10903.152311775586</v>
      </c>
      <c r="JR54" s="18">
        <f>IF(JR$1&lt;CapEx!$O$7,0,(VLOOKUP($B54,Inputs!$F$3:$H$17,3,0)*((1+Inputs!$L$3)^Financials!JR$3)))</f>
        <v>10921.324232295214</v>
      </c>
    </row>
    <row r="55" spans="2:278" x14ac:dyDescent="0.2">
      <c r="B55" s="21" t="str">
        <f>'Data Sources'!A102</f>
        <v>Miscellaneous</v>
      </c>
      <c r="C55" s="18">
        <f>IF(C$1&lt;CapEx!$O$7,0,(VLOOKUP($B55,Inputs!$F$3:$H$17,3,0)*((1+Inputs!$L$3)^Financials!C$3)))</f>
        <v>0</v>
      </c>
      <c r="D55" s="18">
        <f>IF(D$1&lt;CapEx!$O$7,0,(VLOOKUP($B55,Inputs!$F$3:$H$17,3,0)*((1+Inputs!$L$3)^Financials!D$3)))</f>
        <v>0</v>
      </c>
      <c r="E55" s="18">
        <f>IF(E$1&lt;CapEx!$O$7,0,(VLOOKUP($B55,Inputs!$F$3:$H$17,3,0)*((1+Inputs!$L$3)^Financials!E$3)))</f>
        <v>0</v>
      </c>
      <c r="F55" s="18">
        <f>IF(F$1&lt;CapEx!$O$7,0,(VLOOKUP($B55,Inputs!$F$3:$H$17,3,0)*((1+Inputs!$L$3)^Financials!F$3)))</f>
        <v>0</v>
      </c>
      <c r="G55" s="18">
        <f>IF(G$1&lt;CapEx!$O$7,0,(VLOOKUP($B55,Inputs!$F$3:$H$17,3,0)*((1+Inputs!$L$3)^Financials!G$3)))</f>
        <v>0</v>
      </c>
      <c r="H55" s="18">
        <f>IF(H$1&lt;CapEx!$O$7,0,(VLOOKUP($B55,Inputs!$F$3:$H$17,3,0)*((1+Inputs!$L$3)^Financials!H$3)))</f>
        <v>0</v>
      </c>
      <c r="I55" s="18">
        <f>IF(I$1&lt;CapEx!$O$7,0,(VLOOKUP($B55,Inputs!$F$3:$H$17,3,0)*((1+Inputs!$L$3)^Financials!I$3)))</f>
        <v>0</v>
      </c>
      <c r="J55" s="18">
        <f>IF(J$1&lt;CapEx!$O$7,0,(VLOOKUP($B55,Inputs!$F$3:$H$17,3,0)*((1+Inputs!$L$3)^Financials!J$3)))</f>
        <v>0</v>
      </c>
      <c r="K55" s="18">
        <f>IF(K$1&lt;CapEx!$O$7,0,(VLOOKUP($B55,Inputs!$F$3:$H$17,3,0)*((1+Inputs!$L$3)^Financials!K$3)))</f>
        <v>0</v>
      </c>
      <c r="L55" s="18">
        <f>IF(L$1&lt;CapEx!$O$7,0,(VLOOKUP($B55,Inputs!$F$3:$H$17,3,0)*((1+Inputs!$L$3)^Financials!L$3)))</f>
        <v>0</v>
      </c>
      <c r="M55" s="18">
        <f>IF(M$1&lt;CapEx!$O$7,0,(VLOOKUP($B55,Inputs!$F$3:$H$17,3,0)*((1+Inputs!$L$3)^Financials!M$3)))</f>
        <v>0</v>
      </c>
      <c r="N55" s="18">
        <f>IF(N$1&lt;CapEx!$O$7,0,(VLOOKUP($B55,Inputs!$F$3:$H$17,3,0)*((1+Inputs!$L$3)^Financials!N$3)))</f>
        <v>0</v>
      </c>
      <c r="O55" s="18">
        <f>IF(O$1&lt;CapEx!$O$7,0,(VLOOKUP($B55,Inputs!$F$3:$H$17,3,0)*((1+Inputs!$L$3)^Financials!O$3)))</f>
        <v>0</v>
      </c>
      <c r="P55" s="18">
        <f>IF(P$1&lt;CapEx!$O$7,0,(VLOOKUP($B55,Inputs!$F$3:$H$17,3,0)*((1+Inputs!$L$3)^Financials!P$3)))</f>
        <v>0</v>
      </c>
      <c r="Q55" s="18">
        <f>IF(Q$1&lt;CapEx!$O$7,0,(VLOOKUP($B55,Inputs!$F$3:$H$17,3,0)*((1+Inputs!$L$3)^Financials!Q$3)))</f>
        <v>0</v>
      </c>
      <c r="R55" s="18">
        <f>IF(R$1&lt;CapEx!$O$7,0,(VLOOKUP($B55,Inputs!$F$3:$H$17,3,0)*((1+Inputs!$L$3)^Financials!R$3)))</f>
        <v>8333.3333333333339</v>
      </c>
      <c r="S55" s="18">
        <f>IF(S$1&lt;CapEx!$O$7,0,(VLOOKUP($B55,Inputs!$F$3:$H$17,3,0)*((1+Inputs!$L$3)^Financials!S$3)))</f>
        <v>8347.2222222222226</v>
      </c>
      <c r="T55" s="18">
        <f>IF(T$1&lt;CapEx!$O$7,0,(VLOOKUP($B55,Inputs!$F$3:$H$17,3,0)*((1+Inputs!$L$3)^Financials!T$3)))</f>
        <v>8361.1342592592609</v>
      </c>
      <c r="U55" s="18">
        <f>IF(U$1&lt;CapEx!$O$7,0,(VLOOKUP($B55,Inputs!$F$3:$H$17,3,0)*((1+Inputs!$L$3)^Financials!U$3)))</f>
        <v>8375.0694830246921</v>
      </c>
      <c r="V55" s="18">
        <f>IF(V$1&lt;CapEx!$O$7,0,(VLOOKUP($B55,Inputs!$F$3:$H$17,3,0)*((1+Inputs!$L$3)^Financials!V$3)))</f>
        <v>8389.0279321630678</v>
      </c>
      <c r="W55" s="18">
        <f>IF(W$1&lt;CapEx!$O$7,0,(VLOOKUP($B55,Inputs!$F$3:$H$17,3,0)*((1+Inputs!$L$3)^Financials!W$3)))</f>
        <v>8403.0096453833394</v>
      </c>
      <c r="X55" s="18">
        <f>IF(X$1&lt;CapEx!$O$7,0,(VLOOKUP($B55,Inputs!$F$3:$H$17,3,0)*((1+Inputs!$L$3)^Financials!X$3)))</f>
        <v>8417.0146614589794</v>
      </c>
      <c r="Y55" s="18">
        <f>IF(Y$1&lt;CapEx!$O$7,0,(VLOOKUP($B55,Inputs!$F$3:$H$17,3,0)*((1+Inputs!$L$3)^Financials!Y$3)))</f>
        <v>8431.0430192280783</v>
      </c>
      <c r="Z55" s="18">
        <f>IF(Z$1&lt;CapEx!$O$7,0,(VLOOKUP($B55,Inputs!$F$3:$H$17,3,0)*((1+Inputs!$L$3)^Financials!Z$3)))</f>
        <v>8445.0947575934606</v>
      </c>
      <c r="AA55" s="18">
        <f>IF(AA$1&lt;CapEx!$O$7,0,(VLOOKUP($B55,Inputs!$F$3:$H$17,3,0)*((1+Inputs!$L$3)^Financials!AA$3)))</f>
        <v>8459.1699155227816</v>
      </c>
      <c r="AB55" s="18">
        <f>IF(AB$1&lt;CapEx!$O$7,0,(VLOOKUP($B55,Inputs!$F$3:$H$17,3,0)*((1+Inputs!$L$3)^Financials!AB$3)))</f>
        <v>8473.2685320486544</v>
      </c>
      <c r="AC55" s="18">
        <f>IF(AC$1&lt;CapEx!$O$7,0,(VLOOKUP($B55,Inputs!$F$3:$H$17,3,0)*((1+Inputs!$L$3)^Financials!AC$3)))</f>
        <v>8487.3906462687355</v>
      </c>
      <c r="AD55" s="18">
        <f>IF(AD$1&lt;CapEx!$O$7,0,(VLOOKUP($B55,Inputs!$F$3:$H$17,3,0)*((1+Inputs!$L$3)^Financials!AD$3)))</f>
        <v>8501.5362973458505</v>
      </c>
      <c r="AE55" s="18">
        <f>IF(AE$1&lt;CapEx!$O$7,0,(VLOOKUP($B55,Inputs!$F$3:$H$17,3,0)*((1+Inputs!$L$3)^Financials!AE$3)))</f>
        <v>8515.7055245080937</v>
      </c>
      <c r="AF55" s="18">
        <f>IF(AF$1&lt;CapEx!$O$7,0,(VLOOKUP($B55,Inputs!$F$3:$H$17,3,0)*((1+Inputs!$L$3)^Financials!AF$3)))</f>
        <v>8529.8983670489433</v>
      </c>
      <c r="AG55" s="18">
        <f>IF(AG$1&lt;CapEx!$O$7,0,(VLOOKUP($B55,Inputs!$F$3:$H$17,3,0)*((1+Inputs!$L$3)^Financials!AG$3)))</f>
        <v>8544.1148643273573</v>
      </c>
      <c r="AH55" s="18">
        <f>IF(AH$1&lt;CapEx!$O$7,0,(VLOOKUP($B55,Inputs!$F$3:$H$17,3,0)*((1+Inputs!$L$3)^Financials!AH$3)))</f>
        <v>8558.3550557679046</v>
      </c>
      <c r="AI55" s="18">
        <f>IF(AI$1&lt;CapEx!$O$7,0,(VLOOKUP($B55,Inputs!$F$3:$H$17,3,0)*((1+Inputs!$L$3)^Financials!AI$3)))</f>
        <v>8572.6189808608506</v>
      </c>
      <c r="AJ55" s="18">
        <f>IF(AJ$1&lt;CapEx!$O$7,0,(VLOOKUP($B55,Inputs!$F$3:$H$17,3,0)*((1+Inputs!$L$3)^Financials!AJ$3)))</f>
        <v>8586.9066791622863</v>
      </c>
      <c r="AK55" s="18">
        <f>IF(AK$1&lt;CapEx!$O$7,0,(VLOOKUP($B55,Inputs!$F$3:$H$17,3,0)*((1+Inputs!$L$3)^Financials!AK$3)))</f>
        <v>8601.2181902942248</v>
      </c>
      <c r="AL55" s="18">
        <f>IF(AL$1&lt;CapEx!$O$7,0,(VLOOKUP($B55,Inputs!$F$3:$H$17,3,0)*((1+Inputs!$L$3)^Financials!AL$3)))</f>
        <v>8615.5535539447155</v>
      </c>
      <c r="AM55" s="18">
        <f>IF(AM$1&lt;CapEx!$O$7,0,(VLOOKUP($B55,Inputs!$F$3:$H$17,3,0)*((1+Inputs!$L$3)^Financials!AM$3)))</f>
        <v>8629.9128098679575</v>
      </c>
      <c r="AN55" s="18">
        <f>IF(AN$1&lt;CapEx!$O$7,0,(VLOOKUP($B55,Inputs!$F$3:$H$17,3,0)*((1+Inputs!$L$3)^Financials!AN$3)))</f>
        <v>8644.2959978844028</v>
      </c>
      <c r="AO55" s="18">
        <f>IF(AO$1&lt;CapEx!$O$7,0,(VLOOKUP($B55,Inputs!$F$3:$H$17,3,0)*((1+Inputs!$L$3)^Financials!AO$3)))</f>
        <v>8658.7031578808783</v>
      </c>
      <c r="AP55" s="18">
        <f>IF(AP$1&lt;CapEx!$O$7,0,(VLOOKUP($B55,Inputs!$F$3:$H$17,3,0)*((1+Inputs!$L$3)^Financials!AP$3)))</f>
        <v>8673.1343298106822</v>
      </c>
      <c r="AQ55" s="18">
        <f>IF(AQ$1&lt;CapEx!$O$7,0,(VLOOKUP($B55,Inputs!$F$3:$H$17,3,0)*((1+Inputs!$L$3)^Financials!AQ$3)))</f>
        <v>8687.5895536936987</v>
      </c>
      <c r="AR55" s="18">
        <f>IF(AR$1&lt;CapEx!$O$7,0,(VLOOKUP($B55,Inputs!$F$3:$H$17,3,0)*((1+Inputs!$L$3)^Financials!AR$3)))</f>
        <v>8702.0688696165216</v>
      </c>
      <c r="AS55" s="18">
        <f>IF(AS$1&lt;CapEx!$O$7,0,(VLOOKUP($B55,Inputs!$F$3:$H$17,3,0)*((1+Inputs!$L$3)^Financials!AS$3)))</f>
        <v>8716.5723177325508</v>
      </c>
      <c r="AT55" s="18">
        <f>IF(AT$1&lt;CapEx!$O$7,0,(VLOOKUP($B55,Inputs!$F$3:$H$17,3,0)*((1+Inputs!$L$3)^Financials!AT$3)))</f>
        <v>8731.0999382621048</v>
      </c>
      <c r="AU55" s="18">
        <f>IF(AU$1&lt;CapEx!$O$7,0,(VLOOKUP($B55,Inputs!$F$3:$H$17,3,0)*((1+Inputs!$L$3)^Financials!AU$3)))</f>
        <v>8745.651771492543</v>
      </c>
      <c r="AV55" s="18">
        <f>IF(AV$1&lt;CapEx!$O$7,0,(VLOOKUP($B55,Inputs!$F$3:$H$17,3,0)*((1+Inputs!$L$3)^Financials!AV$3)))</f>
        <v>8760.2278577783636</v>
      </c>
      <c r="AW55" s="18">
        <f>IF(AW$1&lt;CapEx!$O$7,0,(VLOOKUP($B55,Inputs!$F$3:$H$17,3,0)*((1+Inputs!$L$3)^Financials!AW$3)))</f>
        <v>8774.8282375413291</v>
      </c>
      <c r="AX55" s="18">
        <f>IF(AX$1&lt;CapEx!$O$7,0,(VLOOKUP($B55,Inputs!$F$3:$H$17,3,0)*((1+Inputs!$L$3)^Financials!AX$3)))</f>
        <v>8789.4529512705667</v>
      </c>
      <c r="AY55" s="18">
        <f>IF(AY$1&lt;CapEx!$O$7,0,(VLOOKUP($B55,Inputs!$F$3:$H$17,3,0)*((1+Inputs!$L$3)^Financials!AY$3)))</f>
        <v>8804.1020395226842</v>
      </c>
      <c r="AZ55" s="18">
        <f>IF(AZ$1&lt;CapEx!$O$7,0,(VLOOKUP($B55,Inputs!$F$3:$H$17,3,0)*((1+Inputs!$L$3)^Financials!AZ$3)))</f>
        <v>8818.7755429218887</v>
      </c>
      <c r="BA55" s="18">
        <f>IF(BA$1&lt;CapEx!$O$7,0,(VLOOKUP($B55,Inputs!$F$3:$H$17,3,0)*((1+Inputs!$L$3)^Financials!BA$3)))</f>
        <v>8833.4735021600936</v>
      </c>
      <c r="BB55" s="18">
        <f>IF(BB$1&lt;CapEx!$O$7,0,(VLOOKUP($B55,Inputs!$F$3:$H$17,3,0)*((1+Inputs!$L$3)^Financials!BB$3)))</f>
        <v>8848.1959579970262</v>
      </c>
      <c r="BC55" s="18">
        <f>IF(BC$1&lt;CapEx!$O$7,0,(VLOOKUP($B55,Inputs!$F$3:$H$17,3,0)*((1+Inputs!$L$3)^Financials!BC$3)))</f>
        <v>8862.9429512603565</v>
      </c>
      <c r="BD55" s="18">
        <f>IF(BD$1&lt;CapEx!$O$7,0,(VLOOKUP($B55,Inputs!$F$3:$H$17,3,0)*((1+Inputs!$L$3)^Financials!BD$3)))</f>
        <v>8877.7145228457885</v>
      </c>
      <c r="BE55" s="18">
        <f>IF(BE$1&lt;CapEx!$O$7,0,(VLOOKUP($B55,Inputs!$F$3:$H$17,3,0)*((1+Inputs!$L$3)^Financials!BE$3)))</f>
        <v>8892.5107137171999</v>
      </c>
      <c r="BF55" s="18">
        <f>IF(BF$1&lt;CapEx!$O$7,0,(VLOOKUP($B55,Inputs!$F$3:$H$17,3,0)*((1+Inputs!$L$3)^Financials!BF$3)))</f>
        <v>8907.3315649067317</v>
      </c>
      <c r="BG55" s="18">
        <f>IF(BG$1&lt;CapEx!$O$7,0,(VLOOKUP($B55,Inputs!$F$3:$H$17,3,0)*((1+Inputs!$L$3)^Financials!BG$3)))</f>
        <v>8922.1771175149079</v>
      </c>
      <c r="BH55" s="18">
        <f>IF(BH$1&lt;CapEx!$O$7,0,(VLOOKUP($B55,Inputs!$F$3:$H$17,3,0)*((1+Inputs!$L$3)^Financials!BH$3)))</f>
        <v>8937.0474127107664</v>
      </c>
      <c r="BI55" s="18">
        <f>IF(BI$1&lt;CapEx!$O$7,0,(VLOOKUP($B55,Inputs!$F$3:$H$17,3,0)*((1+Inputs!$L$3)^Financials!BI$3)))</f>
        <v>8951.942491731952</v>
      </c>
      <c r="BJ55" s="18">
        <f>IF(BJ$1&lt;CapEx!$O$7,0,(VLOOKUP($B55,Inputs!$F$3:$H$17,3,0)*((1+Inputs!$L$3)^Financials!BJ$3)))</f>
        <v>8966.8623958848384</v>
      </c>
      <c r="BK55" s="18">
        <f>IF(BK$1&lt;CapEx!$O$7,0,(VLOOKUP($B55,Inputs!$F$3:$H$17,3,0)*((1+Inputs!$L$3)^Financials!BK$3)))</f>
        <v>8981.8071665446478</v>
      </c>
      <c r="BL55" s="18">
        <f>IF(BL$1&lt;CapEx!$O$7,0,(VLOOKUP($B55,Inputs!$F$3:$H$17,3,0)*((1+Inputs!$L$3)^Financials!BL$3)))</f>
        <v>8996.7768451555567</v>
      </c>
      <c r="BM55" s="18">
        <f>IF(BM$1&lt;CapEx!$O$7,0,(VLOOKUP($B55,Inputs!$F$3:$H$17,3,0)*((1+Inputs!$L$3)^Financials!BM$3)))</f>
        <v>9011.7714732308159</v>
      </c>
      <c r="BN55" s="18">
        <f>IF(BN$1&lt;CapEx!$O$7,0,(VLOOKUP($B55,Inputs!$F$3:$H$17,3,0)*((1+Inputs!$L$3)^Financials!BN$3)))</f>
        <v>9026.7910923528689</v>
      </c>
      <c r="BO55" s="18">
        <f>IF(BO$1&lt;CapEx!$O$7,0,(VLOOKUP($B55,Inputs!$F$3:$H$17,3,0)*((1+Inputs!$L$3)^Financials!BO$3)))</f>
        <v>9041.835744173457</v>
      </c>
      <c r="BP55" s="18">
        <f>IF(BP$1&lt;CapEx!$O$7,0,(VLOOKUP($B55,Inputs!$F$3:$H$17,3,0)*((1+Inputs!$L$3)^Financials!BP$3)))</f>
        <v>9056.9054704137452</v>
      </c>
      <c r="BQ55" s="18">
        <f>IF(BQ$1&lt;CapEx!$O$7,0,(VLOOKUP($B55,Inputs!$F$3:$H$17,3,0)*((1+Inputs!$L$3)^Financials!BQ$3)))</f>
        <v>9072.0003128644366</v>
      </c>
      <c r="BR55" s="18">
        <f>IF(BR$1&lt;CapEx!$O$7,0,(VLOOKUP($B55,Inputs!$F$3:$H$17,3,0)*((1+Inputs!$L$3)^Financials!BR$3)))</f>
        <v>9087.120313385878</v>
      </c>
      <c r="BS55" s="18">
        <f>IF(BS$1&lt;CapEx!$O$7,0,(VLOOKUP($B55,Inputs!$F$3:$H$17,3,0)*((1+Inputs!$L$3)^Financials!BS$3)))</f>
        <v>9102.265513908189</v>
      </c>
      <c r="BT55" s="18">
        <f>IF(BT$1&lt;CapEx!$O$7,0,(VLOOKUP($B55,Inputs!$F$3:$H$17,3,0)*((1+Inputs!$L$3)^Financials!BT$3)))</f>
        <v>9117.435956431369</v>
      </c>
      <c r="BU55" s="18">
        <f>IF(BU$1&lt;CapEx!$O$7,0,(VLOOKUP($B55,Inputs!$F$3:$H$17,3,0)*((1+Inputs!$L$3)^Financials!BU$3)))</f>
        <v>9132.6316830254218</v>
      </c>
      <c r="BV55" s="18">
        <f>IF(BV$1&lt;CapEx!$O$7,0,(VLOOKUP($B55,Inputs!$F$3:$H$17,3,0)*((1+Inputs!$L$3)^Financials!BV$3)))</f>
        <v>9147.8527358304673</v>
      </c>
      <c r="BW55" s="18">
        <f>IF(BW$1&lt;CapEx!$O$7,0,(VLOOKUP($B55,Inputs!$F$3:$H$17,3,0)*((1+Inputs!$L$3)^Financials!BW$3)))</f>
        <v>9163.0991570568494</v>
      </c>
      <c r="BX55" s="18">
        <f>IF(BX$1&lt;CapEx!$O$7,0,(VLOOKUP($B55,Inputs!$F$3:$H$17,3,0)*((1+Inputs!$L$3)^Financials!BX$3)))</f>
        <v>9178.370988985278</v>
      </c>
      <c r="BY55" s="18">
        <f>IF(BY$1&lt;CapEx!$O$7,0,(VLOOKUP($B55,Inputs!$F$3:$H$17,3,0)*((1+Inputs!$L$3)^Financials!BY$3)))</f>
        <v>9193.6682739669213</v>
      </c>
      <c r="BZ55" s="18">
        <f>IF(BZ$1&lt;CapEx!$O$7,0,(VLOOKUP($B55,Inputs!$F$3:$H$17,3,0)*((1+Inputs!$L$3)^Financials!BZ$3)))</f>
        <v>9208.9910544235336</v>
      </c>
      <c r="CA55" s="18">
        <f>IF(CA$1&lt;CapEx!$O$7,0,(VLOOKUP($B55,Inputs!$F$3:$H$17,3,0)*((1+Inputs!$L$3)^Financials!CA$3)))</f>
        <v>9224.339372847573</v>
      </c>
      <c r="CB55" s="18">
        <f>IF(CB$1&lt;CapEx!$O$7,0,(VLOOKUP($B55,Inputs!$F$3:$H$17,3,0)*((1+Inputs!$L$3)^Financials!CB$3)))</f>
        <v>9239.7132718023204</v>
      </c>
      <c r="CC55" s="18">
        <f>IF(CC$1&lt;CapEx!$O$7,0,(VLOOKUP($B55,Inputs!$F$3:$H$17,3,0)*((1+Inputs!$L$3)^Financials!CC$3)))</f>
        <v>9255.1127939219932</v>
      </c>
      <c r="CD55" s="18">
        <f>IF(CD$1&lt;CapEx!$O$7,0,(VLOOKUP($B55,Inputs!$F$3:$H$17,3,0)*((1+Inputs!$L$3)^Financials!CD$3)))</f>
        <v>9270.5379819118625</v>
      </c>
      <c r="CE55" s="18">
        <f>IF(CE$1&lt;CapEx!$O$7,0,(VLOOKUP($B55,Inputs!$F$3:$H$17,3,0)*((1+Inputs!$L$3)^Financials!CE$3)))</f>
        <v>9285.9888785483836</v>
      </c>
      <c r="CF55" s="18">
        <f>IF(CF$1&lt;CapEx!$O$7,0,(VLOOKUP($B55,Inputs!$F$3:$H$17,3,0)*((1+Inputs!$L$3)^Financials!CF$3)))</f>
        <v>9301.4655266792961</v>
      </c>
      <c r="CG55" s="18">
        <f>IF(CG$1&lt;CapEx!$O$7,0,(VLOOKUP($B55,Inputs!$F$3:$H$17,3,0)*((1+Inputs!$L$3)^Financials!CG$3)))</f>
        <v>9316.9679692237623</v>
      </c>
      <c r="CH55" s="18">
        <f>IF(CH$1&lt;CapEx!$O$7,0,(VLOOKUP($B55,Inputs!$F$3:$H$17,3,0)*((1+Inputs!$L$3)^Financials!CH$3)))</f>
        <v>9332.4962491724691</v>
      </c>
      <c r="CI55" s="18">
        <f>IF(CI$1&lt;CapEx!$O$7,0,(VLOOKUP($B55,Inputs!$F$3:$H$17,3,0)*((1+Inputs!$L$3)^Financials!CI$3)))</f>
        <v>9348.0504095877568</v>
      </c>
      <c r="CJ55" s="18">
        <f>IF(CJ$1&lt;CapEx!$O$7,0,(VLOOKUP($B55,Inputs!$F$3:$H$17,3,0)*((1+Inputs!$L$3)^Financials!CJ$3)))</f>
        <v>9363.6304936037377</v>
      </c>
      <c r="CK55" s="18">
        <f>IF(CK$1&lt;CapEx!$O$7,0,(VLOOKUP($B55,Inputs!$F$3:$H$17,3,0)*((1+Inputs!$L$3)^Financials!CK$3)))</f>
        <v>9379.2365444264105</v>
      </c>
      <c r="CL55" s="18">
        <f>IF(CL$1&lt;CapEx!$O$7,0,(VLOOKUP($B55,Inputs!$F$3:$H$17,3,0)*((1+Inputs!$L$3)^Financials!CL$3)))</f>
        <v>9394.8686053337897</v>
      </c>
      <c r="CM55" s="18">
        <f>IF(CM$1&lt;CapEx!$O$7,0,(VLOOKUP($B55,Inputs!$F$3:$H$17,3,0)*((1+Inputs!$L$3)^Financials!CM$3)))</f>
        <v>9410.5267196760124</v>
      </c>
      <c r="CN55" s="18">
        <f>IF(CN$1&lt;CapEx!$O$7,0,(VLOOKUP($B55,Inputs!$F$3:$H$17,3,0)*((1+Inputs!$L$3)^Financials!CN$3)))</f>
        <v>9426.2109308754734</v>
      </c>
      <c r="CO55" s="18">
        <f>IF(CO$1&lt;CapEx!$O$7,0,(VLOOKUP($B55,Inputs!$F$3:$H$17,3,0)*((1+Inputs!$L$3)^Financials!CO$3)))</f>
        <v>9441.9212824269343</v>
      </c>
      <c r="CP55" s="18">
        <f>IF(CP$1&lt;CapEx!$O$7,0,(VLOOKUP($B55,Inputs!$F$3:$H$17,3,0)*((1+Inputs!$L$3)^Financials!CP$3)))</f>
        <v>9457.6578178976451</v>
      </c>
      <c r="CQ55" s="18">
        <f>IF(CQ$1&lt;CapEx!$O$7,0,(VLOOKUP($B55,Inputs!$F$3:$H$17,3,0)*((1+Inputs!$L$3)^Financials!CQ$3)))</f>
        <v>9473.4205809274754</v>
      </c>
      <c r="CR55" s="18">
        <f>IF(CR$1&lt;CapEx!$O$7,0,(VLOOKUP($B55,Inputs!$F$3:$H$17,3,0)*((1+Inputs!$L$3)^Financials!CR$3)))</f>
        <v>9489.2096152290233</v>
      </c>
      <c r="CS55" s="18">
        <f>IF(CS$1&lt;CapEx!$O$7,0,(VLOOKUP($B55,Inputs!$F$3:$H$17,3,0)*((1+Inputs!$L$3)^Financials!CS$3)))</f>
        <v>9505.0249645877375</v>
      </c>
      <c r="CT55" s="18">
        <f>IF(CT$1&lt;CapEx!$O$7,0,(VLOOKUP($B55,Inputs!$F$3:$H$17,3,0)*((1+Inputs!$L$3)^Financials!CT$3)))</f>
        <v>9520.8666728620519</v>
      </c>
      <c r="CU55" s="18">
        <f>IF(CU$1&lt;CapEx!$O$7,0,(VLOOKUP($B55,Inputs!$F$3:$H$17,3,0)*((1+Inputs!$L$3)^Financials!CU$3)))</f>
        <v>9536.7347839834893</v>
      </c>
      <c r="CV55" s="18">
        <f>IF(CV$1&lt;CapEx!$O$7,0,(VLOOKUP($B55,Inputs!$F$3:$H$17,3,0)*((1+Inputs!$L$3)^Financials!CV$3)))</f>
        <v>9552.6293419567937</v>
      </c>
      <c r="CW55" s="18">
        <f>IF(CW$1&lt;CapEx!$O$7,0,(VLOOKUP($B55,Inputs!$F$3:$H$17,3,0)*((1+Inputs!$L$3)^Financials!CW$3)))</f>
        <v>9568.5503908600585</v>
      </c>
      <c r="CX55" s="18">
        <f>IF(CX$1&lt;CapEx!$O$7,0,(VLOOKUP($B55,Inputs!$F$3:$H$17,3,0)*((1+Inputs!$L$3)^Financials!CX$3)))</f>
        <v>9584.4979748448259</v>
      </c>
      <c r="CY55" s="18">
        <f>IF(CY$1&lt;CapEx!$O$7,0,(VLOOKUP($B55,Inputs!$F$3:$H$17,3,0)*((1+Inputs!$L$3)^Financials!CY$3)))</f>
        <v>9600.472138136236</v>
      </c>
      <c r="CZ55" s="18">
        <f>IF(CZ$1&lt;CapEx!$O$7,0,(VLOOKUP($B55,Inputs!$F$3:$H$17,3,0)*((1+Inputs!$L$3)^Financials!CZ$3)))</f>
        <v>9616.4729250331275</v>
      </c>
      <c r="DA55" s="18">
        <f>IF(DA$1&lt;CapEx!$O$7,0,(VLOOKUP($B55,Inputs!$F$3:$H$17,3,0)*((1+Inputs!$L$3)^Financials!DA$3)))</f>
        <v>9632.5003799081842</v>
      </c>
      <c r="DB55" s="18">
        <f>IF(DB$1&lt;CapEx!$O$7,0,(VLOOKUP($B55,Inputs!$F$3:$H$17,3,0)*((1+Inputs!$L$3)^Financials!DB$3)))</f>
        <v>9648.5545472080339</v>
      </c>
      <c r="DC55" s="18">
        <f>IF(DC$1&lt;CapEx!$O$7,0,(VLOOKUP($B55,Inputs!$F$3:$H$17,3,0)*((1+Inputs!$L$3)^Financials!DC$3)))</f>
        <v>9664.6354714533772</v>
      </c>
      <c r="DD55" s="18">
        <f>IF(DD$1&lt;CapEx!$O$7,0,(VLOOKUP($B55,Inputs!$F$3:$H$17,3,0)*((1+Inputs!$L$3)^Financials!DD$3)))</f>
        <v>9680.7431972391332</v>
      </c>
      <c r="DE55" s="18">
        <f>IF(DE$1&lt;CapEx!$O$7,0,(VLOOKUP($B55,Inputs!$F$3:$H$17,3,0)*((1+Inputs!$L$3)^Financials!DE$3)))</f>
        <v>9696.8777692345338</v>
      </c>
      <c r="DF55" s="18">
        <f>IF(DF$1&lt;CapEx!$O$7,0,(VLOOKUP($B55,Inputs!$F$3:$H$17,3,0)*((1+Inputs!$L$3)^Financials!DF$3)))</f>
        <v>9713.0392321832587</v>
      </c>
      <c r="DG55" s="18">
        <f>IF(DG$1&lt;CapEx!$O$7,0,(VLOOKUP($B55,Inputs!$F$3:$H$17,3,0)*((1+Inputs!$L$3)^Financials!DG$3)))</f>
        <v>9729.227630903566</v>
      </c>
      <c r="DH55" s="18">
        <f>IF(DH$1&lt;CapEx!$O$7,0,(VLOOKUP($B55,Inputs!$F$3:$H$17,3,0)*((1+Inputs!$L$3)^Financials!DH$3)))</f>
        <v>9745.4430102884035</v>
      </c>
      <c r="DI55" s="18">
        <f>IF(DI$1&lt;CapEx!$O$7,0,(VLOOKUP($B55,Inputs!$F$3:$H$17,3,0)*((1+Inputs!$L$3)^Financials!DI$3)))</f>
        <v>9761.6854153055538</v>
      </c>
      <c r="DJ55" s="18">
        <f>IF(DJ$1&lt;CapEx!$O$7,0,(VLOOKUP($B55,Inputs!$F$3:$H$17,3,0)*((1+Inputs!$L$3)^Financials!DJ$3)))</f>
        <v>9777.9548909977311</v>
      </c>
      <c r="DK55" s="18">
        <f>IF(DK$1&lt;CapEx!$O$7,0,(VLOOKUP($B55,Inputs!$F$3:$H$17,3,0)*((1+Inputs!$L$3)^Financials!DK$3)))</f>
        <v>9794.2514824827285</v>
      </c>
      <c r="DL55" s="18">
        <f>IF(DL$1&lt;CapEx!$O$7,0,(VLOOKUP($B55,Inputs!$F$3:$H$17,3,0)*((1+Inputs!$L$3)^Financials!DL$3)))</f>
        <v>9810.5752349535323</v>
      </c>
      <c r="DM55" s="18">
        <f>IF(DM$1&lt;CapEx!$O$7,0,(VLOOKUP($B55,Inputs!$F$3:$H$17,3,0)*((1+Inputs!$L$3)^Financials!DM$3)))</f>
        <v>9826.9261936784569</v>
      </c>
      <c r="DN55" s="18">
        <f>IF(DN$1&lt;CapEx!$O$7,0,(VLOOKUP($B55,Inputs!$F$3:$H$17,3,0)*((1+Inputs!$L$3)^Financials!DN$3)))</f>
        <v>9843.3044040012537</v>
      </c>
      <c r="DO55" s="18">
        <f>IF(DO$1&lt;CapEx!$O$7,0,(VLOOKUP($B55,Inputs!$F$3:$H$17,3,0)*((1+Inputs!$L$3)^Financials!DO$3)))</f>
        <v>9859.7099113412569</v>
      </c>
      <c r="DP55" s="18">
        <f>IF(DP$1&lt;CapEx!$O$7,0,(VLOOKUP($B55,Inputs!$F$3:$H$17,3,0)*((1+Inputs!$L$3)^Financials!DP$3)))</f>
        <v>9876.1427611934905</v>
      </c>
      <c r="DQ55" s="18">
        <f>IF(DQ$1&lt;CapEx!$O$7,0,(VLOOKUP($B55,Inputs!$F$3:$H$17,3,0)*((1+Inputs!$L$3)^Financials!DQ$3)))</f>
        <v>9892.602999128816</v>
      </c>
      <c r="DR55" s="18">
        <f>IF(DR$1&lt;CapEx!$O$7,0,(VLOOKUP($B55,Inputs!$F$3:$H$17,3,0)*((1+Inputs!$L$3)^Financials!DR$3)))</f>
        <v>9909.0906707940321</v>
      </c>
      <c r="DS55" s="18">
        <f>IF(DS$1&lt;CapEx!$O$7,0,(VLOOKUP($B55,Inputs!$F$3:$H$17,3,0)*((1+Inputs!$L$3)^Financials!DS$3)))</f>
        <v>9925.6058219120205</v>
      </c>
      <c r="DT55" s="18">
        <f>IF(DT$1&lt;CapEx!$O$7,0,(VLOOKUP($B55,Inputs!$F$3:$H$17,3,0)*((1+Inputs!$L$3)^Financials!DT$3)))</f>
        <v>9942.1484982818747</v>
      </c>
      <c r="DU55" s="18">
        <f>IF(DU$1&lt;CapEx!$O$7,0,(VLOOKUP($B55,Inputs!$F$3:$H$17,3,0)*((1+Inputs!$L$3)^Financials!DU$3)))</f>
        <v>9958.7187457790133</v>
      </c>
      <c r="DV55" s="18">
        <f>IF(DV$1&lt;CapEx!$O$7,0,(VLOOKUP($B55,Inputs!$F$3:$H$17,3,0)*((1+Inputs!$L$3)^Financials!DV$3)))</f>
        <v>9975.3166103553103</v>
      </c>
      <c r="DW55" s="18">
        <f>IF(DW$1&lt;CapEx!$O$7,0,(VLOOKUP($B55,Inputs!$F$3:$H$17,3,0)*((1+Inputs!$L$3)^Financials!DW$3)))</f>
        <v>9991.9421380392378</v>
      </c>
      <c r="DX55" s="18">
        <f>IF(DX$1&lt;CapEx!$O$7,0,(VLOOKUP($B55,Inputs!$F$3:$H$17,3,0)*((1+Inputs!$L$3)^Financials!DX$3)))</f>
        <v>10008.595374935972</v>
      </c>
      <c r="DY55" s="18">
        <f>IF(DY$1&lt;CapEx!$O$7,0,(VLOOKUP($B55,Inputs!$F$3:$H$17,3,0)*((1+Inputs!$L$3)^Financials!DY$3)))</f>
        <v>10025.276367227532</v>
      </c>
      <c r="DZ55" s="18">
        <f>IF(DZ$1&lt;CapEx!$O$7,0,(VLOOKUP($B55,Inputs!$F$3:$H$17,3,0)*((1+Inputs!$L$3)^Financials!DZ$3)))</f>
        <v>10041.985161172912</v>
      </c>
      <c r="EA55" s="18">
        <f>IF(EA$1&lt;CapEx!$O$7,0,(VLOOKUP($B55,Inputs!$F$3:$H$17,3,0)*((1+Inputs!$L$3)^Financials!EA$3)))</f>
        <v>10058.721803108201</v>
      </c>
      <c r="EB55" s="18">
        <f>IF(EB$1&lt;CapEx!$O$7,0,(VLOOKUP($B55,Inputs!$F$3:$H$17,3,0)*((1+Inputs!$L$3)^Financials!EB$3)))</f>
        <v>10075.486339446714</v>
      </c>
      <c r="EC55" s="18">
        <f>IF(EC$1&lt;CapEx!$O$7,0,(VLOOKUP($B55,Inputs!$F$3:$H$17,3,0)*((1+Inputs!$L$3)^Financials!EC$3)))</f>
        <v>10092.278816679127</v>
      </c>
      <c r="ED55" s="18">
        <f>IF(ED$1&lt;CapEx!$O$7,0,(VLOOKUP($B55,Inputs!$F$3:$H$17,3,0)*((1+Inputs!$L$3)^Financials!ED$3)))</f>
        <v>10109.099281373592</v>
      </c>
      <c r="EE55" s="18">
        <f>IF(EE$1&lt;CapEx!$O$7,0,(VLOOKUP($B55,Inputs!$F$3:$H$17,3,0)*((1+Inputs!$L$3)^Financials!EE$3)))</f>
        <v>10125.947780175884</v>
      </c>
      <c r="EF55" s="18">
        <f>IF(EF$1&lt;CapEx!$O$7,0,(VLOOKUP($B55,Inputs!$F$3:$H$17,3,0)*((1+Inputs!$L$3)^Financials!EF$3)))</f>
        <v>10142.824359809509</v>
      </c>
      <c r="EG55" s="18">
        <f>IF(EG$1&lt;CapEx!$O$7,0,(VLOOKUP($B55,Inputs!$F$3:$H$17,3,0)*((1+Inputs!$L$3)^Financials!EG$3)))</f>
        <v>10159.729067075859</v>
      </c>
      <c r="EH55" s="18">
        <f>IF(EH$1&lt;CapEx!$O$7,0,(VLOOKUP($B55,Inputs!$F$3:$H$17,3,0)*((1+Inputs!$L$3)^Financials!EH$3)))</f>
        <v>10176.661948854322</v>
      </c>
      <c r="EI55" s="18">
        <f>IF(EI$1&lt;CapEx!$O$7,0,(VLOOKUP($B55,Inputs!$F$3:$H$17,3,0)*((1+Inputs!$L$3)^Financials!EI$3)))</f>
        <v>10193.623052102412</v>
      </c>
      <c r="EJ55" s="18">
        <f>IF(EJ$1&lt;CapEx!$O$7,0,(VLOOKUP($B55,Inputs!$F$3:$H$17,3,0)*((1+Inputs!$L$3)^Financials!EJ$3)))</f>
        <v>10210.612423855917</v>
      </c>
      <c r="EK55" s="18">
        <f>IF(EK$1&lt;CapEx!$O$7,0,(VLOOKUP($B55,Inputs!$F$3:$H$17,3,0)*((1+Inputs!$L$3)^Financials!EK$3)))</f>
        <v>10227.630111229011</v>
      </c>
      <c r="EL55" s="18">
        <f>IF(EL$1&lt;CapEx!$O$7,0,(VLOOKUP($B55,Inputs!$F$3:$H$17,3,0)*((1+Inputs!$L$3)^Financials!EL$3)))</f>
        <v>10244.676161414391</v>
      </c>
      <c r="EM55" s="18">
        <f>IF(EM$1&lt;CapEx!$O$7,0,(VLOOKUP($B55,Inputs!$F$3:$H$17,3,0)*((1+Inputs!$L$3)^Financials!EM$3)))</f>
        <v>10261.750621683417</v>
      </c>
      <c r="EN55" s="18">
        <f>IF(EN$1&lt;CapEx!$O$7,0,(VLOOKUP($B55,Inputs!$F$3:$H$17,3,0)*((1+Inputs!$L$3)^Financials!EN$3)))</f>
        <v>10278.853539386222</v>
      </c>
      <c r="EO55" s="18">
        <f>IF(EO$1&lt;CapEx!$O$7,0,(VLOOKUP($B55,Inputs!$F$3:$H$17,3,0)*((1+Inputs!$L$3)^Financials!EO$3)))</f>
        <v>10295.98496195187</v>
      </c>
      <c r="EP55" s="18">
        <f>IF(EP$1&lt;CapEx!$O$7,0,(VLOOKUP($B55,Inputs!$F$3:$H$17,3,0)*((1+Inputs!$L$3)^Financials!EP$3)))</f>
        <v>10313.144936888457</v>
      </c>
      <c r="EQ55" s="18">
        <f>IF(EQ$1&lt;CapEx!$O$7,0,(VLOOKUP($B55,Inputs!$F$3:$H$17,3,0)*((1+Inputs!$L$3)^Financials!EQ$3)))</f>
        <v>10330.33351178327</v>
      </c>
      <c r="ER55" s="18">
        <f>IF(ER$1&lt;CapEx!$O$7,0,(VLOOKUP($B55,Inputs!$F$3:$H$17,3,0)*((1+Inputs!$L$3)^Financials!ER$3)))</f>
        <v>10347.550734302909</v>
      </c>
      <c r="ES55" s="18">
        <f>IF(ES$1&lt;CapEx!$O$7,0,(VLOOKUP($B55,Inputs!$F$3:$H$17,3,0)*((1+Inputs!$L$3)^Financials!ES$3)))</f>
        <v>10364.796652193416</v>
      </c>
      <c r="ET55" s="18">
        <f>IF(ET$1&lt;CapEx!$O$7,0,(VLOOKUP($B55,Inputs!$F$3:$H$17,3,0)*((1+Inputs!$L$3)^Financials!ET$3)))</f>
        <v>10382.071313280407</v>
      </c>
      <c r="EU55" s="18">
        <f>IF(EU$1&lt;CapEx!$O$7,0,(VLOOKUP($B55,Inputs!$F$3:$H$17,3,0)*((1+Inputs!$L$3)^Financials!EU$3)))</f>
        <v>10399.374765469205</v>
      </c>
      <c r="EV55" s="18">
        <f>IF(EV$1&lt;CapEx!$O$7,0,(VLOOKUP($B55,Inputs!$F$3:$H$17,3,0)*((1+Inputs!$L$3)^Financials!EV$3)))</f>
        <v>10416.707056744988</v>
      </c>
      <c r="EW55" s="18">
        <f>IF(EW$1&lt;CapEx!$O$7,0,(VLOOKUP($B55,Inputs!$F$3:$H$17,3,0)*((1+Inputs!$L$3)^Financials!EW$3)))</f>
        <v>10434.068235172897</v>
      </c>
      <c r="EX55" s="18">
        <f>IF(EX$1&lt;CapEx!$O$7,0,(VLOOKUP($B55,Inputs!$F$3:$H$17,3,0)*((1+Inputs!$L$3)^Financials!EX$3)))</f>
        <v>10451.458348898188</v>
      </c>
      <c r="EY55" s="18">
        <f>IF(EY$1&lt;CapEx!$O$7,0,(VLOOKUP($B55,Inputs!$F$3:$H$17,3,0)*((1+Inputs!$L$3)^Financials!EY$3)))</f>
        <v>10468.877446146351</v>
      </c>
      <c r="EZ55" s="18">
        <f>IF(EZ$1&lt;CapEx!$O$7,0,(VLOOKUP($B55,Inputs!$F$3:$H$17,3,0)*((1+Inputs!$L$3)^Financials!EZ$3)))</f>
        <v>10486.325575223262</v>
      </c>
      <c r="FA55" s="18">
        <f>IF(FA$1&lt;CapEx!$O$7,0,(VLOOKUP($B55,Inputs!$F$3:$H$17,3,0)*((1+Inputs!$L$3)^Financials!FA$3)))</f>
        <v>10503.802784515303</v>
      </c>
      <c r="FB55" s="18">
        <f>IF(FB$1&lt;CapEx!$O$7,0,(VLOOKUP($B55,Inputs!$F$3:$H$17,3,0)*((1+Inputs!$L$3)^Financials!FB$3)))</f>
        <v>10521.309122489494</v>
      </c>
      <c r="FC55" s="18">
        <f>IF(FC$1&lt;CapEx!$O$7,0,(VLOOKUP($B55,Inputs!$F$3:$H$17,3,0)*((1+Inputs!$L$3)^Financials!FC$3)))</f>
        <v>10538.844637693644</v>
      </c>
      <c r="FD55" s="18">
        <f>IF(FD$1&lt;CapEx!$O$7,0,(VLOOKUP($B55,Inputs!$F$3:$H$17,3,0)*((1+Inputs!$L$3)^Financials!FD$3)))</f>
        <v>10556.409378756469</v>
      </c>
      <c r="FE55" s="18">
        <f>IF(FE$1&lt;CapEx!$O$7,0,(VLOOKUP($B55,Inputs!$F$3:$H$17,3,0)*((1+Inputs!$L$3)^Financials!FE$3)))</f>
        <v>10574.00339438773</v>
      </c>
      <c r="FF55" s="18">
        <f>IF(FF$1&lt;CapEx!$O$7,0,(VLOOKUP($B55,Inputs!$F$3:$H$17,3,0)*((1+Inputs!$L$3)^Financials!FF$3)))</f>
        <v>10591.626733378378</v>
      </c>
      <c r="FG55" s="18">
        <f>IF(FG$1&lt;CapEx!$O$7,0,(VLOOKUP($B55,Inputs!$F$3:$H$17,3,0)*((1+Inputs!$L$3)^Financials!FG$3)))</f>
        <v>10609.279444600676</v>
      </c>
      <c r="FH55" s="18">
        <f>IF(FH$1&lt;CapEx!$O$7,0,(VLOOKUP($B55,Inputs!$F$3:$H$17,3,0)*((1+Inputs!$L$3)^Financials!FH$3)))</f>
        <v>10626.961577008344</v>
      </c>
      <c r="FI55" s="18">
        <f>IF(FI$1&lt;CapEx!$O$7,0,(VLOOKUP($B55,Inputs!$F$3:$H$17,3,0)*((1+Inputs!$L$3)^Financials!FI$3)))</f>
        <v>10644.673179636693</v>
      </c>
      <c r="FJ55" s="18">
        <f>IF(FJ$1&lt;CapEx!$O$7,0,(VLOOKUP($B55,Inputs!$F$3:$H$17,3,0)*((1+Inputs!$L$3)^Financials!FJ$3)))</f>
        <v>10662.414301602752</v>
      </c>
      <c r="FK55" s="18">
        <f>IF(FK$1&lt;CapEx!$O$7,0,(VLOOKUP($B55,Inputs!$F$3:$H$17,3,0)*((1+Inputs!$L$3)^Financials!FK$3)))</f>
        <v>10680.184992105427</v>
      </c>
      <c r="FL55" s="18">
        <f>IF(FL$1&lt;CapEx!$O$7,0,(VLOOKUP($B55,Inputs!$F$3:$H$17,3,0)*((1+Inputs!$L$3)^Financials!FL$3)))</f>
        <v>10697.9853004256</v>
      </c>
      <c r="FM55" s="18">
        <f>IF(FM$1&lt;CapEx!$O$7,0,(VLOOKUP($B55,Inputs!$F$3:$H$17,3,0)*((1+Inputs!$L$3)^Financials!FM$3)))</f>
        <v>10715.81527592631</v>
      </c>
      <c r="FN55" s="18">
        <f>IF(FN$1&lt;CapEx!$O$7,0,(VLOOKUP($B55,Inputs!$F$3:$H$17,3,0)*((1+Inputs!$L$3)^Financials!FN$3)))</f>
        <v>10733.674968052857</v>
      </c>
      <c r="FO55" s="18">
        <f>IF(FO$1&lt;CapEx!$O$7,0,(VLOOKUP($B55,Inputs!$F$3:$H$17,3,0)*((1+Inputs!$L$3)^Financials!FO$3)))</f>
        <v>10751.564426332945</v>
      </c>
      <c r="FP55" s="18">
        <f>IF(FP$1&lt;CapEx!$O$7,0,(VLOOKUP($B55,Inputs!$F$3:$H$17,3,0)*((1+Inputs!$L$3)^Financials!FP$3)))</f>
        <v>10769.483700376833</v>
      </c>
      <c r="FQ55" s="18">
        <f>IF(FQ$1&lt;CapEx!$O$7,0,(VLOOKUP($B55,Inputs!$F$3:$H$17,3,0)*((1+Inputs!$L$3)^Financials!FQ$3)))</f>
        <v>10787.432839877463</v>
      </c>
      <c r="FR55" s="18">
        <f>IF(FR$1&lt;CapEx!$O$7,0,(VLOOKUP($B55,Inputs!$F$3:$H$17,3,0)*((1+Inputs!$L$3)^Financials!FR$3)))</f>
        <v>10805.411894610592</v>
      </c>
      <c r="FS55" s="18">
        <f>IF(FS$1&lt;CapEx!$O$7,0,(VLOOKUP($B55,Inputs!$F$3:$H$17,3,0)*((1+Inputs!$L$3)^Financials!FS$3)))</f>
        <v>10823.420914434946</v>
      </c>
      <c r="FT55" s="18">
        <f>IF(FT$1&lt;CapEx!$O$7,0,(VLOOKUP($B55,Inputs!$F$3:$H$17,3,0)*((1+Inputs!$L$3)^Financials!FT$3)))</f>
        <v>10841.459949292335</v>
      </c>
      <c r="FU55" s="18">
        <f>IF(FU$1&lt;CapEx!$O$7,0,(VLOOKUP($B55,Inputs!$F$3:$H$17,3,0)*((1+Inputs!$L$3)^Financials!FU$3)))</f>
        <v>10859.529049207826</v>
      </c>
      <c r="FV55" s="18">
        <f>IF(FV$1&lt;CapEx!$O$7,0,(VLOOKUP($B55,Inputs!$F$3:$H$17,3,0)*((1+Inputs!$L$3)^Financials!FV$3)))</f>
        <v>10877.628264289839</v>
      </c>
      <c r="FW55" s="18">
        <f>IF(FW$1&lt;CapEx!$O$7,0,(VLOOKUP($B55,Inputs!$F$3:$H$17,3,0)*((1+Inputs!$L$3)^Financials!FW$3)))</f>
        <v>10895.757644730324</v>
      </c>
      <c r="FX55" s="18">
        <f>IF(FX$1&lt;CapEx!$O$7,0,(VLOOKUP($B55,Inputs!$F$3:$H$17,3,0)*((1+Inputs!$L$3)^Financials!FX$3)))</f>
        <v>10913.917240804874</v>
      </c>
      <c r="FY55" s="18">
        <f>IF(FY$1&lt;CapEx!$O$7,0,(VLOOKUP($B55,Inputs!$F$3:$H$17,3,0)*((1+Inputs!$L$3)^Financials!FY$3)))</f>
        <v>10932.107102872884</v>
      </c>
      <c r="FZ55" s="18">
        <f>IF(FZ$1&lt;CapEx!$O$7,0,(VLOOKUP($B55,Inputs!$F$3:$H$17,3,0)*((1+Inputs!$L$3)^Financials!FZ$3)))</f>
        <v>10950.327281377673</v>
      </c>
      <c r="GA55" s="18">
        <f>IF(GA$1&lt;CapEx!$O$7,0,(VLOOKUP($B55,Inputs!$F$3:$H$17,3,0)*((1+Inputs!$L$3)^Financials!GA$3)))</f>
        <v>10968.577826846637</v>
      </c>
      <c r="GB55" s="18">
        <f>IF(GB$1&lt;CapEx!$O$7,0,(VLOOKUP($B55,Inputs!$F$3:$H$17,3,0)*((1+Inputs!$L$3)^Financials!GB$3)))</f>
        <v>10986.858789891381</v>
      </c>
      <c r="GC55" s="18">
        <f>IF(GC$1&lt;CapEx!$O$7,0,(VLOOKUP($B55,Inputs!$F$3:$H$17,3,0)*((1+Inputs!$L$3)^Financials!GC$3)))</f>
        <v>11005.170221207867</v>
      </c>
      <c r="GD55" s="18">
        <f>IF(GD$1&lt;CapEx!$O$7,0,(VLOOKUP($B55,Inputs!$F$3:$H$17,3,0)*((1+Inputs!$L$3)^Financials!GD$3)))</f>
        <v>11023.512171576551</v>
      </c>
      <c r="GE55" s="18">
        <f>IF(GE$1&lt;CapEx!$O$7,0,(VLOOKUP($B55,Inputs!$F$3:$H$17,3,0)*((1+Inputs!$L$3)^Financials!GE$3)))</f>
        <v>11041.884691862509</v>
      </c>
      <c r="GF55" s="18">
        <f>IF(GF$1&lt;CapEx!$O$7,0,(VLOOKUP($B55,Inputs!$F$3:$H$17,3,0)*((1+Inputs!$L$3)^Financials!GF$3)))</f>
        <v>11060.287833015613</v>
      </c>
      <c r="GG55" s="18">
        <f>IF(GG$1&lt;CapEx!$O$7,0,(VLOOKUP($B55,Inputs!$F$3:$H$17,3,0)*((1+Inputs!$L$3)^Financials!GG$3)))</f>
        <v>11078.72164607064</v>
      </c>
      <c r="GH55" s="18">
        <f>IF(GH$1&lt;CapEx!$O$7,0,(VLOOKUP($B55,Inputs!$F$3:$H$17,3,0)*((1+Inputs!$L$3)^Financials!GH$3)))</f>
        <v>11097.186182147425</v>
      </c>
      <c r="GI55" s="18">
        <f>IF(GI$1&lt;CapEx!$O$7,0,(VLOOKUP($B55,Inputs!$F$3:$H$17,3,0)*((1+Inputs!$L$3)^Financials!GI$3)))</f>
        <v>11115.681492451005</v>
      </c>
      <c r="GJ55" s="18">
        <f>IF(GJ$1&lt;CapEx!$O$7,0,(VLOOKUP($B55,Inputs!$F$3:$H$17,3,0)*((1+Inputs!$L$3)^Financials!GJ$3)))</f>
        <v>11134.207628271757</v>
      </c>
      <c r="GK55" s="18">
        <f>IF(GK$1&lt;CapEx!$O$7,0,(VLOOKUP($B55,Inputs!$F$3:$H$17,3,0)*((1+Inputs!$L$3)^Financials!GK$3)))</f>
        <v>11152.764640985546</v>
      </c>
      <c r="GL55" s="18">
        <f>IF(GL$1&lt;CapEx!$O$7,0,(VLOOKUP($B55,Inputs!$F$3:$H$17,3,0)*((1+Inputs!$L$3)^Financials!GL$3)))</f>
        <v>11171.352582053856</v>
      </c>
      <c r="GM55" s="18">
        <f>IF(GM$1&lt;CapEx!$O$7,0,(VLOOKUP($B55,Inputs!$F$3:$H$17,3,0)*((1+Inputs!$L$3)^Financials!GM$3)))</f>
        <v>11189.971503023946</v>
      </c>
      <c r="GN55" s="18">
        <f>IF(GN$1&lt;CapEx!$O$7,0,(VLOOKUP($B55,Inputs!$F$3:$H$17,3,0)*((1+Inputs!$L$3)^Financials!GN$3)))</f>
        <v>11208.621455528986</v>
      </c>
      <c r="GO55" s="18">
        <f>IF(GO$1&lt;CapEx!$O$7,0,(VLOOKUP($B55,Inputs!$F$3:$H$17,3,0)*((1+Inputs!$L$3)^Financials!GO$3)))</f>
        <v>11227.302491288203</v>
      </c>
      <c r="GP55" s="18">
        <f>IF(GP$1&lt;CapEx!$O$7,0,(VLOOKUP($B55,Inputs!$F$3:$H$17,3,0)*((1+Inputs!$L$3)^Financials!GP$3)))</f>
        <v>11246.014662107016</v>
      </c>
      <c r="GQ55" s="18">
        <f>IF(GQ$1&lt;CapEx!$O$7,0,(VLOOKUP($B55,Inputs!$F$3:$H$17,3,0)*((1+Inputs!$L$3)^Financials!GQ$3)))</f>
        <v>11264.758019877196</v>
      </c>
      <c r="GR55" s="18">
        <f>IF(GR$1&lt;CapEx!$O$7,0,(VLOOKUP($B55,Inputs!$F$3:$H$17,3,0)*((1+Inputs!$L$3)^Financials!GR$3)))</f>
        <v>11283.532616576991</v>
      </c>
      <c r="GS55" s="18">
        <f>IF(GS$1&lt;CapEx!$O$7,0,(VLOOKUP($B55,Inputs!$F$3:$H$17,3,0)*((1+Inputs!$L$3)^Financials!GS$3)))</f>
        <v>11302.338504271287</v>
      </c>
      <c r="GT55" s="18">
        <f>IF(GT$1&lt;CapEx!$O$7,0,(VLOOKUP($B55,Inputs!$F$3:$H$17,3,0)*((1+Inputs!$L$3)^Financials!GT$3)))</f>
        <v>11321.175735111743</v>
      </c>
      <c r="GU55" s="18">
        <f>IF(GU$1&lt;CapEx!$O$7,0,(VLOOKUP($B55,Inputs!$F$3:$H$17,3,0)*((1+Inputs!$L$3)^Financials!GU$3)))</f>
        <v>11340.044361336926</v>
      </c>
      <c r="GV55" s="18">
        <f>IF(GV$1&lt;CapEx!$O$7,0,(VLOOKUP($B55,Inputs!$F$3:$H$17,3,0)*((1+Inputs!$L$3)^Financials!GV$3)))</f>
        <v>11358.944435272489</v>
      </c>
      <c r="GW55" s="18">
        <f>IF(GW$1&lt;CapEx!$O$7,0,(VLOOKUP($B55,Inputs!$F$3:$H$17,3,0)*((1+Inputs!$L$3)^Financials!GW$3)))</f>
        <v>11377.876009331278</v>
      </c>
      <c r="GX55" s="18">
        <f>IF(GX$1&lt;CapEx!$O$7,0,(VLOOKUP($B55,Inputs!$F$3:$H$17,3,0)*((1+Inputs!$L$3)^Financials!GX$3)))</f>
        <v>11396.839136013497</v>
      </c>
      <c r="GY55" s="18">
        <f>IF(GY$1&lt;CapEx!$O$7,0,(VLOOKUP($B55,Inputs!$F$3:$H$17,3,0)*((1+Inputs!$L$3)^Financials!GY$3)))</f>
        <v>11415.833867906855</v>
      </c>
      <c r="GZ55" s="18">
        <f>IF(GZ$1&lt;CapEx!$O$7,0,(VLOOKUP($B55,Inputs!$F$3:$H$17,3,0)*((1+Inputs!$L$3)^Financials!GZ$3)))</f>
        <v>11434.8602576867</v>
      </c>
      <c r="HA55" s="18">
        <f>IF(HA$1&lt;CapEx!$O$7,0,(VLOOKUP($B55,Inputs!$F$3:$H$17,3,0)*((1+Inputs!$L$3)^Financials!HA$3)))</f>
        <v>11453.91835811618</v>
      </c>
      <c r="HB55" s="18">
        <f>IF(HB$1&lt;CapEx!$O$7,0,(VLOOKUP($B55,Inputs!$F$3:$H$17,3,0)*((1+Inputs!$L$3)^Financials!HB$3)))</f>
        <v>11473.008222046374</v>
      </c>
      <c r="HC55" s="18">
        <f>IF(HC$1&lt;CapEx!$O$7,0,(VLOOKUP($B55,Inputs!$F$3:$H$17,3,0)*((1+Inputs!$L$3)^Financials!HC$3)))</f>
        <v>11492.129902416453</v>
      </c>
      <c r="HD55" s="18">
        <f>IF(HD$1&lt;CapEx!$O$7,0,(VLOOKUP($B55,Inputs!$F$3:$H$17,3,0)*((1+Inputs!$L$3)^Financials!HD$3)))</f>
        <v>11511.283452253812</v>
      </c>
      <c r="HE55" s="18">
        <f>IF(HE$1&lt;CapEx!$O$7,0,(VLOOKUP($B55,Inputs!$F$3:$H$17,3,0)*((1+Inputs!$L$3)^Financials!HE$3)))</f>
        <v>11530.468924674236</v>
      </c>
      <c r="HF55" s="18">
        <f>IF(HF$1&lt;CapEx!$O$7,0,(VLOOKUP($B55,Inputs!$F$3:$H$17,3,0)*((1+Inputs!$L$3)^Financials!HF$3)))</f>
        <v>11549.686372882028</v>
      </c>
      <c r="HG55" s="18">
        <f>IF(HG$1&lt;CapEx!$O$7,0,(VLOOKUP($B55,Inputs!$F$3:$H$17,3,0)*((1+Inputs!$L$3)^Financials!HG$3)))</f>
        <v>11568.935850170163</v>
      </c>
      <c r="HH55" s="18">
        <f>IF(HH$1&lt;CapEx!$O$7,0,(VLOOKUP($B55,Inputs!$F$3:$H$17,3,0)*((1+Inputs!$L$3)^Financials!HH$3)))</f>
        <v>11588.217409920448</v>
      </c>
      <c r="HI55" s="18">
        <f>IF(HI$1&lt;CapEx!$O$7,0,(VLOOKUP($B55,Inputs!$F$3:$H$17,3,0)*((1+Inputs!$L$3)^Financials!HI$3)))</f>
        <v>11607.53110560365</v>
      </c>
      <c r="HJ55" s="18">
        <f>IF(HJ$1&lt;CapEx!$O$7,0,(VLOOKUP($B55,Inputs!$F$3:$H$17,3,0)*((1+Inputs!$L$3)^Financials!HJ$3)))</f>
        <v>11626.876990779658</v>
      </c>
      <c r="HK55" s="18">
        <f>IF(HK$1&lt;CapEx!$O$7,0,(VLOOKUP($B55,Inputs!$F$3:$H$17,3,0)*((1+Inputs!$L$3)^Financials!HK$3)))</f>
        <v>11646.255119097623</v>
      </c>
      <c r="HL55" s="18">
        <f>IF(HL$1&lt;CapEx!$O$7,0,(VLOOKUP($B55,Inputs!$F$3:$H$17,3,0)*((1+Inputs!$L$3)^Financials!HL$3)))</f>
        <v>11665.665544296122</v>
      </c>
      <c r="HM55" s="18">
        <f>IF(HM$1&lt;CapEx!$O$7,0,(VLOOKUP($B55,Inputs!$F$3:$H$17,3,0)*((1+Inputs!$L$3)^Financials!HM$3)))</f>
        <v>11685.108320203282</v>
      </c>
      <c r="HN55" s="18">
        <f>IF(HN$1&lt;CapEx!$O$7,0,(VLOOKUP($B55,Inputs!$F$3:$H$17,3,0)*((1+Inputs!$L$3)^Financials!HN$3)))</f>
        <v>11704.583500736955</v>
      </c>
      <c r="HO55" s="18">
        <f>IF(HO$1&lt;CapEx!$O$7,0,(VLOOKUP($B55,Inputs!$F$3:$H$17,3,0)*((1+Inputs!$L$3)^Financials!HO$3)))</f>
        <v>11724.091139904851</v>
      </c>
      <c r="HP55" s="18">
        <f>IF(HP$1&lt;CapEx!$O$7,0,(VLOOKUP($B55,Inputs!$F$3:$H$17,3,0)*((1+Inputs!$L$3)^Financials!HP$3)))</f>
        <v>11743.631291804693</v>
      </c>
      <c r="HQ55" s="18">
        <f>IF(HQ$1&lt;CapEx!$O$7,0,(VLOOKUP($B55,Inputs!$F$3:$H$17,3,0)*((1+Inputs!$L$3)^Financials!HQ$3)))</f>
        <v>11763.204010624366</v>
      </c>
      <c r="HR55" s="18">
        <f>IF(HR$1&lt;CapEx!$O$7,0,(VLOOKUP($B55,Inputs!$F$3:$H$17,3,0)*((1+Inputs!$L$3)^Financials!HR$3)))</f>
        <v>11782.809350642077</v>
      </c>
      <c r="HS55" s="18">
        <f>IF(HS$1&lt;CapEx!$O$7,0,(VLOOKUP($B55,Inputs!$F$3:$H$17,3,0)*((1+Inputs!$L$3)^Financials!HS$3)))</f>
        <v>11802.447366226481</v>
      </c>
      <c r="HT55" s="18">
        <f>IF(HT$1&lt;CapEx!$O$7,0,(VLOOKUP($B55,Inputs!$F$3:$H$17,3,0)*((1+Inputs!$L$3)^Financials!HT$3)))</f>
        <v>11822.118111836857</v>
      </c>
      <c r="HU55" s="18">
        <f>IF(HU$1&lt;CapEx!$O$7,0,(VLOOKUP($B55,Inputs!$F$3:$H$17,3,0)*((1+Inputs!$L$3)^Financials!HU$3)))</f>
        <v>11841.821642023255</v>
      </c>
      <c r="HV55" s="18">
        <f>IF(HV$1&lt;CapEx!$O$7,0,(VLOOKUP($B55,Inputs!$F$3:$H$17,3,0)*((1+Inputs!$L$3)^Financials!HV$3)))</f>
        <v>11861.558011426629</v>
      </c>
      <c r="HW55" s="18">
        <f>IF(HW$1&lt;CapEx!$O$7,0,(VLOOKUP($B55,Inputs!$F$3:$H$17,3,0)*((1+Inputs!$L$3)^Financials!HW$3)))</f>
        <v>11881.327274779009</v>
      </c>
      <c r="HX55" s="18">
        <f>IF(HX$1&lt;CapEx!$O$7,0,(VLOOKUP($B55,Inputs!$F$3:$H$17,3,0)*((1+Inputs!$L$3)^Financials!HX$3)))</f>
        <v>11901.129486903637</v>
      </c>
      <c r="HY55" s="18">
        <f>IF(HY$1&lt;CapEx!$O$7,0,(VLOOKUP($B55,Inputs!$F$3:$H$17,3,0)*((1+Inputs!$L$3)^Financials!HY$3)))</f>
        <v>11920.964702715146</v>
      </c>
      <c r="HZ55" s="18">
        <f>IF(HZ$1&lt;CapEx!$O$7,0,(VLOOKUP($B55,Inputs!$F$3:$H$17,3,0)*((1+Inputs!$L$3)^Financials!HZ$3)))</f>
        <v>11940.832977219674</v>
      </c>
      <c r="IA55" s="18">
        <f>IF(IA$1&lt;CapEx!$O$7,0,(VLOOKUP($B55,Inputs!$F$3:$H$17,3,0)*((1+Inputs!$L$3)^Financials!IA$3)))</f>
        <v>11960.734365515038</v>
      </c>
      <c r="IB55" s="18">
        <f>IF(IB$1&lt;CapEx!$O$7,0,(VLOOKUP($B55,Inputs!$F$3:$H$17,3,0)*((1+Inputs!$L$3)^Financials!IB$3)))</f>
        <v>11980.668922790896</v>
      </c>
      <c r="IC55" s="18">
        <f>IF(IC$1&lt;CapEx!$O$7,0,(VLOOKUP($B55,Inputs!$F$3:$H$17,3,0)*((1+Inputs!$L$3)^Financials!IC$3)))</f>
        <v>12000.636704328883</v>
      </c>
      <c r="ID55" s="18">
        <f>IF(ID$1&lt;CapEx!$O$7,0,(VLOOKUP($B55,Inputs!$F$3:$H$17,3,0)*((1+Inputs!$L$3)^Financials!ID$3)))</f>
        <v>12020.637765502766</v>
      </c>
      <c r="IE55" s="18">
        <f>IF(IE$1&lt;CapEx!$O$7,0,(VLOOKUP($B55,Inputs!$F$3:$H$17,3,0)*((1+Inputs!$L$3)^Financials!IE$3)))</f>
        <v>12040.672161778606</v>
      </c>
      <c r="IF55" s="18">
        <f>IF(IF$1&lt;CapEx!$O$7,0,(VLOOKUP($B55,Inputs!$F$3:$H$17,3,0)*((1+Inputs!$L$3)^Financials!IF$3)))</f>
        <v>12060.739948714901</v>
      </c>
      <c r="IG55" s="18">
        <f>IF(IG$1&lt;CapEx!$O$7,0,(VLOOKUP($B55,Inputs!$F$3:$H$17,3,0)*((1+Inputs!$L$3)^Financials!IG$3)))</f>
        <v>12080.841181962762</v>
      </c>
      <c r="IH55" s="18">
        <f>IF(IH$1&lt;CapEx!$O$7,0,(VLOOKUP($B55,Inputs!$F$3:$H$17,3,0)*((1+Inputs!$L$3)^Financials!IH$3)))</f>
        <v>12100.975917266038</v>
      </c>
      <c r="II55" s="18">
        <f>IF(II$1&lt;CapEx!$O$7,0,(VLOOKUP($B55,Inputs!$F$3:$H$17,3,0)*((1+Inputs!$L$3)^Financials!II$3)))</f>
        <v>12121.144210461482</v>
      </c>
      <c r="IJ55" s="18">
        <f>IF(IJ$1&lt;CapEx!$O$7,0,(VLOOKUP($B55,Inputs!$F$3:$H$17,3,0)*((1+Inputs!$L$3)^Financials!IJ$3)))</f>
        <v>12141.346117478915</v>
      </c>
      <c r="IK55" s="18">
        <f>IF(IK$1&lt;CapEx!$O$7,0,(VLOOKUP($B55,Inputs!$F$3:$H$17,3,0)*((1+Inputs!$L$3)^Financials!IK$3)))</f>
        <v>12161.581694341383</v>
      </c>
      <c r="IL55" s="18">
        <f>IF(IL$1&lt;CapEx!$O$7,0,(VLOOKUP($B55,Inputs!$F$3:$H$17,3,0)*((1+Inputs!$L$3)^Financials!IL$3)))</f>
        <v>12181.850997165284</v>
      </c>
      <c r="IM55" s="18">
        <f>IF(IM$1&lt;CapEx!$O$7,0,(VLOOKUP($B55,Inputs!$F$3:$H$17,3,0)*((1+Inputs!$L$3)^Financials!IM$3)))</f>
        <v>12202.154082160561</v>
      </c>
      <c r="IN55" s="18">
        <f>IF(IN$1&lt;CapEx!$O$7,0,(VLOOKUP($B55,Inputs!$F$3:$H$17,3,0)*((1+Inputs!$L$3)^Financials!IN$3)))</f>
        <v>12222.491005630827</v>
      </c>
      <c r="IO55" s="18">
        <f>IF(IO$1&lt;CapEx!$O$7,0,(VLOOKUP($B55,Inputs!$F$3:$H$17,3,0)*((1+Inputs!$L$3)^Financials!IO$3)))</f>
        <v>12242.86182397355</v>
      </c>
      <c r="IP55" s="18">
        <f>IF(IP$1&lt;CapEx!$O$7,0,(VLOOKUP($B55,Inputs!$F$3:$H$17,3,0)*((1+Inputs!$L$3)^Financials!IP$3)))</f>
        <v>12263.266593680173</v>
      </c>
      <c r="IQ55" s="18">
        <f>IF(IQ$1&lt;CapEx!$O$7,0,(VLOOKUP($B55,Inputs!$F$3:$H$17,3,0)*((1+Inputs!$L$3)^Financials!IQ$3)))</f>
        <v>12283.705371336304</v>
      </c>
      <c r="IR55" s="18">
        <f>IF(IR$1&lt;CapEx!$O$7,0,(VLOOKUP($B55,Inputs!$F$3:$H$17,3,0)*((1+Inputs!$L$3)^Financials!IR$3)))</f>
        <v>12304.178213621864</v>
      </c>
      <c r="IS55" s="18">
        <f>IF(IS$1&lt;CapEx!$O$7,0,(VLOOKUP($B55,Inputs!$F$3:$H$17,3,0)*((1+Inputs!$L$3)^Financials!IS$3)))</f>
        <v>12324.685177311238</v>
      </c>
      <c r="IT55" s="18">
        <f>IF(IT$1&lt;CapEx!$O$7,0,(VLOOKUP($B55,Inputs!$F$3:$H$17,3,0)*((1+Inputs!$L$3)^Financials!IT$3)))</f>
        <v>12345.226319273421</v>
      </c>
      <c r="IU55" s="18">
        <f>IF(IU$1&lt;CapEx!$O$7,0,(VLOOKUP($B55,Inputs!$F$3:$H$17,3,0)*((1+Inputs!$L$3)^Financials!IU$3)))</f>
        <v>12365.801696472214</v>
      </c>
      <c r="IV55" s="18">
        <f>IF(IV$1&lt;CapEx!$O$7,0,(VLOOKUP($B55,Inputs!$F$3:$H$17,3,0)*((1+Inputs!$L$3)^Financials!IV$3)))</f>
        <v>12386.411365966334</v>
      </c>
      <c r="IW55" s="18">
        <f>IF(IW$1&lt;CapEx!$O$7,0,(VLOOKUP($B55,Inputs!$F$3:$H$17,3,0)*((1+Inputs!$L$3)^Financials!IW$3)))</f>
        <v>12407.055384909612</v>
      </c>
      <c r="IX55" s="18">
        <f>IF(IX$1&lt;CapEx!$O$7,0,(VLOOKUP($B55,Inputs!$F$3:$H$17,3,0)*((1+Inputs!$L$3)^Financials!IX$3)))</f>
        <v>12427.733810551132</v>
      </c>
      <c r="IY55" s="18">
        <f>IF(IY$1&lt;CapEx!$O$7,0,(VLOOKUP($B55,Inputs!$F$3:$H$17,3,0)*((1+Inputs!$L$3)^Financials!IY$3)))</f>
        <v>12448.446700235383</v>
      </c>
      <c r="IZ55" s="18">
        <f>IF(IZ$1&lt;CapEx!$O$7,0,(VLOOKUP($B55,Inputs!$F$3:$H$17,3,0)*((1+Inputs!$L$3)^Financials!IZ$3)))</f>
        <v>12469.194111402441</v>
      </c>
      <c r="JA55" s="18">
        <f>IF(JA$1&lt;CapEx!$O$7,0,(VLOOKUP($B55,Inputs!$F$3:$H$17,3,0)*((1+Inputs!$L$3)^Financials!JA$3)))</f>
        <v>12489.976101588116</v>
      </c>
      <c r="JB55" s="18">
        <f>IF(JB$1&lt;CapEx!$O$7,0,(VLOOKUP($B55,Inputs!$F$3:$H$17,3,0)*((1+Inputs!$L$3)^Financials!JB$3)))</f>
        <v>12510.792728424096</v>
      </c>
      <c r="JC55" s="18">
        <f>IF(JC$1&lt;CapEx!$O$7,0,(VLOOKUP($B55,Inputs!$F$3:$H$17,3,0)*((1+Inputs!$L$3)^Financials!JC$3)))</f>
        <v>12531.644049638138</v>
      </c>
      <c r="JD55" s="18">
        <f>IF(JD$1&lt;CapEx!$O$7,0,(VLOOKUP($B55,Inputs!$F$3:$H$17,3,0)*((1+Inputs!$L$3)^Financials!JD$3)))</f>
        <v>12552.530123054199</v>
      </c>
      <c r="JE55" s="18">
        <f>IF(JE$1&lt;CapEx!$O$7,0,(VLOOKUP($B55,Inputs!$F$3:$H$17,3,0)*((1+Inputs!$L$3)^Financials!JE$3)))</f>
        <v>12573.451006592624</v>
      </c>
      <c r="JF55" s="18">
        <f>IF(JF$1&lt;CapEx!$O$7,0,(VLOOKUP($B55,Inputs!$F$3:$H$17,3,0)*((1+Inputs!$L$3)^Financials!JF$3)))</f>
        <v>12594.406758270281</v>
      </c>
      <c r="JG55" s="18">
        <f>IF(JG$1&lt;CapEx!$O$7,0,(VLOOKUP($B55,Inputs!$F$3:$H$17,3,0)*((1+Inputs!$L$3)^Financials!JG$3)))</f>
        <v>12615.397436200732</v>
      </c>
      <c r="JH55" s="18">
        <f>IF(JH$1&lt;CapEx!$O$7,0,(VLOOKUP($B55,Inputs!$F$3:$H$17,3,0)*((1+Inputs!$L$3)^Financials!JH$3)))</f>
        <v>12636.423098594401</v>
      </c>
      <c r="JI55" s="18">
        <f>IF(JI$1&lt;CapEx!$O$7,0,(VLOOKUP($B55,Inputs!$F$3:$H$17,3,0)*((1+Inputs!$L$3)^Financials!JI$3)))</f>
        <v>12657.483803758727</v>
      </c>
      <c r="JJ55" s="18">
        <f>IF(JJ$1&lt;CapEx!$O$7,0,(VLOOKUP($B55,Inputs!$F$3:$H$17,3,0)*((1+Inputs!$L$3)^Financials!JJ$3)))</f>
        <v>12678.579610098323</v>
      </c>
      <c r="JK55" s="18">
        <f>IF(JK$1&lt;CapEx!$O$7,0,(VLOOKUP($B55,Inputs!$F$3:$H$17,3,0)*((1+Inputs!$L$3)^Financials!JK$3)))</f>
        <v>12699.710576115156</v>
      </c>
      <c r="JL55" s="18">
        <f>IF(JL$1&lt;CapEx!$O$7,0,(VLOOKUP($B55,Inputs!$F$3:$H$17,3,0)*((1+Inputs!$L$3)^Financials!JL$3)))</f>
        <v>12720.876760408681</v>
      </c>
      <c r="JM55" s="18">
        <f>IF(JM$1&lt;CapEx!$O$7,0,(VLOOKUP($B55,Inputs!$F$3:$H$17,3,0)*((1+Inputs!$L$3)^Financials!JM$3)))</f>
        <v>12742.078221676031</v>
      </c>
      <c r="JN55" s="18">
        <f>IF(JN$1&lt;CapEx!$O$7,0,(VLOOKUP($B55,Inputs!$F$3:$H$17,3,0)*((1+Inputs!$L$3)^Financials!JN$3)))</f>
        <v>12763.315018712159</v>
      </c>
      <c r="JO55" s="18">
        <f>IF(JO$1&lt;CapEx!$O$7,0,(VLOOKUP($B55,Inputs!$F$3:$H$17,3,0)*((1+Inputs!$L$3)^Financials!JO$3)))</f>
        <v>12784.587210410013</v>
      </c>
      <c r="JP55" s="18">
        <f>IF(JP$1&lt;CapEx!$O$7,0,(VLOOKUP($B55,Inputs!$F$3:$H$17,3,0)*((1+Inputs!$L$3)^Financials!JP$3)))</f>
        <v>12805.894855760698</v>
      </c>
      <c r="JQ55" s="18">
        <f>IF(JQ$1&lt;CapEx!$O$7,0,(VLOOKUP($B55,Inputs!$F$3:$H$17,3,0)*((1+Inputs!$L$3)^Financials!JQ$3)))</f>
        <v>12827.238013853632</v>
      </c>
      <c r="JR55" s="18">
        <f>IF(JR$1&lt;CapEx!$O$7,0,(VLOOKUP($B55,Inputs!$F$3:$H$17,3,0)*((1+Inputs!$L$3)^Financials!JR$3)))</f>
        <v>12848.616743876724</v>
      </c>
    </row>
    <row r="56" spans="2:278" x14ac:dyDescent="0.2">
      <c r="B56" s="58" t="s">
        <v>75</v>
      </c>
      <c r="C56" s="55">
        <f t="shared" ref="C56:BN56" si="513">SUM(C40:C55)</f>
        <v>601983.14987559081</v>
      </c>
      <c r="D56" s="55">
        <f t="shared" si="513"/>
        <v>601983.14987559081</v>
      </c>
      <c r="E56" s="55">
        <f t="shared" si="513"/>
        <v>601983.14987559081</v>
      </c>
      <c r="F56" s="55">
        <f t="shared" si="513"/>
        <v>601983.14987559081</v>
      </c>
      <c r="G56" s="55">
        <f t="shared" si="513"/>
        <v>601983.14987559081</v>
      </c>
      <c r="H56" s="55">
        <f t="shared" si="513"/>
        <v>601983.14987559081</v>
      </c>
      <c r="I56" s="55">
        <f t="shared" si="513"/>
        <v>601983.14987559081</v>
      </c>
      <c r="J56" s="55">
        <f t="shared" si="513"/>
        <v>601983.14987559081</v>
      </c>
      <c r="K56" s="55">
        <f t="shared" si="513"/>
        <v>601983.14987559081</v>
      </c>
      <c r="L56" s="55">
        <f t="shared" si="513"/>
        <v>601983.14987559081</v>
      </c>
      <c r="M56" s="55">
        <f t="shared" si="513"/>
        <v>601983.14987559081</v>
      </c>
      <c r="N56" s="55">
        <f t="shared" si="513"/>
        <v>601983.14987559081</v>
      </c>
      <c r="O56" s="55">
        <f t="shared" si="513"/>
        <v>625951.35646225046</v>
      </c>
      <c r="P56" s="55">
        <f t="shared" si="513"/>
        <v>625951.35646225046</v>
      </c>
      <c r="Q56" s="55">
        <f t="shared" si="513"/>
        <v>625951.35646225046</v>
      </c>
      <c r="R56" s="55">
        <f t="shared" si="513"/>
        <v>1399762.5698812366</v>
      </c>
      <c r="S56" s="55">
        <f t="shared" si="513"/>
        <v>1400719.704225753</v>
      </c>
      <c r="T56" s="55">
        <f t="shared" si="513"/>
        <v>1401678.1566683333</v>
      </c>
      <c r="U56" s="55">
        <f t="shared" si="513"/>
        <v>1395937.873588451</v>
      </c>
      <c r="V56" s="55">
        <f t="shared" si="513"/>
        <v>1403599.023714341</v>
      </c>
      <c r="W56" s="55">
        <f t="shared" si="513"/>
        <v>1404561.4422588088</v>
      </c>
      <c r="X56" s="55">
        <f t="shared" si="513"/>
        <v>1405525.1867834332</v>
      </c>
      <c r="Y56" s="55">
        <f t="shared" si="513"/>
        <v>1406490.2592664724</v>
      </c>
      <c r="Z56" s="55">
        <f t="shared" si="513"/>
        <v>1407456.6616892882</v>
      </c>
      <c r="AA56" s="55">
        <f t="shared" si="513"/>
        <v>1378128.9691125157</v>
      </c>
      <c r="AB56" s="55">
        <f t="shared" si="513"/>
        <v>1379098.0373714119</v>
      </c>
      <c r="AC56" s="55">
        <f t="shared" si="513"/>
        <v>1380068.4415328444</v>
      </c>
      <c r="AD56" s="55">
        <f t="shared" si="513"/>
        <v>1381040.1835906422</v>
      </c>
      <c r="AE56" s="55">
        <f t="shared" si="513"/>
        <v>1382013.2655417621</v>
      </c>
      <c r="AF56" s="55">
        <f t="shared" si="513"/>
        <v>1382987.6893862954</v>
      </c>
      <c r="AG56" s="55">
        <f t="shared" si="513"/>
        <v>1383963.4571274738</v>
      </c>
      <c r="AH56" s="55">
        <f t="shared" si="513"/>
        <v>1384940.5707716723</v>
      </c>
      <c r="AI56" s="55">
        <f t="shared" si="513"/>
        <v>1385919.0323284147</v>
      </c>
      <c r="AJ56" s="55">
        <f t="shared" si="513"/>
        <v>1386898.8438103807</v>
      </c>
      <c r="AK56" s="55">
        <f t="shared" si="513"/>
        <v>1387880.0072334094</v>
      </c>
      <c r="AL56" s="55">
        <f t="shared" si="513"/>
        <v>1388862.5246165029</v>
      </c>
      <c r="AM56" s="55">
        <f t="shared" si="513"/>
        <v>1357360.9121961014</v>
      </c>
      <c r="AN56" s="55">
        <f t="shared" si="513"/>
        <v>1358346.1435690208</v>
      </c>
      <c r="AO56" s="55">
        <f t="shared" si="513"/>
        <v>1359332.7349780553</v>
      </c>
      <c r="AP56" s="55">
        <f t="shared" si="513"/>
        <v>1172980.9869310076</v>
      </c>
      <c r="AQ56" s="55">
        <f t="shared" si="513"/>
        <v>1195377.0455589632</v>
      </c>
      <c r="AR56" s="55">
        <f t="shared" si="513"/>
        <v>1196091.174345263</v>
      </c>
      <c r="AS56" s="55">
        <f t="shared" si="513"/>
        <v>1196806.2103888041</v>
      </c>
      <c r="AT56" s="55">
        <f t="shared" si="513"/>
        <v>1197522.1549658845</v>
      </c>
      <c r="AU56" s="55">
        <f t="shared" si="513"/>
        <v>1198239.0093547311</v>
      </c>
      <c r="AV56" s="55">
        <f t="shared" si="513"/>
        <v>1198956.7748355062</v>
      </c>
      <c r="AW56" s="55">
        <f t="shared" si="513"/>
        <v>1199675.4526903096</v>
      </c>
      <c r="AX56" s="55">
        <f t="shared" si="513"/>
        <v>1200395.0442031785</v>
      </c>
      <c r="AY56" s="55">
        <f t="shared" si="513"/>
        <v>1166281.6864802565</v>
      </c>
      <c r="AZ56" s="55">
        <f t="shared" si="513"/>
        <v>1167003.1091691477</v>
      </c>
      <c r="BA56" s="55">
        <f t="shared" si="513"/>
        <v>1167725.4493798907</v>
      </c>
      <c r="BB56" s="55">
        <f t="shared" si="513"/>
        <v>1168448.7084043138</v>
      </c>
      <c r="BC56" s="55">
        <f t="shared" si="513"/>
        <v>1169172.8875362016</v>
      </c>
      <c r="BD56" s="55">
        <f t="shared" si="513"/>
        <v>1169897.9880712954</v>
      </c>
      <c r="BE56" s="55">
        <f t="shared" si="513"/>
        <v>1170624.0113072987</v>
      </c>
      <c r="BF56" s="55">
        <f t="shared" si="513"/>
        <v>1171350.9585438804</v>
      </c>
      <c r="BG56" s="55">
        <f t="shared" si="513"/>
        <v>1172078.8310826768</v>
      </c>
      <c r="BH56" s="55">
        <f t="shared" si="513"/>
        <v>1172807.6302272931</v>
      </c>
      <c r="BI56" s="55">
        <f t="shared" si="513"/>
        <v>1173537.3572833105</v>
      </c>
      <c r="BJ56" s="55">
        <f t="shared" si="513"/>
        <v>1174268.0135582874</v>
      </c>
      <c r="BK56" s="55">
        <f t="shared" si="513"/>
        <v>1137647.5933238256</v>
      </c>
      <c r="BL56" s="55">
        <f t="shared" si="513"/>
        <v>1138380.1119673147</v>
      </c>
      <c r="BM56" s="55">
        <f t="shared" si="513"/>
        <v>1139113.5637643284</v>
      </c>
      <c r="BN56" s="55">
        <f t="shared" si="513"/>
        <v>1139847.9500303639</v>
      </c>
      <c r="BO56" s="55">
        <f t="shared" ref="BO56:DZ56" si="514">SUM(BO40:BO55)</f>
        <v>1140583.272082909</v>
      </c>
      <c r="BP56" s="55">
        <f t="shared" si="514"/>
        <v>1141319.5312414505</v>
      </c>
      <c r="BQ56" s="55">
        <f t="shared" si="514"/>
        <v>1142056.7288274723</v>
      </c>
      <c r="BR56" s="55">
        <f t="shared" si="514"/>
        <v>1142794.8661644608</v>
      </c>
      <c r="BS56" s="55">
        <f t="shared" si="514"/>
        <v>1143533.9445779081</v>
      </c>
      <c r="BT56" s="55">
        <f t="shared" si="514"/>
        <v>1144273.9653953142</v>
      </c>
      <c r="BU56" s="55">
        <f t="shared" si="514"/>
        <v>1145014.9299461923</v>
      </c>
      <c r="BV56" s="55">
        <f t="shared" si="514"/>
        <v>1145756.8395620685</v>
      </c>
      <c r="BW56" s="55">
        <f t="shared" si="514"/>
        <v>1106447.5089296382</v>
      </c>
      <c r="BX56" s="55">
        <f t="shared" si="514"/>
        <v>1107191.3126781669</v>
      </c>
      <c r="BY56" s="55">
        <f t="shared" si="514"/>
        <v>1107936.0654983965</v>
      </c>
      <c r="BZ56" s="55">
        <f t="shared" si="514"/>
        <v>1108681.7687299442</v>
      </c>
      <c r="CA56" s="55">
        <f t="shared" si="514"/>
        <v>1109428.4237144608</v>
      </c>
      <c r="CB56" s="55">
        <f t="shared" si="514"/>
        <v>1110176.0317956288</v>
      </c>
      <c r="CC56" s="55">
        <f t="shared" si="514"/>
        <v>1110924.5943191699</v>
      </c>
      <c r="CD56" s="55">
        <f t="shared" si="514"/>
        <v>1111674.1126328451</v>
      </c>
      <c r="CE56" s="55">
        <f t="shared" si="514"/>
        <v>1112424.5880864589</v>
      </c>
      <c r="CF56" s="55">
        <f t="shared" si="514"/>
        <v>1113176.0220318639</v>
      </c>
      <c r="CG56" s="55">
        <f t="shared" si="514"/>
        <v>1113928.4158229635</v>
      </c>
      <c r="CH56" s="55">
        <f t="shared" si="514"/>
        <v>1114681.7708157124</v>
      </c>
      <c r="CI56" s="55">
        <f t="shared" si="514"/>
        <v>1072488.5259101046</v>
      </c>
      <c r="CJ56" s="55">
        <f t="shared" si="514"/>
        <v>1073243.8073822511</v>
      </c>
      <c r="CK56" s="55">
        <f t="shared" si="514"/>
        <v>1074000.0541362693</v>
      </c>
      <c r="CL56" s="55">
        <f t="shared" si="514"/>
        <v>1074757.2675363615</v>
      </c>
      <c r="CM56" s="55">
        <f t="shared" si="514"/>
        <v>1075515.4489488001</v>
      </c>
      <c r="CN56" s="55">
        <f t="shared" si="514"/>
        <v>1076274.5997419306</v>
      </c>
      <c r="CO56" s="55">
        <f t="shared" si="514"/>
        <v>1077034.7212861755</v>
      </c>
      <c r="CP56" s="55">
        <f t="shared" si="514"/>
        <v>1077795.8149540357</v>
      </c>
      <c r="CQ56" s="55">
        <f t="shared" si="514"/>
        <v>1078557.8821200966</v>
      </c>
      <c r="CR56" s="55">
        <f t="shared" si="514"/>
        <v>1079320.9241610288</v>
      </c>
      <c r="CS56" s="55">
        <f t="shared" si="514"/>
        <v>1080084.942455593</v>
      </c>
      <c r="CT56" s="55">
        <f t="shared" si="514"/>
        <v>1080849.9383846424</v>
      </c>
      <c r="CU56" s="55">
        <f t="shared" si="514"/>
        <v>1035563.6681104392</v>
      </c>
      <c r="CV56" s="55">
        <f t="shared" si="514"/>
        <v>1036330.6234594084</v>
      </c>
      <c r="CW56" s="55">
        <f t="shared" si="514"/>
        <v>1037098.5605980136</v>
      </c>
      <c r="CX56" s="55">
        <f t="shared" si="514"/>
        <v>1037867.4809155138</v>
      </c>
      <c r="CY56" s="55">
        <f t="shared" si="514"/>
        <v>1038637.3858032764</v>
      </c>
      <c r="CZ56" s="55">
        <f t="shared" si="514"/>
        <v>1039408.2766547825</v>
      </c>
      <c r="DA56" s="55">
        <f t="shared" si="514"/>
        <v>1040180.154865629</v>
      </c>
      <c r="DB56" s="55">
        <f t="shared" si="514"/>
        <v>1040953.0218335331</v>
      </c>
      <c r="DC56" s="55">
        <f t="shared" si="514"/>
        <v>1041726.8789583334</v>
      </c>
      <c r="DD56" s="55">
        <f t="shared" si="514"/>
        <v>1042501.7276419962</v>
      </c>
      <c r="DE56" s="55">
        <f t="shared" si="514"/>
        <v>1043277.5692886175</v>
      </c>
      <c r="DF56" s="55">
        <f t="shared" si="514"/>
        <v>1044054.4053044248</v>
      </c>
      <c r="DG56" s="55">
        <f t="shared" si="514"/>
        <v>995450.87134648289</v>
      </c>
      <c r="DH56" s="55">
        <f t="shared" si="514"/>
        <v>996229.70032789919</v>
      </c>
      <c r="DI56" s="55">
        <f t="shared" si="514"/>
        <v>997009.52791002044</v>
      </c>
      <c r="DJ56" s="55">
        <f t="shared" si="514"/>
        <v>997790.35550764226</v>
      </c>
      <c r="DK56" s="55">
        <f t="shared" si="514"/>
        <v>998572.18453770876</v>
      </c>
      <c r="DL56" s="55">
        <f t="shared" si="514"/>
        <v>999355.01641931816</v>
      </c>
      <c r="DM56" s="55">
        <f t="shared" si="514"/>
        <v>1000138.852573726</v>
      </c>
      <c r="DN56" s="55">
        <f t="shared" si="514"/>
        <v>1000923.694424348</v>
      </c>
      <c r="DO56" s="55">
        <f t="shared" si="514"/>
        <v>1001709.5433967627</v>
      </c>
      <c r="DP56" s="55">
        <f t="shared" si="514"/>
        <v>1002496.4009187168</v>
      </c>
      <c r="DQ56" s="55">
        <f t="shared" si="514"/>
        <v>1003284.2684201278</v>
      </c>
      <c r="DR56" s="55">
        <f t="shared" si="514"/>
        <v>1004073.1473330854</v>
      </c>
      <c r="DS56" s="55">
        <f t="shared" si="514"/>
        <v>951911.89041760401</v>
      </c>
      <c r="DT56" s="55">
        <f t="shared" si="514"/>
        <v>952702.79645864246</v>
      </c>
      <c r="DU56" s="55">
        <f t="shared" si="514"/>
        <v>953494.71822058037</v>
      </c>
      <c r="DV56" s="55">
        <f t="shared" si="514"/>
        <v>954287.65714423882</v>
      </c>
      <c r="DW56" s="55">
        <f t="shared" si="514"/>
        <v>955081.61467263079</v>
      </c>
      <c r="DX56" s="55">
        <f t="shared" si="514"/>
        <v>955876.59225096402</v>
      </c>
      <c r="DY56" s="55">
        <f t="shared" si="514"/>
        <v>956672.59132664476</v>
      </c>
      <c r="DZ56" s="55">
        <f t="shared" si="514"/>
        <v>957469.61334928032</v>
      </c>
      <c r="EA56" s="55">
        <f t="shared" ref="EA56:GL56" si="515">SUM(EA40:EA55)</f>
        <v>958267.65977068478</v>
      </c>
      <c r="EB56" s="55">
        <f t="shared" si="515"/>
        <v>959066.73204487911</v>
      </c>
      <c r="EC56" s="55">
        <f t="shared" si="515"/>
        <v>959866.83162809804</v>
      </c>
      <c r="ED56" s="55">
        <f t="shared" si="515"/>
        <v>960667.95997879084</v>
      </c>
      <c r="EE56" s="55">
        <f t="shared" si="515"/>
        <v>929780.64682476816</v>
      </c>
      <c r="EF56" s="55">
        <f t="shared" si="515"/>
        <v>930583.83709464048</v>
      </c>
      <c r="EG56" s="55">
        <f t="shared" si="515"/>
        <v>931388.06052066712</v>
      </c>
      <c r="EH56" s="55">
        <f t="shared" si="515"/>
        <v>932193.31857019628</v>
      </c>
      <c r="EI56" s="55">
        <f t="shared" si="515"/>
        <v>932999.6127128097</v>
      </c>
      <c r="EJ56" s="55">
        <f t="shared" si="515"/>
        <v>933806.94442032615</v>
      </c>
      <c r="EK56" s="55">
        <f t="shared" si="515"/>
        <v>934615.31516680494</v>
      </c>
      <c r="EL56" s="55">
        <f t="shared" si="515"/>
        <v>935424.72642854915</v>
      </c>
      <c r="EM56" s="55">
        <f t="shared" si="515"/>
        <v>936235.17968411045</v>
      </c>
      <c r="EN56" s="55">
        <f t="shared" si="515"/>
        <v>937046.67641429044</v>
      </c>
      <c r="EO56" s="55">
        <f t="shared" si="515"/>
        <v>937859.21810214675</v>
      </c>
      <c r="EP56" s="55">
        <f t="shared" si="515"/>
        <v>938672.80623299419</v>
      </c>
      <c r="EQ56" s="55">
        <f t="shared" si="515"/>
        <v>918496.53675664519</v>
      </c>
      <c r="ER56" s="55">
        <f t="shared" si="515"/>
        <v>919312.22223847313</v>
      </c>
      <c r="ES56" s="55">
        <f t="shared" si="515"/>
        <v>920128.95863282448</v>
      </c>
      <c r="ET56" s="55">
        <f t="shared" si="515"/>
        <v>920946.74743408419</v>
      </c>
      <c r="EU56" s="55">
        <f t="shared" si="515"/>
        <v>921765.59013891383</v>
      </c>
      <c r="EV56" s="55">
        <f t="shared" si="515"/>
        <v>922585.48824625392</v>
      </c>
      <c r="EW56" s="55">
        <f t="shared" si="515"/>
        <v>923406.44325732975</v>
      </c>
      <c r="EX56" s="55">
        <f t="shared" si="515"/>
        <v>924228.45667565358</v>
      </c>
      <c r="EY56" s="55">
        <f t="shared" si="515"/>
        <v>925051.53000702697</v>
      </c>
      <c r="EZ56" s="55">
        <f t="shared" si="515"/>
        <v>925875.66475954826</v>
      </c>
      <c r="FA56" s="55">
        <f t="shared" si="515"/>
        <v>926700.86244361266</v>
      </c>
      <c r="FB56" s="55">
        <f t="shared" si="515"/>
        <v>927527.12457191758</v>
      </c>
      <c r="FC56" s="55">
        <f t="shared" si="515"/>
        <v>905846.11286313017</v>
      </c>
      <c r="FD56" s="55">
        <f t="shared" si="515"/>
        <v>906674.50842723262</v>
      </c>
      <c r="FE56" s="55">
        <f t="shared" si="515"/>
        <v>907503.97298751504</v>
      </c>
      <c r="FF56" s="55">
        <f t="shared" si="515"/>
        <v>908334.50806591799</v>
      </c>
      <c r="FG56" s="55">
        <f t="shared" si="515"/>
        <v>909166.11518670246</v>
      </c>
      <c r="FH56" s="55">
        <f t="shared" si="515"/>
        <v>909998.7958764541</v>
      </c>
      <c r="FI56" s="55">
        <f t="shared" si="515"/>
        <v>910832.55166408466</v>
      </c>
      <c r="FJ56" s="55">
        <f t="shared" si="515"/>
        <v>911667.38408083841</v>
      </c>
      <c r="FK56" s="55">
        <f t="shared" si="515"/>
        <v>912503.29466029396</v>
      </c>
      <c r="FL56" s="55">
        <f t="shared" si="515"/>
        <v>913340.2849383679</v>
      </c>
      <c r="FM56" s="55">
        <f t="shared" si="515"/>
        <v>914178.35645332083</v>
      </c>
      <c r="FN56" s="55">
        <f t="shared" si="515"/>
        <v>915017.51074575807</v>
      </c>
      <c r="FO56" s="55">
        <f t="shared" si="515"/>
        <v>891722.27985848289</v>
      </c>
      <c r="FP56" s="55">
        <f t="shared" si="515"/>
        <v>892563.60433710867</v>
      </c>
      <c r="FQ56" s="55">
        <f t="shared" si="515"/>
        <v>893406.01622914954</v>
      </c>
      <c r="FR56" s="55">
        <f t="shared" si="515"/>
        <v>894249.51708463312</v>
      </c>
      <c r="FS56" s="55">
        <f t="shared" si="515"/>
        <v>895094.10845595109</v>
      </c>
      <c r="FT56" s="55">
        <f t="shared" si="515"/>
        <v>895939.79189786408</v>
      </c>
      <c r="FU56" s="55">
        <f t="shared" si="515"/>
        <v>896786.56896750489</v>
      </c>
      <c r="FV56" s="55">
        <f t="shared" si="515"/>
        <v>897634.44122438319</v>
      </c>
      <c r="FW56" s="55">
        <f t="shared" si="515"/>
        <v>898483.41023038735</v>
      </c>
      <c r="FX56" s="55">
        <f t="shared" si="515"/>
        <v>899333.47754978982</v>
      </c>
      <c r="FY56" s="55">
        <f t="shared" si="515"/>
        <v>900184.64474925038</v>
      </c>
      <c r="FZ56" s="55">
        <f t="shared" si="515"/>
        <v>901036.9133978202</v>
      </c>
      <c r="GA56" s="55">
        <f t="shared" si="515"/>
        <v>876010.06052512408</v>
      </c>
      <c r="GB56" s="55">
        <f t="shared" si="515"/>
        <v>876864.53678864939</v>
      </c>
      <c r="GC56" s="55">
        <f t="shared" si="515"/>
        <v>877720.11922282306</v>
      </c>
      <c r="GD56" s="55">
        <f t="shared" si="515"/>
        <v>878576.80940629879</v>
      </c>
      <c r="GE56" s="55">
        <f t="shared" si="515"/>
        <v>879434.60892014054</v>
      </c>
      <c r="GF56" s="55">
        <f t="shared" si="515"/>
        <v>880293.51934782695</v>
      </c>
      <c r="GG56" s="55">
        <f t="shared" si="515"/>
        <v>881153.54227525438</v>
      </c>
      <c r="GH56" s="55">
        <f t="shared" si="515"/>
        <v>882014.67929074122</v>
      </c>
      <c r="GI56" s="55">
        <f t="shared" si="515"/>
        <v>882876.931985031</v>
      </c>
      <c r="GJ56" s="55">
        <f t="shared" si="515"/>
        <v>883740.30195129779</v>
      </c>
      <c r="GK56" s="55">
        <f t="shared" si="515"/>
        <v>884604.79078514758</v>
      </c>
      <c r="GL56" s="55">
        <f t="shared" si="515"/>
        <v>885470.40008462477</v>
      </c>
      <c r="GM56" s="55">
        <f t="shared" ref="GM56:IX56" si="516">SUM(GM40:GM55)</f>
        <v>877301.12312960485</v>
      </c>
      <c r="GN56" s="55">
        <f t="shared" si="516"/>
        <v>878168.97816423676</v>
      </c>
      <c r="GO56" s="55">
        <f t="shared" si="516"/>
        <v>879037.95847329043</v>
      </c>
      <c r="GP56" s="55">
        <f t="shared" si="516"/>
        <v>879908.06566459732</v>
      </c>
      <c r="GQ56" s="55">
        <f t="shared" si="516"/>
        <v>880779.30134844698</v>
      </c>
      <c r="GR56" s="55">
        <f t="shared" si="516"/>
        <v>881651.66713758709</v>
      </c>
      <c r="GS56" s="55">
        <f t="shared" si="516"/>
        <v>882525.16464723204</v>
      </c>
      <c r="GT56" s="55">
        <f t="shared" si="516"/>
        <v>883399.79549506423</v>
      </c>
      <c r="GU56" s="55">
        <f t="shared" si="516"/>
        <v>884275.56130123767</v>
      </c>
      <c r="GV56" s="55">
        <f t="shared" si="516"/>
        <v>885152.46368838323</v>
      </c>
      <c r="GW56" s="55">
        <f t="shared" si="516"/>
        <v>886030.504281612</v>
      </c>
      <c r="GX56" s="55">
        <f t="shared" si="516"/>
        <v>886909.68470851926</v>
      </c>
      <c r="GY56" s="55">
        <f t="shared" si="516"/>
        <v>887790.00659918855</v>
      </c>
      <c r="GZ56" s="55">
        <f t="shared" si="516"/>
        <v>888671.47158619482</v>
      </c>
      <c r="HA56" s="55">
        <f t="shared" si="516"/>
        <v>889554.08130461024</v>
      </c>
      <c r="HB56" s="55">
        <f t="shared" si="516"/>
        <v>890437.83739200584</v>
      </c>
      <c r="HC56" s="55">
        <f t="shared" si="516"/>
        <v>891322.74148845754</v>
      </c>
      <c r="HD56" s="55">
        <f t="shared" si="516"/>
        <v>892208.79523654864</v>
      </c>
      <c r="HE56" s="55">
        <f t="shared" si="516"/>
        <v>893096.00028137548</v>
      </c>
      <c r="HF56" s="55">
        <f t="shared" si="516"/>
        <v>893984.35827054933</v>
      </c>
      <c r="HG56" s="55">
        <f t="shared" si="516"/>
        <v>894873.87085420161</v>
      </c>
      <c r="HH56" s="55">
        <f t="shared" si="516"/>
        <v>895764.53968498774</v>
      </c>
      <c r="HI56" s="55">
        <f t="shared" si="516"/>
        <v>896656.36641809274</v>
      </c>
      <c r="HJ56" s="55">
        <f t="shared" si="516"/>
        <v>897549.35271123063</v>
      </c>
      <c r="HK56" s="55">
        <f t="shared" si="516"/>
        <v>898443.50022465433</v>
      </c>
      <c r="HL56" s="55">
        <f t="shared" si="516"/>
        <v>899338.81062115554</v>
      </c>
      <c r="HM56" s="55">
        <f t="shared" si="516"/>
        <v>900235.28556607023</v>
      </c>
      <c r="HN56" s="55">
        <f t="shared" si="516"/>
        <v>901132.92672728328</v>
      </c>
      <c r="HO56" s="55">
        <f t="shared" si="516"/>
        <v>902031.73577523069</v>
      </c>
      <c r="HP56" s="55">
        <f t="shared" si="516"/>
        <v>902931.71438290598</v>
      </c>
      <c r="HQ56" s="55">
        <f t="shared" si="516"/>
        <v>903832.86422586231</v>
      </c>
      <c r="HR56" s="55">
        <f t="shared" si="516"/>
        <v>904735.18698221748</v>
      </c>
      <c r="HS56" s="55">
        <f t="shared" si="516"/>
        <v>905638.68433265854</v>
      </c>
      <c r="HT56" s="55">
        <f t="shared" si="516"/>
        <v>906543.35796044406</v>
      </c>
      <c r="HU56" s="55">
        <f t="shared" si="516"/>
        <v>907449.20955141017</v>
      </c>
      <c r="HV56" s="55">
        <f t="shared" si="516"/>
        <v>908356.24079397379</v>
      </c>
      <c r="HW56" s="55">
        <f t="shared" si="516"/>
        <v>909264.45337913663</v>
      </c>
      <c r="HX56" s="55">
        <f t="shared" si="516"/>
        <v>910173.84900048946</v>
      </c>
      <c r="HY56" s="55">
        <f t="shared" si="516"/>
        <v>911084.42935421644</v>
      </c>
      <c r="HZ56" s="55">
        <f t="shared" si="516"/>
        <v>911996.19613909919</v>
      </c>
      <c r="IA56" s="55">
        <f t="shared" si="516"/>
        <v>912909.15105652052</v>
      </c>
      <c r="IB56" s="55">
        <f t="shared" si="516"/>
        <v>913823.29581046873</v>
      </c>
      <c r="IC56" s="55">
        <f t="shared" si="516"/>
        <v>914738.63210754283</v>
      </c>
      <c r="ID56" s="55">
        <f t="shared" si="516"/>
        <v>915655.16165695456</v>
      </c>
      <c r="IE56" s="55">
        <f t="shared" si="516"/>
        <v>916572.88617053453</v>
      </c>
      <c r="IF56" s="55">
        <f t="shared" si="516"/>
        <v>917491.80736273574</v>
      </c>
      <c r="IG56" s="55">
        <f t="shared" si="516"/>
        <v>918411.92695063713</v>
      </c>
      <c r="IH56" s="55">
        <f t="shared" si="516"/>
        <v>919333.24665394879</v>
      </c>
      <c r="II56" s="55">
        <f t="shared" si="516"/>
        <v>920255.76819501503</v>
      </c>
      <c r="IJ56" s="55">
        <f t="shared" si="516"/>
        <v>921179.49329881929</v>
      </c>
      <c r="IK56" s="55">
        <f t="shared" si="516"/>
        <v>922104.42369298905</v>
      </c>
      <c r="IL56" s="55">
        <f t="shared" si="516"/>
        <v>923030.56110779883</v>
      </c>
      <c r="IM56" s="55">
        <f t="shared" si="516"/>
        <v>923957.9072761737</v>
      </c>
      <c r="IN56" s="55">
        <f t="shared" si="516"/>
        <v>924886.46393369639</v>
      </c>
      <c r="IO56" s="55">
        <f t="shared" si="516"/>
        <v>925816.2328186091</v>
      </c>
      <c r="IP56" s="55">
        <f t="shared" si="516"/>
        <v>926747.21567181777</v>
      </c>
      <c r="IQ56" s="55">
        <f t="shared" si="516"/>
        <v>927679.41423689772</v>
      </c>
      <c r="IR56" s="55">
        <f t="shared" si="516"/>
        <v>928612.83026009693</v>
      </c>
      <c r="IS56" s="55">
        <f t="shared" si="516"/>
        <v>929547.46549034037</v>
      </c>
      <c r="IT56" s="55">
        <f t="shared" si="516"/>
        <v>930483.32167923474</v>
      </c>
      <c r="IU56" s="55">
        <f t="shared" si="516"/>
        <v>931420.40058107185</v>
      </c>
      <c r="IV56" s="55">
        <f t="shared" si="516"/>
        <v>932358.70395283401</v>
      </c>
      <c r="IW56" s="55">
        <f t="shared" si="516"/>
        <v>933298.23355419748</v>
      </c>
      <c r="IX56" s="55">
        <f t="shared" si="516"/>
        <v>934238.99114753702</v>
      </c>
      <c r="IY56" s="55">
        <f t="shared" ref="IY56:JR56" si="517">SUM(IY40:IY55)</f>
        <v>935180.97849793045</v>
      </c>
      <c r="IZ56" s="55">
        <f t="shared" si="517"/>
        <v>936124.19737316296</v>
      </c>
      <c r="JA56" s="55">
        <f t="shared" si="517"/>
        <v>937068.64954373008</v>
      </c>
      <c r="JB56" s="55">
        <f t="shared" si="517"/>
        <v>938014.33678284462</v>
      </c>
      <c r="JC56" s="55">
        <f t="shared" si="517"/>
        <v>938961.26086643897</v>
      </c>
      <c r="JD56" s="55">
        <f t="shared" si="517"/>
        <v>939909.42357316881</v>
      </c>
      <c r="JE56" s="55">
        <f t="shared" si="517"/>
        <v>940858.82668442081</v>
      </c>
      <c r="JF56" s="55">
        <f t="shared" si="517"/>
        <v>941809.4719843131</v>
      </c>
      <c r="JG56" s="55">
        <f t="shared" si="517"/>
        <v>942761.36125970213</v>
      </c>
      <c r="JH56" s="55">
        <f t="shared" si="517"/>
        <v>943714.49630018522</v>
      </c>
      <c r="JI56" s="55">
        <f t="shared" si="517"/>
        <v>944668.87889810745</v>
      </c>
      <c r="JJ56" s="55">
        <f t="shared" si="517"/>
        <v>945624.51084856293</v>
      </c>
      <c r="JK56" s="55">
        <f t="shared" si="517"/>
        <v>946581.39394940296</v>
      </c>
      <c r="JL56" s="55">
        <f t="shared" si="517"/>
        <v>947539.53000123554</v>
      </c>
      <c r="JM56" s="55">
        <f t="shared" si="517"/>
        <v>948498.92080743471</v>
      </c>
      <c r="JN56" s="55">
        <f t="shared" si="517"/>
        <v>949459.56817414111</v>
      </c>
      <c r="JO56" s="55">
        <f t="shared" si="517"/>
        <v>950421.47391026933</v>
      </c>
      <c r="JP56" s="55">
        <f t="shared" si="517"/>
        <v>951384.63982751057</v>
      </c>
      <c r="JQ56" s="55">
        <f t="shared" si="517"/>
        <v>952349.06774033688</v>
      </c>
      <c r="JR56" s="55">
        <f t="shared" si="517"/>
        <v>953314.75946600724</v>
      </c>
    </row>
    <row r="57" spans="2:278" x14ac:dyDescent="0.2">
      <c r="I57" s="20"/>
      <c r="U57" s="20"/>
      <c r="AG57" s="20"/>
    </row>
    <row r="58" spans="2:278" x14ac:dyDescent="0.2">
      <c r="B58" s="59" t="s">
        <v>76</v>
      </c>
      <c r="C58" s="57">
        <f t="shared" ref="C58:BN58" si="518">C37-C56</f>
        <v>-601983.14987559081</v>
      </c>
      <c r="D58" s="57">
        <f t="shared" si="518"/>
        <v>-601983.14987559081</v>
      </c>
      <c r="E58" s="57">
        <f t="shared" si="518"/>
        <v>-601983.14987559081</v>
      </c>
      <c r="F58" s="57">
        <f t="shared" si="518"/>
        <v>-601983.14987559081</v>
      </c>
      <c r="G58" s="57">
        <f t="shared" si="518"/>
        <v>-601983.14987559081</v>
      </c>
      <c r="H58" s="57">
        <f t="shared" si="518"/>
        <v>-601983.14987559081</v>
      </c>
      <c r="I58" s="57">
        <f t="shared" si="518"/>
        <v>-601983.14987559081</v>
      </c>
      <c r="J58" s="57">
        <f t="shared" si="518"/>
        <v>-601983.14987559081</v>
      </c>
      <c r="K58" s="57">
        <f t="shared" si="518"/>
        <v>-601983.14987559081</v>
      </c>
      <c r="L58" s="57">
        <f t="shared" si="518"/>
        <v>-601983.14987559081</v>
      </c>
      <c r="M58" s="57">
        <f t="shared" si="518"/>
        <v>-601983.14987559081</v>
      </c>
      <c r="N58" s="57">
        <f t="shared" si="518"/>
        <v>-601983.14987559081</v>
      </c>
      <c r="O58" s="57">
        <f t="shared" si="518"/>
        <v>-625951.35646225046</v>
      </c>
      <c r="P58" s="57">
        <f t="shared" si="518"/>
        <v>-625951.35646225046</v>
      </c>
      <c r="Q58" s="57">
        <f t="shared" si="518"/>
        <v>-625951.35646225046</v>
      </c>
      <c r="R58" s="57">
        <f t="shared" si="518"/>
        <v>3159348.504653798</v>
      </c>
      <c r="S58" s="57">
        <f t="shared" si="518"/>
        <v>3318412.4585332605</v>
      </c>
      <c r="T58" s="57">
        <f t="shared" si="518"/>
        <v>3173027.939812582</v>
      </c>
      <c r="U58" s="57">
        <f t="shared" si="518"/>
        <v>3339336.003274655</v>
      </c>
      <c r="V58" s="57">
        <f t="shared" si="518"/>
        <v>3339765.8929435378</v>
      </c>
      <c r="W58" s="57">
        <f t="shared" si="518"/>
        <v>3193634.7914692322</v>
      </c>
      <c r="X58" s="57">
        <f t="shared" si="518"/>
        <v>3354062.2871380746</v>
      </c>
      <c r="Y58" s="57">
        <f t="shared" si="518"/>
        <v>3207431.3888413114</v>
      </c>
      <c r="Z58" s="57">
        <f t="shared" si="518"/>
        <v>3368407.489749386</v>
      </c>
      <c r="AA58" s="57">
        <f t="shared" si="518"/>
        <v>3405893.8725785557</v>
      </c>
      <c r="AB58" s="57">
        <f t="shared" si="518"/>
        <v>2949336.2733800597</v>
      </c>
      <c r="AC58" s="57">
        <f t="shared" si="518"/>
        <v>3420312.5967773143</v>
      </c>
      <c r="AD58" s="57">
        <f t="shared" si="518"/>
        <v>5061404.1159926234</v>
      </c>
      <c r="AE58" s="57">
        <f t="shared" si="518"/>
        <v>5283392.3950110134</v>
      </c>
      <c r="AF58" s="57">
        <f t="shared" si="518"/>
        <v>5075366.4076126665</v>
      </c>
      <c r="AG58" s="57">
        <f t="shared" si="518"/>
        <v>5297909.7276281826</v>
      </c>
      <c r="AH58" s="57">
        <f t="shared" si="518"/>
        <v>5305186.9662038088</v>
      </c>
      <c r="AI58" s="57">
        <f t="shared" si="518"/>
        <v>5096399.3352028783</v>
      </c>
      <c r="AJ58" s="57">
        <f t="shared" si="518"/>
        <v>5319778.6922946004</v>
      </c>
      <c r="AK58" s="57">
        <f t="shared" si="518"/>
        <v>5110481.1820347067</v>
      </c>
      <c r="AL58" s="57">
        <f t="shared" si="518"/>
        <v>5334420.2232539635</v>
      </c>
      <c r="AM58" s="57">
        <f t="shared" si="518"/>
        <v>5374245.2038327139</v>
      </c>
      <c r="AN58" s="57">
        <f t="shared" si="518"/>
        <v>4729344.6300144605</v>
      </c>
      <c r="AO58" s="57">
        <f t="shared" si="518"/>
        <v>5388961.7573287133</v>
      </c>
      <c r="AP58" s="57">
        <f t="shared" si="518"/>
        <v>5365721.800203681</v>
      </c>
      <c r="AQ58" s="57">
        <f t="shared" si="518"/>
        <v>5569661.4973032884</v>
      </c>
      <c r="AR58" s="57">
        <f t="shared" si="518"/>
        <v>5358842.5392149808</v>
      </c>
      <c r="AS58" s="57">
        <f t="shared" si="518"/>
        <v>5585032.2430420322</v>
      </c>
      <c r="AT58" s="57">
        <f t="shared" si="518"/>
        <v>5592737.2594659012</v>
      </c>
      <c r="AU58" s="57">
        <f t="shared" si="518"/>
        <v>5381142.6780979149</v>
      </c>
      <c r="AV58" s="57">
        <f t="shared" si="518"/>
        <v>5608186.6897947369</v>
      </c>
      <c r="AW58" s="57">
        <f t="shared" si="518"/>
        <v>5396072.8705192301</v>
      </c>
      <c r="AX58" s="57">
        <f t="shared" si="518"/>
        <v>5623688.7976929937</v>
      </c>
      <c r="AY58" s="57">
        <f t="shared" si="518"/>
        <v>5666293.5253976388</v>
      </c>
      <c r="AZ58" s="57">
        <f t="shared" si="518"/>
        <v>5232717.5776097151</v>
      </c>
      <c r="BA58" s="57">
        <f t="shared" si="518"/>
        <v>5681874.9828984998</v>
      </c>
      <c r="BB58" s="57">
        <f t="shared" si="518"/>
        <v>5468455.4818318971</v>
      </c>
      <c r="BC58" s="57">
        <f t="shared" si="518"/>
        <v>5697509.5631696321</v>
      </c>
      <c r="BD58" s="57">
        <f t="shared" si="518"/>
        <v>5483564.739382484</v>
      </c>
      <c r="BE58" s="57">
        <f t="shared" si="518"/>
        <v>5713197.445337452</v>
      </c>
      <c r="BF58" s="57">
        <f t="shared" si="518"/>
        <v>5721061.4307738449</v>
      </c>
      <c r="BG58" s="57">
        <f t="shared" si="518"/>
        <v>5506325.3368642414</v>
      </c>
      <c r="BH58" s="57">
        <f t="shared" si="518"/>
        <v>5736829.6029634411</v>
      </c>
      <c r="BI58" s="57">
        <f t="shared" si="518"/>
        <v>5521563.7964179292</v>
      </c>
      <c r="BJ58" s="57">
        <f t="shared" si="518"/>
        <v>5752651.5274984883</v>
      </c>
      <c r="BK58" s="57">
        <f t="shared" si="518"/>
        <v>5797934.7105466081</v>
      </c>
      <c r="BL58" s="57">
        <f t="shared" si="518"/>
        <v>5133854.2793042706</v>
      </c>
      <c r="BM58" s="57">
        <f t="shared" si="518"/>
        <v>5813837.6036107196</v>
      </c>
      <c r="BN58" s="57">
        <f t="shared" si="518"/>
        <v>5597239.7753559947</v>
      </c>
      <c r="BO58" s="57">
        <f t="shared" ref="BO58:DZ58" si="519">BO37-BO56</f>
        <v>5829794.703255279</v>
      </c>
      <c r="BP58" s="57">
        <f t="shared" si="519"/>
        <v>5612660.9547672411</v>
      </c>
      <c r="BQ58" s="57">
        <f t="shared" si="519"/>
        <v>5845806.1922415327</v>
      </c>
      <c r="BR58" s="57">
        <f t="shared" si="519"/>
        <v>5853832.3900182229</v>
      </c>
      <c r="BS58" s="57">
        <f t="shared" si="519"/>
        <v>5635891.4088300448</v>
      </c>
      <c r="BT58" s="57">
        <f t="shared" si="519"/>
        <v>5869925.8070356697</v>
      </c>
      <c r="BU58" s="57">
        <f t="shared" si="519"/>
        <v>5651444.4271153547</v>
      </c>
      <c r="BV58" s="57">
        <f t="shared" si="519"/>
        <v>5886074.0729839234</v>
      </c>
      <c r="BW58" s="57">
        <f t="shared" si="519"/>
        <v>5934221.0187158277</v>
      </c>
      <c r="BX58" s="57">
        <f t="shared" si="519"/>
        <v>5260117.8621249376</v>
      </c>
      <c r="BY58" s="57">
        <f t="shared" si="519"/>
        <v>5950451.9049704447</v>
      </c>
      <c r="BZ58" s="57">
        <f t="shared" si="519"/>
        <v>5730611.6319134608</v>
      </c>
      <c r="CA58" s="57">
        <f t="shared" si="519"/>
        <v>5966738.1036078418</v>
      </c>
      <c r="CB58" s="57">
        <f t="shared" si="519"/>
        <v>5746351.0989589542</v>
      </c>
      <c r="CC58" s="57">
        <f t="shared" si="519"/>
        <v>5983079.8010976538</v>
      </c>
      <c r="CD58" s="57">
        <f t="shared" si="519"/>
        <v>5991271.5203549024</v>
      </c>
      <c r="CE58" s="57">
        <f t="shared" si="519"/>
        <v>5770060.9983212408</v>
      </c>
      <c r="CF58" s="57">
        <f t="shared" si="519"/>
        <v>6007696.8171223579</v>
      </c>
      <c r="CG58" s="57">
        <f t="shared" si="519"/>
        <v>5785934.9946267549</v>
      </c>
      <c r="CH58" s="57">
        <f t="shared" si="519"/>
        <v>6024178.0816566683</v>
      </c>
      <c r="CI58" s="57">
        <f t="shared" si="519"/>
        <v>6075387.323228295</v>
      </c>
      <c r="CJ58" s="57">
        <f t="shared" si="519"/>
        <v>5391059.1741995141</v>
      </c>
      <c r="CK58" s="57">
        <f t="shared" si="519"/>
        <v>6091952.8933619298</v>
      </c>
      <c r="CL58" s="57">
        <f t="shared" si="519"/>
        <v>5868804.7640661476</v>
      </c>
      <c r="CM58" s="57">
        <f t="shared" si="519"/>
        <v>6108574.9041178934</v>
      </c>
      <c r="CN58" s="57">
        <f t="shared" si="519"/>
        <v>5884869.0137100387</v>
      </c>
      <c r="CO58" s="57">
        <f t="shared" si="519"/>
        <v>6125253.5457492573</v>
      </c>
      <c r="CP58" s="57">
        <f t="shared" si="519"/>
        <v>6133614.162771686</v>
      </c>
      <c r="CQ58" s="57">
        <f t="shared" si="519"/>
        <v>5909068.1416868344</v>
      </c>
      <c r="CR58" s="57">
        <f t="shared" si="519"/>
        <v>6150378.1088368092</v>
      </c>
      <c r="CS58" s="57">
        <f t="shared" si="519"/>
        <v>5925269.6655747928</v>
      </c>
      <c r="CT58" s="57">
        <f t="shared" si="519"/>
        <v>6167199.1642058156</v>
      </c>
      <c r="CU58" s="57">
        <f t="shared" si="519"/>
        <v>6221683.4132295661</v>
      </c>
      <c r="CV58" s="57">
        <f t="shared" si="519"/>
        <v>5526923.9223959409</v>
      </c>
      <c r="CW58" s="57">
        <f t="shared" si="519"/>
        <v>6238590.4936847761</v>
      </c>
      <c r="CX58" s="57">
        <f t="shared" si="519"/>
        <v>6012067.7767798016</v>
      </c>
      <c r="CY58" s="57">
        <f t="shared" si="519"/>
        <v>6255555.165893144</v>
      </c>
      <c r="CZ58" s="57">
        <f t="shared" si="519"/>
        <v>6028463.435791485</v>
      </c>
      <c r="DA58" s="57">
        <f t="shared" si="519"/>
        <v>6272577.623967737</v>
      </c>
      <c r="DB58" s="57">
        <f t="shared" si="519"/>
        <v>6281110.58354312</v>
      </c>
      <c r="DC58" s="57">
        <f t="shared" si="519"/>
        <v>6053161.7742328038</v>
      </c>
      <c r="DD58" s="57">
        <f t="shared" si="519"/>
        <v>6298220.0858034622</v>
      </c>
      <c r="DE58" s="57">
        <f t="shared" si="519"/>
        <v>6069697.5081756692</v>
      </c>
      <c r="DF58" s="57">
        <f t="shared" si="519"/>
        <v>6315387.8620650927</v>
      </c>
      <c r="DG58" s="57">
        <f t="shared" si="519"/>
        <v>6373375.0300472137</v>
      </c>
      <c r="DH58" s="57">
        <f t="shared" si="519"/>
        <v>5667973.6833695723</v>
      </c>
      <c r="DI58" s="57">
        <f t="shared" si="519"/>
        <v>6390630.5857678056</v>
      </c>
      <c r="DJ58" s="57">
        <f t="shared" si="519"/>
        <v>6160665.2033109255</v>
      </c>
      <c r="DK58" s="57">
        <f t="shared" si="519"/>
        <v>6407944.9077268969</v>
      </c>
      <c r="DL58" s="57">
        <f t="shared" si="519"/>
        <v>6177399.0329325618</v>
      </c>
      <c r="DM58" s="57">
        <f t="shared" si="519"/>
        <v>6425318.1939756647</v>
      </c>
      <c r="DN58" s="57">
        <f t="shared" si="519"/>
        <v>6434027.0107811885</v>
      </c>
      <c r="DO58" s="57">
        <f t="shared" si="519"/>
        <v>6202606.7662414061</v>
      </c>
      <c r="DP58" s="57">
        <f t="shared" si="519"/>
        <v>6451489.1162636653</v>
      </c>
      <c r="DQ58" s="57">
        <f t="shared" si="519"/>
        <v>6219483.5283117266</v>
      </c>
      <c r="DR58" s="57">
        <f t="shared" si="519"/>
        <v>6469010.6840738785</v>
      </c>
      <c r="DS58" s="57">
        <f t="shared" si="519"/>
        <v>6530744.9776202673</v>
      </c>
      <c r="DT58" s="57">
        <f t="shared" si="519"/>
        <v>5814487.0123295914</v>
      </c>
      <c r="DU58" s="57">
        <f t="shared" si="519"/>
        <v>6548356.1148540322</v>
      </c>
      <c r="DV58" s="57">
        <f t="shared" si="519"/>
        <v>6314878.6151541146</v>
      </c>
      <c r="DW58" s="57">
        <f t="shared" si="519"/>
        <v>6566027.2166387457</v>
      </c>
      <c r="DX58" s="57">
        <f t="shared" si="519"/>
        <v>6331957.5138220619</v>
      </c>
      <c r="DY58" s="57">
        <f t="shared" si="519"/>
        <v>6583758.4850433944</v>
      </c>
      <c r="DZ58" s="57">
        <f t="shared" si="519"/>
        <v>6592646.74505994</v>
      </c>
      <c r="EA58" s="57">
        <f t="shared" ref="EA58:GL58" si="520">EA37-EA56</f>
        <v>6357685.0330536347</v>
      </c>
      <c r="EB58" s="57">
        <f t="shared" si="520"/>
        <v>6610468.6437564585</v>
      </c>
      <c r="EC58" s="57">
        <f t="shared" si="520"/>
        <v>6374909.7796682585</v>
      </c>
      <c r="ED58" s="57">
        <f t="shared" si="520"/>
        <v>6628351.2172143515</v>
      </c>
      <c r="EE58" s="57">
        <f t="shared" si="520"/>
        <v>6669004.7925755959</v>
      </c>
      <c r="EF58" s="57">
        <f t="shared" si="520"/>
        <v>5941671.1114187567</v>
      </c>
      <c r="EG58" s="57">
        <f t="shared" si="520"/>
        <v>6686978.7617336735</v>
      </c>
      <c r="EH58" s="57">
        <f t="shared" si="520"/>
        <v>6449918.2916265745</v>
      </c>
      <c r="EI58" s="57">
        <f t="shared" si="520"/>
        <v>6705013.9180644238</v>
      </c>
      <c r="EJ58" s="57">
        <f t="shared" si="520"/>
        <v>6467349.2977478262</v>
      </c>
      <c r="EK58" s="57">
        <f t="shared" si="520"/>
        <v>6723110.4677359173</v>
      </c>
      <c r="EL58" s="57">
        <f t="shared" si="520"/>
        <v>6732181.8296909081</v>
      </c>
      <c r="EM58" s="57">
        <f t="shared" si="520"/>
        <v>6493607.2047915868</v>
      </c>
      <c r="EN58" s="57">
        <f t="shared" si="520"/>
        <v>6750370.8574513122</v>
      </c>
      <c r="EO58" s="57">
        <f t="shared" si="520"/>
        <v>6511187.0335113471</v>
      </c>
      <c r="EP58" s="57">
        <f t="shared" si="520"/>
        <v>6768621.7970017362</v>
      </c>
      <c r="EQ58" s="57">
        <f t="shared" si="520"/>
        <v>6798761.4543953752</v>
      </c>
      <c r="ER58" s="57">
        <f t="shared" si="520"/>
        <v>6060128.5381500237</v>
      </c>
      <c r="ES58" s="57">
        <f t="shared" si="520"/>
        <v>6817105.6529694349</v>
      </c>
      <c r="ET58" s="57">
        <f t="shared" si="520"/>
        <v>6576389.9295338122</v>
      </c>
      <c r="EU58" s="57">
        <f t="shared" si="520"/>
        <v>6835512.2861390309</v>
      </c>
      <c r="EV58" s="57">
        <f t="shared" si="520"/>
        <v>6594180.2243185574</v>
      </c>
      <c r="EW58" s="57">
        <f t="shared" si="520"/>
        <v>6853981.5642542886</v>
      </c>
      <c r="EX58" s="57">
        <f t="shared" si="520"/>
        <v>6863239.7610937171</v>
      </c>
      <c r="EY58" s="57">
        <f t="shared" si="520"/>
        <v>6620979.3361647939</v>
      </c>
      <c r="EZ58" s="57">
        <f t="shared" si="520"/>
        <v>6881803.4025771935</v>
      </c>
      <c r="FA58" s="57">
        <f t="shared" si="520"/>
        <v>6638921.4885507748</v>
      </c>
      <c r="FB58" s="57">
        <f t="shared" si="520"/>
        <v>6900430.2179720029</v>
      </c>
      <c r="FC58" s="57">
        <f t="shared" si="520"/>
        <v>6932275.7221635943</v>
      </c>
      <c r="FD58" s="57">
        <f t="shared" si="520"/>
        <v>6182115.5403872626</v>
      </c>
      <c r="FE58" s="57">
        <f t="shared" si="520"/>
        <v>6950997.6977019319</v>
      </c>
      <c r="FF58" s="57">
        <f t="shared" si="520"/>
        <v>6706552.9794042371</v>
      </c>
      <c r="FG58" s="57">
        <f t="shared" si="520"/>
        <v>6969783.3805616638</v>
      </c>
      <c r="FH58" s="57">
        <f t="shared" si="520"/>
        <v>6724709.8897556532</v>
      </c>
      <c r="FI58" s="57">
        <f t="shared" si="520"/>
        <v>6988632.9853595775</v>
      </c>
      <c r="FJ58" s="57">
        <f t="shared" si="520"/>
        <v>6998081.8257497614</v>
      </c>
      <c r="FK58" s="57">
        <f t="shared" si="520"/>
        <v>6752061.2428483013</v>
      </c>
      <c r="FL58" s="57">
        <f t="shared" si="520"/>
        <v>7017027.7174358973</v>
      </c>
      <c r="FM58" s="57">
        <f t="shared" si="520"/>
        <v>6770373.1073758258</v>
      </c>
      <c r="FN58" s="57">
        <f t="shared" si="520"/>
        <v>7036038.0707550757</v>
      </c>
      <c r="FO58" s="57">
        <f t="shared" si="520"/>
        <v>7069702.9578567483</v>
      </c>
      <c r="FP58" s="57">
        <f t="shared" si="520"/>
        <v>6307782.8778344924</v>
      </c>
      <c r="FQ58" s="57">
        <f t="shared" si="520"/>
        <v>7088810.4110005517</v>
      </c>
      <c r="FR58" s="57">
        <f t="shared" si="520"/>
        <v>6840561.4682576051</v>
      </c>
      <c r="FS58" s="57">
        <f t="shared" si="520"/>
        <v>7107982.8700065734</v>
      </c>
      <c r="FT58" s="57">
        <f t="shared" si="520"/>
        <v>6859092.4697200619</v>
      </c>
      <c r="FU58" s="57">
        <f t="shared" si="520"/>
        <v>7127220.5538445916</v>
      </c>
      <c r="FV58" s="57">
        <f t="shared" si="520"/>
        <v>7136863.9237042982</v>
      </c>
      <c r="FW58" s="57">
        <f t="shared" si="520"/>
        <v>6887007.3243974764</v>
      </c>
      <c r="FX58" s="57">
        <f t="shared" si="520"/>
        <v>7156199.8569649812</v>
      </c>
      <c r="FY58" s="57">
        <f t="shared" si="520"/>
        <v>6905696.4394290019</v>
      </c>
      <c r="FZ58" s="57">
        <f t="shared" si="520"/>
        <v>7175601.5656987987</v>
      </c>
      <c r="GA58" s="57">
        <f t="shared" si="520"/>
        <v>7211207.3796152193</v>
      </c>
      <c r="GB58" s="57">
        <f t="shared" si="520"/>
        <v>6437290.0734694991</v>
      </c>
      <c r="GC58" s="57">
        <f t="shared" si="520"/>
        <v>7230708.1671961918</v>
      </c>
      <c r="GD58" s="57">
        <f t="shared" si="520"/>
        <v>6978578.2523436472</v>
      </c>
      <c r="GE58" s="57">
        <f t="shared" si="520"/>
        <v>7250275.2855174914</v>
      </c>
      <c r="GF58" s="57">
        <f t="shared" si="520"/>
        <v>6997490.9721104866</v>
      </c>
      <c r="GG58" s="57">
        <f t="shared" si="520"/>
        <v>7269908.9579899674</v>
      </c>
      <c r="GH58" s="57">
        <f t="shared" si="520"/>
        <v>7279750.8220534883</v>
      </c>
      <c r="GI58" s="57">
        <f t="shared" si="520"/>
        <v>7025980.8171359682</v>
      </c>
      <c r="GJ58" s="57">
        <f t="shared" si="520"/>
        <v>7299484.7462868961</v>
      </c>
      <c r="GK58" s="57">
        <f t="shared" si="520"/>
        <v>7045054.8739540335</v>
      </c>
      <c r="GL58" s="57">
        <f t="shared" si="520"/>
        <v>7319285.7864803663</v>
      </c>
      <c r="GM58" s="57">
        <f t="shared" ref="GM58:IX58" si="521">GM37-GM56</f>
        <v>7338247.553991558</v>
      </c>
      <c r="GN58" s="57">
        <f t="shared" si="521"/>
        <v>6552090.9039172027</v>
      </c>
      <c r="GO58" s="57">
        <f t="shared" si="521"/>
        <v>7358149.6921921382</v>
      </c>
      <c r="GP58" s="57">
        <f t="shared" si="521"/>
        <v>7102060.5088467915</v>
      </c>
      <c r="GQ58" s="57">
        <f t="shared" si="521"/>
        <v>7378119.5128813209</v>
      </c>
      <c r="GR58" s="57">
        <f t="shared" si="521"/>
        <v>7121362.7288289098</v>
      </c>
      <c r="GS58" s="57">
        <f t="shared" si="521"/>
        <v>7398157.2440008791</v>
      </c>
      <c r="GT58" s="57">
        <f t="shared" si="521"/>
        <v>7408201.6474126903</v>
      </c>
      <c r="GU58" s="57">
        <f t="shared" si="521"/>
        <v>7150439.2860127902</v>
      </c>
      <c r="GV58" s="57">
        <f t="shared" si="521"/>
        <v>7428341.6732406076</v>
      </c>
      <c r="GW58" s="57">
        <f t="shared" si="521"/>
        <v>7169906.1319142925</v>
      </c>
      <c r="GX58" s="57">
        <f t="shared" si="521"/>
        <v>7448550.1827014834</v>
      </c>
      <c r="GY58" s="57">
        <f t="shared" si="521"/>
        <v>7458680.1908350615</v>
      </c>
      <c r="GZ58" s="57">
        <f t="shared" si="521"/>
        <v>6660037.1924215164</v>
      </c>
      <c r="HA58" s="57">
        <f t="shared" si="521"/>
        <v>7478991.8584125061</v>
      </c>
      <c r="HB58" s="57">
        <f t="shared" si="521"/>
        <v>7218863.5302162617</v>
      </c>
      <c r="HC58" s="57">
        <f t="shared" si="521"/>
        <v>7499372.5876406403</v>
      </c>
      <c r="HD58" s="57">
        <f t="shared" si="521"/>
        <v>7238563.1901726862</v>
      </c>
      <c r="HE58" s="57">
        <f t="shared" si="521"/>
        <v>7519822.6110838251</v>
      </c>
      <c r="HF58" s="57">
        <f t="shared" si="521"/>
        <v>7530073.6810254892</v>
      </c>
      <c r="HG58" s="57">
        <f t="shared" si="521"/>
        <v>7268238.4190878253</v>
      </c>
      <c r="HH58" s="57">
        <f t="shared" si="521"/>
        <v>7550628.0835552374</v>
      </c>
      <c r="HI58" s="57">
        <f t="shared" si="521"/>
        <v>7288106.0605408</v>
      </c>
      <c r="HJ58" s="57">
        <f t="shared" si="521"/>
        <v>7571252.3651268426</v>
      </c>
      <c r="HK58" s="57">
        <f t="shared" si="521"/>
        <v>7581590.7840550439</v>
      </c>
      <c r="HL58" s="57">
        <f t="shared" si="521"/>
        <v>6770209.4476572666</v>
      </c>
      <c r="HM58" s="57">
        <f t="shared" si="521"/>
        <v>7602320.3256306658</v>
      </c>
      <c r="HN58" s="57">
        <f t="shared" si="521"/>
        <v>7338071.3643636461</v>
      </c>
      <c r="HO58" s="57">
        <f t="shared" si="521"/>
        <v>7623120.3359875046</v>
      </c>
      <c r="HP58" s="57">
        <f t="shared" si="521"/>
        <v>7358176.5650953893</v>
      </c>
      <c r="HQ58" s="57">
        <f t="shared" si="521"/>
        <v>7643991.0524060372</v>
      </c>
      <c r="HR58" s="57">
        <f t="shared" si="521"/>
        <v>7654452.9997559702</v>
      </c>
      <c r="HS58" s="57">
        <f t="shared" si="521"/>
        <v>7388462.6678879661</v>
      </c>
      <c r="HT58" s="57">
        <f t="shared" si="521"/>
        <v>7675430.2219082564</v>
      </c>
      <c r="HU58" s="57">
        <f t="shared" si="521"/>
        <v>7408739.2737521837</v>
      </c>
      <c r="HV58" s="57">
        <f t="shared" si="521"/>
        <v>7696478.7468084386</v>
      </c>
      <c r="HW58" s="57">
        <f t="shared" si="521"/>
        <v>7707029.8227811782</v>
      </c>
      <c r="HX58" s="57">
        <f t="shared" si="521"/>
        <v>6882653.0728998119</v>
      </c>
      <c r="HY58" s="57">
        <f t="shared" si="521"/>
        <v>7728185.7521960456</v>
      </c>
      <c r="HZ58" s="57">
        <f t="shared" si="521"/>
        <v>7459733.0252461378</v>
      </c>
      <c r="IA58" s="57">
        <f t="shared" si="521"/>
        <v>7749413.5860569496</v>
      </c>
      <c r="IB58" s="57">
        <f t="shared" si="521"/>
        <v>7480252.0318545848</v>
      </c>
      <c r="IC58" s="57">
        <f t="shared" si="521"/>
        <v>7770713.5664558895</v>
      </c>
      <c r="ID58" s="57">
        <f t="shared" si="521"/>
        <v>7781390.6874826467</v>
      </c>
      <c r="IE58" s="57">
        <f t="shared" si="521"/>
        <v>7511161.4581521098</v>
      </c>
      <c r="IF58" s="57">
        <f t="shared" si="521"/>
        <v>7802799.3433866687</v>
      </c>
      <c r="IG58" s="57">
        <f t="shared" si="521"/>
        <v>7531855.3629647363</v>
      </c>
      <c r="IH58" s="57">
        <f t="shared" si="521"/>
        <v>7824280.7546142442</v>
      </c>
      <c r="II58" s="57">
        <f t="shared" si="521"/>
        <v>7835048.8199871881</v>
      </c>
      <c r="IJ58" s="57">
        <f t="shared" si="521"/>
        <v>6997414.3926178468</v>
      </c>
      <c r="IK58" s="57">
        <f t="shared" si="521"/>
        <v>7856639.8237256585</v>
      </c>
      <c r="IL58" s="57">
        <f t="shared" si="521"/>
        <v>7583898.5209014667</v>
      </c>
      <c r="IM58" s="57">
        <f t="shared" si="521"/>
        <v>7878304.1966865361</v>
      </c>
      <c r="IN58" s="57">
        <f t="shared" si="521"/>
        <v>7604839.7661126358</v>
      </c>
      <c r="IO58" s="57">
        <f t="shared" si="521"/>
        <v>7900042.1858706903</v>
      </c>
      <c r="IP58" s="57">
        <f t="shared" si="521"/>
        <v>7910938.8639605297</v>
      </c>
      <c r="IQ58" s="57">
        <f t="shared" si="521"/>
        <v>7636385.2180311307</v>
      </c>
      <c r="IR58" s="57">
        <f t="shared" si="521"/>
        <v>7932787.742417668</v>
      </c>
      <c r="IS58" s="57">
        <f t="shared" si="521"/>
        <v>7657504.9253588142</v>
      </c>
      <c r="IT58" s="57">
        <f t="shared" si="521"/>
        <v>7954710.8582276944</v>
      </c>
      <c r="IU58" s="57">
        <f t="shared" si="521"/>
        <v>7965700.3332042685</v>
      </c>
      <c r="IV58" s="57">
        <f t="shared" si="521"/>
        <v>7114540.6711148852</v>
      </c>
      <c r="IW58" s="57">
        <f t="shared" si="521"/>
        <v>7987735.2738866694</v>
      </c>
      <c r="IX58" s="57">
        <f t="shared" si="521"/>
        <v>7710618.8735606875</v>
      </c>
      <c r="IY58" s="57">
        <f t="shared" ref="IY58:JR58" si="522">IY37-IY56</f>
        <v>8009845.0782683501</v>
      </c>
      <c r="IZ58" s="57">
        <f t="shared" si="522"/>
        <v>7731990.9611166324</v>
      </c>
      <c r="JA58" s="57">
        <f t="shared" si="522"/>
        <v>8032029.9983583558</v>
      </c>
      <c r="JB58" s="57">
        <f t="shared" si="522"/>
        <v>8043150.7057776414</v>
      </c>
      <c r="JC58" s="57">
        <f t="shared" si="522"/>
        <v>7764185.3983690292</v>
      </c>
      <c r="JD58" s="57">
        <f t="shared" si="522"/>
        <v>8065448.7737951698</v>
      </c>
      <c r="JE58" s="57">
        <f t="shared" si="522"/>
        <v>7785739.5842276942</v>
      </c>
      <c r="JF58" s="57">
        <f t="shared" si="522"/>
        <v>8087822.5912444526</v>
      </c>
      <c r="JG58" s="57">
        <f t="shared" si="522"/>
        <v>8099037.9856530074</v>
      </c>
      <c r="JH58" s="57">
        <f t="shared" si="522"/>
        <v>7234080.1315475013</v>
      </c>
      <c r="JI58" s="57">
        <f t="shared" si="522"/>
        <v>8121525.9055989226</v>
      </c>
      <c r="JJ58" s="57">
        <f t="shared" si="522"/>
        <v>7839946.1401673276</v>
      </c>
      <c r="JK58" s="57">
        <f t="shared" si="522"/>
        <v>8144090.2140223328</v>
      </c>
      <c r="JL58" s="57">
        <f t="shared" si="522"/>
        <v>7861757.8482861063</v>
      </c>
      <c r="JM58" s="57">
        <f t="shared" si="522"/>
        <v>8166731.1680417676</v>
      </c>
      <c r="JN58" s="57">
        <f t="shared" si="522"/>
        <v>8178080.4677350381</v>
      </c>
      <c r="JO58" s="57">
        <f t="shared" si="522"/>
        <v>7894614.4933938524</v>
      </c>
      <c r="JP58" s="57">
        <f t="shared" si="522"/>
        <v>8200836.8741312232</v>
      </c>
      <c r="JQ58" s="57">
        <f t="shared" si="522"/>
        <v>7916612.0097376266</v>
      </c>
      <c r="JR58" s="57">
        <f t="shared" si="522"/>
        <v>8223670.5726954415</v>
      </c>
    </row>
    <row r="59" spans="2:278" x14ac:dyDescent="0.2">
      <c r="B59" s="3"/>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c r="EA59" s="30"/>
      <c r="EB59" s="30"/>
      <c r="EC59" s="30"/>
      <c r="ED59" s="30"/>
      <c r="EE59" s="30"/>
      <c r="EF59" s="30"/>
      <c r="EG59" s="30"/>
      <c r="EH59" s="30"/>
      <c r="EI59" s="30"/>
      <c r="EJ59" s="30"/>
      <c r="EK59" s="30"/>
      <c r="EL59" s="30"/>
      <c r="EM59" s="30"/>
      <c r="EN59" s="30"/>
      <c r="EO59" s="30"/>
      <c r="EP59" s="30"/>
      <c r="EQ59" s="30"/>
      <c r="ER59" s="30"/>
      <c r="ES59" s="30"/>
      <c r="ET59" s="30"/>
      <c r="EU59" s="30"/>
      <c r="EV59" s="30"/>
      <c r="EW59" s="30"/>
      <c r="EX59" s="30"/>
      <c r="EY59" s="30"/>
      <c r="EZ59" s="30"/>
      <c r="FA59" s="30"/>
      <c r="FB59" s="30"/>
      <c r="FC59" s="30"/>
      <c r="FD59" s="30"/>
      <c r="FE59" s="30"/>
      <c r="FF59" s="30"/>
      <c r="FG59" s="30"/>
      <c r="FH59" s="30"/>
      <c r="FI59" s="30"/>
      <c r="FJ59" s="30"/>
      <c r="FK59" s="30"/>
      <c r="FL59" s="30"/>
      <c r="FM59" s="30"/>
      <c r="FN59" s="30"/>
      <c r="FO59" s="30"/>
      <c r="FP59" s="30"/>
      <c r="FQ59" s="30"/>
      <c r="FR59" s="30"/>
      <c r="FS59" s="30"/>
      <c r="FT59" s="30"/>
      <c r="FU59" s="30"/>
      <c r="FV59" s="30"/>
      <c r="FW59" s="30"/>
      <c r="FX59" s="30"/>
      <c r="FY59" s="30"/>
      <c r="FZ59" s="30"/>
      <c r="GA59" s="30"/>
      <c r="GB59" s="30"/>
      <c r="GC59" s="30"/>
      <c r="GD59" s="30"/>
      <c r="GE59" s="30"/>
      <c r="GF59" s="30"/>
      <c r="GG59" s="30"/>
      <c r="GH59" s="30"/>
      <c r="GI59" s="30"/>
      <c r="GJ59" s="30"/>
      <c r="GK59" s="30"/>
      <c r="GL59" s="30"/>
      <c r="GM59" s="30"/>
      <c r="GN59" s="30"/>
      <c r="GO59" s="30"/>
      <c r="GP59" s="30"/>
      <c r="GQ59" s="30"/>
      <c r="GR59" s="30"/>
      <c r="GS59" s="30"/>
      <c r="GT59" s="30"/>
      <c r="GU59" s="30"/>
      <c r="GV59" s="30"/>
      <c r="GW59" s="30"/>
      <c r="GX59" s="30"/>
      <c r="GY59" s="30"/>
      <c r="GZ59" s="30"/>
      <c r="HA59" s="30"/>
      <c r="HB59" s="30"/>
      <c r="HC59" s="30"/>
      <c r="HD59" s="30"/>
      <c r="HE59" s="30"/>
      <c r="HF59" s="30"/>
      <c r="HG59" s="30"/>
      <c r="HH59" s="30"/>
      <c r="HI59" s="30"/>
      <c r="HJ59" s="30"/>
      <c r="HK59" s="30"/>
      <c r="HL59" s="30"/>
      <c r="HM59" s="30"/>
      <c r="HN59" s="30"/>
      <c r="HO59" s="30"/>
      <c r="HP59" s="30"/>
      <c r="HQ59" s="30"/>
      <c r="HR59" s="30"/>
      <c r="HS59" s="30"/>
      <c r="HT59" s="30"/>
      <c r="HU59" s="30"/>
      <c r="HV59" s="30"/>
      <c r="HW59" s="30"/>
      <c r="HX59" s="30"/>
      <c r="HY59" s="30"/>
      <c r="HZ59" s="30"/>
      <c r="IA59" s="30"/>
      <c r="IB59" s="30"/>
      <c r="IC59" s="30"/>
      <c r="ID59" s="30"/>
      <c r="IE59" s="30"/>
      <c r="IF59" s="30"/>
      <c r="IG59" s="30"/>
      <c r="IH59" s="30"/>
      <c r="II59" s="30"/>
      <c r="IJ59" s="30"/>
      <c r="IK59" s="30"/>
      <c r="IL59" s="30"/>
      <c r="IM59" s="30"/>
      <c r="IN59" s="30"/>
      <c r="IO59" s="30"/>
      <c r="IP59" s="30"/>
      <c r="IQ59" s="30"/>
      <c r="IR59" s="30"/>
      <c r="IS59" s="30"/>
      <c r="IT59" s="30"/>
      <c r="IU59" s="30"/>
      <c r="IV59" s="30"/>
      <c r="IW59" s="30"/>
      <c r="IX59" s="30"/>
      <c r="IY59" s="30"/>
      <c r="IZ59" s="30"/>
      <c r="JA59" s="30"/>
      <c r="JB59" s="30"/>
      <c r="JC59" s="30"/>
      <c r="JD59" s="30"/>
      <c r="JE59" s="30"/>
      <c r="JF59" s="30"/>
      <c r="JG59" s="30"/>
      <c r="JH59" s="30"/>
      <c r="JI59" s="30"/>
      <c r="JJ59" s="30"/>
      <c r="JK59" s="30"/>
      <c r="JL59" s="30"/>
      <c r="JM59" s="30"/>
      <c r="JN59" s="30"/>
      <c r="JO59" s="30"/>
      <c r="JP59" s="30"/>
      <c r="JQ59" s="30"/>
      <c r="JR59" s="30"/>
    </row>
    <row r="60" spans="2:278" x14ac:dyDescent="0.2">
      <c r="B60" s="1" t="s">
        <v>15</v>
      </c>
      <c r="C60" s="18">
        <f>VLOOKUP(C$6,CapEx!$R$25:$T$47,3,0)</f>
        <v>0</v>
      </c>
      <c r="D60" s="18">
        <f>VLOOKUP(D$6,CapEx!$R$25:$T$47,3,0)</f>
        <v>0</v>
      </c>
      <c r="E60" s="18">
        <f>VLOOKUP(E$6,CapEx!$R$25:$T$47,3,0)</f>
        <v>0</v>
      </c>
      <c r="F60" s="18">
        <f>VLOOKUP(F$6,CapEx!$R$25:$T$47,3,0)</f>
        <v>0</v>
      </c>
      <c r="G60" s="18">
        <f>VLOOKUP(G$6,CapEx!$R$25:$T$47,3,0)</f>
        <v>0</v>
      </c>
      <c r="H60" s="18">
        <f>VLOOKUP(H$6,CapEx!$R$25:$T$47,3,0)</f>
        <v>0</v>
      </c>
      <c r="I60" s="18">
        <f>VLOOKUP(I$6,CapEx!$R$25:$T$47,3,0)</f>
        <v>0</v>
      </c>
      <c r="J60" s="18">
        <f>VLOOKUP(J$6,CapEx!$R$25:$T$47,3,0)</f>
        <v>0</v>
      </c>
      <c r="K60" s="18">
        <f>VLOOKUP(K$6,CapEx!$R$25:$T$47,3,0)</f>
        <v>0</v>
      </c>
      <c r="L60" s="18">
        <f>VLOOKUP(L$6,CapEx!$R$25:$T$47,3,0)</f>
        <v>0</v>
      </c>
      <c r="M60" s="18">
        <f>VLOOKUP(M$6,CapEx!$R$25:$T$47,3,0)</f>
        <v>0</v>
      </c>
      <c r="N60" s="18">
        <f>VLOOKUP(N$6,CapEx!$R$25:$T$47,3,0)</f>
        <v>0</v>
      </c>
      <c r="O60" s="18">
        <f>VLOOKUP(O$6,CapEx!$R$25:$T$47,3,0)</f>
        <v>0</v>
      </c>
      <c r="P60" s="18">
        <f>VLOOKUP(P$6,CapEx!$R$25:$T$47,3,0)</f>
        <v>0</v>
      </c>
      <c r="Q60" s="18">
        <f>VLOOKUP(Q$6,CapEx!$R$25:$T$47,3,0)</f>
        <v>0</v>
      </c>
      <c r="R60" s="18">
        <f>VLOOKUP(R$6,CapEx!$R$25:$T$47,3,0)</f>
        <v>0</v>
      </c>
      <c r="S60" s="18">
        <f>VLOOKUP(S$6,CapEx!$R$25:$T$47,3,0)</f>
        <v>0</v>
      </c>
      <c r="T60" s="18">
        <f>VLOOKUP(T$6,CapEx!$R$25:$T$47,3,0)</f>
        <v>0</v>
      </c>
      <c r="U60" s="18">
        <f>VLOOKUP(U$6,CapEx!$R$25:$T$47,3,0)</f>
        <v>0</v>
      </c>
      <c r="V60" s="18">
        <f>VLOOKUP(V$6,CapEx!$R$25:$T$47,3,0)</f>
        <v>0</v>
      </c>
      <c r="W60" s="18">
        <f>VLOOKUP(W$6,CapEx!$R$25:$T$47,3,0)</f>
        <v>0</v>
      </c>
      <c r="X60" s="18">
        <f>VLOOKUP(X$6,CapEx!$R$25:$T$47,3,0)</f>
        <v>0</v>
      </c>
      <c r="Y60" s="18">
        <f>VLOOKUP(Y$6,CapEx!$R$25:$T$47,3,0)</f>
        <v>0</v>
      </c>
      <c r="Z60" s="18">
        <f>VLOOKUP(Z$6,CapEx!$R$25:$T$47,3,0)</f>
        <v>0</v>
      </c>
      <c r="AA60" s="18">
        <f>VLOOKUP(AA$6,CapEx!$R$25:$T$47,3,0)</f>
        <v>0</v>
      </c>
      <c r="AB60" s="18">
        <f>VLOOKUP(AB$6,CapEx!$R$25:$T$47,3,0)</f>
        <v>0</v>
      </c>
      <c r="AC60" s="18">
        <f>VLOOKUP(AC$6,CapEx!$R$25:$T$47,3,0)</f>
        <v>0</v>
      </c>
      <c r="AD60" s="18">
        <f>VLOOKUP(AD$6,CapEx!$R$25:$T$47,3,0)</f>
        <v>0</v>
      </c>
      <c r="AE60" s="18">
        <f>VLOOKUP(AE$6,CapEx!$R$25:$T$47,3,0)</f>
        <v>0</v>
      </c>
      <c r="AF60" s="18">
        <f>VLOOKUP(AF$6,CapEx!$R$25:$T$47,3,0)</f>
        <v>0</v>
      </c>
      <c r="AG60" s="18">
        <f>VLOOKUP(AG$6,CapEx!$R$25:$T$47,3,0)</f>
        <v>0</v>
      </c>
      <c r="AH60" s="18">
        <f>VLOOKUP(AH$6,CapEx!$R$25:$T$47,3,0)</f>
        <v>0</v>
      </c>
      <c r="AI60" s="18">
        <f>VLOOKUP(AI$6,CapEx!$R$25:$T$47,3,0)</f>
        <v>0</v>
      </c>
      <c r="AJ60" s="18">
        <f>VLOOKUP(AJ$6,CapEx!$R$25:$T$47,3,0)</f>
        <v>0</v>
      </c>
      <c r="AK60" s="18">
        <f>VLOOKUP(AK$6,CapEx!$R$25:$T$47,3,0)</f>
        <v>0</v>
      </c>
      <c r="AL60" s="18">
        <f>VLOOKUP(AL$6,CapEx!$R$25:$T$47,3,0)</f>
        <v>0</v>
      </c>
      <c r="AM60" s="18">
        <f>VLOOKUP(AM$6,CapEx!$R$25:$T$47,3,0)</f>
        <v>0</v>
      </c>
      <c r="AN60" s="18">
        <f>VLOOKUP(AN$6,CapEx!$R$25:$T$47,3,0)</f>
        <v>0</v>
      </c>
      <c r="AO60" s="18">
        <f>VLOOKUP(AO$6,CapEx!$R$25:$T$47,3,0)</f>
        <v>0</v>
      </c>
      <c r="AP60" s="18">
        <f>VLOOKUP(AP$6,CapEx!$R$25:$T$47,3,0)</f>
        <v>0</v>
      </c>
      <c r="AQ60" s="18">
        <f>VLOOKUP(AQ$6,CapEx!$R$25:$T$47,3,0)</f>
        <v>0</v>
      </c>
      <c r="AR60" s="18">
        <f>VLOOKUP(AR$6,CapEx!$R$25:$T$47,3,0)</f>
        <v>0</v>
      </c>
      <c r="AS60" s="18">
        <f>VLOOKUP(AS$6,CapEx!$R$25:$T$47,3,0)</f>
        <v>0</v>
      </c>
      <c r="AT60" s="18">
        <f>VLOOKUP(AT$6,CapEx!$R$25:$T$47,3,0)</f>
        <v>0</v>
      </c>
      <c r="AU60" s="18">
        <f>VLOOKUP(AU$6,CapEx!$R$25:$T$47,3,0)</f>
        <v>0</v>
      </c>
      <c r="AV60" s="18">
        <f>VLOOKUP(AV$6,CapEx!$R$25:$T$47,3,0)</f>
        <v>0</v>
      </c>
      <c r="AW60" s="18">
        <f>VLOOKUP(AW$6,CapEx!$R$25:$T$47,3,0)</f>
        <v>0</v>
      </c>
      <c r="AX60" s="18">
        <f>VLOOKUP(AX$6,CapEx!$R$25:$T$47,3,0)</f>
        <v>0</v>
      </c>
      <c r="AY60" s="18">
        <f>VLOOKUP(AY$6,CapEx!$R$25:$T$47,3,0)</f>
        <v>0</v>
      </c>
      <c r="AZ60" s="18">
        <f>VLOOKUP(AZ$6,CapEx!$R$25:$T$47,3,0)</f>
        <v>0</v>
      </c>
      <c r="BA60" s="18">
        <f>VLOOKUP(BA$6,CapEx!$R$25:$T$47,3,0)</f>
        <v>0</v>
      </c>
      <c r="BB60" s="18">
        <f>VLOOKUP(BB$6,CapEx!$R$25:$T$47,3,0)</f>
        <v>0</v>
      </c>
      <c r="BC60" s="18">
        <f>VLOOKUP(BC$6,CapEx!$R$25:$T$47,3,0)</f>
        <v>0</v>
      </c>
      <c r="BD60" s="18">
        <f>VLOOKUP(BD$6,CapEx!$R$25:$T$47,3,0)</f>
        <v>0</v>
      </c>
      <c r="BE60" s="18">
        <f>VLOOKUP(BE$6,CapEx!$R$25:$T$47,3,0)</f>
        <v>0</v>
      </c>
      <c r="BF60" s="18">
        <f>VLOOKUP(BF$6,CapEx!$R$25:$T$47,3,0)</f>
        <v>0</v>
      </c>
      <c r="BG60" s="18">
        <f>VLOOKUP(BG$6,CapEx!$R$25:$T$47,3,0)</f>
        <v>0</v>
      </c>
      <c r="BH60" s="18">
        <f>VLOOKUP(BH$6,CapEx!$R$25:$T$47,3,0)</f>
        <v>0</v>
      </c>
      <c r="BI60" s="18">
        <f>VLOOKUP(BI$6,CapEx!$R$25:$T$47,3,0)</f>
        <v>0</v>
      </c>
      <c r="BJ60" s="18">
        <f>VLOOKUP(BJ$6,CapEx!$R$25:$T$47,3,0)</f>
        <v>0</v>
      </c>
      <c r="BK60" s="18">
        <f>VLOOKUP(BK$6,CapEx!$R$25:$T$47,3,0)</f>
        <v>0</v>
      </c>
      <c r="BL60" s="18">
        <f>VLOOKUP(BL$6,CapEx!$R$25:$T$47,3,0)</f>
        <v>0</v>
      </c>
      <c r="BM60" s="18">
        <f>VLOOKUP(BM$6,CapEx!$R$25:$T$47,3,0)</f>
        <v>0</v>
      </c>
      <c r="BN60" s="18">
        <f>VLOOKUP(BN$6,CapEx!$R$25:$T$47,3,0)</f>
        <v>0</v>
      </c>
      <c r="BO60" s="18">
        <f>VLOOKUP(BO$6,CapEx!$R$25:$T$47,3,0)</f>
        <v>0</v>
      </c>
      <c r="BP60" s="18">
        <f>VLOOKUP(BP$6,CapEx!$R$25:$T$47,3,0)</f>
        <v>0</v>
      </c>
      <c r="BQ60" s="18">
        <f>VLOOKUP(BQ$6,CapEx!$R$25:$T$47,3,0)</f>
        <v>0</v>
      </c>
      <c r="BR60" s="18">
        <f>VLOOKUP(BR$6,CapEx!$R$25:$T$47,3,0)</f>
        <v>0</v>
      </c>
      <c r="BS60" s="18">
        <f>VLOOKUP(BS$6,CapEx!$R$25:$T$47,3,0)</f>
        <v>0</v>
      </c>
      <c r="BT60" s="18">
        <f>VLOOKUP(BT$6,CapEx!$R$25:$T$47,3,0)</f>
        <v>0</v>
      </c>
      <c r="BU60" s="18">
        <f>VLOOKUP(BU$6,CapEx!$R$25:$T$47,3,0)</f>
        <v>0</v>
      </c>
      <c r="BV60" s="18">
        <f>VLOOKUP(BV$6,CapEx!$R$25:$T$47,3,0)</f>
        <v>0</v>
      </c>
      <c r="BW60" s="18">
        <f>VLOOKUP(BW$6,CapEx!$R$25:$T$47,3,0)</f>
        <v>0</v>
      </c>
      <c r="BX60" s="18">
        <f>VLOOKUP(BX$6,CapEx!$R$25:$T$47,3,0)</f>
        <v>0</v>
      </c>
      <c r="BY60" s="18">
        <f>VLOOKUP(BY$6,CapEx!$R$25:$T$47,3,0)</f>
        <v>0</v>
      </c>
      <c r="BZ60" s="18">
        <f>VLOOKUP(BZ$6,CapEx!$R$25:$T$47,3,0)</f>
        <v>0</v>
      </c>
      <c r="CA60" s="18">
        <f>VLOOKUP(CA$6,CapEx!$R$25:$T$47,3,0)</f>
        <v>0</v>
      </c>
      <c r="CB60" s="18">
        <f>VLOOKUP(CB$6,CapEx!$R$25:$T$47,3,0)</f>
        <v>0</v>
      </c>
      <c r="CC60" s="18">
        <f>VLOOKUP(CC$6,CapEx!$R$25:$T$47,3,0)</f>
        <v>0</v>
      </c>
      <c r="CD60" s="18">
        <f>VLOOKUP(CD$6,CapEx!$R$25:$T$47,3,0)</f>
        <v>0</v>
      </c>
      <c r="CE60" s="18">
        <f>VLOOKUP(CE$6,CapEx!$R$25:$T$47,3,0)</f>
        <v>0</v>
      </c>
      <c r="CF60" s="18">
        <f>VLOOKUP(CF$6,CapEx!$R$25:$T$47,3,0)</f>
        <v>0</v>
      </c>
      <c r="CG60" s="18">
        <f>VLOOKUP(CG$6,CapEx!$R$25:$T$47,3,0)</f>
        <v>0</v>
      </c>
      <c r="CH60" s="18">
        <f>VLOOKUP(CH$6,CapEx!$R$25:$T$47,3,0)</f>
        <v>0</v>
      </c>
      <c r="CI60" s="18">
        <f>VLOOKUP(CI$6,CapEx!$R$25:$T$47,3,0)</f>
        <v>83333.333333333328</v>
      </c>
      <c r="CJ60" s="18">
        <f>VLOOKUP(CJ$6,CapEx!$R$25:$T$47,3,0)</f>
        <v>83333.333333333328</v>
      </c>
      <c r="CK60" s="18">
        <f>VLOOKUP(CK$6,CapEx!$R$25:$T$47,3,0)</f>
        <v>83333.333333333328</v>
      </c>
      <c r="CL60" s="18">
        <f>VLOOKUP(CL$6,CapEx!$R$25:$T$47,3,0)</f>
        <v>83333.333333333328</v>
      </c>
      <c r="CM60" s="18">
        <f>VLOOKUP(CM$6,CapEx!$R$25:$T$47,3,0)</f>
        <v>83333.333333333328</v>
      </c>
      <c r="CN60" s="18">
        <f>VLOOKUP(CN$6,CapEx!$R$25:$T$47,3,0)</f>
        <v>83333.333333333328</v>
      </c>
      <c r="CO60" s="18">
        <f>VLOOKUP(CO$6,CapEx!$R$25:$T$47,3,0)</f>
        <v>83333.333333333328</v>
      </c>
      <c r="CP60" s="18">
        <f>VLOOKUP(CP$6,CapEx!$R$25:$T$47,3,0)</f>
        <v>83333.333333333328</v>
      </c>
      <c r="CQ60" s="18">
        <f>VLOOKUP(CQ$6,CapEx!$R$25:$T$47,3,0)</f>
        <v>83333.333333333328</v>
      </c>
      <c r="CR60" s="18">
        <f>VLOOKUP(CR$6,CapEx!$R$25:$T$47,3,0)</f>
        <v>83333.333333333328</v>
      </c>
      <c r="CS60" s="18">
        <f>VLOOKUP(CS$6,CapEx!$R$25:$T$47,3,0)</f>
        <v>83333.333333333328</v>
      </c>
      <c r="CT60" s="18">
        <f>VLOOKUP(CT$6,CapEx!$R$25:$T$47,3,0)</f>
        <v>83333.333333333328</v>
      </c>
      <c r="CU60" s="18">
        <f>VLOOKUP(CU$6,CapEx!$R$25:$T$47,3,0)</f>
        <v>83333.333333333328</v>
      </c>
      <c r="CV60" s="18">
        <f>VLOOKUP(CV$6,CapEx!$R$25:$T$47,3,0)</f>
        <v>83333.333333333328</v>
      </c>
      <c r="CW60" s="18">
        <f>VLOOKUP(CW$6,CapEx!$R$25:$T$47,3,0)</f>
        <v>83333.333333333328</v>
      </c>
      <c r="CX60" s="18">
        <f>VLOOKUP(CX$6,CapEx!$R$25:$T$47,3,0)</f>
        <v>83333.333333333328</v>
      </c>
      <c r="CY60" s="18">
        <f>VLOOKUP(CY$6,CapEx!$R$25:$T$47,3,0)</f>
        <v>83333.333333333328</v>
      </c>
      <c r="CZ60" s="18">
        <f>VLOOKUP(CZ$6,CapEx!$R$25:$T$47,3,0)</f>
        <v>83333.333333333328</v>
      </c>
      <c r="DA60" s="18">
        <f>VLOOKUP(DA$6,CapEx!$R$25:$T$47,3,0)</f>
        <v>83333.333333333328</v>
      </c>
      <c r="DB60" s="18">
        <f>VLOOKUP(DB$6,CapEx!$R$25:$T$47,3,0)</f>
        <v>83333.333333333328</v>
      </c>
      <c r="DC60" s="18">
        <f>VLOOKUP(DC$6,CapEx!$R$25:$T$47,3,0)</f>
        <v>83333.333333333328</v>
      </c>
      <c r="DD60" s="18">
        <f>VLOOKUP(DD$6,CapEx!$R$25:$T$47,3,0)</f>
        <v>83333.333333333328</v>
      </c>
      <c r="DE60" s="18">
        <f>VLOOKUP(DE$6,CapEx!$R$25:$T$47,3,0)</f>
        <v>83333.333333333328</v>
      </c>
      <c r="DF60" s="18">
        <f>VLOOKUP(DF$6,CapEx!$R$25:$T$47,3,0)</f>
        <v>83333.333333333328</v>
      </c>
      <c r="DG60" s="18">
        <f>VLOOKUP(DG$6,CapEx!$R$25:$T$47,3,0)</f>
        <v>83333.333333333328</v>
      </c>
      <c r="DH60" s="18">
        <f>VLOOKUP(DH$6,CapEx!$R$25:$T$47,3,0)</f>
        <v>83333.333333333328</v>
      </c>
      <c r="DI60" s="18">
        <f>VLOOKUP(DI$6,CapEx!$R$25:$T$47,3,0)</f>
        <v>83333.333333333328</v>
      </c>
      <c r="DJ60" s="18">
        <f>VLOOKUP(DJ$6,CapEx!$R$25:$T$47,3,0)</f>
        <v>83333.333333333328</v>
      </c>
      <c r="DK60" s="18">
        <f>VLOOKUP(DK$6,CapEx!$R$25:$T$47,3,0)</f>
        <v>83333.333333333328</v>
      </c>
      <c r="DL60" s="18">
        <f>VLOOKUP(DL$6,CapEx!$R$25:$T$47,3,0)</f>
        <v>83333.333333333328</v>
      </c>
      <c r="DM60" s="18">
        <f>VLOOKUP(DM$6,CapEx!$R$25:$T$47,3,0)</f>
        <v>83333.333333333328</v>
      </c>
      <c r="DN60" s="18">
        <f>VLOOKUP(DN$6,CapEx!$R$25:$T$47,3,0)</f>
        <v>83333.333333333328</v>
      </c>
      <c r="DO60" s="18">
        <f>VLOOKUP(DO$6,CapEx!$R$25:$T$47,3,0)</f>
        <v>83333.333333333328</v>
      </c>
      <c r="DP60" s="18">
        <f>VLOOKUP(DP$6,CapEx!$R$25:$T$47,3,0)</f>
        <v>83333.333333333328</v>
      </c>
      <c r="DQ60" s="18">
        <f>VLOOKUP(DQ$6,CapEx!$R$25:$T$47,3,0)</f>
        <v>83333.333333333328</v>
      </c>
      <c r="DR60" s="18">
        <f>VLOOKUP(DR$6,CapEx!$R$25:$T$47,3,0)</f>
        <v>83333.333333333328</v>
      </c>
      <c r="DS60" s="18">
        <f>VLOOKUP(DS$6,CapEx!$R$25:$T$47,3,0)</f>
        <v>83333.333333333328</v>
      </c>
      <c r="DT60" s="18">
        <f>VLOOKUP(DT$6,CapEx!$R$25:$T$47,3,0)</f>
        <v>83333.333333333328</v>
      </c>
      <c r="DU60" s="18">
        <f>VLOOKUP(DU$6,CapEx!$R$25:$T$47,3,0)</f>
        <v>83333.333333333328</v>
      </c>
      <c r="DV60" s="18">
        <f>VLOOKUP(DV$6,CapEx!$R$25:$T$47,3,0)</f>
        <v>83333.333333333328</v>
      </c>
      <c r="DW60" s="18">
        <f>VLOOKUP(DW$6,CapEx!$R$25:$T$47,3,0)</f>
        <v>83333.333333333328</v>
      </c>
      <c r="DX60" s="18">
        <f>VLOOKUP(DX$6,CapEx!$R$25:$T$47,3,0)</f>
        <v>83333.333333333328</v>
      </c>
      <c r="DY60" s="18">
        <f>VLOOKUP(DY$6,CapEx!$R$25:$T$47,3,0)</f>
        <v>83333.333333333328</v>
      </c>
      <c r="DZ60" s="18">
        <f>VLOOKUP(DZ$6,CapEx!$R$25:$T$47,3,0)</f>
        <v>83333.333333333328</v>
      </c>
      <c r="EA60" s="18">
        <f>VLOOKUP(EA$6,CapEx!$R$25:$T$47,3,0)</f>
        <v>83333.333333333328</v>
      </c>
      <c r="EB60" s="18">
        <f>VLOOKUP(EB$6,CapEx!$R$25:$T$47,3,0)</f>
        <v>83333.333333333328</v>
      </c>
      <c r="EC60" s="18">
        <f>VLOOKUP(EC$6,CapEx!$R$25:$T$47,3,0)</f>
        <v>83333.333333333328</v>
      </c>
      <c r="ED60" s="18">
        <f>VLOOKUP(ED$6,CapEx!$R$25:$T$47,3,0)</f>
        <v>83333.333333333328</v>
      </c>
      <c r="EE60" s="18">
        <f>VLOOKUP(EE$6,CapEx!$R$25:$T$47,3,0)</f>
        <v>83333.333333333328</v>
      </c>
      <c r="EF60" s="18">
        <f>VLOOKUP(EF$6,CapEx!$R$25:$T$47,3,0)</f>
        <v>83333.333333333328</v>
      </c>
      <c r="EG60" s="18">
        <f>VLOOKUP(EG$6,CapEx!$R$25:$T$47,3,0)</f>
        <v>83333.333333333328</v>
      </c>
      <c r="EH60" s="18">
        <f>VLOOKUP(EH$6,CapEx!$R$25:$T$47,3,0)</f>
        <v>83333.333333333328</v>
      </c>
      <c r="EI60" s="18">
        <f>VLOOKUP(EI$6,CapEx!$R$25:$T$47,3,0)</f>
        <v>83333.333333333328</v>
      </c>
      <c r="EJ60" s="18">
        <f>VLOOKUP(EJ$6,CapEx!$R$25:$T$47,3,0)</f>
        <v>83333.333333333328</v>
      </c>
      <c r="EK60" s="18">
        <f>VLOOKUP(EK$6,CapEx!$R$25:$T$47,3,0)</f>
        <v>83333.333333333328</v>
      </c>
      <c r="EL60" s="18">
        <f>VLOOKUP(EL$6,CapEx!$R$25:$T$47,3,0)</f>
        <v>83333.333333333328</v>
      </c>
      <c r="EM60" s="18">
        <f>VLOOKUP(EM$6,CapEx!$R$25:$T$47,3,0)</f>
        <v>83333.333333333328</v>
      </c>
      <c r="EN60" s="18">
        <f>VLOOKUP(EN$6,CapEx!$R$25:$T$47,3,0)</f>
        <v>83333.333333333328</v>
      </c>
      <c r="EO60" s="18">
        <f>VLOOKUP(EO$6,CapEx!$R$25:$T$47,3,0)</f>
        <v>83333.333333333328</v>
      </c>
      <c r="EP60" s="18">
        <f>VLOOKUP(EP$6,CapEx!$R$25:$T$47,3,0)</f>
        <v>83333.333333333328</v>
      </c>
      <c r="EQ60" s="18">
        <f>VLOOKUP(EQ$6,CapEx!$R$25:$T$47,3,0)</f>
        <v>83333.333333333328</v>
      </c>
      <c r="ER60" s="18">
        <f>VLOOKUP(ER$6,CapEx!$R$25:$T$47,3,0)</f>
        <v>83333.333333333328</v>
      </c>
      <c r="ES60" s="18">
        <f>VLOOKUP(ES$6,CapEx!$R$25:$T$47,3,0)</f>
        <v>83333.333333333328</v>
      </c>
      <c r="ET60" s="18">
        <f>VLOOKUP(ET$6,CapEx!$R$25:$T$47,3,0)</f>
        <v>83333.333333333328</v>
      </c>
      <c r="EU60" s="18">
        <f>VLOOKUP(EU$6,CapEx!$R$25:$T$47,3,0)</f>
        <v>83333.333333333328</v>
      </c>
      <c r="EV60" s="18">
        <f>VLOOKUP(EV$6,CapEx!$R$25:$T$47,3,0)</f>
        <v>83333.333333333328</v>
      </c>
      <c r="EW60" s="18">
        <f>VLOOKUP(EW$6,CapEx!$R$25:$T$47,3,0)</f>
        <v>83333.333333333328</v>
      </c>
      <c r="EX60" s="18">
        <f>VLOOKUP(EX$6,CapEx!$R$25:$T$47,3,0)</f>
        <v>83333.333333333328</v>
      </c>
      <c r="EY60" s="18">
        <f>VLOOKUP(EY$6,CapEx!$R$25:$T$47,3,0)</f>
        <v>83333.333333333328</v>
      </c>
      <c r="EZ60" s="18">
        <f>VLOOKUP(EZ$6,CapEx!$R$25:$T$47,3,0)</f>
        <v>83333.333333333328</v>
      </c>
      <c r="FA60" s="18">
        <f>VLOOKUP(FA$6,CapEx!$R$25:$T$47,3,0)</f>
        <v>83333.333333333328</v>
      </c>
      <c r="FB60" s="18">
        <f>VLOOKUP(FB$6,CapEx!$R$25:$T$47,3,0)</f>
        <v>83333.333333333328</v>
      </c>
      <c r="FC60" s="18">
        <f>VLOOKUP(FC$6,CapEx!$R$25:$T$47,3,0)</f>
        <v>83333.333333333328</v>
      </c>
      <c r="FD60" s="18">
        <f>VLOOKUP(FD$6,CapEx!$R$25:$T$47,3,0)</f>
        <v>83333.333333333328</v>
      </c>
      <c r="FE60" s="18">
        <f>VLOOKUP(FE$6,CapEx!$R$25:$T$47,3,0)</f>
        <v>83333.333333333328</v>
      </c>
      <c r="FF60" s="18">
        <f>VLOOKUP(FF$6,CapEx!$R$25:$T$47,3,0)</f>
        <v>83333.333333333328</v>
      </c>
      <c r="FG60" s="18">
        <f>VLOOKUP(FG$6,CapEx!$R$25:$T$47,3,0)</f>
        <v>83333.333333333328</v>
      </c>
      <c r="FH60" s="18">
        <f>VLOOKUP(FH$6,CapEx!$R$25:$T$47,3,0)</f>
        <v>83333.333333333328</v>
      </c>
      <c r="FI60" s="18">
        <f>VLOOKUP(FI$6,CapEx!$R$25:$T$47,3,0)</f>
        <v>83333.333333333328</v>
      </c>
      <c r="FJ60" s="18">
        <f>VLOOKUP(FJ$6,CapEx!$R$25:$T$47,3,0)</f>
        <v>83333.333333333328</v>
      </c>
      <c r="FK60" s="18">
        <f>VLOOKUP(FK$6,CapEx!$R$25:$T$47,3,0)</f>
        <v>83333.333333333328</v>
      </c>
      <c r="FL60" s="18">
        <f>VLOOKUP(FL$6,CapEx!$R$25:$T$47,3,0)</f>
        <v>83333.333333333328</v>
      </c>
      <c r="FM60" s="18">
        <f>VLOOKUP(FM$6,CapEx!$R$25:$T$47,3,0)</f>
        <v>83333.333333333328</v>
      </c>
      <c r="FN60" s="18">
        <f>VLOOKUP(FN$6,CapEx!$R$25:$T$47,3,0)</f>
        <v>83333.333333333328</v>
      </c>
      <c r="FO60" s="18">
        <f>VLOOKUP(FO$6,CapEx!$R$25:$T$47,3,0)</f>
        <v>83333.333333333328</v>
      </c>
      <c r="FP60" s="18">
        <f>VLOOKUP(FP$6,CapEx!$R$25:$T$47,3,0)</f>
        <v>83333.333333333328</v>
      </c>
      <c r="FQ60" s="18">
        <f>VLOOKUP(FQ$6,CapEx!$R$25:$T$47,3,0)</f>
        <v>83333.333333333328</v>
      </c>
      <c r="FR60" s="18">
        <f>VLOOKUP(FR$6,CapEx!$R$25:$T$47,3,0)</f>
        <v>83333.333333333328</v>
      </c>
      <c r="FS60" s="18">
        <f>VLOOKUP(FS$6,CapEx!$R$25:$T$47,3,0)</f>
        <v>83333.333333333328</v>
      </c>
      <c r="FT60" s="18">
        <f>VLOOKUP(FT$6,CapEx!$R$25:$T$47,3,0)</f>
        <v>83333.333333333328</v>
      </c>
      <c r="FU60" s="18">
        <f>VLOOKUP(FU$6,CapEx!$R$25:$T$47,3,0)</f>
        <v>83333.333333333328</v>
      </c>
      <c r="FV60" s="18">
        <f>VLOOKUP(FV$6,CapEx!$R$25:$T$47,3,0)</f>
        <v>83333.333333333328</v>
      </c>
      <c r="FW60" s="18">
        <f>VLOOKUP(FW$6,CapEx!$R$25:$T$47,3,0)</f>
        <v>83333.333333333328</v>
      </c>
      <c r="FX60" s="18">
        <f>VLOOKUP(FX$6,CapEx!$R$25:$T$47,3,0)</f>
        <v>83333.333333333328</v>
      </c>
      <c r="FY60" s="18">
        <f>VLOOKUP(FY$6,CapEx!$R$25:$T$47,3,0)</f>
        <v>83333.333333333328</v>
      </c>
      <c r="FZ60" s="18">
        <f>VLOOKUP(FZ$6,CapEx!$R$25:$T$47,3,0)</f>
        <v>83333.333333333328</v>
      </c>
      <c r="GA60" s="18">
        <f>VLOOKUP(GA$6,CapEx!$R$25:$T$47,3,0)</f>
        <v>83333.333333333328</v>
      </c>
      <c r="GB60" s="18">
        <f>VLOOKUP(GB$6,CapEx!$R$25:$T$47,3,0)</f>
        <v>83333.333333333328</v>
      </c>
      <c r="GC60" s="18">
        <f>VLOOKUP(GC$6,CapEx!$R$25:$T$47,3,0)</f>
        <v>83333.333333333328</v>
      </c>
      <c r="GD60" s="18">
        <f>VLOOKUP(GD$6,CapEx!$R$25:$T$47,3,0)</f>
        <v>83333.333333333328</v>
      </c>
      <c r="GE60" s="18">
        <f>VLOOKUP(GE$6,CapEx!$R$25:$T$47,3,0)</f>
        <v>83333.333333333328</v>
      </c>
      <c r="GF60" s="18">
        <f>VLOOKUP(GF$6,CapEx!$R$25:$T$47,3,0)</f>
        <v>83333.333333333328</v>
      </c>
      <c r="GG60" s="18">
        <f>VLOOKUP(GG$6,CapEx!$R$25:$T$47,3,0)</f>
        <v>83333.333333333328</v>
      </c>
      <c r="GH60" s="18">
        <f>VLOOKUP(GH$6,CapEx!$R$25:$T$47,3,0)</f>
        <v>83333.333333333328</v>
      </c>
      <c r="GI60" s="18">
        <f>VLOOKUP(GI$6,CapEx!$R$25:$T$47,3,0)</f>
        <v>83333.333333333328</v>
      </c>
      <c r="GJ60" s="18">
        <f>VLOOKUP(GJ$6,CapEx!$R$25:$T$47,3,0)</f>
        <v>83333.333333333328</v>
      </c>
      <c r="GK60" s="18">
        <f>VLOOKUP(GK$6,CapEx!$R$25:$T$47,3,0)</f>
        <v>83333.333333333328</v>
      </c>
      <c r="GL60" s="18">
        <f>VLOOKUP(GL$6,CapEx!$R$25:$T$47,3,0)</f>
        <v>83333.333333333328</v>
      </c>
      <c r="GM60" s="18">
        <f>VLOOKUP(GM$6,CapEx!$R$25:$T$47,3,0)</f>
        <v>83333.333333333328</v>
      </c>
      <c r="GN60" s="18">
        <f>VLOOKUP(GN$6,CapEx!$R$25:$T$47,3,0)</f>
        <v>83333.333333333328</v>
      </c>
      <c r="GO60" s="18">
        <f>VLOOKUP(GO$6,CapEx!$R$25:$T$47,3,0)</f>
        <v>83333.333333333328</v>
      </c>
      <c r="GP60" s="18">
        <f>VLOOKUP(GP$6,CapEx!$R$25:$T$47,3,0)</f>
        <v>83333.333333333328</v>
      </c>
      <c r="GQ60" s="18">
        <f>VLOOKUP(GQ$6,CapEx!$R$25:$T$47,3,0)</f>
        <v>83333.333333333328</v>
      </c>
      <c r="GR60" s="18">
        <f>VLOOKUP(GR$6,CapEx!$R$25:$T$47,3,0)</f>
        <v>83333.333333333328</v>
      </c>
      <c r="GS60" s="18">
        <f>VLOOKUP(GS$6,CapEx!$R$25:$T$47,3,0)</f>
        <v>83333.333333333328</v>
      </c>
      <c r="GT60" s="18">
        <f>VLOOKUP(GT$6,CapEx!$R$25:$T$47,3,0)</f>
        <v>83333.333333333328</v>
      </c>
      <c r="GU60" s="18">
        <f>VLOOKUP(GU$6,CapEx!$R$25:$T$47,3,0)</f>
        <v>83333.333333333328</v>
      </c>
      <c r="GV60" s="18">
        <f>VLOOKUP(GV$6,CapEx!$R$25:$T$47,3,0)</f>
        <v>83333.333333333328</v>
      </c>
      <c r="GW60" s="18">
        <f>VLOOKUP(GW$6,CapEx!$R$25:$T$47,3,0)</f>
        <v>83333.333333333328</v>
      </c>
      <c r="GX60" s="18">
        <f>VLOOKUP(GX$6,CapEx!$R$25:$T$47,3,0)</f>
        <v>83333.333333333328</v>
      </c>
      <c r="GY60" s="18">
        <f>VLOOKUP(GY$6,CapEx!$R$25:$T$47,3,0)</f>
        <v>83333.333333333328</v>
      </c>
      <c r="GZ60" s="18">
        <f>VLOOKUP(GZ$6,CapEx!$R$25:$T$47,3,0)</f>
        <v>83333.333333333328</v>
      </c>
      <c r="HA60" s="18">
        <f>VLOOKUP(HA$6,CapEx!$R$25:$T$47,3,0)</f>
        <v>83333.333333333328</v>
      </c>
      <c r="HB60" s="18">
        <f>VLOOKUP(HB$6,CapEx!$R$25:$T$47,3,0)</f>
        <v>83333.333333333328</v>
      </c>
      <c r="HC60" s="18">
        <f>VLOOKUP(HC$6,CapEx!$R$25:$T$47,3,0)</f>
        <v>83333.333333333328</v>
      </c>
      <c r="HD60" s="18">
        <f>VLOOKUP(HD$6,CapEx!$R$25:$T$47,3,0)</f>
        <v>83333.333333333328</v>
      </c>
      <c r="HE60" s="18">
        <f>VLOOKUP(HE$6,CapEx!$R$25:$T$47,3,0)</f>
        <v>83333.333333333328</v>
      </c>
      <c r="HF60" s="18">
        <f>VLOOKUP(HF$6,CapEx!$R$25:$T$47,3,0)</f>
        <v>83333.333333333328</v>
      </c>
      <c r="HG60" s="18">
        <f>VLOOKUP(HG$6,CapEx!$R$25:$T$47,3,0)</f>
        <v>83333.333333333328</v>
      </c>
      <c r="HH60" s="18">
        <f>VLOOKUP(HH$6,CapEx!$R$25:$T$47,3,0)</f>
        <v>83333.333333333328</v>
      </c>
      <c r="HI60" s="18">
        <f>VLOOKUP(HI$6,CapEx!$R$25:$T$47,3,0)</f>
        <v>83333.333333333328</v>
      </c>
      <c r="HJ60" s="18">
        <f>VLOOKUP(HJ$6,CapEx!$R$25:$T$47,3,0)</f>
        <v>83333.333333333328</v>
      </c>
      <c r="HK60" s="18">
        <f>VLOOKUP(HK$6,CapEx!$R$25:$T$47,3,0)</f>
        <v>83333.333333333328</v>
      </c>
      <c r="HL60" s="18">
        <f>VLOOKUP(HL$6,CapEx!$R$25:$T$47,3,0)</f>
        <v>83333.333333333328</v>
      </c>
      <c r="HM60" s="18">
        <f>VLOOKUP(HM$6,CapEx!$R$25:$T$47,3,0)</f>
        <v>83333.333333333328</v>
      </c>
      <c r="HN60" s="18">
        <f>VLOOKUP(HN$6,CapEx!$R$25:$T$47,3,0)</f>
        <v>83333.333333333328</v>
      </c>
      <c r="HO60" s="18">
        <f>VLOOKUP(HO$6,CapEx!$R$25:$T$47,3,0)</f>
        <v>83333.333333333328</v>
      </c>
      <c r="HP60" s="18">
        <f>VLOOKUP(HP$6,CapEx!$R$25:$T$47,3,0)</f>
        <v>83333.333333333328</v>
      </c>
      <c r="HQ60" s="18">
        <f>VLOOKUP(HQ$6,CapEx!$R$25:$T$47,3,0)</f>
        <v>83333.333333333328</v>
      </c>
      <c r="HR60" s="18">
        <f>VLOOKUP(HR$6,CapEx!$R$25:$T$47,3,0)</f>
        <v>83333.333333333328</v>
      </c>
      <c r="HS60" s="18">
        <f>VLOOKUP(HS$6,CapEx!$R$25:$T$47,3,0)</f>
        <v>83333.333333333328</v>
      </c>
      <c r="HT60" s="18">
        <f>VLOOKUP(HT$6,CapEx!$R$25:$T$47,3,0)</f>
        <v>83333.333333333328</v>
      </c>
      <c r="HU60" s="18">
        <f>VLOOKUP(HU$6,CapEx!$R$25:$T$47,3,0)</f>
        <v>83333.333333333328</v>
      </c>
      <c r="HV60" s="18">
        <f>VLOOKUP(HV$6,CapEx!$R$25:$T$47,3,0)</f>
        <v>83333.333333333328</v>
      </c>
      <c r="HW60" s="18">
        <f>VLOOKUP(HW$6,CapEx!$R$25:$T$47,3,0)</f>
        <v>83333.333333333328</v>
      </c>
      <c r="HX60" s="18">
        <f>VLOOKUP(HX$6,CapEx!$R$25:$T$47,3,0)</f>
        <v>83333.333333333328</v>
      </c>
      <c r="HY60" s="18">
        <f>VLOOKUP(HY$6,CapEx!$R$25:$T$47,3,0)</f>
        <v>83333.333333333328</v>
      </c>
      <c r="HZ60" s="18">
        <f>VLOOKUP(HZ$6,CapEx!$R$25:$T$47,3,0)</f>
        <v>83333.333333333328</v>
      </c>
      <c r="IA60" s="18">
        <f>VLOOKUP(IA$6,CapEx!$R$25:$T$47,3,0)</f>
        <v>83333.333333333328</v>
      </c>
      <c r="IB60" s="18">
        <f>VLOOKUP(IB$6,CapEx!$R$25:$T$47,3,0)</f>
        <v>83333.333333333328</v>
      </c>
      <c r="IC60" s="18">
        <f>VLOOKUP(IC$6,CapEx!$R$25:$T$47,3,0)</f>
        <v>83333.333333333328</v>
      </c>
      <c r="ID60" s="18">
        <f>VLOOKUP(ID$6,CapEx!$R$25:$T$47,3,0)</f>
        <v>83333.333333333328</v>
      </c>
      <c r="IE60" s="18">
        <f>VLOOKUP(IE$6,CapEx!$R$25:$T$47,3,0)</f>
        <v>83333.333333333328</v>
      </c>
      <c r="IF60" s="18">
        <f>VLOOKUP(IF$6,CapEx!$R$25:$T$47,3,0)</f>
        <v>83333.333333333328</v>
      </c>
      <c r="IG60" s="18">
        <f>VLOOKUP(IG$6,CapEx!$R$25:$T$47,3,0)</f>
        <v>83333.333333333328</v>
      </c>
      <c r="IH60" s="18">
        <f>VLOOKUP(IH$6,CapEx!$R$25:$T$47,3,0)</f>
        <v>83333.333333333328</v>
      </c>
      <c r="II60" s="18">
        <f>VLOOKUP(II$6,CapEx!$R$25:$T$47,3,0)</f>
        <v>83333.333333333328</v>
      </c>
      <c r="IJ60" s="18">
        <f>VLOOKUP(IJ$6,CapEx!$R$25:$T$47,3,0)</f>
        <v>83333.333333333328</v>
      </c>
      <c r="IK60" s="18">
        <f>VLOOKUP(IK$6,CapEx!$R$25:$T$47,3,0)</f>
        <v>83333.333333333328</v>
      </c>
      <c r="IL60" s="18">
        <f>VLOOKUP(IL$6,CapEx!$R$25:$T$47,3,0)</f>
        <v>83333.333333333328</v>
      </c>
      <c r="IM60" s="18">
        <f>VLOOKUP(IM$6,CapEx!$R$25:$T$47,3,0)</f>
        <v>83333.333333333328</v>
      </c>
      <c r="IN60" s="18">
        <f>VLOOKUP(IN$6,CapEx!$R$25:$T$47,3,0)</f>
        <v>83333.333333333328</v>
      </c>
      <c r="IO60" s="18">
        <f>VLOOKUP(IO$6,CapEx!$R$25:$T$47,3,0)</f>
        <v>83333.333333333328</v>
      </c>
      <c r="IP60" s="18">
        <f>VLOOKUP(IP$6,CapEx!$R$25:$T$47,3,0)</f>
        <v>83333.333333333328</v>
      </c>
      <c r="IQ60" s="18">
        <f>VLOOKUP(IQ$6,CapEx!$R$25:$T$47,3,0)</f>
        <v>83333.333333333328</v>
      </c>
      <c r="IR60" s="18">
        <f>VLOOKUP(IR$6,CapEx!$R$25:$T$47,3,0)</f>
        <v>83333.333333333328</v>
      </c>
      <c r="IS60" s="18">
        <f>VLOOKUP(IS$6,CapEx!$R$25:$T$47,3,0)</f>
        <v>83333.333333333328</v>
      </c>
      <c r="IT60" s="18">
        <f>VLOOKUP(IT$6,CapEx!$R$25:$T$47,3,0)</f>
        <v>83333.333333333328</v>
      </c>
      <c r="IU60" s="18">
        <f>VLOOKUP(IU$6,CapEx!$R$25:$T$47,3,0)</f>
        <v>83333.333333333328</v>
      </c>
      <c r="IV60" s="18">
        <f>VLOOKUP(IV$6,CapEx!$R$25:$T$47,3,0)</f>
        <v>83333.333333333328</v>
      </c>
      <c r="IW60" s="18">
        <f>VLOOKUP(IW$6,CapEx!$R$25:$T$47,3,0)</f>
        <v>83333.333333333328</v>
      </c>
      <c r="IX60" s="18">
        <f>VLOOKUP(IX$6,CapEx!$R$25:$T$47,3,0)</f>
        <v>83333.333333333328</v>
      </c>
      <c r="IY60" s="18">
        <f>VLOOKUP(IY$6,CapEx!$R$25:$T$47,3,0)</f>
        <v>83333.333333333328</v>
      </c>
      <c r="IZ60" s="18">
        <f>VLOOKUP(IZ$6,CapEx!$R$25:$T$47,3,0)</f>
        <v>83333.333333333328</v>
      </c>
      <c r="JA60" s="18">
        <f>VLOOKUP(JA$6,CapEx!$R$25:$T$47,3,0)</f>
        <v>83333.333333333328</v>
      </c>
      <c r="JB60" s="18">
        <f>VLOOKUP(JB$6,CapEx!$R$25:$T$47,3,0)</f>
        <v>83333.333333333328</v>
      </c>
      <c r="JC60" s="18">
        <f>VLOOKUP(JC$6,CapEx!$R$25:$T$47,3,0)</f>
        <v>83333.333333333328</v>
      </c>
      <c r="JD60" s="18">
        <f>VLOOKUP(JD$6,CapEx!$R$25:$T$47,3,0)</f>
        <v>83333.333333333328</v>
      </c>
      <c r="JE60" s="18">
        <f>VLOOKUP(JE$6,CapEx!$R$25:$T$47,3,0)</f>
        <v>83333.333333333328</v>
      </c>
      <c r="JF60" s="18">
        <f>VLOOKUP(JF$6,CapEx!$R$25:$T$47,3,0)</f>
        <v>83333.333333333328</v>
      </c>
      <c r="JG60" s="18">
        <f>VLOOKUP(JG$6,CapEx!$R$25:$T$47,3,0)</f>
        <v>83333.333333333328</v>
      </c>
      <c r="JH60" s="18">
        <f>VLOOKUP(JH$6,CapEx!$R$25:$T$47,3,0)</f>
        <v>83333.333333333328</v>
      </c>
      <c r="JI60" s="18">
        <f>VLOOKUP(JI$6,CapEx!$R$25:$T$47,3,0)</f>
        <v>83333.333333333328</v>
      </c>
      <c r="JJ60" s="18">
        <f>VLOOKUP(JJ$6,CapEx!$R$25:$T$47,3,0)</f>
        <v>83333.333333333328</v>
      </c>
      <c r="JK60" s="18">
        <f>VLOOKUP(JK$6,CapEx!$R$25:$T$47,3,0)</f>
        <v>83333.333333333328</v>
      </c>
      <c r="JL60" s="18">
        <f>VLOOKUP(JL$6,CapEx!$R$25:$T$47,3,0)</f>
        <v>83333.333333333328</v>
      </c>
      <c r="JM60" s="18">
        <f>VLOOKUP(JM$6,CapEx!$R$25:$T$47,3,0)</f>
        <v>83333.333333333328</v>
      </c>
      <c r="JN60" s="18">
        <f>VLOOKUP(JN$6,CapEx!$R$25:$T$47,3,0)</f>
        <v>83333.333333333328</v>
      </c>
      <c r="JO60" s="18">
        <f>VLOOKUP(JO$6,CapEx!$R$25:$T$47,3,0)</f>
        <v>83333.333333333328</v>
      </c>
      <c r="JP60" s="18">
        <f>VLOOKUP(JP$6,CapEx!$R$25:$T$47,3,0)</f>
        <v>83333.333333333328</v>
      </c>
      <c r="JQ60" s="18">
        <f>VLOOKUP(JQ$6,CapEx!$R$25:$T$47,3,0)</f>
        <v>83333.333333333328</v>
      </c>
      <c r="JR60" s="18">
        <f>VLOOKUP(JR$6,CapEx!$R$25:$T$47,3,0)</f>
        <v>83333.333333333328</v>
      </c>
    </row>
    <row r="61" spans="2:278" x14ac:dyDescent="0.2">
      <c r="I61" s="20"/>
      <c r="U61" s="20"/>
      <c r="AG61" s="20"/>
    </row>
    <row r="62" spans="2:278" x14ac:dyDescent="0.2">
      <c r="B62" s="1" t="s">
        <v>145</v>
      </c>
      <c r="C62" s="1">
        <f t="shared" ref="C62:BN62" si="523">IF(C3&lt;12,1,IF(C3&lt;24,2,IF(C3&lt;36,3,IF(C3&lt;48,4,IF(C3&lt;60,5,IF(C3&lt;72,6,IF(C3&lt;84,7,IF(C3&lt;96,8,IF(C3&lt;108,9,IF(C3&lt;120,10,0))))))))))</f>
        <v>0</v>
      </c>
      <c r="D62" s="1">
        <f t="shared" si="523"/>
        <v>0</v>
      </c>
      <c r="E62" s="1">
        <f t="shared" si="523"/>
        <v>0</v>
      </c>
      <c r="F62" s="1">
        <f t="shared" si="523"/>
        <v>0</v>
      </c>
      <c r="G62" s="1">
        <f t="shared" si="523"/>
        <v>0</v>
      </c>
      <c r="H62" s="1">
        <f t="shared" si="523"/>
        <v>0</v>
      </c>
      <c r="I62" s="1">
        <f t="shared" si="523"/>
        <v>0</v>
      </c>
      <c r="J62" s="1">
        <f t="shared" si="523"/>
        <v>0</v>
      </c>
      <c r="K62" s="1">
        <f t="shared" si="523"/>
        <v>0</v>
      </c>
      <c r="L62" s="1">
        <f t="shared" si="523"/>
        <v>0</v>
      </c>
      <c r="M62" s="1">
        <f t="shared" si="523"/>
        <v>0</v>
      </c>
      <c r="N62" s="1">
        <f t="shared" si="523"/>
        <v>0</v>
      </c>
      <c r="O62" s="1">
        <f t="shared" si="523"/>
        <v>0</v>
      </c>
      <c r="P62" s="1">
        <f t="shared" si="523"/>
        <v>0</v>
      </c>
      <c r="Q62" s="1">
        <f t="shared" si="523"/>
        <v>0</v>
      </c>
      <c r="R62" s="1">
        <f t="shared" si="523"/>
        <v>1</v>
      </c>
      <c r="S62" s="1">
        <f t="shared" si="523"/>
        <v>1</v>
      </c>
      <c r="T62" s="1">
        <f t="shared" si="523"/>
        <v>1</v>
      </c>
      <c r="U62" s="1">
        <f t="shared" si="523"/>
        <v>1</v>
      </c>
      <c r="V62" s="1">
        <f t="shared" si="523"/>
        <v>1</v>
      </c>
      <c r="W62" s="1">
        <f t="shared" si="523"/>
        <v>1</v>
      </c>
      <c r="X62" s="1">
        <f t="shared" si="523"/>
        <v>1</v>
      </c>
      <c r="Y62" s="1">
        <f t="shared" si="523"/>
        <v>1</v>
      </c>
      <c r="Z62" s="1">
        <f t="shared" si="523"/>
        <v>1</v>
      </c>
      <c r="AA62" s="1">
        <f t="shared" si="523"/>
        <v>1</v>
      </c>
      <c r="AB62" s="1">
        <f t="shared" si="523"/>
        <v>1</v>
      </c>
      <c r="AC62" s="1">
        <f t="shared" si="523"/>
        <v>1</v>
      </c>
      <c r="AD62" s="1">
        <f t="shared" si="523"/>
        <v>2</v>
      </c>
      <c r="AE62" s="1">
        <f t="shared" si="523"/>
        <v>2</v>
      </c>
      <c r="AF62" s="1">
        <f t="shared" si="523"/>
        <v>2</v>
      </c>
      <c r="AG62" s="1">
        <f t="shared" si="523"/>
        <v>2</v>
      </c>
      <c r="AH62" s="1">
        <f t="shared" si="523"/>
        <v>2</v>
      </c>
      <c r="AI62" s="1">
        <f t="shared" si="523"/>
        <v>2</v>
      </c>
      <c r="AJ62" s="1">
        <f t="shared" si="523"/>
        <v>2</v>
      </c>
      <c r="AK62" s="1">
        <f t="shared" si="523"/>
        <v>2</v>
      </c>
      <c r="AL62" s="1">
        <f t="shared" si="523"/>
        <v>2</v>
      </c>
      <c r="AM62" s="1">
        <f t="shared" si="523"/>
        <v>2</v>
      </c>
      <c r="AN62" s="1">
        <f t="shared" si="523"/>
        <v>2</v>
      </c>
      <c r="AO62" s="1">
        <f t="shared" si="523"/>
        <v>2</v>
      </c>
      <c r="AP62" s="1">
        <f t="shared" si="523"/>
        <v>3</v>
      </c>
      <c r="AQ62" s="1">
        <f t="shared" si="523"/>
        <v>3</v>
      </c>
      <c r="AR62" s="1">
        <f t="shared" si="523"/>
        <v>3</v>
      </c>
      <c r="AS62" s="1">
        <f t="shared" si="523"/>
        <v>3</v>
      </c>
      <c r="AT62" s="1">
        <f t="shared" si="523"/>
        <v>3</v>
      </c>
      <c r="AU62" s="1">
        <f t="shared" si="523"/>
        <v>3</v>
      </c>
      <c r="AV62" s="1">
        <f t="shared" si="523"/>
        <v>3</v>
      </c>
      <c r="AW62" s="1">
        <f t="shared" si="523"/>
        <v>3</v>
      </c>
      <c r="AX62" s="1">
        <f t="shared" si="523"/>
        <v>3</v>
      </c>
      <c r="AY62" s="1">
        <f t="shared" si="523"/>
        <v>3</v>
      </c>
      <c r="AZ62" s="1">
        <f t="shared" si="523"/>
        <v>3</v>
      </c>
      <c r="BA62" s="1">
        <f t="shared" si="523"/>
        <v>3</v>
      </c>
      <c r="BB62" s="1">
        <f t="shared" si="523"/>
        <v>4</v>
      </c>
      <c r="BC62" s="1">
        <f t="shared" si="523"/>
        <v>4</v>
      </c>
      <c r="BD62" s="1">
        <f t="shared" si="523"/>
        <v>4</v>
      </c>
      <c r="BE62" s="1">
        <f t="shared" si="523"/>
        <v>4</v>
      </c>
      <c r="BF62" s="1">
        <f t="shared" si="523"/>
        <v>4</v>
      </c>
      <c r="BG62" s="1">
        <f t="shared" si="523"/>
        <v>4</v>
      </c>
      <c r="BH62" s="1">
        <f t="shared" si="523"/>
        <v>4</v>
      </c>
      <c r="BI62" s="1">
        <f t="shared" si="523"/>
        <v>4</v>
      </c>
      <c r="BJ62" s="1">
        <f t="shared" si="523"/>
        <v>4</v>
      </c>
      <c r="BK62" s="1">
        <f t="shared" si="523"/>
        <v>4</v>
      </c>
      <c r="BL62" s="1">
        <f t="shared" si="523"/>
        <v>4</v>
      </c>
      <c r="BM62" s="1">
        <f t="shared" si="523"/>
        <v>4</v>
      </c>
      <c r="BN62" s="1">
        <f t="shared" si="523"/>
        <v>5</v>
      </c>
      <c r="BO62" s="1">
        <f t="shared" ref="BO62:DZ62" si="524">IF(BO3&lt;12,1,IF(BO3&lt;24,2,IF(BO3&lt;36,3,IF(BO3&lt;48,4,IF(BO3&lt;60,5,IF(BO3&lt;72,6,IF(BO3&lt;84,7,IF(BO3&lt;96,8,IF(BO3&lt;108,9,IF(BO3&lt;120,10,0))))))))))</f>
        <v>5</v>
      </c>
      <c r="BP62" s="1">
        <f t="shared" si="524"/>
        <v>5</v>
      </c>
      <c r="BQ62" s="1">
        <f t="shared" si="524"/>
        <v>5</v>
      </c>
      <c r="BR62" s="1">
        <f t="shared" si="524"/>
        <v>5</v>
      </c>
      <c r="BS62" s="1">
        <f t="shared" si="524"/>
        <v>5</v>
      </c>
      <c r="BT62" s="1">
        <f t="shared" si="524"/>
        <v>5</v>
      </c>
      <c r="BU62" s="1">
        <f t="shared" si="524"/>
        <v>5</v>
      </c>
      <c r="BV62" s="1">
        <f t="shared" si="524"/>
        <v>5</v>
      </c>
      <c r="BW62" s="1">
        <f t="shared" si="524"/>
        <v>5</v>
      </c>
      <c r="BX62" s="1">
        <f t="shared" si="524"/>
        <v>5</v>
      </c>
      <c r="BY62" s="1">
        <f t="shared" si="524"/>
        <v>5</v>
      </c>
      <c r="BZ62" s="1">
        <f t="shared" si="524"/>
        <v>6</v>
      </c>
      <c r="CA62" s="1">
        <f t="shared" si="524"/>
        <v>6</v>
      </c>
      <c r="CB62" s="1">
        <f t="shared" si="524"/>
        <v>6</v>
      </c>
      <c r="CC62" s="1">
        <f t="shared" si="524"/>
        <v>6</v>
      </c>
      <c r="CD62" s="1">
        <f t="shared" si="524"/>
        <v>6</v>
      </c>
      <c r="CE62" s="1">
        <f t="shared" si="524"/>
        <v>6</v>
      </c>
      <c r="CF62" s="1">
        <f t="shared" si="524"/>
        <v>6</v>
      </c>
      <c r="CG62" s="1">
        <f t="shared" si="524"/>
        <v>6</v>
      </c>
      <c r="CH62" s="1">
        <f t="shared" si="524"/>
        <v>6</v>
      </c>
      <c r="CI62" s="1">
        <f t="shared" si="524"/>
        <v>6</v>
      </c>
      <c r="CJ62" s="1">
        <f t="shared" si="524"/>
        <v>6</v>
      </c>
      <c r="CK62" s="1">
        <f t="shared" si="524"/>
        <v>6</v>
      </c>
      <c r="CL62" s="1">
        <f t="shared" si="524"/>
        <v>7</v>
      </c>
      <c r="CM62" s="1">
        <f t="shared" si="524"/>
        <v>7</v>
      </c>
      <c r="CN62" s="1">
        <f t="shared" si="524"/>
        <v>7</v>
      </c>
      <c r="CO62" s="1">
        <f t="shared" si="524"/>
        <v>7</v>
      </c>
      <c r="CP62" s="1">
        <f t="shared" si="524"/>
        <v>7</v>
      </c>
      <c r="CQ62" s="1">
        <f t="shared" si="524"/>
        <v>7</v>
      </c>
      <c r="CR62" s="1">
        <f t="shared" si="524"/>
        <v>7</v>
      </c>
      <c r="CS62" s="1">
        <f t="shared" si="524"/>
        <v>7</v>
      </c>
      <c r="CT62" s="1">
        <f t="shared" si="524"/>
        <v>7</v>
      </c>
      <c r="CU62" s="1">
        <f t="shared" si="524"/>
        <v>7</v>
      </c>
      <c r="CV62" s="1">
        <f t="shared" si="524"/>
        <v>7</v>
      </c>
      <c r="CW62" s="1">
        <f t="shared" si="524"/>
        <v>7</v>
      </c>
      <c r="CX62" s="1">
        <f t="shared" si="524"/>
        <v>8</v>
      </c>
      <c r="CY62" s="1">
        <f t="shared" si="524"/>
        <v>8</v>
      </c>
      <c r="CZ62" s="1">
        <f t="shared" si="524"/>
        <v>8</v>
      </c>
      <c r="DA62" s="1">
        <f t="shared" si="524"/>
        <v>8</v>
      </c>
      <c r="DB62" s="1">
        <f t="shared" si="524"/>
        <v>8</v>
      </c>
      <c r="DC62" s="1">
        <f t="shared" si="524"/>
        <v>8</v>
      </c>
      <c r="DD62" s="1">
        <f t="shared" si="524"/>
        <v>8</v>
      </c>
      <c r="DE62" s="1">
        <f t="shared" si="524"/>
        <v>8</v>
      </c>
      <c r="DF62" s="1">
        <f t="shared" si="524"/>
        <v>8</v>
      </c>
      <c r="DG62" s="1">
        <f t="shared" si="524"/>
        <v>8</v>
      </c>
      <c r="DH62" s="1">
        <f t="shared" si="524"/>
        <v>8</v>
      </c>
      <c r="DI62" s="1">
        <f t="shared" si="524"/>
        <v>8</v>
      </c>
      <c r="DJ62" s="1">
        <f t="shared" si="524"/>
        <v>9</v>
      </c>
      <c r="DK62" s="1">
        <f t="shared" si="524"/>
        <v>9</v>
      </c>
      <c r="DL62" s="1">
        <f t="shared" si="524"/>
        <v>9</v>
      </c>
      <c r="DM62" s="1">
        <f t="shared" si="524"/>
        <v>9</v>
      </c>
      <c r="DN62" s="1">
        <f t="shared" si="524"/>
        <v>9</v>
      </c>
      <c r="DO62" s="1">
        <f t="shared" si="524"/>
        <v>9</v>
      </c>
      <c r="DP62" s="1">
        <f t="shared" si="524"/>
        <v>9</v>
      </c>
      <c r="DQ62" s="1">
        <f t="shared" si="524"/>
        <v>9</v>
      </c>
      <c r="DR62" s="1">
        <f t="shared" si="524"/>
        <v>9</v>
      </c>
      <c r="DS62" s="1">
        <f t="shared" si="524"/>
        <v>9</v>
      </c>
      <c r="DT62" s="1">
        <f t="shared" si="524"/>
        <v>9</v>
      </c>
      <c r="DU62" s="1">
        <f t="shared" si="524"/>
        <v>9</v>
      </c>
      <c r="DV62" s="1">
        <f t="shared" si="524"/>
        <v>10</v>
      </c>
      <c r="DW62" s="1">
        <f t="shared" si="524"/>
        <v>10</v>
      </c>
      <c r="DX62" s="1">
        <f t="shared" si="524"/>
        <v>10</v>
      </c>
      <c r="DY62" s="1">
        <f t="shared" si="524"/>
        <v>10</v>
      </c>
      <c r="DZ62" s="1">
        <f t="shared" si="524"/>
        <v>10</v>
      </c>
      <c r="EA62" s="1">
        <f t="shared" ref="EA62:GL62" si="525">IF(EA3&lt;12,1,IF(EA3&lt;24,2,IF(EA3&lt;36,3,IF(EA3&lt;48,4,IF(EA3&lt;60,5,IF(EA3&lt;72,6,IF(EA3&lt;84,7,IF(EA3&lt;96,8,IF(EA3&lt;108,9,IF(EA3&lt;120,10,0))))))))))</f>
        <v>10</v>
      </c>
      <c r="EB62" s="1">
        <f t="shared" si="525"/>
        <v>10</v>
      </c>
      <c r="EC62" s="1">
        <f t="shared" si="525"/>
        <v>10</v>
      </c>
      <c r="ED62" s="1">
        <f t="shared" si="525"/>
        <v>10</v>
      </c>
      <c r="EE62" s="1">
        <f t="shared" si="525"/>
        <v>10</v>
      </c>
      <c r="EF62" s="1">
        <f t="shared" si="525"/>
        <v>10</v>
      </c>
      <c r="EG62" s="1">
        <f t="shared" si="525"/>
        <v>10</v>
      </c>
      <c r="EH62" s="1">
        <f t="shared" si="525"/>
        <v>0</v>
      </c>
      <c r="EI62" s="1">
        <f t="shared" si="525"/>
        <v>0</v>
      </c>
      <c r="EJ62" s="1">
        <f t="shared" si="525"/>
        <v>0</v>
      </c>
      <c r="EK62" s="1">
        <f t="shared" si="525"/>
        <v>0</v>
      </c>
      <c r="EL62" s="1">
        <f t="shared" si="525"/>
        <v>0</v>
      </c>
      <c r="EM62" s="1">
        <f t="shared" si="525"/>
        <v>0</v>
      </c>
      <c r="EN62" s="1">
        <f t="shared" si="525"/>
        <v>0</v>
      </c>
      <c r="EO62" s="1">
        <f t="shared" si="525"/>
        <v>0</v>
      </c>
      <c r="EP62" s="1">
        <f t="shared" si="525"/>
        <v>0</v>
      </c>
      <c r="EQ62" s="1">
        <f t="shared" si="525"/>
        <v>0</v>
      </c>
      <c r="ER62" s="1">
        <f t="shared" si="525"/>
        <v>0</v>
      </c>
      <c r="ES62" s="1">
        <f t="shared" si="525"/>
        <v>0</v>
      </c>
      <c r="ET62" s="1">
        <f t="shared" si="525"/>
        <v>0</v>
      </c>
      <c r="EU62" s="1">
        <f t="shared" si="525"/>
        <v>0</v>
      </c>
      <c r="EV62" s="1">
        <f t="shared" si="525"/>
        <v>0</v>
      </c>
      <c r="EW62" s="1">
        <f t="shared" si="525"/>
        <v>0</v>
      </c>
      <c r="EX62" s="1">
        <f t="shared" si="525"/>
        <v>0</v>
      </c>
      <c r="EY62" s="1">
        <f t="shared" si="525"/>
        <v>0</v>
      </c>
      <c r="EZ62" s="1">
        <f t="shared" si="525"/>
        <v>0</v>
      </c>
      <c r="FA62" s="1">
        <f t="shared" si="525"/>
        <v>0</v>
      </c>
      <c r="FB62" s="1">
        <f t="shared" si="525"/>
        <v>0</v>
      </c>
      <c r="FC62" s="1">
        <f t="shared" si="525"/>
        <v>0</v>
      </c>
      <c r="FD62" s="1">
        <f t="shared" si="525"/>
        <v>0</v>
      </c>
      <c r="FE62" s="1">
        <f t="shared" si="525"/>
        <v>0</v>
      </c>
      <c r="FF62" s="1">
        <f t="shared" si="525"/>
        <v>0</v>
      </c>
      <c r="FG62" s="1">
        <f t="shared" si="525"/>
        <v>0</v>
      </c>
      <c r="FH62" s="1">
        <f t="shared" si="525"/>
        <v>0</v>
      </c>
      <c r="FI62" s="1">
        <f t="shared" si="525"/>
        <v>0</v>
      </c>
      <c r="FJ62" s="1">
        <f t="shared" si="525"/>
        <v>0</v>
      </c>
      <c r="FK62" s="1">
        <f t="shared" si="525"/>
        <v>0</v>
      </c>
      <c r="FL62" s="1">
        <f t="shared" si="525"/>
        <v>0</v>
      </c>
      <c r="FM62" s="1">
        <f t="shared" si="525"/>
        <v>0</v>
      </c>
      <c r="FN62" s="1">
        <f t="shared" si="525"/>
        <v>0</v>
      </c>
      <c r="FO62" s="1">
        <f t="shared" si="525"/>
        <v>0</v>
      </c>
      <c r="FP62" s="1">
        <f t="shared" si="525"/>
        <v>0</v>
      </c>
      <c r="FQ62" s="1">
        <f t="shared" si="525"/>
        <v>0</v>
      </c>
      <c r="FR62" s="1">
        <f t="shared" si="525"/>
        <v>0</v>
      </c>
      <c r="FS62" s="1">
        <f t="shared" si="525"/>
        <v>0</v>
      </c>
      <c r="FT62" s="1">
        <f t="shared" si="525"/>
        <v>0</v>
      </c>
      <c r="FU62" s="1">
        <f t="shared" si="525"/>
        <v>0</v>
      </c>
      <c r="FV62" s="1">
        <f t="shared" si="525"/>
        <v>0</v>
      </c>
      <c r="FW62" s="1">
        <f t="shared" si="525"/>
        <v>0</v>
      </c>
      <c r="FX62" s="1">
        <f t="shared" si="525"/>
        <v>0</v>
      </c>
      <c r="FY62" s="1">
        <f t="shared" si="525"/>
        <v>0</v>
      </c>
      <c r="FZ62" s="1">
        <f t="shared" si="525"/>
        <v>0</v>
      </c>
      <c r="GA62" s="1">
        <f t="shared" si="525"/>
        <v>0</v>
      </c>
      <c r="GB62" s="1">
        <f t="shared" si="525"/>
        <v>0</v>
      </c>
      <c r="GC62" s="1">
        <f t="shared" si="525"/>
        <v>0</v>
      </c>
      <c r="GD62" s="1">
        <f t="shared" si="525"/>
        <v>0</v>
      </c>
      <c r="GE62" s="1">
        <f t="shared" si="525"/>
        <v>0</v>
      </c>
      <c r="GF62" s="1">
        <f t="shared" si="525"/>
        <v>0</v>
      </c>
      <c r="GG62" s="1">
        <f t="shared" si="525"/>
        <v>0</v>
      </c>
      <c r="GH62" s="1">
        <f t="shared" si="525"/>
        <v>0</v>
      </c>
      <c r="GI62" s="1">
        <f t="shared" si="525"/>
        <v>0</v>
      </c>
      <c r="GJ62" s="1">
        <f t="shared" si="525"/>
        <v>0</v>
      </c>
      <c r="GK62" s="1">
        <f t="shared" si="525"/>
        <v>0</v>
      </c>
      <c r="GL62" s="1">
        <f t="shared" si="525"/>
        <v>0</v>
      </c>
      <c r="GM62" s="1">
        <f t="shared" ref="GM62:IX62" si="526">IF(GM3&lt;12,1,IF(GM3&lt;24,2,IF(GM3&lt;36,3,IF(GM3&lt;48,4,IF(GM3&lt;60,5,IF(GM3&lt;72,6,IF(GM3&lt;84,7,IF(GM3&lt;96,8,IF(GM3&lt;108,9,IF(GM3&lt;120,10,0))))))))))</f>
        <v>0</v>
      </c>
      <c r="GN62" s="1">
        <f t="shared" si="526"/>
        <v>0</v>
      </c>
      <c r="GO62" s="1">
        <f t="shared" si="526"/>
        <v>0</v>
      </c>
      <c r="GP62" s="1">
        <f t="shared" si="526"/>
        <v>0</v>
      </c>
      <c r="GQ62" s="1">
        <f t="shared" si="526"/>
        <v>0</v>
      </c>
      <c r="GR62" s="1">
        <f t="shared" si="526"/>
        <v>0</v>
      </c>
      <c r="GS62" s="1">
        <f t="shared" si="526"/>
        <v>0</v>
      </c>
      <c r="GT62" s="1">
        <f t="shared" si="526"/>
        <v>0</v>
      </c>
      <c r="GU62" s="1">
        <f t="shared" si="526"/>
        <v>0</v>
      </c>
      <c r="GV62" s="1">
        <f t="shared" si="526"/>
        <v>0</v>
      </c>
      <c r="GW62" s="1">
        <f t="shared" si="526"/>
        <v>0</v>
      </c>
      <c r="GX62" s="1">
        <f t="shared" si="526"/>
        <v>0</v>
      </c>
      <c r="GY62" s="1">
        <f t="shared" si="526"/>
        <v>0</v>
      </c>
      <c r="GZ62" s="1">
        <f t="shared" si="526"/>
        <v>0</v>
      </c>
      <c r="HA62" s="1">
        <f t="shared" si="526"/>
        <v>0</v>
      </c>
      <c r="HB62" s="1">
        <f t="shared" si="526"/>
        <v>0</v>
      </c>
      <c r="HC62" s="1">
        <f t="shared" si="526"/>
        <v>0</v>
      </c>
      <c r="HD62" s="1">
        <f t="shared" si="526"/>
        <v>0</v>
      </c>
      <c r="HE62" s="1">
        <f t="shared" si="526"/>
        <v>0</v>
      </c>
      <c r="HF62" s="1">
        <f t="shared" si="526"/>
        <v>0</v>
      </c>
      <c r="HG62" s="1">
        <f t="shared" si="526"/>
        <v>0</v>
      </c>
      <c r="HH62" s="1">
        <f t="shared" si="526"/>
        <v>0</v>
      </c>
      <c r="HI62" s="1">
        <f t="shared" si="526"/>
        <v>0</v>
      </c>
      <c r="HJ62" s="1">
        <f t="shared" si="526"/>
        <v>0</v>
      </c>
      <c r="HK62" s="1">
        <f t="shared" si="526"/>
        <v>0</v>
      </c>
      <c r="HL62" s="1">
        <f t="shared" si="526"/>
        <v>0</v>
      </c>
      <c r="HM62" s="1">
        <f t="shared" si="526"/>
        <v>0</v>
      </c>
      <c r="HN62" s="1">
        <f t="shared" si="526"/>
        <v>0</v>
      </c>
      <c r="HO62" s="1">
        <f t="shared" si="526"/>
        <v>0</v>
      </c>
      <c r="HP62" s="1">
        <f t="shared" si="526"/>
        <v>0</v>
      </c>
      <c r="HQ62" s="1">
        <f t="shared" si="526"/>
        <v>0</v>
      </c>
      <c r="HR62" s="1">
        <f t="shared" si="526"/>
        <v>0</v>
      </c>
      <c r="HS62" s="1">
        <f t="shared" si="526"/>
        <v>0</v>
      </c>
      <c r="HT62" s="1">
        <f t="shared" si="526"/>
        <v>0</v>
      </c>
      <c r="HU62" s="1">
        <f t="shared" si="526"/>
        <v>0</v>
      </c>
      <c r="HV62" s="1">
        <f t="shared" si="526"/>
        <v>0</v>
      </c>
      <c r="HW62" s="1">
        <f t="shared" si="526"/>
        <v>0</v>
      </c>
      <c r="HX62" s="1">
        <f t="shared" si="526"/>
        <v>0</v>
      </c>
      <c r="HY62" s="1">
        <f t="shared" si="526"/>
        <v>0</v>
      </c>
      <c r="HZ62" s="1">
        <f t="shared" si="526"/>
        <v>0</v>
      </c>
      <c r="IA62" s="1">
        <f t="shared" si="526"/>
        <v>0</v>
      </c>
      <c r="IB62" s="1">
        <f t="shared" si="526"/>
        <v>0</v>
      </c>
      <c r="IC62" s="1">
        <f t="shared" si="526"/>
        <v>0</v>
      </c>
      <c r="ID62" s="1">
        <f t="shared" si="526"/>
        <v>0</v>
      </c>
      <c r="IE62" s="1">
        <f t="shared" si="526"/>
        <v>0</v>
      </c>
      <c r="IF62" s="1">
        <f t="shared" si="526"/>
        <v>0</v>
      </c>
      <c r="IG62" s="1">
        <f t="shared" si="526"/>
        <v>0</v>
      </c>
      <c r="IH62" s="1">
        <f t="shared" si="526"/>
        <v>0</v>
      </c>
      <c r="II62" s="1">
        <f t="shared" si="526"/>
        <v>0</v>
      </c>
      <c r="IJ62" s="1">
        <f t="shared" si="526"/>
        <v>0</v>
      </c>
      <c r="IK62" s="1">
        <f t="shared" si="526"/>
        <v>0</v>
      </c>
      <c r="IL62" s="1">
        <f t="shared" si="526"/>
        <v>0</v>
      </c>
      <c r="IM62" s="1">
        <f t="shared" si="526"/>
        <v>0</v>
      </c>
      <c r="IN62" s="1">
        <f t="shared" si="526"/>
        <v>0</v>
      </c>
      <c r="IO62" s="1">
        <f t="shared" si="526"/>
        <v>0</v>
      </c>
      <c r="IP62" s="1">
        <f t="shared" si="526"/>
        <v>0</v>
      </c>
      <c r="IQ62" s="1">
        <f t="shared" si="526"/>
        <v>0</v>
      </c>
      <c r="IR62" s="1">
        <f t="shared" si="526"/>
        <v>0</v>
      </c>
      <c r="IS62" s="1">
        <f t="shared" si="526"/>
        <v>0</v>
      </c>
      <c r="IT62" s="1">
        <f t="shared" si="526"/>
        <v>0</v>
      </c>
      <c r="IU62" s="1">
        <f t="shared" si="526"/>
        <v>0</v>
      </c>
      <c r="IV62" s="1">
        <f t="shared" si="526"/>
        <v>0</v>
      </c>
      <c r="IW62" s="1">
        <f t="shared" si="526"/>
        <v>0</v>
      </c>
      <c r="IX62" s="1">
        <f t="shared" si="526"/>
        <v>0</v>
      </c>
      <c r="IY62" s="1">
        <f t="shared" ref="IY62:JR62" si="527">IF(IY3&lt;12,1,IF(IY3&lt;24,2,IF(IY3&lt;36,3,IF(IY3&lt;48,4,IF(IY3&lt;60,5,IF(IY3&lt;72,6,IF(IY3&lt;84,7,IF(IY3&lt;96,8,IF(IY3&lt;108,9,IF(IY3&lt;120,10,0))))))))))</f>
        <v>0</v>
      </c>
      <c r="IZ62" s="1">
        <f t="shared" si="527"/>
        <v>0</v>
      </c>
      <c r="JA62" s="1">
        <f t="shared" si="527"/>
        <v>0</v>
      </c>
      <c r="JB62" s="1">
        <f t="shared" si="527"/>
        <v>0</v>
      </c>
      <c r="JC62" s="1">
        <f t="shared" si="527"/>
        <v>0</v>
      </c>
      <c r="JD62" s="1">
        <f t="shared" si="527"/>
        <v>0</v>
      </c>
      <c r="JE62" s="1">
        <f t="shared" si="527"/>
        <v>0</v>
      </c>
      <c r="JF62" s="1">
        <f t="shared" si="527"/>
        <v>0</v>
      </c>
      <c r="JG62" s="1">
        <f t="shared" si="527"/>
        <v>0</v>
      </c>
      <c r="JH62" s="1">
        <f t="shared" si="527"/>
        <v>0</v>
      </c>
      <c r="JI62" s="1">
        <f t="shared" si="527"/>
        <v>0</v>
      </c>
      <c r="JJ62" s="1">
        <f t="shared" si="527"/>
        <v>0</v>
      </c>
      <c r="JK62" s="1">
        <f t="shared" si="527"/>
        <v>0</v>
      </c>
      <c r="JL62" s="1">
        <f t="shared" si="527"/>
        <v>0</v>
      </c>
      <c r="JM62" s="1">
        <f t="shared" si="527"/>
        <v>0</v>
      </c>
      <c r="JN62" s="1">
        <f t="shared" si="527"/>
        <v>0</v>
      </c>
      <c r="JO62" s="1">
        <f t="shared" si="527"/>
        <v>0</v>
      </c>
      <c r="JP62" s="1">
        <f t="shared" si="527"/>
        <v>0</v>
      </c>
      <c r="JQ62" s="1">
        <f t="shared" si="527"/>
        <v>0</v>
      </c>
      <c r="JR62" s="1">
        <f t="shared" si="527"/>
        <v>0</v>
      </c>
    </row>
    <row r="63" spans="2:278" x14ac:dyDescent="0.2">
      <c r="B63" s="1" t="s">
        <v>161</v>
      </c>
      <c r="C63" s="18">
        <f>IFERROR(IF(C$1&lt;CapEx!$O$7,0,CapEx!$D$113*VLOOKUP(Financials!C$62,CapEx!$R$11:$U$20,4,0)),0)</f>
        <v>0</v>
      </c>
      <c r="D63" s="18">
        <f>IFERROR(IF(D$1&lt;CapEx!$O$7,0,CapEx!$D$113*VLOOKUP(Financials!D$62,CapEx!$R$11:$U$20,4,0)),0)</f>
        <v>0</v>
      </c>
      <c r="E63" s="18">
        <f>IFERROR(IF(E$1&lt;CapEx!$O$7,0,CapEx!$D$113*VLOOKUP(Financials!E$62,CapEx!$R$11:$U$20,4,0)),0)</f>
        <v>0</v>
      </c>
      <c r="F63" s="18">
        <f>IFERROR(IF(F$1&lt;CapEx!$O$7,0,CapEx!$D$113*VLOOKUP(Financials!F$62,CapEx!$R$11:$U$20,4,0)),0)</f>
        <v>0</v>
      </c>
      <c r="G63" s="18">
        <f>IFERROR(IF(G$1&lt;CapEx!$O$7,0,CapEx!$D$113*VLOOKUP(Financials!G$62,CapEx!$R$11:$U$20,4,0)),0)</f>
        <v>0</v>
      </c>
      <c r="H63" s="18">
        <f>IFERROR(IF(H$1&lt;CapEx!$O$7,0,CapEx!$D$113*VLOOKUP(Financials!H$62,CapEx!$R$11:$U$20,4,0)),0)</f>
        <v>0</v>
      </c>
      <c r="I63" s="18">
        <f>IFERROR(IF(I$1&lt;CapEx!$O$7,0,CapEx!$D$113*VLOOKUP(Financials!I$62,CapEx!$R$11:$U$20,4,0)),0)</f>
        <v>0</v>
      </c>
      <c r="J63" s="18">
        <f>IFERROR(IF(J$1&lt;CapEx!$O$7,0,CapEx!$D$113*VLOOKUP(Financials!J$62,CapEx!$R$11:$U$20,4,0)),0)</f>
        <v>0</v>
      </c>
      <c r="K63" s="18">
        <f>IFERROR(IF(K$1&lt;CapEx!$O$7,0,CapEx!$D$113*VLOOKUP(Financials!K$62,CapEx!$R$11:$U$20,4,0)),0)</f>
        <v>0</v>
      </c>
      <c r="L63" s="18">
        <f>IFERROR(IF(L$1&lt;CapEx!$O$7,0,CapEx!$D$113*VLOOKUP(Financials!L$62,CapEx!$R$11:$U$20,4,0)),0)</f>
        <v>0</v>
      </c>
      <c r="M63" s="18">
        <f>IFERROR(IF(M$1&lt;CapEx!$O$7,0,CapEx!$D$113*VLOOKUP(Financials!M$62,CapEx!$R$11:$U$20,4,0)),0)</f>
        <v>0</v>
      </c>
      <c r="N63" s="18">
        <f>IFERROR(IF(N$1&lt;CapEx!$O$7,0,CapEx!$D$113*VLOOKUP(Financials!N$62,CapEx!$R$11:$U$20,4,0)),0)</f>
        <v>0</v>
      </c>
      <c r="O63" s="18">
        <f>IFERROR(IF(O$1&lt;CapEx!$O$7,0,CapEx!$D$113*VLOOKUP(Financials!O$62,CapEx!$R$11:$U$20,4,0)),0)</f>
        <v>0</v>
      </c>
      <c r="P63" s="18">
        <f>IFERROR(IF(P$1&lt;CapEx!$O$7,0,CapEx!$D$113*VLOOKUP(Financials!P$62,CapEx!$R$11:$U$20,4,0)),0)</f>
        <v>0</v>
      </c>
      <c r="Q63" s="18">
        <f>IFERROR(IF(Q$1&lt;CapEx!$O$7,0,CapEx!$D$113*VLOOKUP(Financials!Q$62,CapEx!$R$11:$U$20,4,0)),0)</f>
        <v>0</v>
      </c>
      <c r="R63" s="18">
        <f>IFERROR(IF(R$1&lt;CapEx!$O$7,0,CapEx!$D$113*VLOOKUP(Financials!R$62,CapEx!$R$11:$U$20,4,0)),0)</f>
        <v>3032477.199465476</v>
      </c>
      <c r="S63" s="18">
        <f>IFERROR(IF(S$1&lt;CapEx!$O$7,0,CapEx!$D$113*VLOOKUP(Financials!S$62,CapEx!$R$11:$U$20,4,0)),0)</f>
        <v>3032477.199465476</v>
      </c>
      <c r="T63" s="18">
        <f>IFERROR(IF(T$1&lt;CapEx!$O$7,0,CapEx!$D$113*VLOOKUP(Financials!T$62,CapEx!$R$11:$U$20,4,0)),0)</f>
        <v>3032477.199465476</v>
      </c>
      <c r="U63" s="18">
        <f>IFERROR(IF(U$1&lt;CapEx!$O$7,0,CapEx!$D$113*VLOOKUP(Financials!U$62,CapEx!$R$11:$U$20,4,0)),0)</f>
        <v>3032477.199465476</v>
      </c>
      <c r="V63" s="18">
        <f>IFERROR(IF(V$1&lt;CapEx!$O$7,0,CapEx!$D$113*VLOOKUP(Financials!V$62,CapEx!$R$11:$U$20,4,0)),0)</f>
        <v>3032477.199465476</v>
      </c>
      <c r="W63" s="18">
        <f>IFERROR(IF(W$1&lt;CapEx!$O$7,0,CapEx!$D$113*VLOOKUP(Financials!W$62,CapEx!$R$11:$U$20,4,0)),0)</f>
        <v>3032477.199465476</v>
      </c>
      <c r="X63" s="18">
        <f>IFERROR(IF(X$1&lt;CapEx!$O$7,0,CapEx!$D$113*VLOOKUP(Financials!X$62,CapEx!$R$11:$U$20,4,0)),0)</f>
        <v>3032477.199465476</v>
      </c>
      <c r="Y63" s="18">
        <f>IFERROR(IF(Y$1&lt;CapEx!$O$7,0,CapEx!$D$113*VLOOKUP(Financials!Y$62,CapEx!$R$11:$U$20,4,0)),0)</f>
        <v>3032477.199465476</v>
      </c>
      <c r="Z63" s="18">
        <f>IFERROR(IF(Z$1&lt;CapEx!$O$7,0,CapEx!$D$113*VLOOKUP(Financials!Z$62,CapEx!$R$11:$U$20,4,0)),0)</f>
        <v>3032477.199465476</v>
      </c>
      <c r="AA63" s="18">
        <f>IFERROR(IF(AA$1&lt;CapEx!$O$7,0,CapEx!$D$113*VLOOKUP(Financials!AA$62,CapEx!$R$11:$U$20,4,0)),0)</f>
        <v>3032477.199465476</v>
      </c>
      <c r="AB63" s="18">
        <f>IFERROR(IF(AB$1&lt;CapEx!$O$7,0,CapEx!$D$113*VLOOKUP(Financials!AB$62,CapEx!$R$11:$U$20,4,0)),0)</f>
        <v>3032477.199465476</v>
      </c>
      <c r="AC63" s="18">
        <f>IFERROR(IF(AC$1&lt;CapEx!$O$7,0,CapEx!$D$113*VLOOKUP(Financials!AC$62,CapEx!$R$11:$U$20,4,0)),0)</f>
        <v>3032477.199465476</v>
      </c>
      <c r="AD63" s="18">
        <f>IFERROR(IF(AD$1&lt;CapEx!$O$7,0,CapEx!$D$113*VLOOKUP(Financials!AD$62,CapEx!$R$11:$U$20,4,0)),0)</f>
        <v>3032477.199465476</v>
      </c>
      <c r="AE63" s="18">
        <f>IFERROR(IF(AE$1&lt;CapEx!$O$7,0,CapEx!$D$113*VLOOKUP(Financials!AE$62,CapEx!$R$11:$U$20,4,0)),0)</f>
        <v>3032477.199465476</v>
      </c>
      <c r="AF63" s="18">
        <f>IFERROR(IF(AF$1&lt;CapEx!$O$7,0,CapEx!$D$113*VLOOKUP(Financials!AF$62,CapEx!$R$11:$U$20,4,0)),0)</f>
        <v>3032477.199465476</v>
      </c>
      <c r="AG63" s="18">
        <f>IFERROR(IF(AG$1&lt;CapEx!$O$7,0,CapEx!$D$113*VLOOKUP(Financials!AG$62,CapEx!$R$11:$U$20,4,0)),0)</f>
        <v>3032477.199465476</v>
      </c>
      <c r="AH63" s="18">
        <f>IFERROR(IF(AH$1&lt;CapEx!$O$7,0,CapEx!$D$113*VLOOKUP(Financials!AH$62,CapEx!$R$11:$U$20,4,0)),0)</f>
        <v>3032477.199465476</v>
      </c>
      <c r="AI63" s="18">
        <f>IFERROR(IF(AI$1&lt;CapEx!$O$7,0,CapEx!$D$113*VLOOKUP(Financials!AI$62,CapEx!$R$11:$U$20,4,0)),0)</f>
        <v>3032477.199465476</v>
      </c>
      <c r="AJ63" s="18">
        <f>IFERROR(IF(AJ$1&lt;CapEx!$O$7,0,CapEx!$D$113*VLOOKUP(Financials!AJ$62,CapEx!$R$11:$U$20,4,0)),0)</f>
        <v>3032477.199465476</v>
      </c>
      <c r="AK63" s="18">
        <f>IFERROR(IF(AK$1&lt;CapEx!$O$7,0,CapEx!$D$113*VLOOKUP(Financials!AK$62,CapEx!$R$11:$U$20,4,0)),0)</f>
        <v>3032477.199465476</v>
      </c>
      <c r="AL63" s="18">
        <f>IFERROR(IF(AL$1&lt;CapEx!$O$7,0,CapEx!$D$113*VLOOKUP(Financials!AL$62,CapEx!$R$11:$U$20,4,0)),0)</f>
        <v>3032477.199465476</v>
      </c>
      <c r="AM63" s="18">
        <f>IFERROR(IF(AM$1&lt;CapEx!$O$7,0,CapEx!$D$113*VLOOKUP(Financials!AM$62,CapEx!$R$11:$U$20,4,0)),0)</f>
        <v>3032477.199465476</v>
      </c>
      <c r="AN63" s="18">
        <f>IFERROR(IF(AN$1&lt;CapEx!$O$7,0,CapEx!$D$113*VLOOKUP(Financials!AN$62,CapEx!$R$11:$U$20,4,0)),0)</f>
        <v>3032477.199465476</v>
      </c>
      <c r="AO63" s="18">
        <f>IFERROR(IF(AO$1&lt;CapEx!$O$7,0,CapEx!$D$113*VLOOKUP(Financials!AO$62,CapEx!$R$11:$U$20,4,0)),0)</f>
        <v>3032477.199465476</v>
      </c>
      <c r="AP63" s="18">
        <f>IFERROR(IF(AP$1&lt;CapEx!$O$7,0,CapEx!$D$113*VLOOKUP(Financials!AP$62,CapEx!$R$11:$U$20,4,0)),0)</f>
        <v>3032477.199465476</v>
      </c>
      <c r="AQ63" s="18">
        <f>IFERROR(IF(AQ$1&lt;CapEx!$O$7,0,CapEx!$D$113*VLOOKUP(Financials!AQ$62,CapEx!$R$11:$U$20,4,0)),0)</f>
        <v>3032477.199465476</v>
      </c>
      <c r="AR63" s="18">
        <f>IFERROR(IF(AR$1&lt;CapEx!$O$7,0,CapEx!$D$113*VLOOKUP(Financials!AR$62,CapEx!$R$11:$U$20,4,0)),0)</f>
        <v>3032477.199465476</v>
      </c>
      <c r="AS63" s="18">
        <f>IFERROR(IF(AS$1&lt;CapEx!$O$7,0,CapEx!$D$113*VLOOKUP(Financials!AS$62,CapEx!$R$11:$U$20,4,0)),0)</f>
        <v>3032477.199465476</v>
      </c>
      <c r="AT63" s="18">
        <f>IFERROR(IF(AT$1&lt;CapEx!$O$7,0,CapEx!$D$113*VLOOKUP(Financials!AT$62,CapEx!$R$11:$U$20,4,0)),0)</f>
        <v>3032477.199465476</v>
      </c>
      <c r="AU63" s="18">
        <f>IFERROR(IF(AU$1&lt;CapEx!$O$7,0,CapEx!$D$113*VLOOKUP(Financials!AU$62,CapEx!$R$11:$U$20,4,0)),0)</f>
        <v>3032477.199465476</v>
      </c>
      <c r="AV63" s="18">
        <f>IFERROR(IF(AV$1&lt;CapEx!$O$7,0,CapEx!$D$113*VLOOKUP(Financials!AV$62,CapEx!$R$11:$U$20,4,0)),0)</f>
        <v>3032477.199465476</v>
      </c>
      <c r="AW63" s="18">
        <f>IFERROR(IF(AW$1&lt;CapEx!$O$7,0,CapEx!$D$113*VLOOKUP(Financials!AW$62,CapEx!$R$11:$U$20,4,0)),0)</f>
        <v>3032477.199465476</v>
      </c>
      <c r="AX63" s="18">
        <f>IFERROR(IF(AX$1&lt;CapEx!$O$7,0,CapEx!$D$113*VLOOKUP(Financials!AX$62,CapEx!$R$11:$U$20,4,0)),0)</f>
        <v>3032477.199465476</v>
      </c>
      <c r="AY63" s="18">
        <f>IFERROR(IF(AY$1&lt;CapEx!$O$7,0,CapEx!$D$113*VLOOKUP(Financials!AY$62,CapEx!$R$11:$U$20,4,0)),0)</f>
        <v>3032477.199465476</v>
      </c>
      <c r="AZ63" s="18">
        <f>IFERROR(IF(AZ$1&lt;CapEx!$O$7,0,CapEx!$D$113*VLOOKUP(Financials!AZ$62,CapEx!$R$11:$U$20,4,0)),0)</f>
        <v>3032477.199465476</v>
      </c>
      <c r="BA63" s="18">
        <f>IFERROR(IF(BA$1&lt;CapEx!$O$7,0,CapEx!$D$113*VLOOKUP(Financials!BA$62,CapEx!$R$11:$U$20,4,0)),0)</f>
        <v>3032477.199465476</v>
      </c>
      <c r="BB63" s="18">
        <f>IFERROR(IF(BB$1&lt;CapEx!$O$7,0,CapEx!$D$113*VLOOKUP(Financials!BB$62,CapEx!$R$11:$U$20,4,0)),0)</f>
        <v>3032477.199465476</v>
      </c>
      <c r="BC63" s="18">
        <f>IFERROR(IF(BC$1&lt;CapEx!$O$7,0,CapEx!$D$113*VLOOKUP(Financials!BC$62,CapEx!$R$11:$U$20,4,0)),0)</f>
        <v>3032477.199465476</v>
      </c>
      <c r="BD63" s="18">
        <f>IFERROR(IF(BD$1&lt;CapEx!$O$7,0,CapEx!$D$113*VLOOKUP(Financials!BD$62,CapEx!$R$11:$U$20,4,0)),0)</f>
        <v>3032477.199465476</v>
      </c>
      <c r="BE63" s="18">
        <f>IFERROR(IF(BE$1&lt;CapEx!$O$7,0,CapEx!$D$113*VLOOKUP(Financials!BE$62,CapEx!$R$11:$U$20,4,0)),0)</f>
        <v>3032477.199465476</v>
      </c>
      <c r="BF63" s="18">
        <f>IFERROR(IF(BF$1&lt;CapEx!$O$7,0,CapEx!$D$113*VLOOKUP(Financials!BF$62,CapEx!$R$11:$U$20,4,0)),0)</f>
        <v>3032477.199465476</v>
      </c>
      <c r="BG63" s="18">
        <f>IFERROR(IF(BG$1&lt;CapEx!$O$7,0,CapEx!$D$113*VLOOKUP(Financials!BG$62,CapEx!$R$11:$U$20,4,0)),0)</f>
        <v>3032477.199465476</v>
      </c>
      <c r="BH63" s="18">
        <f>IFERROR(IF(BH$1&lt;CapEx!$O$7,0,CapEx!$D$113*VLOOKUP(Financials!BH$62,CapEx!$R$11:$U$20,4,0)),0)</f>
        <v>3032477.199465476</v>
      </c>
      <c r="BI63" s="18">
        <f>IFERROR(IF(BI$1&lt;CapEx!$O$7,0,CapEx!$D$113*VLOOKUP(Financials!BI$62,CapEx!$R$11:$U$20,4,0)),0)</f>
        <v>3032477.199465476</v>
      </c>
      <c r="BJ63" s="18">
        <f>IFERROR(IF(BJ$1&lt;CapEx!$O$7,0,CapEx!$D$113*VLOOKUP(Financials!BJ$62,CapEx!$R$11:$U$20,4,0)),0)</f>
        <v>3032477.199465476</v>
      </c>
      <c r="BK63" s="18">
        <f>IFERROR(IF(BK$1&lt;CapEx!$O$7,0,CapEx!$D$113*VLOOKUP(Financials!BK$62,CapEx!$R$11:$U$20,4,0)),0)</f>
        <v>3032477.199465476</v>
      </c>
      <c r="BL63" s="18">
        <f>IFERROR(IF(BL$1&lt;CapEx!$O$7,0,CapEx!$D$113*VLOOKUP(Financials!BL$62,CapEx!$R$11:$U$20,4,0)),0)</f>
        <v>3032477.199465476</v>
      </c>
      <c r="BM63" s="18">
        <f>IFERROR(IF(BM$1&lt;CapEx!$O$7,0,CapEx!$D$113*VLOOKUP(Financials!BM$62,CapEx!$R$11:$U$20,4,0)),0)</f>
        <v>3032477.199465476</v>
      </c>
      <c r="BN63" s="18">
        <f>IFERROR(IF(BN$1&lt;CapEx!$O$7,0,CapEx!$D$113*VLOOKUP(Financials!BN$62,CapEx!$R$11:$U$20,4,0)),0)</f>
        <v>3032477.199465476</v>
      </c>
      <c r="BO63" s="18">
        <f>IFERROR(IF(BO$1&lt;CapEx!$O$7,0,CapEx!$D$113*VLOOKUP(Financials!BO$62,CapEx!$R$11:$U$20,4,0)),0)</f>
        <v>3032477.199465476</v>
      </c>
      <c r="BP63" s="18">
        <f>IFERROR(IF(BP$1&lt;CapEx!$O$7,0,CapEx!$D$113*VLOOKUP(Financials!BP$62,CapEx!$R$11:$U$20,4,0)),0)</f>
        <v>3032477.199465476</v>
      </c>
      <c r="BQ63" s="18">
        <f>IFERROR(IF(BQ$1&lt;CapEx!$O$7,0,CapEx!$D$113*VLOOKUP(Financials!BQ$62,CapEx!$R$11:$U$20,4,0)),0)</f>
        <v>3032477.199465476</v>
      </c>
      <c r="BR63" s="18">
        <f>IFERROR(IF(BR$1&lt;CapEx!$O$7,0,CapEx!$D$113*VLOOKUP(Financials!BR$62,CapEx!$R$11:$U$20,4,0)),0)</f>
        <v>3032477.199465476</v>
      </c>
      <c r="BS63" s="18">
        <f>IFERROR(IF(BS$1&lt;CapEx!$O$7,0,CapEx!$D$113*VLOOKUP(Financials!BS$62,CapEx!$R$11:$U$20,4,0)),0)</f>
        <v>3032477.199465476</v>
      </c>
      <c r="BT63" s="18">
        <f>IFERROR(IF(BT$1&lt;CapEx!$O$7,0,CapEx!$D$113*VLOOKUP(Financials!BT$62,CapEx!$R$11:$U$20,4,0)),0)</f>
        <v>3032477.199465476</v>
      </c>
      <c r="BU63" s="18">
        <f>IFERROR(IF(BU$1&lt;CapEx!$O$7,0,CapEx!$D$113*VLOOKUP(Financials!BU$62,CapEx!$R$11:$U$20,4,0)),0)</f>
        <v>3032477.199465476</v>
      </c>
      <c r="BV63" s="18">
        <f>IFERROR(IF(BV$1&lt;CapEx!$O$7,0,CapEx!$D$113*VLOOKUP(Financials!BV$62,CapEx!$R$11:$U$20,4,0)),0)</f>
        <v>3032477.199465476</v>
      </c>
      <c r="BW63" s="18">
        <f>IFERROR(IF(BW$1&lt;CapEx!$O$7,0,CapEx!$D$113*VLOOKUP(Financials!BW$62,CapEx!$R$11:$U$20,4,0)),0)</f>
        <v>3032477.199465476</v>
      </c>
      <c r="BX63" s="18">
        <f>IFERROR(IF(BX$1&lt;CapEx!$O$7,0,CapEx!$D$113*VLOOKUP(Financials!BX$62,CapEx!$R$11:$U$20,4,0)),0)</f>
        <v>3032477.199465476</v>
      </c>
      <c r="BY63" s="18">
        <f>IFERROR(IF(BY$1&lt;CapEx!$O$7,0,CapEx!$D$113*VLOOKUP(Financials!BY$62,CapEx!$R$11:$U$20,4,0)),0)</f>
        <v>3032477.199465476</v>
      </c>
      <c r="BZ63" s="18">
        <f>IFERROR(IF(BZ$1&lt;CapEx!$O$7,0,CapEx!$D$113*VLOOKUP(Financials!BZ$62,CapEx!$R$11:$U$20,4,0)),0)</f>
        <v>3032477.199465476</v>
      </c>
      <c r="CA63" s="18">
        <f>IFERROR(IF(CA$1&lt;CapEx!$O$7,0,CapEx!$D$113*VLOOKUP(Financials!CA$62,CapEx!$R$11:$U$20,4,0)),0)</f>
        <v>3032477.199465476</v>
      </c>
      <c r="CB63" s="18">
        <f>IFERROR(IF(CB$1&lt;CapEx!$O$7,0,CapEx!$D$113*VLOOKUP(Financials!CB$62,CapEx!$R$11:$U$20,4,0)),0)</f>
        <v>3032477.199465476</v>
      </c>
      <c r="CC63" s="18">
        <f>IFERROR(IF(CC$1&lt;CapEx!$O$7,0,CapEx!$D$113*VLOOKUP(Financials!CC$62,CapEx!$R$11:$U$20,4,0)),0)</f>
        <v>3032477.199465476</v>
      </c>
      <c r="CD63" s="18">
        <f>IFERROR(IF(CD$1&lt;CapEx!$O$7,0,CapEx!$D$113*VLOOKUP(Financials!CD$62,CapEx!$R$11:$U$20,4,0)),0)</f>
        <v>3032477.199465476</v>
      </c>
      <c r="CE63" s="18">
        <f>IFERROR(IF(CE$1&lt;CapEx!$O$7,0,CapEx!$D$113*VLOOKUP(Financials!CE$62,CapEx!$R$11:$U$20,4,0)),0)</f>
        <v>3032477.199465476</v>
      </c>
      <c r="CF63" s="18">
        <f>IFERROR(IF(CF$1&lt;CapEx!$O$7,0,CapEx!$D$113*VLOOKUP(Financials!CF$62,CapEx!$R$11:$U$20,4,0)),0)</f>
        <v>3032477.199465476</v>
      </c>
      <c r="CG63" s="18">
        <f>IFERROR(IF(CG$1&lt;CapEx!$O$7,0,CapEx!$D$113*VLOOKUP(Financials!CG$62,CapEx!$R$11:$U$20,4,0)),0)</f>
        <v>3032477.199465476</v>
      </c>
      <c r="CH63" s="18">
        <f>IFERROR(IF(CH$1&lt;CapEx!$O$7,0,CapEx!$D$113*VLOOKUP(Financials!CH$62,CapEx!$R$11:$U$20,4,0)),0)</f>
        <v>3032477.199465476</v>
      </c>
      <c r="CI63" s="18">
        <f>IFERROR(IF(CI$1&lt;CapEx!$O$7,0,CapEx!$D$113*VLOOKUP(Financials!CI$62,CapEx!$R$11:$U$20,4,0)),0)</f>
        <v>3032477.199465476</v>
      </c>
      <c r="CJ63" s="18">
        <f>IFERROR(IF(CJ$1&lt;CapEx!$O$7,0,CapEx!$D$113*VLOOKUP(Financials!CJ$62,CapEx!$R$11:$U$20,4,0)),0)</f>
        <v>3032477.199465476</v>
      </c>
      <c r="CK63" s="18">
        <f>IFERROR(IF(CK$1&lt;CapEx!$O$7,0,CapEx!$D$113*VLOOKUP(Financials!CK$62,CapEx!$R$11:$U$20,4,0)),0)</f>
        <v>3032477.199465476</v>
      </c>
      <c r="CL63" s="18">
        <f>IFERROR(IF(CL$1&lt;CapEx!$O$7,0,CapEx!$D$113*VLOOKUP(Financials!CL$62,CapEx!$R$11:$U$20,4,0)),0)</f>
        <v>3032477.199465476</v>
      </c>
      <c r="CM63" s="18">
        <f>IFERROR(IF(CM$1&lt;CapEx!$O$7,0,CapEx!$D$113*VLOOKUP(Financials!CM$62,CapEx!$R$11:$U$20,4,0)),0)</f>
        <v>3032477.199465476</v>
      </c>
      <c r="CN63" s="18">
        <f>IFERROR(IF(CN$1&lt;CapEx!$O$7,0,CapEx!$D$113*VLOOKUP(Financials!CN$62,CapEx!$R$11:$U$20,4,0)),0)</f>
        <v>3032477.199465476</v>
      </c>
      <c r="CO63" s="18">
        <f>IFERROR(IF(CO$1&lt;CapEx!$O$7,0,CapEx!$D$113*VLOOKUP(Financials!CO$62,CapEx!$R$11:$U$20,4,0)),0)</f>
        <v>3032477.199465476</v>
      </c>
      <c r="CP63" s="18">
        <f>IFERROR(IF(CP$1&lt;CapEx!$O$7,0,CapEx!$D$113*VLOOKUP(Financials!CP$62,CapEx!$R$11:$U$20,4,0)),0)</f>
        <v>3032477.199465476</v>
      </c>
      <c r="CQ63" s="18">
        <f>IFERROR(IF(CQ$1&lt;CapEx!$O$7,0,CapEx!$D$113*VLOOKUP(Financials!CQ$62,CapEx!$R$11:$U$20,4,0)),0)</f>
        <v>3032477.199465476</v>
      </c>
      <c r="CR63" s="18">
        <f>IFERROR(IF(CR$1&lt;CapEx!$O$7,0,CapEx!$D$113*VLOOKUP(Financials!CR$62,CapEx!$R$11:$U$20,4,0)),0)</f>
        <v>3032477.199465476</v>
      </c>
      <c r="CS63" s="18">
        <f>IFERROR(IF(CS$1&lt;CapEx!$O$7,0,CapEx!$D$113*VLOOKUP(Financials!CS$62,CapEx!$R$11:$U$20,4,0)),0)</f>
        <v>3032477.199465476</v>
      </c>
      <c r="CT63" s="18">
        <f>IFERROR(IF(CT$1&lt;CapEx!$O$7,0,CapEx!$D$113*VLOOKUP(Financials!CT$62,CapEx!$R$11:$U$20,4,0)),0)</f>
        <v>3032477.199465476</v>
      </c>
      <c r="CU63" s="18">
        <f>IFERROR(IF(CU$1&lt;CapEx!$O$7,0,CapEx!$D$113*VLOOKUP(Financials!CU$62,CapEx!$R$11:$U$20,4,0)),0)</f>
        <v>3032477.199465476</v>
      </c>
      <c r="CV63" s="18">
        <f>IFERROR(IF(CV$1&lt;CapEx!$O$7,0,CapEx!$D$113*VLOOKUP(Financials!CV$62,CapEx!$R$11:$U$20,4,0)),0)</f>
        <v>3032477.199465476</v>
      </c>
      <c r="CW63" s="18">
        <f>IFERROR(IF(CW$1&lt;CapEx!$O$7,0,CapEx!$D$113*VLOOKUP(Financials!CW$62,CapEx!$R$11:$U$20,4,0)),0)</f>
        <v>3032477.199465476</v>
      </c>
      <c r="CX63" s="18">
        <f>IFERROR(IF(CX$1&lt;CapEx!$O$7,0,CapEx!$D$113*VLOOKUP(Financials!CX$62,CapEx!$R$11:$U$20,4,0)),0)</f>
        <v>0</v>
      </c>
      <c r="CY63" s="18">
        <f>IFERROR(IF(CY$1&lt;CapEx!$O$7,0,CapEx!$D$113*VLOOKUP(Financials!CY$62,CapEx!$R$11:$U$20,4,0)),0)</f>
        <v>0</v>
      </c>
      <c r="CZ63" s="18">
        <f>IFERROR(IF(CZ$1&lt;CapEx!$O$7,0,CapEx!$D$113*VLOOKUP(Financials!CZ$62,CapEx!$R$11:$U$20,4,0)),0)</f>
        <v>0</v>
      </c>
      <c r="DA63" s="18">
        <f>IFERROR(IF(DA$1&lt;CapEx!$O$7,0,CapEx!$D$113*VLOOKUP(Financials!DA$62,CapEx!$R$11:$U$20,4,0)),0)</f>
        <v>0</v>
      </c>
      <c r="DB63" s="18">
        <f>IFERROR(IF(DB$1&lt;CapEx!$O$7,0,CapEx!$D$113*VLOOKUP(Financials!DB$62,CapEx!$R$11:$U$20,4,0)),0)</f>
        <v>0</v>
      </c>
      <c r="DC63" s="18">
        <f>IFERROR(IF(DC$1&lt;CapEx!$O$7,0,CapEx!$D$113*VLOOKUP(Financials!DC$62,CapEx!$R$11:$U$20,4,0)),0)</f>
        <v>0</v>
      </c>
      <c r="DD63" s="18">
        <f>IFERROR(IF(DD$1&lt;CapEx!$O$7,0,CapEx!$D$113*VLOOKUP(Financials!DD$62,CapEx!$R$11:$U$20,4,0)),0)</f>
        <v>0</v>
      </c>
      <c r="DE63" s="18">
        <f>IFERROR(IF(DE$1&lt;CapEx!$O$7,0,CapEx!$D$113*VLOOKUP(Financials!DE$62,CapEx!$R$11:$U$20,4,0)),0)</f>
        <v>0</v>
      </c>
      <c r="DF63" s="18">
        <f>IFERROR(IF(DF$1&lt;CapEx!$O$7,0,CapEx!$D$113*VLOOKUP(Financials!DF$62,CapEx!$R$11:$U$20,4,0)),0)</f>
        <v>0</v>
      </c>
      <c r="DG63" s="18">
        <f>IFERROR(IF(DG$1&lt;CapEx!$O$7,0,CapEx!$D$113*VLOOKUP(Financials!DG$62,CapEx!$R$11:$U$20,4,0)),0)</f>
        <v>0</v>
      </c>
      <c r="DH63" s="18">
        <f>IFERROR(IF(DH$1&lt;CapEx!$O$7,0,CapEx!$D$113*VLOOKUP(Financials!DH$62,CapEx!$R$11:$U$20,4,0)),0)</f>
        <v>0</v>
      </c>
      <c r="DI63" s="18">
        <f>IFERROR(IF(DI$1&lt;CapEx!$O$7,0,CapEx!$D$113*VLOOKUP(Financials!DI$62,CapEx!$R$11:$U$20,4,0)),0)</f>
        <v>0</v>
      </c>
      <c r="DJ63" s="18">
        <f>IFERROR(IF(DJ$1&lt;CapEx!$O$7,0,CapEx!$D$113*VLOOKUP(Financials!DJ$62,CapEx!$R$11:$U$20,4,0)),0)</f>
        <v>0</v>
      </c>
      <c r="DK63" s="18">
        <f>IFERROR(IF(DK$1&lt;CapEx!$O$7,0,CapEx!$D$113*VLOOKUP(Financials!DK$62,CapEx!$R$11:$U$20,4,0)),0)</f>
        <v>0</v>
      </c>
      <c r="DL63" s="18">
        <f>IFERROR(IF(DL$1&lt;CapEx!$O$7,0,CapEx!$D$113*VLOOKUP(Financials!DL$62,CapEx!$R$11:$U$20,4,0)),0)</f>
        <v>0</v>
      </c>
      <c r="DM63" s="18">
        <f>IFERROR(IF(DM$1&lt;CapEx!$O$7,0,CapEx!$D$113*VLOOKUP(Financials!DM$62,CapEx!$R$11:$U$20,4,0)),0)</f>
        <v>0</v>
      </c>
      <c r="DN63" s="18">
        <f>IFERROR(IF(DN$1&lt;CapEx!$O$7,0,CapEx!$D$113*VLOOKUP(Financials!DN$62,CapEx!$R$11:$U$20,4,0)),0)</f>
        <v>0</v>
      </c>
      <c r="DO63" s="18">
        <f>IFERROR(IF(DO$1&lt;CapEx!$O$7,0,CapEx!$D$113*VLOOKUP(Financials!DO$62,CapEx!$R$11:$U$20,4,0)),0)</f>
        <v>0</v>
      </c>
      <c r="DP63" s="18">
        <f>IFERROR(IF(DP$1&lt;CapEx!$O$7,0,CapEx!$D$113*VLOOKUP(Financials!DP$62,CapEx!$R$11:$U$20,4,0)),0)</f>
        <v>0</v>
      </c>
      <c r="DQ63" s="18">
        <f>IFERROR(IF(DQ$1&lt;CapEx!$O$7,0,CapEx!$D$113*VLOOKUP(Financials!DQ$62,CapEx!$R$11:$U$20,4,0)),0)</f>
        <v>0</v>
      </c>
      <c r="DR63" s="18">
        <f>IFERROR(IF(DR$1&lt;CapEx!$O$7,0,CapEx!$D$113*VLOOKUP(Financials!DR$62,CapEx!$R$11:$U$20,4,0)),0)</f>
        <v>0</v>
      </c>
      <c r="DS63" s="18">
        <f>IFERROR(IF(DS$1&lt;CapEx!$O$7,0,CapEx!$D$113*VLOOKUP(Financials!DS$62,CapEx!$R$11:$U$20,4,0)),0)</f>
        <v>0</v>
      </c>
      <c r="DT63" s="18">
        <f>IFERROR(IF(DT$1&lt;CapEx!$O$7,0,CapEx!$D$113*VLOOKUP(Financials!DT$62,CapEx!$R$11:$U$20,4,0)),0)</f>
        <v>0</v>
      </c>
      <c r="DU63" s="18">
        <f>IFERROR(IF(DU$1&lt;CapEx!$O$7,0,CapEx!$D$113*VLOOKUP(Financials!DU$62,CapEx!$R$11:$U$20,4,0)),0)</f>
        <v>0</v>
      </c>
      <c r="DV63" s="18">
        <f>IFERROR(IF(DV$1&lt;CapEx!$O$7,0,CapEx!$D$113*VLOOKUP(Financials!DV$62,CapEx!$R$11:$U$20,4,0)),0)</f>
        <v>0</v>
      </c>
      <c r="DW63" s="18">
        <f>IFERROR(IF(DW$1&lt;CapEx!$O$7,0,CapEx!$D$113*VLOOKUP(Financials!DW$62,CapEx!$R$11:$U$20,4,0)),0)</f>
        <v>0</v>
      </c>
      <c r="DX63" s="18">
        <f>IFERROR(IF(DX$1&lt;CapEx!$O$7,0,CapEx!$D$113*VLOOKUP(Financials!DX$62,CapEx!$R$11:$U$20,4,0)),0)</f>
        <v>0</v>
      </c>
      <c r="DY63" s="18">
        <f>IFERROR(IF(DY$1&lt;CapEx!$O$7,0,CapEx!$D$113*VLOOKUP(Financials!DY$62,CapEx!$R$11:$U$20,4,0)),0)</f>
        <v>0</v>
      </c>
      <c r="DZ63" s="18">
        <f>IFERROR(IF(DZ$1&lt;CapEx!$O$7,0,CapEx!$D$113*VLOOKUP(Financials!DZ$62,CapEx!$R$11:$U$20,4,0)),0)</f>
        <v>0</v>
      </c>
      <c r="EA63" s="18">
        <f>IFERROR(IF(EA$1&lt;CapEx!$O$7,0,CapEx!$D$113*VLOOKUP(Financials!EA$62,CapEx!$R$11:$U$20,4,0)),0)</f>
        <v>0</v>
      </c>
      <c r="EB63" s="18">
        <f>IFERROR(IF(EB$1&lt;CapEx!$O$7,0,CapEx!$D$113*VLOOKUP(Financials!EB$62,CapEx!$R$11:$U$20,4,0)),0)</f>
        <v>0</v>
      </c>
      <c r="EC63" s="18">
        <f>IFERROR(IF(EC$1&lt;CapEx!$O$7,0,CapEx!$D$113*VLOOKUP(Financials!EC$62,CapEx!$R$11:$U$20,4,0)),0)</f>
        <v>0</v>
      </c>
      <c r="ED63" s="18">
        <f>IFERROR(IF(ED$1&lt;CapEx!$O$7,0,CapEx!$D$113*VLOOKUP(Financials!ED$62,CapEx!$R$11:$U$20,4,0)),0)</f>
        <v>0</v>
      </c>
      <c r="EE63" s="18">
        <f>IFERROR(IF(EE$1&lt;CapEx!$O$7,0,CapEx!$D$113*VLOOKUP(Financials!EE$62,CapEx!$R$11:$U$20,4,0)),0)</f>
        <v>0</v>
      </c>
      <c r="EF63" s="18">
        <f>IFERROR(IF(EF$1&lt;CapEx!$O$7,0,CapEx!$D$113*VLOOKUP(Financials!EF$62,CapEx!$R$11:$U$20,4,0)),0)</f>
        <v>0</v>
      </c>
      <c r="EG63" s="18">
        <f>IFERROR(IF(EG$1&lt;CapEx!$O$7,0,CapEx!$D$113*VLOOKUP(Financials!EG$62,CapEx!$R$11:$U$20,4,0)),0)</f>
        <v>0</v>
      </c>
      <c r="EH63" s="18">
        <f>IFERROR(IF(EH$1&lt;CapEx!$O$7,0,CapEx!$D$113*VLOOKUP(Financials!EH$62,CapEx!$R$11:$U$20,4,0)),0)</f>
        <v>0</v>
      </c>
      <c r="EI63" s="18">
        <f>IFERROR(IF(EI$1&lt;CapEx!$O$7,0,CapEx!$D$113*VLOOKUP(Financials!EI$62,CapEx!$R$11:$U$20,4,0)),0)</f>
        <v>0</v>
      </c>
      <c r="EJ63" s="18">
        <f>IFERROR(IF(EJ$1&lt;CapEx!$O$7,0,CapEx!$D$113*VLOOKUP(Financials!EJ$62,CapEx!$R$11:$U$20,4,0)),0)</f>
        <v>0</v>
      </c>
      <c r="EK63" s="18">
        <f>IFERROR(IF(EK$1&lt;CapEx!$O$7,0,CapEx!$D$113*VLOOKUP(Financials!EK$62,CapEx!$R$11:$U$20,4,0)),0)</f>
        <v>0</v>
      </c>
      <c r="EL63" s="18">
        <f>IFERROR(IF(EL$1&lt;CapEx!$O$7,0,CapEx!$D$113*VLOOKUP(Financials!EL$62,CapEx!$R$11:$U$20,4,0)),0)</f>
        <v>0</v>
      </c>
      <c r="EM63" s="18">
        <f>IFERROR(IF(EM$1&lt;CapEx!$O$7,0,CapEx!$D$113*VLOOKUP(Financials!EM$62,CapEx!$R$11:$U$20,4,0)),0)</f>
        <v>0</v>
      </c>
      <c r="EN63" s="18">
        <f>IFERROR(IF(EN$1&lt;CapEx!$O$7,0,CapEx!$D$113*VLOOKUP(Financials!EN$62,CapEx!$R$11:$U$20,4,0)),0)</f>
        <v>0</v>
      </c>
      <c r="EO63" s="18">
        <f>IFERROR(IF(EO$1&lt;CapEx!$O$7,0,CapEx!$D$113*VLOOKUP(Financials!EO$62,CapEx!$R$11:$U$20,4,0)),0)</f>
        <v>0</v>
      </c>
      <c r="EP63" s="18">
        <f>IFERROR(IF(EP$1&lt;CapEx!$O$7,0,CapEx!$D$113*VLOOKUP(Financials!EP$62,CapEx!$R$11:$U$20,4,0)),0)</f>
        <v>0</v>
      </c>
      <c r="EQ63" s="18">
        <f>IFERROR(IF(EQ$1&lt;CapEx!$O$7,0,CapEx!$D$113*VLOOKUP(Financials!EQ$62,CapEx!$R$11:$U$20,4,0)),0)</f>
        <v>0</v>
      </c>
      <c r="ER63" s="18">
        <f>IFERROR(IF(ER$1&lt;CapEx!$O$7,0,CapEx!$D$113*VLOOKUP(Financials!ER$62,CapEx!$R$11:$U$20,4,0)),0)</f>
        <v>0</v>
      </c>
      <c r="ES63" s="18">
        <f>IFERROR(IF(ES$1&lt;CapEx!$O$7,0,CapEx!$D$113*VLOOKUP(Financials!ES$62,CapEx!$R$11:$U$20,4,0)),0)</f>
        <v>0</v>
      </c>
      <c r="ET63" s="18">
        <f>IFERROR(IF(ET$1&lt;CapEx!$O$7,0,CapEx!$D$113*VLOOKUP(Financials!ET$62,CapEx!$R$11:$U$20,4,0)),0)</f>
        <v>0</v>
      </c>
      <c r="EU63" s="18">
        <f>IFERROR(IF(EU$1&lt;CapEx!$O$7,0,CapEx!$D$113*VLOOKUP(Financials!EU$62,CapEx!$R$11:$U$20,4,0)),0)</f>
        <v>0</v>
      </c>
      <c r="EV63" s="18">
        <f>IFERROR(IF(EV$1&lt;CapEx!$O$7,0,CapEx!$D$113*VLOOKUP(Financials!EV$62,CapEx!$R$11:$U$20,4,0)),0)</f>
        <v>0</v>
      </c>
      <c r="EW63" s="18">
        <f>IFERROR(IF(EW$1&lt;CapEx!$O$7,0,CapEx!$D$113*VLOOKUP(Financials!EW$62,CapEx!$R$11:$U$20,4,0)),0)</f>
        <v>0</v>
      </c>
      <c r="EX63" s="18">
        <f>IFERROR(IF(EX$1&lt;CapEx!$O$7,0,CapEx!$D$113*VLOOKUP(Financials!EX$62,CapEx!$R$11:$U$20,4,0)),0)</f>
        <v>0</v>
      </c>
      <c r="EY63" s="18">
        <f>IFERROR(IF(EY$1&lt;CapEx!$O$7,0,CapEx!$D$113*VLOOKUP(Financials!EY$62,CapEx!$R$11:$U$20,4,0)),0)</f>
        <v>0</v>
      </c>
      <c r="EZ63" s="18">
        <f>IFERROR(IF(EZ$1&lt;CapEx!$O$7,0,CapEx!$D$113*VLOOKUP(Financials!EZ$62,CapEx!$R$11:$U$20,4,0)),0)</f>
        <v>0</v>
      </c>
      <c r="FA63" s="18">
        <f>IFERROR(IF(FA$1&lt;CapEx!$O$7,0,CapEx!$D$113*VLOOKUP(Financials!FA$62,CapEx!$R$11:$U$20,4,0)),0)</f>
        <v>0</v>
      </c>
      <c r="FB63" s="18">
        <f>IFERROR(IF(FB$1&lt;CapEx!$O$7,0,CapEx!$D$113*VLOOKUP(Financials!FB$62,CapEx!$R$11:$U$20,4,0)),0)</f>
        <v>0</v>
      </c>
      <c r="FC63" s="18">
        <f>IFERROR(IF(FC$1&lt;CapEx!$O$7,0,CapEx!$D$113*VLOOKUP(Financials!FC$62,CapEx!$R$11:$U$20,4,0)),0)</f>
        <v>0</v>
      </c>
      <c r="FD63" s="18">
        <f>IFERROR(IF(FD$1&lt;CapEx!$O$7,0,CapEx!$D$113*VLOOKUP(Financials!FD$62,CapEx!$R$11:$U$20,4,0)),0)</f>
        <v>0</v>
      </c>
      <c r="FE63" s="18">
        <f>IFERROR(IF(FE$1&lt;CapEx!$O$7,0,CapEx!$D$113*VLOOKUP(Financials!FE$62,CapEx!$R$11:$U$20,4,0)),0)</f>
        <v>0</v>
      </c>
      <c r="FF63" s="18">
        <f>IFERROR(IF(FF$1&lt;CapEx!$O$7,0,CapEx!$D$113*VLOOKUP(Financials!FF$62,CapEx!$R$11:$U$20,4,0)),0)</f>
        <v>0</v>
      </c>
      <c r="FG63" s="18">
        <f>IFERROR(IF(FG$1&lt;CapEx!$O$7,0,CapEx!$D$113*VLOOKUP(Financials!FG$62,CapEx!$R$11:$U$20,4,0)),0)</f>
        <v>0</v>
      </c>
      <c r="FH63" s="18">
        <f>IFERROR(IF(FH$1&lt;CapEx!$O$7,0,CapEx!$D$113*VLOOKUP(Financials!FH$62,CapEx!$R$11:$U$20,4,0)),0)</f>
        <v>0</v>
      </c>
      <c r="FI63" s="18">
        <f>IFERROR(IF(FI$1&lt;CapEx!$O$7,0,CapEx!$D$113*VLOOKUP(Financials!FI$62,CapEx!$R$11:$U$20,4,0)),0)</f>
        <v>0</v>
      </c>
      <c r="FJ63" s="18">
        <f>IFERROR(IF(FJ$1&lt;CapEx!$O$7,0,CapEx!$D$113*VLOOKUP(Financials!FJ$62,CapEx!$R$11:$U$20,4,0)),0)</f>
        <v>0</v>
      </c>
      <c r="FK63" s="18">
        <f>IFERROR(IF(FK$1&lt;CapEx!$O$7,0,CapEx!$D$113*VLOOKUP(Financials!FK$62,CapEx!$R$11:$U$20,4,0)),0)</f>
        <v>0</v>
      </c>
      <c r="FL63" s="18">
        <f>IFERROR(IF(FL$1&lt;CapEx!$O$7,0,CapEx!$D$113*VLOOKUP(Financials!FL$62,CapEx!$R$11:$U$20,4,0)),0)</f>
        <v>0</v>
      </c>
      <c r="FM63" s="18">
        <f>IFERROR(IF(FM$1&lt;CapEx!$O$7,0,CapEx!$D$113*VLOOKUP(Financials!FM$62,CapEx!$R$11:$U$20,4,0)),0)</f>
        <v>0</v>
      </c>
      <c r="FN63" s="18">
        <f>IFERROR(IF(FN$1&lt;CapEx!$O$7,0,CapEx!$D$113*VLOOKUP(Financials!FN$62,CapEx!$R$11:$U$20,4,0)),0)</f>
        <v>0</v>
      </c>
      <c r="FO63" s="18">
        <f>IFERROR(IF(FO$1&lt;CapEx!$O$7,0,CapEx!$D$113*VLOOKUP(Financials!FO$62,CapEx!$R$11:$U$20,4,0)),0)</f>
        <v>0</v>
      </c>
      <c r="FP63" s="18">
        <f>IFERROR(IF(FP$1&lt;CapEx!$O$7,0,CapEx!$D$113*VLOOKUP(Financials!FP$62,CapEx!$R$11:$U$20,4,0)),0)</f>
        <v>0</v>
      </c>
      <c r="FQ63" s="18">
        <f>IFERROR(IF(FQ$1&lt;CapEx!$O$7,0,CapEx!$D$113*VLOOKUP(Financials!FQ$62,CapEx!$R$11:$U$20,4,0)),0)</f>
        <v>0</v>
      </c>
      <c r="FR63" s="18">
        <f>IFERROR(IF(FR$1&lt;CapEx!$O$7,0,CapEx!$D$113*VLOOKUP(Financials!FR$62,CapEx!$R$11:$U$20,4,0)),0)</f>
        <v>0</v>
      </c>
      <c r="FS63" s="18">
        <f>IFERROR(IF(FS$1&lt;CapEx!$O$7,0,CapEx!$D$113*VLOOKUP(Financials!FS$62,CapEx!$R$11:$U$20,4,0)),0)</f>
        <v>0</v>
      </c>
      <c r="FT63" s="18">
        <f>IFERROR(IF(FT$1&lt;CapEx!$O$7,0,CapEx!$D$113*VLOOKUP(Financials!FT$62,CapEx!$R$11:$U$20,4,0)),0)</f>
        <v>0</v>
      </c>
      <c r="FU63" s="18">
        <f>IFERROR(IF(FU$1&lt;CapEx!$O$7,0,CapEx!$D$113*VLOOKUP(Financials!FU$62,CapEx!$R$11:$U$20,4,0)),0)</f>
        <v>0</v>
      </c>
      <c r="FV63" s="18">
        <f>IFERROR(IF(FV$1&lt;CapEx!$O$7,0,CapEx!$D$113*VLOOKUP(Financials!FV$62,CapEx!$R$11:$U$20,4,0)),0)</f>
        <v>0</v>
      </c>
      <c r="FW63" s="18">
        <f>IFERROR(IF(FW$1&lt;CapEx!$O$7,0,CapEx!$D$113*VLOOKUP(Financials!FW$62,CapEx!$R$11:$U$20,4,0)),0)</f>
        <v>0</v>
      </c>
      <c r="FX63" s="18">
        <f>IFERROR(IF(FX$1&lt;CapEx!$O$7,0,CapEx!$D$113*VLOOKUP(Financials!FX$62,CapEx!$R$11:$U$20,4,0)),0)</f>
        <v>0</v>
      </c>
      <c r="FY63" s="18">
        <f>IFERROR(IF(FY$1&lt;CapEx!$O$7,0,CapEx!$D$113*VLOOKUP(Financials!FY$62,CapEx!$R$11:$U$20,4,0)),0)</f>
        <v>0</v>
      </c>
      <c r="FZ63" s="18">
        <f>IFERROR(IF(FZ$1&lt;CapEx!$O$7,0,CapEx!$D$113*VLOOKUP(Financials!FZ$62,CapEx!$R$11:$U$20,4,0)),0)</f>
        <v>0</v>
      </c>
      <c r="GA63" s="18">
        <f>IFERROR(IF(GA$1&lt;CapEx!$O$7,0,CapEx!$D$113*VLOOKUP(Financials!GA$62,CapEx!$R$11:$U$20,4,0)),0)</f>
        <v>0</v>
      </c>
      <c r="GB63" s="18">
        <f>IFERROR(IF(GB$1&lt;CapEx!$O$7,0,CapEx!$D$113*VLOOKUP(Financials!GB$62,CapEx!$R$11:$U$20,4,0)),0)</f>
        <v>0</v>
      </c>
      <c r="GC63" s="18">
        <f>IFERROR(IF(GC$1&lt;CapEx!$O$7,0,CapEx!$D$113*VLOOKUP(Financials!GC$62,CapEx!$R$11:$U$20,4,0)),0)</f>
        <v>0</v>
      </c>
      <c r="GD63" s="18">
        <f>IFERROR(IF(GD$1&lt;CapEx!$O$7,0,CapEx!$D$113*VLOOKUP(Financials!GD$62,CapEx!$R$11:$U$20,4,0)),0)</f>
        <v>0</v>
      </c>
      <c r="GE63" s="18">
        <f>IFERROR(IF(GE$1&lt;CapEx!$O$7,0,CapEx!$D$113*VLOOKUP(Financials!GE$62,CapEx!$R$11:$U$20,4,0)),0)</f>
        <v>0</v>
      </c>
      <c r="GF63" s="18">
        <f>IFERROR(IF(GF$1&lt;CapEx!$O$7,0,CapEx!$D$113*VLOOKUP(Financials!GF$62,CapEx!$R$11:$U$20,4,0)),0)</f>
        <v>0</v>
      </c>
      <c r="GG63" s="18">
        <f>IFERROR(IF(GG$1&lt;CapEx!$O$7,0,CapEx!$D$113*VLOOKUP(Financials!GG$62,CapEx!$R$11:$U$20,4,0)),0)</f>
        <v>0</v>
      </c>
      <c r="GH63" s="18">
        <f>IFERROR(IF(GH$1&lt;CapEx!$O$7,0,CapEx!$D$113*VLOOKUP(Financials!GH$62,CapEx!$R$11:$U$20,4,0)),0)</f>
        <v>0</v>
      </c>
      <c r="GI63" s="18">
        <f>IFERROR(IF(GI$1&lt;CapEx!$O$7,0,CapEx!$D$113*VLOOKUP(Financials!GI$62,CapEx!$R$11:$U$20,4,0)),0)</f>
        <v>0</v>
      </c>
      <c r="GJ63" s="18">
        <f>IFERROR(IF(GJ$1&lt;CapEx!$O$7,0,CapEx!$D$113*VLOOKUP(Financials!GJ$62,CapEx!$R$11:$U$20,4,0)),0)</f>
        <v>0</v>
      </c>
      <c r="GK63" s="18">
        <f>IFERROR(IF(GK$1&lt;CapEx!$O$7,0,CapEx!$D$113*VLOOKUP(Financials!GK$62,CapEx!$R$11:$U$20,4,0)),0)</f>
        <v>0</v>
      </c>
      <c r="GL63" s="18">
        <f>IFERROR(IF(GL$1&lt;CapEx!$O$7,0,CapEx!$D$113*VLOOKUP(Financials!GL$62,CapEx!$R$11:$U$20,4,0)),0)</f>
        <v>0</v>
      </c>
      <c r="GM63" s="18">
        <f>IFERROR(IF(GM$1&lt;CapEx!$O$7,0,CapEx!$D$113*VLOOKUP(Financials!GM$62,CapEx!$R$11:$U$20,4,0)),0)</f>
        <v>0</v>
      </c>
      <c r="GN63" s="18">
        <f>IFERROR(IF(GN$1&lt;CapEx!$O$7,0,CapEx!$D$113*VLOOKUP(Financials!GN$62,CapEx!$R$11:$U$20,4,0)),0)</f>
        <v>0</v>
      </c>
      <c r="GO63" s="18">
        <f>IFERROR(IF(GO$1&lt;CapEx!$O$7,0,CapEx!$D$113*VLOOKUP(Financials!GO$62,CapEx!$R$11:$U$20,4,0)),0)</f>
        <v>0</v>
      </c>
      <c r="GP63" s="18">
        <f>IFERROR(IF(GP$1&lt;CapEx!$O$7,0,CapEx!$D$113*VLOOKUP(Financials!GP$62,CapEx!$R$11:$U$20,4,0)),0)</f>
        <v>0</v>
      </c>
      <c r="GQ63" s="18">
        <f>IFERROR(IF(GQ$1&lt;CapEx!$O$7,0,CapEx!$D$113*VLOOKUP(Financials!GQ$62,CapEx!$R$11:$U$20,4,0)),0)</f>
        <v>0</v>
      </c>
      <c r="GR63" s="18">
        <f>IFERROR(IF(GR$1&lt;CapEx!$O$7,0,CapEx!$D$113*VLOOKUP(Financials!GR$62,CapEx!$R$11:$U$20,4,0)),0)</f>
        <v>0</v>
      </c>
      <c r="GS63" s="18">
        <f>IFERROR(IF(GS$1&lt;CapEx!$O$7,0,CapEx!$D$113*VLOOKUP(Financials!GS$62,CapEx!$R$11:$U$20,4,0)),0)</f>
        <v>0</v>
      </c>
      <c r="GT63" s="18">
        <f>IFERROR(IF(GT$1&lt;CapEx!$O$7,0,CapEx!$D$113*VLOOKUP(Financials!GT$62,CapEx!$R$11:$U$20,4,0)),0)</f>
        <v>0</v>
      </c>
      <c r="GU63" s="18">
        <f>IFERROR(IF(GU$1&lt;CapEx!$O$7,0,CapEx!$D$113*VLOOKUP(Financials!GU$62,CapEx!$R$11:$U$20,4,0)),0)</f>
        <v>0</v>
      </c>
      <c r="GV63" s="18">
        <f>IFERROR(IF(GV$1&lt;CapEx!$O$7,0,CapEx!$D$113*VLOOKUP(Financials!GV$62,CapEx!$R$11:$U$20,4,0)),0)</f>
        <v>0</v>
      </c>
      <c r="GW63" s="18">
        <f>IFERROR(IF(GW$1&lt;CapEx!$O$7,0,CapEx!$D$113*VLOOKUP(Financials!GW$62,CapEx!$R$11:$U$20,4,0)),0)</f>
        <v>0</v>
      </c>
      <c r="GX63" s="18">
        <f>IFERROR(IF(GX$1&lt;CapEx!$O$7,0,CapEx!$D$113*VLOOKUP(Financials!GX$62,CapEx!$R$11:$U$20,4,0)),0)</f>
        <v>0</v>
      </c>
      <c r="GY63" s="18">
        <f>IFERROR(IF(GY$1&lt;CapEx!$O$7,0,CapEx!$D$113*VLOOKUP(Financials!GY$62,CapEx!$R$11:$U$20,4,0)),0)</f>
        <v>0</v>
      </c>
      <c r="GZ63" s="18">
        <f>IFERROR(IF(GZ$1&lt;CapEx!$O$7,0,CapEx!$D$113*VLOOKUP(Financials!GZ$62,CapEx!$R$11:$U$20,4,0)),0)</f>
        <v>0</v>
      </c>
      <c r="HA63" s="18">
        <f>IFERROR(IF(HA$1&lt;CapEx!$O$7,0,CapEx!$D$113*VLOOKUP(Financials!HA$62,CapEx!$R$11:$U$20,4,0)),0)</f>
        <v>0</v>
      </c>
      <c r="HB63" s="18">
        <f>IFERROR(IF(HB$1&lt;CapEx!$O$7,0,CapEx!$D$113*VLOOKUP(Financials!HB$62,CapEx!$R$11:$U$20,4,0)),0)</f>
        <v>0</v>
      </c>
      <c r="HC63" s="18">
        <f>IFERROR(IF(HC$1&lt;CapEx!$O$7,0,CapEx!$D$113*VLOOKUP(Financials!HC$62,CapEx!$R$11:$U$20,4,0)),0)</f>
        <v>0</v>
      </c>
      <c r="HD63" s="18">
        <f>IFERROR(IF(HD$1&lt;CapEx!$O$7,0,CapEx!$D$113*VLOOKUP(Financials!HD$62,CapEx!$R$11:$U$20,4,0)),0)</f>
        <v>0</v>
      </c>
      <c r="HE63" s="18">
        <f>IFERROR(IF(HE$1&lt;CapEx!$O$7,0,CapEx!$D$113*VLOOKUP(Financials!HE$62,CapEx!$R$11:$U$20,4,0)),0)</f>
        <v>0</v>
      </c>
      <c r="HF63" s="18">
        <f>IFERROR(IF(HF$1&lt;CapEx!$O$7,0,CapEx!$D$113*VLOOKUP(Financials!HF$62,CapEx!$R$11:$U$20,4,0)),0)</f>
        <v>0</v>
      </c>
      <c r="HG63" s="18">
        <f>IFERROR(IF(HG$1&lt;CapEx!$O$7,0,CapEx!$D$113*VLOOKUP(Financials!HG$62,CapEx!$R$11:$U$20,4,0)),0)</f>
        <v>0</v>
      </c>
      <c r="HH63" s="18">
        <f>IFERROR(IF(HH$1&lt;CapEx!$O$7,0,CapEx!$D$113*VLOOKUP(Financials!HH$62,CapEx!$R$11:$U$20,4,0)),0)</f>
        <v>0</v>
      </c>
      <c r="HI63" s="18">
        <f>IFERROR(IF(HI$1&lt;CapEx!$O$7,0,CapEx!$D$113*VLOOKUP(Financials!HI$62,CapEx!$R$11:$U$20,4,0)),0)</f>
        <v>0</v>
      </c>
      <c r="HJ63" s="18">
        <f>IFERROR(IF(HJ$1&lt;CapEx!$O$7,0,CapEx!$D$113*VLOOKUP(Financials!HJ$62,CapEx!$R$11:$U$20,4,0)),0)</f>
        <v>0</v>
      </c>
      <c r="HK63" s="18">
        <f>IFERROR(IF(HK$1&lt;CapEx!$O$7,0,CapEx!$D$113*VLOOKUP(Financials!HK$62,CapEx!$R$11:$U$20,4,0)),0)</f>
        <v>0</v>
      </c>
      <c r="HL63" s="18">
        <f>IFERROR(IF(HL$1&lt;CapEx!$O$7,0,CapEx!$D$113*VLOOKUP(Financials!HL$62,CapEx!$R$11:$U$20,4,0)),0)</f>
        <v>0</v>
      </c>
      <c r="HM63" s="18">
        <f>IFERROR(IF(HM$1&lt;CapEx!$O$7,0,CapEx!$D$113*VLOOKUP(Financials!HM$62,CapEx!$R$11:$U$20,4,0)),0)</f>
        <v>0</v>
      </c>
      <c r="HN63" s="18">
        <f>IFERROR(IF(HN$1&lt;CapEx!$O$7,0,CapEx!$D$113*VLOOKUP(Financials!HN$62,CapEx!$R$11:$U$20,4,0)),0)</f>
        <v>0</v>
      </c>
      <c r="HO63" s="18">
        <f>IFERROR(IF(HO$1&lt;CapEx!$O$7,0,CapEx!$D$113*VLOOKUP(Financials!HO$62,CapEx!$R$11:$U$20,4,0)),0)</f>
        <v>0</v>
      </c>
      <c r="HP63" s="18">
        <f>IFERROR(IF(HP$1&lt;CapEx!$O$7,0,CapEx!$D$113*VLOOKUP(Financials!HP$62,CapEx!$R$11:$U$20,4,0)),0)</f>
        <v>0</v>
      </c>
      <c r="HQ63" s="18">
        <f>IFERROR(IF(HQ$1&lt;CapEx!$O$7,0,CapEx!$D$113*VLOOKUP(Financials!HQ$62,CapEx!$R$11:$U$20,4,0)),0)</f>
        <v>0</v>
      </c>
      <c r="HR63" s="18">
        <f>IFERROR(IF(HR$1&lt;CapEx!$O$7,0,CapEx!$D$113*VLOOKUP(Financials!HR$62,CapEx!$R$11:$U$20,4,0)),0)</f>
        <v>0</v>
      </c>
      <c r="HS63" s="18">
        <f>IFERROR(IF(HS$1&lt;CapEx!$O$7,0,CapEx!$D$113*VLOOKUP(Financials!HS$62,CapEx!$R$11:$U$20,4,0)),0)</f>
        <v>0</v>
      </c>
      <c r="HT63" s="18">
        <f>IFERROR(IF(HT$1&lt;CapEx!$O$7,0,CapEx!$D$113*VLOOKUP(Financials!HT$62,CapEx!$R$11:$U$20,4,0)),0)</f>
        <v>0</v>
      </c>
      <c r="HU63" s="18">
        <f>IFERROR(IF(HU$1&lt;CapEx!$O$7,0,CapEx!$D$113*VLOOKUP(Financials!HU$62,CapEx!$R$11:$U$20,4,0)),0)</f>
        <v>0</v>
      </c>
      <c r="HV63" s="18">
        <f>IFERROR(IF(HV$1&lt;CapEx!$O$7,0,CapEx!$D$113*VLOOKUP(Financials!HV$62,CapEx!$R$11:$U$20,4,0)),0)</f>
        <v>0</v>
      </c>
      <c r="HW63" s="18">
        <f>IFERROR(IF(HW$1&lt;CapEx!$O$7,0,CapEx!$D$113*VLOOKUP(Financials!HW$62,CapEx!$R$11:$U$20,4,0)),0)</f>
        <v>0</v>
      </c>
      <c r="HX63" s="18">
        <f>IFERROR(IF(HX$1&lt;CapEx!$O$7,0,CapEx!$D$113*VLOOKUP(Financials!HX$62,CapEx!$R$11:$U$20,4,0)),0)</f>
        <v>0</v>
      </c>
      <c r="HY63" s="18">
        <f>IFERROR(IF(HY$1&lt;CapEx!$O$7,0,CapEx!$D$113*VLOOKUP(Financials!HY$62,CapEx!$R$11:$U$20,4,0)),0)</f>
        <v>0</v>
      </c>
      <c r="HZ63" s="18">
        <f>IFERROR(IF(HZ$1&lt;CapEx!$O$7,0,CapEx!$D$113*VLOOKUP(Financials!HZ$62,CapEx!$R$11:$U$20,4,0)),0)</f>
        <v>0</v>
      </c>
      <c r="IA63" s="18">
        <f>IFERROR(IF(IA$1&lt;CapEx!$O$7,0,CapEx!$D$113*VLOOKUP(Financials!IA$62,CapEx!$R$11:$U$20,4,0)),0)</f>
        <v>0</v>
      </c>
      <c r="IB63" s="18">
        <f>IFERROR(IF(IB$1&lt;CapEx!$O$7,0,CapEx!$D$113*VLOOKUP(Financials!IB$62,CapEx!$R$11:$U$20,4,0)),0)</f>
        <v>0</v>
      </c>
      <c r="IC63" s="18">
        <f>IFERROR(IF(IC$1&lt;CapEx!$O$7,0,CapEx!$D$113*VLOOKUP(Financials!IC$62,CapEx!$R$11:$U$20,4,0)),0)</f>
        <v>0</v>
      </c>
      <c r="ID63" s="18">
        <f>IFERROR(IF(ID$1&lt;CapEx!$O$7,0,CapEx!$D$113*VLOOKUP(Financials!ID$62,CapEx!$R$11:$U$20,4,0)),0)</f>
        <v>0</v>
      </c>
      <c r="IE63" s="18">
        <f>IFERROR(IF(IE$1&lt;CapEx!$O$7,0,CapEx!$D$113*VLOOKUP(Financials!IE$62,CapEx!$R$11:$U$20,4,0)),0)</f>
        <v>0</v>
      </c>
      <c r="IF63" s="18">
        <f>IFERROR(IF(IF$1&lt;CapEx!$O$7,0,CapEx!$D$113*VLOOKUP(Financials!IF$62,CapEx!$R$11:$U$20,4,0)),0)</f>
        <v>0</v>
      </c>
      <c r="IG63" s="18">
        <f>IFERROR(IF(IG$1&lt;CapEx!$O$7,0,CapEx!$D$113*VLOOKUP(Financials!IG$62,CapEx!$R$11:$U$20,4,0)),0)</f>
        <v>0</v>
      </c>
      <c r="IH63" s="18">
        <f>IFERROR(IF(IH$1&lt;CapEx!$O$7,0,CapEx!$D$113*VLOOKUP(Financials!IH$62,CapEx!$R$11:$U$20,4,0)),0)</f>
        <v>0</v>
      </c>
      <c r="II63" s="18">
        <f>IFERROR(IF(II$1&lt;CapEx!$O$7,0,CapEx!$D$113*VLOOKUP(Financials!II$62,CapEx!$R$11:$U$20,4,0)),0)</f>
        <v>0</v>
      </c>
      <c r="IJ63" s="18">
        <f>IFERROR(IF(IJ$1&lt;CapEx!$O$7,0,CapEx!$D$113*VLOOKUP(Financials!IJ$62,CapEx!$R$11:$U$20,4,0)),0)</f>
        <v>0</v>
      </c>
      <c r="IK63" s="18">
        <f>IFERROR(IF(IK$1&lt;CapEx!$O$7,0,CapEx!$D$113*VLOOKUP(Financials!IK$62,CapEx!$R$11:$U$20,4,0)),0)</f>
        <v>0</v>
      </c>
      <c r="IL63" s="18">
        <f>IFERROR(IF(IL$1&lt;CapEx!$O$7,0,CapEx!$D$113*VLOOKUP(Financials!IL$62,CapEx!$R$11:$U$20,4,0)),0)</f>
        <v>0</v>
      </c>
      <c r="IM63" s="18">
        <f>IFERROR(IF(IM$1&lt;CapEx!$O$7,0,CapEx!$D$113*VLOOKUP(Financials!IM$62,CapEx!$R$11:$U$20,4,0)),0)</f>
        <v>0</v>
      </c>
      <c r="IN63" s="18">
        <f>IFERROR(IF(IN$1&lt;CapEx!$O$7,0,CapEx!$D$113*VLOOKUP(Financials!IN$62,CapEx!$R$11:$U$20,4,0)),0)</f>
        <v>0</v>
      </c>
      <c r="IO63" s="18">
        <f>IFERROR(IF(IO$1&lt;CapEx!$O$7,0,CapEx!$D$113*VLOOKUP(Financials!IO$62,CapEx!$R$11:$U$20,4,0)),0)</f>
        <v>0</v>
      </c>
      <c r="IP63" s="18">
        <f>IFERROR(IF(IP$1&lt;CapEx!$O$7,0,CapEx!$D$113*VLOOKUP(Financials!IP$62,CapEx!$R$11:$U$20,4,0)),0)</f>
        <v>0</v>
      </c>
      <c r="IQ63" s="18">
        <f>IFERROR(IF(IQ$1&lt;CapEx!$O$7,0,CapEx!$D$113*VLOOKUP(Financials!IQ$62,CapEx!$R$11:$U$20,4,0)),0)</f>
        <v>0</v>
      </c>
      <c r="IR63" s="18">
        <f>IFERROR(IF(IR$1&lt;CapEx!$O$7,0,CapEx!$D$113*VLOOKUP(Financials!IR$62,CapEx!$R$11:$U$20,4,0)),0)</f>
        <v>0</v>
      </c>
      <c r="IS63" s="18">
        <f>IFERROR(IF(IS$1&lt;CapEx!$O$7,0,CapEx!$D$113*VLOOKUP(Financials!IS$62,CapEx!$R$11:$U$20,4,0)),0)</f>
        <v>0</v>
      </c>
      <c r="IT63" s="18">
        <f>IFERROR(IF(IT$1&lt;CapEx!$O$7,0,CapEx!$D$113*VLOOKUP(Financials!IT$62,CapEx!$R$11:$U$20,4,0)),0)</f>
        <v>0</v>
      </c>
      <c r="IU63" s="18">
        <f>IFERROR(IF(IU$1&lt;CapEx!$O$7,0,CapEx!$D$113*VLOOKUP(Financials!IU$62,CapEx!$R$11:$U$20,4,0)),0)</f>
        <v>0</v>
      </c>
      <c r="IV63" s="18">
        <f>IFERROR(IF(IV$1&lt;CapEx!$O$7,0,CapEx!$D$113*VLOOKUP(Financials!IV$62,CapEx!$R$11:$U$20,4,0)),0)</f>
        <v>0</v>
      </c>
      <c r="IW63" s="18">
        <f>IFERROR(IF(IW$1&lt;CapEx!$O$7,0,CapEx!$D$113*VLOOKUP(Financials!IW$62,CapEx!$R$11:$U$20,4,0)),0)</f>
        <v>0</v>
      </c>
      <c r="IX63" s="18">
        <f>IFERROR(IF(IX$1&lt;CapEx!$O$7,0,CapEx!$D$113*VLOOKUP(Financials!IX$62,CapEx!$R$11:$U$20,4,0)),0)</f>
        <v>0</v>
      </c>
      <c r="IY63" s="18">
        <f>IFERROR(IF(IY$1&lt;CapEx!$O$7,0,CapEx!$D$113*VLOOKUP(Financials!IY$62,CapEx!$R$11:$U$20,4,0)),0)</f>
        <v>0</v>
      </c>
      <c r="IZ63" s="18">
        <f>IFERROR(IF(IZ$1&lt;CapEx!$O$7,0,CapEx!$D$113*VLOOKUP(Financials!IZ$62,CapEx!$R$11:$U$20,4,0)),0)</f>
        <v>0</v>
      </c>
      <c r="JA63" s="18">
        <f>IFERROR(IF(JA$1&lt;CapEx!$O$7,0,CapEx!$D$113*VLOOKUP(Financials!JA$62,CapEx!$R$11:$U$20,4,0)),0)</f>
        <v>0</v>
      </c>
      <c r="JB63" s="18">
        <f>IFERROR(IF(JB$1&lt;CapEx!$O$7,0,CapEx!$D$113*VLOOKUP(Financials!JB$62,CapEx!$R$11:$U$20,4,0)),0)</f>
        <v>0</v>
      </c>
      <c r="JC63" s="18">
        <f>IFERROR(IF(JC$1&lt;CapEx!$O$7,0,CapEx!$D$113*VLOOKUP(Financials!JC$62,CapEx!$R$11:$U$20,4,0)),0)</f>
        <v>0</v>
      </c>
      <c r="JD63" s="18">
        <f>IFERROR(IF(JD$1&lt;CapEx!$O$7,0,CapEx!$D$113*VLOOKUP(Financials!JD$62,CapEx!$R$11:$U$20,4,0)),0)</f>
        <v>0</v>
      </c>
      <c r="JE63" s="18">
        <f>IFERROR(IF(JE$1&lt;CapEx!$O$7,0,CapEx!$D$113*VLOOKUP(Financials!JE$62,CapEx!$R$11:$U$20,4,0)),0)</f>
        <v>0</v>
      </c>
      <c r="JF63" s="18">
        <f>IFERROR(IF(JF$1&lt;CapEx!$O$7,0,CapEx!$D$113*VLOOKUP(Financials!JF$62,CapEx!$R$11:$U$20,4,0)),0)</f>
        <v>0</v>
      </c>
      <c r="JG63" s="18">
        <f>IFERROR(IF(JG$1&lt;CapEx!$O$7,0,CapEx!$D$113*VLOOKUP(Financials!JG$62,CapEx!$R$11:$U$20,4,0)),0)</f>
        <v>0</v>
      </c>
      <c r="JH63" s="18">
        <f>IFERROR(IF(JH$1&lt;CapEx!$O$7,0,CapEx!$D$113*VLOOKUP(Financials!JH$62,CapEx!$R$11:$U$20,4,0)),0)</f>
        <v>0</v>
      </c>
      <c r="JI63" s="18">
        <f>IFERROR(IF(JI$1&lt;CapEx!$O$7,0,CapEx!$D$113*VLOOKUP(Financials!JI$62,CapEx!$R$11:$U$20,4,0)),0)</f>
        <v>0</v>
      </c>
      <c r="JJ63" s="18">
        <f>IFERROR(IF(JJ$1&lt;CapEx!$O$7,0,CapEx!$D$113*VLOOKUP(Financials!JJ$62,CapEx!$R$11:$U$20,4,0)),0)</f>
        <v>0</v>
      </c>
      <c r="JK63" s="18">
        <f>IFERROR(IF(JK$1&lt;CapEx!$O$7,0,CapEx!$D$113*VLOOKUP(Financials!JK$62,CapEx!$R$11:$U$20,4,0)),0)</f>
        <v>0</v>
      </c>
      <c r="JL63" s="18">
        <f>IFERROR(IF(JL$1&lt;CapEx!$O$7,0,CapEx!$D$113*VLOOKUP(Financials!JL$62,CapEx!$R$11:$U$20,4,0)),0)</f>
        <v>0</v>
      </c>
      <c r="JM63" s="18">
        <f>IFERROR(IF(JM$1&lt;CapEx!$O$7,0,CapEx!$D$113*VLOOKUP(Financials!JM$62,CapEx!$R$11:$U$20,4,0)),0)</f>
        <v>0</v>
      </c>
      <c r="JN63" s="18">
        <f>IFERROR(IF(JN$1&lt;CapEx!$O$7,0,CapEx!$D$113*VLOOKUP(Financials!JN$62,CapEx!$R$11:$U$20,4,0)),0)</f>
        <v>0</v>
      </c>
      <c r="JO63" s="18">
        <f>IFERROR(IF(JO$1&lt;CapEx!$O$7,0,CapEx!$D$113*VLOOKUP(Financials!JO$62,CapEx!$R$11:$U$20,4,0)),0)</f>
        <v>0</v>
      </c>
      <c r="JP63" s="18">
        <f>IFERROR(IF(JP$1&lt;CapEx!$O$7,0,CapEx!$D$113*VLOOKUP(Financials!JP$62,CapEx!$R$11:$U$20,4,0)),0)</f>
        <v>0</v>
      </c>
      <c r="JQ63" s="18">
        <f>IFERROR(IF(JQ$1&lt;CapEx!$O$7,0,CapEx!$D$113*VLOOKUP(Financials!JQ$62,CapEx!$R$11:$U$20,4,0)),0)</f>
        <v>0</v>
      </c>
      <c r="JR63" s="18">
        <f>IFERROR(IF(JR$1&lt;CapEx!$O$7,0,CapEx!$D$113*VLOOKUP(Financials!JR$62,CapEx!$R$11:$U$20,4,0)),0)</f>
        <v>0</v>
      </c>
    </row>
    <row r="64" spans="2:278" x14ac:dyDescent="0.2">
      <c r="B64" s="1" t="s">
        <v>162</v>
      </c>
      <c r="C64" s="18">
        <f>HLOOKUP(C$6,CapEx!$Y$23:$AU$47,25,0)/12</f>
        <v>0</v>
      </c>
      <c r="D64" s="18">
        <f>HLOOKUP(D$6,CapEx!$Y$23:$AU$47,25,0)/12</f>
        <v>0</v>
      </c>
      <c r="E64" s="18">
        <f>HLOOKUP(E$6,CapEx!$Y$23:$AU$47,25,0)/12</f>
        <v>0</v>
      </c>
      <c r="F64" s="18">
        <f>HLOOKUP(F$6,CapEx!$Y$23:$AU$47,25,0)/12</f>
        <v>0</v>
      </c>
      <c r="G64" s="18">
        <f>HLOOKUP(G$6,CapEx!$Y$23:$AU$47,25,0)/12</f>
        <v>0</v>
      </c>
      <c r="H64" s="18">
        <f>HLOOKUP(H$6,CapEx!$Y$23:$AU$47,25,0)/12</f>
        <v>0</v>
      </c>
      <c r="I64" s="18">
        <f>HLOOKUP(I$6,CapEx!$Y$23:$AU$47,25,0)/12</f>
        <v>0</v>
      </c>
      <c r="J64" s="18">
        <f>HLOOKUP(J$6,CapEx!$Y$23:$AU$47,25,0)/12</f>
        <v>0</v>
      </c>
      <c r="K64" s="18">
        <f>HLOOKUP(K$6,CapEx!$Y$23:$AU$47,25,0)/12</f>
        <v>0</v>
      </c>
      <c r="L64" s="18">
        <f>HLOOKUP(L$6,CapEx!$Y$23:$AU$47,25,0)/12</f>
        <v>0</v>
      </c>
      <c r="M64" s="18">
        <f>HLOOKUP(M$6,CapEx!$Y$23:$AU$47,25,0)/12</f>
        <v>0</v>
      </c>
      <c r="N64" s="18">
        <f>HLOOKUP(N$6,CapEx!$Y$23:$AU$47,25,0)/12</f>
        <v>0</v>
      </c>
      <c r="O64" s="18">
        <f>HLOOKUP(O$6,CapEx!$Y$23:$AU$47,25,0)/12</f>
        <v>0</v>
      </c>
      <c r="P64" s="18">
        <f>HLOOKUP(P$6,CapEx!$Y$23:$AU$47,25,0)/12</f>
        <v>0</v>
      </c>
      <c r="Q64" s="18">
        <f>HLOOKUP(Q$6,CapEx!$Y$23:$AU$47,25,0)/12</f>
        <v>0</v>
      </c>
      <c r="R64" s="18">
        <f>HLOOKUP(R$6,CapEx!$Y$23:$AU$47,25,0)/12</f>
        <v>0</v>
      </c>
      <c r="S64" s="18">
        <f>HLOOKUP(S$6,CapEx!$Y$23:$AU$47,25,0)/12</f>
        <v>0</v>
      </c>
      <c r="T64" s="18">
        <f>HLOOKUP(T$6,CapEx!$Y$23:$AU$47,25,0)/12</f>
        <v>0</v>
      </c>
      <c r="U64" s="18">
        <f>HLOOKUP(U$6,CapEx!$Y$23:$AU$47,25,0)/12</f>
        <v>0</v>
      </c>
      <c r="V64" s="18">
        <f>HLOOKUP(V$6,CapEx!$Y$23:$AU$47,25,0)/12</f>
        <v>0</v>
      </c>
      <c r="W64" s="18">
        <f>HLOOKUP(W$6,CapEx!$Y$23:$AU$47,25,0)/12</f>
        <v>0</v>
      </c>
      <c r="X64" s="18">
        <f>HLOOKUP(X$6,CapEx!$Y$23:$AU$47,25,0)/12</f>
        <v>0</v>
      </c>
      <c r="Y64" s="18">
        <f>HLOOKUP(Y$6,CapEx!$Y$23:$AU$47,25,0)/12</f>
        <v>0</v>
      </c>
      <c r="Z64" s="18">
        <f>HLOOKUP(Z$6,CapEx!$Y$23:$AU$47,25,0)/12</f>
        <v>0</v>
      </c>
      <c r="AA64" s="18">
        <f>HLOOKUP(AA$6,CapEx!$Y$23:$AU$47,25,0)/12</f>
        <v>0</v>
      </c>
      <c r="AB64" s="18">
        <f>HLOOKUP(AB$6,CapEx!$Y$23:$AU$47,25,0)/12</f>
        <v>0</v>
      </c>
      <c r="AC64" s="18">
        <f>HLOOKUP(AC$6,CapEx!$Y$23:$AU$47,25,0)/12</f>
        <v>0</v>
      </c>
      <c r="AD64" s="18">
        <f>HLOOKUP(AD$6,CapEx!$Y$23:$AU$47,25,0)/12</f>
        <v>0</v>
      </c>
      <c r="AE64" s="18">
        <f>HLOOKUP(AE$6,CapEx!$Y$23:$AU$47,25,0)/12</f>
        <v>0</v>
      </c>
      <c r="AF64" s="18">
        <f>HLOOKUP(AF$6,CapEx!$Y$23:$AU$47,25,0)/12</f>
        <v>0</v>
      </c>
      <c r="AG64" s="18">
        <f>HLOOKUP(AG$6,CapEx!$Y$23:$AU$47,25,0)/12</f>
        <v>0</v>
      </c>
      <c r="AH64" s="18">
        <f>HLOOKUP(AH$6,CapEx!$Y$23:$AU$47,25,0)/12</f>
        <v>0</v>
      </c>
      <c r="AI64" s="18">
        <f>HLOOKUP(AI$6,CapEx!$Y$23:$AU$47,25,0)/12</f>
        <v>0</v>
      </c>
      <c r="AJ64" s="18">
        <f>HLOOKUP(AJ$6,CapEx!$Y$23:$AU$47,25,0)/12</f>
        <v>0</v>
      </c>
      <c r="AK64" s="18">
        <f>HLOOKUP(AK$6,CapEx!$Y$23:$AU$47,25,0)/12</f>
        <v>0</v>
      </c>
      <c r="AL64" s="18">
        <f>HLOOKUP(AL$6,CapEx!$Y$23:$AU$47,25,0)/12</f>
        <v>0</v>
      </c>
      <c r="AM64" s="18">
        <f>HLOOKUP(AM$6,CapEx!$Y$23:$AU$47,25,0)/12</f>
        <v>0</v>
      </c>
      <c r="AN64" s="18">
        <f>HLOOKUP(AN$6,CapEx!$Y$23:$AU$47,25,0)/12</f>
        <v>0</v>
      </c>
      <c r="AO64" s="18">
        <f>HLOOKUP(AO$6,CapEx!$Y$23:$AU$47,25,0)/12</f>
        <v>0</v>
      </c>
      <c r="AP64" s="18">
        <f>HLOOKUP(AP$6,CapEx!$Y$23:$AU$47,25,0)/12</f>
        <v>0</v>
      </c>
      <c r="AQ64" s="18">
        <f>HLOOKUP(AQ$6,CapEx!$Y$23:$AU$47,25,0)/12</f>
        <v>0</v>
      </c>
      <c r="AR64" s="18">
        <f>HLOOKUP(AR$6,CapEx!$Y$23:$AU$47,25,0)/12</f>
        <v>0</v>
      </c>
      <c r="AS64" s="18">
        <f>HLOOKUP(AS$6,CapEx!$Y$23:$AU$47,25,0)/12</f>
        <v>0</v>
      </c>
      <c r="AT64" s="18">
        <f>HLOOKUP(AT$6,CapEx!$Y$23:$AU$47,25,0)/12</f>
        <v>0</v>
      </c>
      <c r="AU64" s="18">
        <f>HLOOKUP(AU$6,CapEx!$Y$23:$AU$47,25,0)/12</f>
        <v>0</v>
      </c>
      <c r="AV64" s="18">
        <f>HLOOKUP(AV$6,CapEx!$Y$23:$AU$47,25,0)/12</f>
        <v>0</v>
      </c>
      <c r="AW64" s="18">
        <f>HLOOKUP(AW$6,CapEx!$Y$23:$AU$47,25,0)/12</f>
        <v>0</v>
      </c>
      <c r="AX64" s="18">
        <f>HLOOKUP(AX$6,CapEx!$Y$23:$AU$47,25,0)/12</f>
        <v>0</v>
      </c>
      <c r="AY64" s="18">
        <f>HLOOKUP(AY$6,CapEx!$Y$23:$AU$47,25,0)/12</f>
        <v>0</v>
      </c>
      <c r="AZ64" s="18">
        <f>HLOOKUP(AZ$6,CapEx!$Y$23:$AU$47,25,0)/12</f>
        <v>0</v>
      </c>
      <c r="BA64" s="18">
        <f>HLOOKUP(BA$6,CapEx!$Y$23:$AU$47,25,0)/12</f>
        <v>0</v>
      </c>
      <c r="BB64" s="18">
        <f>HLOOKUP(BB$6,CapEx!$Y$23:$AU$47,25,0)/12</f>
        <v>0</v>
      </c>
      <c r="BC64" s="18">
        <f>HLOOKUP(BC$6,CapEx!$Y$23:$AU$47,25,0)/12</f>
        <v>0</v>
      </c>
      <c r="BD64" s="18">
        <f>HLOOKUP(BD$6,CapEx!$Y$23:$AU$47,25,0)/12</f>
        <v>0</v>
      </c>
      <c r="BE64" s="18">
        <f>HLOOKUP(BE$6,CapEx!$Y$23:$AU$47,25,0)/12</f>
        <v>0</v>
      </c>
      <c r="BF64" s="18">
        <f>HLOOKUP(BF$6,CapEx!$Y$23:$AU$47,25,0)/12</f>
        <v>0</v>
      </c>
      <c r="BG64" s="18">
        <f>HLOOKUP(BG$6,CapEx!$Y$23:$AU$47,25,0)/12</f>
        <v>0</v>
      </c>
      <c r="BH64" s="18">
        <f>HLOOKUP(BH$6,CapEx!$Y$23:$AU$47,25,0)/12</f>
        <v>0</v>
      </c>
      <c r="BI64" s="18">
        <f>HLOOKUP(BI$6,CapEx!$Y$23:$AU$47,25,0)/12</f>
        <v>0</v>
      </c>
      <c r="BJ64" s="18">
        <f>HLOOKUP(BJ$6,CapEx!$Y$23:$AU$47,25,0)/12</f>
        <v>0</v>
      </c>
      <c r="BK64" s="18">
        <f>HLOOKUP(BK$6,CapEx!$Y$23:$AU$47,25,0)/12</f>
        <v>0</v>
      </c>
      <c r="BL64" s="18">
        <f>HLOOKUP(BL$6,CapEx!$Y$23:$AU$47,25,0)/12</f>
        <v>0</v>
      </c>
      <c r="BM64" s="18">
        <f>HLOOKUP(BM$6,CapEx!$Y$23:$AU$47,25,0)/12</f>
        <v>0</v>
      </c>
      <c r="BN64" s="18">
        <f>HLOOKUP(BN$6,CapEx!$Y$23:$AU$47,25,0)/12</f>
        <v>0</v>
      </c>
      <c r="BO64" s="18">
        <f>HLOOKUP(BO$6,CapEx!$Y$23:$AU$47,25,0)/12</f>
        <v>0</v>
      </c>
      <c r="BP64" s="18">
        <f>HLOOKUP(BP$6,CapEx!$Y$23:$AU$47,25,0)/12</f>
        <v>0</v>
      </c>
      <c r="BQ64" s="18">
        <f>HLOOKUP(BQ$6,CapEx!$Y$23:$AU$47,25,0)/12</f>
        <v>0</v>
      </c>
      <c r="BR64" s="18">
        <f>HLOOKUP(BR$6,CapEx!$Y$23:$AU$47,25,0)/12</f>
        <v>0</v>
      </c>
      <c r="BS64" s="18">
        <f>HLOOKUP(BS$6,CapEx!$Y$23:$AU$47,25,0)/12</f>
        <v>0</v>
      </c>
      <c r="BT64" s="18">
        <f>HLOOKUP(BT$6,CapEx!$Y$23:$AU$47,25,0)/12</f>
        <v>0</v>
      </c>
      <c r="BU64" s="18">
        <f>HLOOKUP(BU$6,CapEx!$Y$23:$AU$47,25,0)/12</f>
        <v>0</v>
      </c>
      <c r="BV64" s="18">
        <f>HLOOKUP(BV$6,CapEx!$Y$23:$AU$47,25,0)/12</f>
        <v>0</v>
      </c>
      <c r="BW64" s="18">
        <f>HLOOKUP(BW$6,CapEx!$Y$23:$AU$47,25,0)/12</f>
        <v>0</v>
      </c>
      <c r="BX64" s="18">
        <f>HLOOKUP(BX$6,CapEx!$Y$23:$AU$47,25,0)/12</f>
        <v>0</v>
      </c>
      <c r="BY64" s="18">
        <f>HLOOKUP(BY$6,CapEx!$Y$23:$AU$47,25,0)/12</f>
        <v>0</v>
      </c>
      <c r="BZ64" s="18">
        <f>HLOOKUP(BZ$6,CapEx!$Y$23:$AU$47,25,0)/12</f>
        <v>0</v>
      </c>
      <c r="CA64" s="18">
        <f>HLOOKUP(CA$6,CapEx!$Y$23:$AU$47,25,0)/12</f>
        <v>0</v>
      </c>
      <c r="CB64" s="18">
        <f>HLOOKUP(CB$6,CapEx!$Y$23:$AU$47,25,0)/12</f>
        <v>0</v>
      </c>
      <c r="CC64" s="18">
        <f>HLOOKUP(CC$6,CapEx!$Y$23:$AU$47,25,0)/12</f>
        <v>0</v>
      </c>
      <c r="CD64" s="18">
        <f>HLOOKUP(CD$6,CapEx!$Y$23:$AU$47,25,0)/12</f>
        <v>0</v>
      </c>
      <c r="CE64" s="18">
        <f>HLOOKUP(CE$6,CapEx!$Y$23:$AU$47,25,0)/12</f>
        <v>0</v>
      </c>
      <c r="CF64" s="18">
        <f>HLOOKUP(CF$6,CapEx!$Y$23:$AU$47,25,0)/12</f>
        <v>0</v>
      </c>
      <c r="CG64" s="18">
        <f>HLOOKUP(CG$6,CapEx!$Y$23:$AU$47,25,0)/12</f>
        <v>0</v>
      </c>
      <c r="CH64" s="18">
        <f>HLOOKUP(CH$6,CapEx!$Y$23:$AU$47,25,0)/12</f>
        <v>0</v>
      </c>
      <c r="CI64" s="18">
        <f>HLOOKUP(CI$6,CapEx!$Y$23:$AU$47,25,0)/12</f>
        <v>11904.761904761906</v>
      </c>
      <c r="CJ64" s="18">
        <f>HLOOKUP(CJ$6,CapEx!$Y$23:$AU$47,25,0)/12</f>
        <v>11904.761904761906</v>
      </c>
      <c r="CK64" s="18">
        <f>HLOOKUP(CK$6,CapEx!$Y$23:$AU$47,25,0)/12</f>
        <v>11904.761904761906</v>
      </c>
      <c r="CL64" s="18">
        <f>HLOOKUP(CL$6,CapEx!$Y$23:$AU$47,25,0)/12</f>
        <v>11904.761904761906</v>
      </c>
      <c r="CM64" s="18">
        <f>HLOOKUP(CM$6,CapEx!$Y$23:$AU$47,25,0)/12</f>
        <v>11904.761904761906</v>
      </c>
      <c r="CN64" s="18">
        <f>HLOOKUP(CN$6,CapEx!$Y$23:$AU$47,25,0)/12</f>
        <v>11904.761904761906</v>
      </c>
      <c r="CO64" s="18">
        <f>HLOOKUP(CO$6,CapEx!$Y$23:$AU$47,25,0)/12</f>
        <v>11904.761904761906</v>
      </c>
      <c r="CP64" s="18">
        <f>HLOOKUP(CP$6,CapEx!$Y$23:$AU$47,25,0)/12</f>
        <v>11904.761904761906</v>
      </c>
      <c r="CQ64" s="18">
        <f>HLOOKUP(CQ$6,CapEx!$Y$23:$AU$47,25,0)/12</f>
        <v>11904.761904761906</v>
      </c>
      <c r="CR64" s="18">
        <f>HLOOKUP(CR$6,CapEx!$Y$23:$AU$47,25,0)/12</f>
        <v>11904.761904761906</v>
      </c>
      <c r="CS64" s="18">
        <f>HLOOKUP(CS$6,CapEx!$Y$23:$AU$47,25,0)/12</f>
        <v>11904.761904761906</v>
      </c>
      <c r="CT64" s="18">
        <f>HLOOKUP(CT$6,CapEx!$Y$23:$AU$47,25,0)/12</f>
        <v>11904.761904761906</v>
      </c>
      <c r="CU64" s="18">
        <f>HLOOKUP(CU$6,CapEx!$Y$23:$AU$47,25,0)/12</f>
        <v>23809.523809523813</v>
      </c>
      <c r="CV64" s="18">
        <f>HLOOKUP(CV$6,CapEx!$Y$23:$AU$47,25,0)/12</f>
        <v>23809.523809523813</v>
      </c>
      <c r="CW64" s="18">
        <f>HLOOKUP(CW$6,CapEx!$Y$23:$AU$47,25,0)/12</f>
        <v>23809.523809523813</v>
      </c>
      <c r="CX64" s="18">
        <f>HLOOKUP(CX$6,CapEx!$Y$23:$AU$47,25,0)/12</f>
        <v>23809.523809523813</v>
      </c>
      <c r="CY64" s="18">
        <f>HLOOKUP(CY$6,CapEx!$Y$23:$AU$47,25,0)/12</f>
        <v>23809.523809523813</v>
      </c>
      <c r="CZ64" s="18">
        <f>HLOOKUP(CZ$6,CapEx!$Y$23:$AU$47,25,0)/12</f>
        <v>23809.523809523813</v>
      </c>
      <c r="DA64" s="18">
        <f>HLOOKUP(DA$6,CapEx!$Y$23:$AU$47,25,0)/12</f>
        <v>23809.523809523813</v>
      </c>
      <c r="DB64" s="18">
        <f>HLOOKUP(DB$6,CapEx!$Y$23:$AU$47,25,0)/12</f>
        <v>23809.523809523813</v>
      </c>
      <c r="DC64" s="18">
        <f>HLOOKUP(DC$6,CapEx!$Y$23:$AU$47,25,0)/12</f>
        <v>23809.523809523813</v>
      </c>
      <c r="DD64" s="18">
        <f>HLOOKUP(DD$6,CapEx!$Y$23:$AU$47,25,0)/12</f>
        <v>23809.523809523813</v>
      </c>
      <c r="DE64" s="18">
        <f>HLOOKUP(DE$6,CapEx!$Y$23:$AU$47,25,0)/12</f>
        <v>23809.523809523813</v>
      </c>
      <c r="DF64" s="18">
        <f>HLOOKUP(DF$6,CapEx!$Y$23:$AU$47,25,0)/12</f>
        <v>23809.523809523813</v>
      </c>
      <c r="DG64" s="18">
        <f>HLOOKUP(DG$6,CapEx!$Y$23:$AU$47,25,0)/12</f>
        <v>35714.285714285717</v>
      </c>
      <c r="DH64" s="18">
        <f>HLOOKUP(DH$6,CapEx!$Y$23:$AU$47,25,0)/12</f>
        <v>35714.285714285717</v>
      </c>
      <c r="DI64" s="18">
        <f>HLOOKUP(DI$6,CapEx!$Y$23:$AU$47,25,0)/12</f>
        <v>35714.285714285717</v>
      </c>
      <c r="DJ64" s="18">
        <f>HLOOKUP(DJ$6,CapEx!$Y$23:$AU$47,25,0)/12</f>
        <v>35714.285714285717</v>
      </c>
      <c r="DK64" s="18">
        <f>HLOOKUP(DK$6,CapEx!$Y$23:$AU$47,25,0)/12</f>
        <v>35714.285714285717</v>
      </c>
      <c r="DL64" s="18">
        <f>HLOOKUP(DL$6,CapEx!$Y$23:$AU$47,25,0)/12</f>
        <v>35714.285714285717</v>
      </c>
      <c r="DM64" s="18">
        <f>HLOOKUP(DM$6,CapEx!$Y$23:$AU$47,25,0)/12</f>
        <v>35714.285714285717</v>
      </c>
      <c r="DN64" s="18">
        <f>HLOOKUP(DN$6,CapEx!$Y$23:$AU$47,25,0)/12</f>
        <v>35714.285714285717</v>
      </c>
      <c r="DO64" s="18">
        <f>HLOOKUP(DO$6,CapEx!$Y$23:$AU$47,25,0)/12</f>
        <v>35714.285714285717</v>
      </c>
      <c r="DP64" s="18">
        <f>HLOOKUP(DP$6,CapEx!$Y$23:$AU$47,25,0)/12</f>
        <v>35714.285714285717</v>
      </c>
      <c r="DQ64" s="18">
        <f>HLOOKUP(DQ$6,CapEx!$Y$23:$AU$47,25,0)/12</f>
        <v>35714.285714285717</v>
      </c>
      <c r="DR64" s="18">
        <f>HLOOKUP(DR$6,CapEx!$Y$23:$AU$47,25,0)/12</f>
        <v>35714.285714285717</v>
      </c>
      <c r="DS64" s="18">
        <f>HLOOKUP(DS$6,CapEx!$Y$23:$AU$47,25,0)/12</f>
        <v>47619.047619047626</v>
      </c>
      <c r="DT64" s="18">
        <f>HLOOKUP(DT$6,CapEx!$Y$23:$AU$47,25,0)/12</f>
        <v>47619.047619047626</v>
      </c>
      <c r="DU64" s="18">
        <f>HLOOKUP(DU$6,CapEx!$Y$23:$AU$47,25,0)/12</f>
        <v>47619.047619047626</v>
      </c>
      <c r="DV64" s="18">
        <f>HLOOKUP(DV$6,CapEx!$Y$23:$AU$47,25,0)/12</f>
        <v>47619.047619047626</v>
      </c>
      <c r="DW64" s="18">
        <f>HLOOKUP(DW$6,CapEx!$Y$23:$AU$47,25,0)/12</f>
        <v>47619.047619047626</v>
      </c>
      <c r="DX64" s="18">
        <f>HLOOKUP(DX$6,CapEx!$Y$23:$AU$47,25,0)/12</f>
        <v>47619.047619047626</v>
      </c>
      <c r="DY64" s="18">
        <f>HLOOKUP(DY$6,CapEx!$Y$23:$AU$47,25,0)/12</f>
        <v>47619.047619047626</v>
      </c>
      <c r="DZ64" s="18">
        <f>HLOOKUP(DZ$6,CapEx!$Y$23:$AU$47,25,0)/12</f>
        <v>47619.047619047626</v>
      </c>
      <c r="EA64" s="18">
        <f>HLOOKUP(EA$6,CapEx!$Y$23:$AU$47,25,0)/12</f>
        <v>47619.047619047626</v>
      </c>
      <c r="EB64" s="18">
        <f>HLOOKUP(EB$6,CapEx!$Y$23:$AU$47,25,0)/12</f>
        <v>47619.047619047626</v>
      </c>
      <c r="EC64" s="18">
        <f>HLOOKUP(EC$6,CapEx!$Y$23:$AU$47,25,0)/12</f>
        <v>47619.047619047626</v>
      </c>
      <c r="ED64" s="18">
        <f>HLOOKUP(ED$6,CapEx!$Y$23:$AU$47,25,0)/12</f>
        <v>47619.047619047626</v>
      </c>
      <c r="EE64" s="18">
        <f>HLOOKUP(EE$6,CapEx!$Y$23:$AU$47,25,0)/12</f>
        <v>59523.809523809527</v>
      </c>
      <c r="EF64" s="18">
        <f>HLOOKUP(EF$6,CapEx!$Y$23:$AU$47,25,0)/12</f>
        <v>59523.809523809527</v>
      </c>
      <c r="EG64" s="18">
        <f>HLOOKUP(EG$6,CapEx!$Y$23:$AU$47,25,0)/12</f>
        <v>59523.809523809527</v>
      </c>
      <c r="EH64" s="18">
        <f>HLOOKUP(EH$6,CapEx!$Y$23:$AU$47,25,0)/12</f>
        <v>59523.809523809527</v>
      </c>
      <c r="EI64" s="18">
        <f>HLOOKUP(EI$6,CapEx!$Y$23:$AU$47,25,0)/12</f>
        <v>59523.809523809527</v>
      </c>
      <c r="EJ64" s="18">
        <f>HLOOKUP(EJ$6,CapEx!$Y$23:$AU$47,25,0)/12</f>
        <v>59523.809523809527</v>
      </c>
      <c r="EK64" s="18">
        <f>HLOOKUP(EK$6,CapEx!$Y$23:$AU$47,25,0)/12</f>
        <v>59523.809523809527</v>
      </c>
      <c r="EL64" s="18">
        <f>HLOOKUP(EL$6,CapEx!$Y$23:$AU$47,25,0)/12</f>
        <v>59523.809523809527</v>
      </c>
      <c r="EM64" s="18">
        <f>HLOOKUP(EM$6,CapEx!$Y$23:$AU$47,25,0)/12</f>
        <v>59523.809523809527</v>
      </c>
      <c r="EN64" s="18">
        <f>HLOOKUP(EN$6,CapEx!$Y$23:$AU$47,25,0)/12</f>
        <v>59523.809523809527</v>
      </c>
      <c r="EO64" s="18">
        <f>HLOOKUP(EO$6,CapEx!$Y$23:$AU$47,25,0)/12</f>
        <v>59523.809523809527</v>
      </c>
      <c r="EP64" s="18">
        <f>HLOOKUP(EP$6,CapEx!$Y$23:$AU$47,25,0)/12</f>
        <v>59523.809523809527</v>
      </c>
      <c r="EQ64" s="18">
        <f>HLOOKUP(EQ$6,CapEx!$Y$23:$AU$47,25,0)/12</f>
        <v>71428.571428571435</v>
      </c>
      <c r="ER64" s="18">
        <f>HLOOKUP(ER$6,CapEx!$Y$23:$AU$47,25,0)/12</f>
        <v>71428.571428571435</v>
      </c>
      <c r="ES64" s="18">
        <f>HLOOKUP(ES$6,CapEx!$Y$23:$AU$47,25,0)/12</f>
        <v>71428.571428571435</v>
      </c>
      <c r="ET64" s="18">
        <f>HLOOKUP(ET$6,CapEx!$Y$23:$AU$47,25,0)/12</f>
        <v>71428.571428571435</v>
      </c>
      <c r="EU64" s="18">
        <f>HLOOKUP(EU$6,CapEx!$Y$23:$AU$47,25,0)/12</f>
        <v>71428.571428571435</v>
      </c>
      <c r="EV64" s="18">
        <f>HLOOKUP(EV$6,CapEx!$Y$23:$AU$47,25,0)/12</f>
        <v>71428.571428571435</v>
      </c>
      <c r="EW64" s="18">
        <f>HLOOKUP(EW$6,CapEx!$Y$23:$AU$47,25,0)/12</f>
        <v>71428.571428571435</v>
      </c>
      <c r="EX64" s="18">
        <f>HLOOKUP(EX$6,CapEx!$Y$23:$AU$47,25,0)/12</f>
        <v>71428.571428571435</v>
      </c>
      <c r="EY64" s="18">
        <f>HLOOKUP(EY$6,CapEx!$Y$23:$AU$47,25,0)/12</f>
        <v>71428.571428571435</v>
      </c>
      <c r="EZ64" s="18">
        <f>HLOOKUP(EZ$6,CapEx!$Y$23:$AU$47,25,0)/12</f>
        <v>71428.571428571435</v>
      </c>
      <c r="FA64" s="18">
        <f>HLOOKUP(FA$6,CapEx!$Y$23:$AU$47,25,0)/12</f>
        <v>71428.571428571435</v>
      </c>
      <c r="FB64" s="18">
        <f>HLOOKUP(FB$6,CapEx!$Y$23:$AU$47,25,0)/12</f>
        <v>71428.571428571435</v>
      </c>
      <c r="FC64" s="18">
        <f>HLOOKUP(FC$6,CapEx!$Y$23:$AU$47,25,0)/12</f>
        <v>83333.333333333328</v>
      </c>
      <c r="FD64" s="18">
        <f>HLOOKUP(FD$6,CapEx!$Y$23:$AU$47,25,0)/12</f>
        <v>83333.333333333328</v>
      </c>
      <c r="FE64" s="18">
        <f>HLOOKUP(FE$6,CapEx!$Y$23:$AU$47,25,0)/12</f>
        <v>83333.333333333328</v>
      </c>
      <c r="FF64" s="18">
        <f>HLOOKUP(FF$6,CapEx!$Y$23:$AU$47,25,0)/12</f>
        <v>83333.333333333328</v>
      </c>
      <c r="FG64" s="18">
        <f>HLOOKUP(FG$6,CapEx!$Y$23:$AU$47,25,0)/12</f>
        <v>83333.333333333328</v>
      </c>
      <c r="FH64" s="18">
        <f>HLOOKUP(FH$6,CapEx!$Y$23:$AU$47,25,0)/12</f>
        <v>83333.333333333328</v>
      </c>
      <c r="FI64" s="18">
        <f>HLOOKUP(FI$6,CapEx!$Y$23:$AU$47,25,0)/12</f>
        <v>83333.333333333328</v>
      </c>
      <c r="FJ64" s="18">
        <f>HLOOKUP(FJ$6,CapEx!$Y$23:$AU$47,25,0)/12</f>
        <v>83333.333333333328</v>
      </c>
      <c r="FK64" s="18">
        <f>HLOOKUP(FK$6,CapEx!$Y$23:$AU$47,25,0)/12</f>
        <v>83333.333333333328</v>
      </c>
      <c r="FL64" s="18">
        <f>HLOOKUP(FL$6,CapEx!$Y$23:$AU$47,25,0)/12</f>
        <v>83333.333333333328</v>
      </c>
      <c r="FM64" s="18">
        <f>HLOOKUP(FM$6,CapEx!$Y$23:$AU$47,25,0)/12</f>
        <v>83333.333333333328</v>
      </c>
      <c r="FN64" s="18">
        <f>HLOOKUP(FN$6,CapEx!$Y$23:$AU$47,25,0)/12</f>
        <v>83333.333333333328</v>
      </c>
      <c r="FO64" s="18">
        <f>HLOOKUP(FO$6,CapEx!$Y$23:$AU$47,25,0)/12</f>
        <v>83333.333333333328</v>
      </c>
      <c r="FP64" s="18">
        <f>HLOOKUP(FP$6,CapEx!$Y$23:$AU$47,25,0)/12</f>
        <v>83333.333333333328</v>
      </c>
      <c r="FQ64" s="18">
        <f>HLOOKUP(FQ$6,CapEx!$Y$23:$AU$47,25,0)/12</f>
        <v>83333.333333333328</v>
      </c>
      <c r="FR64" s="18">
        <f>HLOOKUP(FR$6,CapEx!$Y$23:$AU$47,25,0)/12</f>
        <v>83333.333333333328</v>
      </c>
      <c r="FS64" s="18">
        <f>HLOOKUP(FS$6,CapEx!$Y$23:$AU$47,25,0)/12</f>
        <v>83333.333333333328</v>
      </c>
      <c r="FT64" s="18">
        <f>HLOOKUP(FT$6,CapEx!$Y$23:$AU$47,25,0)/12</f>
        <v>83333.333333333328</v>
      </c>
      <c r="FU64" s="18">
        <f>HLOOKUP(FU$6,CapEx!$Y$23:$AU$47,25,0)/12</f>
        <v>83333.333333333328</v>
      </c>
      <c r="FV64" s="18">
        <f>HLOOKUP(FV$6,CapEx!$Y$23:$AU$47,25,0)/12</f>
        <v>83333.333333333328</v>
      </c>
      <c r="FW64" s="18">
        <f>HLOOKUP(FW$6,CapEx!$Y$23:$AU$47,25,0)/12</f>
        <v>83333.333333333328</v>
      </c>
      <c r="FX64" s="18">
        <f>HLOOKUP(FX$6,CapEx!$Y$23:$AU$47,25,0)/12</f>
        <v>83333.333333333328</v>
      </c>
      <c r="FY64" s="18">
        <f>HLOOKUP(FY$6,CapEx!$Y$23:$AU$47,25,0)/12</f>
        <v>83333.333333333328</v>
      </c>
      <c r="FZ64" s="18">
        <f>HLOOKUP(FZ$6,CapEx!$Y$23:$AU$47,25,0)/12</f>
        <v>83333.333333333328</v>
      </c>
      <c r="GA64" s="18">
        <f>HLOOKUP(GA$6,CapEx!$Y$23:$AU$47,25,0)/12</f>
        <v>83333.333333333328</v>
      </c>
      <c r="GB64" s="18">
        <f>HLOOKUP(GB$6,CapEx!$Y$23:$AU$47,25,0)/12</f>
        <v>83333.333333333328</v>
      </c>
      <c r="GC64" s="18">
        <f>HLOOKUP(GC$6,CapEx!$Y$23:$AU$47,25,0)/12</f>
        <v>83333.333333333328</v>
      </c>
      <c r="GD64" s="18">
        <f>HLOOKUP(GD$6,CapEx!$Y$23:$AU$47,25,0)/12</f>
        <v>83333.333333333328</v>
      </c>
      <c r="GE64" s="18">
        <f>HLOOKUP(GE$6,CapEx!$Y$23:$AU$47,25,0)/12</f>
        <v>83333.333333333328</v>
      </c>
      <c r="GF64" s="18">
        <f>HLOOKUP(GF$6,CapEx!$Y$23:$AU$47,25,0)/12</f>
        <v>83333.333333333328</v>
      </c>
      <c r="GG64" s="18">
        <f>HLOOKUP(GG$6,CapEx!$Y$23:$AU$47,25,0)/12</f>
        <v>83333.333333333328</v>
      </c>
      <c r="GH64" s="18">
        <f>HLOOKUP(GH$6,CapEx!$Y$23:$AU$47,25,0)/12</f>
        <v>83333.333333333328</v>
      </c>
      <c r="GI64" s="18">
        <f>HLOOKUP(GI$6,CapEx!$Y$23:$AU$47,25,0)/12</f>
        <v>83333.333333333328</v>
      </c>
      <c r="GJ64" s="18">
        <f>HLOOKUP(GJ$6,CapEx!$Y$23:$AU$47,25,0)/12</f>
        <v>83333.333333333328</v>
      </c>
      <c r="GK64" s="18">
        <f>HLOOKUP(GK$6,CapEx!$Y$23:$AU$47,25,0)/12</f>
        <v>83333.333333333328</v>
      </c>
      <c r="GL64" s="18">
        <f>HLOOKUP(GL$6,CapEx!$Y$23:$AU$47,25,0)/12</f>
        <v>83333.333333333328</v>
      </c>
      <c r="GM64" s="18">
        <f>HLOOKUP(GM$6,CapEx!$Y$23:$AU$47,25,0)/12</f>
        <v>83333.333333333328</v>
      </c>
      <c r="GN64" s="18">
        <f>HLOOKUP(GN$6,CapEx!$Y$23:$AU$47,25,0)/12</f>
        <v>83333.333333333328</v>
      </c>
      <c r="GO64" s="18">
        <f>HLOOKUP(GO$6,CapEx!$Y$23:$AU$47,25,0)/12</f>
        <v>83333.333333333328</v>
      </c>
      <c r="GP64" s="18">
        <f>HLOOKUP(GP$6,CapEx!$Y$23:$AU$47,25,0)/12</f>
        <v>83333.333333333328</v>
      </c>
      <c r="GQ64" s="18">
        <f>HLOOKUP(GQ$6,CapEx!$Y$23:$AU$47,25,0)/12</f>
        <v>83333.333333333328</v>
      </c>
      <c r="GR64" s="18">
        <f>HLOOKUP(GR$6,CapEx!$Y$23:$AU$47,25,0)/12</f>
        <v>83333.333333333328</v>
      </c>
      <c r="GS64" s="18">
        <f>HLOOKUP(GS$6,CapEx!$Y$23:$AU$47,25,0)/12</f>
        <v>83333.333333333328</v>
      </c>
      <c r="GT64" s="18">
        <f>HLOOKUP(GT$6,CapEx!$Y$23:$AU$47,25,0)/12</f>
        <v>83333.333333333328</v>
      </c>
      <c r="GU64" s="18">
        <f>HLOOKUP(GU$6,CapEx!$Y$23:$AU$47,25,0)/12</f>
        <v>83333.333333333328</v>
      </c>
      <c r="GV64" s="18">
        <f>HLOOKUP(GV$6,CapEx!$Y$23:$AU$47,25,0)/12</f>
        <v>83333.333333333328</v>
      </c>
      <c r="GW64" s="18">
        <f>HLOOKUP(GW$6,CapEx!$Y$23:$AU$47,25,0)/12</f>
        <v>83333.333333333328</v>
      </c>
      <c r="GX64" s="18">
        <f>HLOOKUP(GX$6,CapEx!$Y$23:$AU$47,25,0)/12</f>
        <v>83333.333333333328</v>
      </c>
      <c r="GY64" s="18">
        <f>HLOOKUP(GY$6,CapEx!$Y$23:$AU$47,25,0)/12</f>
        <v>83333.333333333328</v>
      </c>
      <c r="GZ64" s="18">
        <f>HLOOKUP(GZ$6,CapEx!$Y$23:$AU$47,25,0)/12</f>
        <v>83333.333333333328</v>
      </c>
      <c r="HA64" s="18">
        <f>HLOOKUP(HA$6,CapEx!$Y$23:$AU$47,25,0)/12</f>
        <v>83333.333333333328</v>
      </c>
      <c r="HB64" s="18">
        <f>HLOOKUP(HB$6,CapEx!$Y$23:$AU$47,25,0)/12</f>
        <v>83333.333333333328</v>
      </c>
      <c r="HC64" s="18">
        <f>HLOOKUP(HC$6,CapEx!$Y$23:$AU$47,25,0)/12</f>
        <v>83333.333333333328</v>
      </c>
      <c r="HD64" s="18">
        <f>HLOOKUP(HD$6,CapEx!$Y$23:$AU$47,25,0)/12</f>
        <v>83333.333333333328</v>
      </c>
      <c r="HE64" s="18">
        <f>HLOOKUP(HE$6,CapEx!$Y$23:$AU$47,25,0)/12</f>
        <v>83333.333333333328</v>
      </c>
      <c r="HF64" s="18">
        <f>HLOOKUP(HF$6,CapEx!$Y$23:$AU$47,25,0)/12</f>
        <v>83333.333333333328</v>
      </c>
      <c r="HG64" s="18">
        <f>HLOOKUP(HG$6,CapEx!$Y$23:$AU$47,25,0)/12</f>
        <v>83333.333333333328</v>
      </c>
      <c r="HH64" s="18">
        <f>HLOOKUP(HH$6,CapEx!$Y$23:$AU$47,25,0)/12</f>
        <v>83333.333333333328</v>
      </c>
      <c r="HI64" s="18">
        <f>HLOOKUP(HI$6,CapEx!$Y$23:$AU$47,25,0)/12</f>
        <v>83333.333333333328</v>
      </c>
      <c r="HJ64" s="18">
        <f>HLOOKUP(HJ$6,CapEx!$Y$23:$AU$47,25,0)/12</f>
        <v>83333.333333333328</v>
      </c>
      <c r="HK64" s="18">
        <f>HLOOKUP(HK$6,CapEx!$Y$23:$AU$47,25,0)/12</f>
        <v>83333.333333333328</v>
      </c>
      <c r="HL64" s="18">
        <f>HLOOKUP(HL$6,CapEx!$Y$23:$AU$47,25,0)/12</f>
        <v>83333.333333333328</v>
      </c>
      <c r="HM64" s="18">
        <f>HLOOKUP(HM$6,CapEx!$Y$23:$AU$47,25,0)/12</f>
        <v>83333.333333333328</v>
      </c>
      <c r="HN64" s="18">
        <f>HLOOKUP(HN$6,CapEx!$Y$23:$AU$47,25,0)/12</f>
        <v>83333.333333333328</v>
      </c>
      <c r="HO64" s="18">
        <f>HLOOKUP(HO$6,CapEx!$Y$23:$AU$47,25,0)/12</f>
        <v>83333.333333333328</v>
      </c>
      <c r="HP64" s="18">
        <f>HLOOKUP(HP$6,CapEx!$Y$23:$AU$47,25,0)/12</f>
        <v>83333.333333333328</v>
      </c>
      <c r="HQ64" s="18">
        <f>HLOOKUP(HQ$6,CapEx!$Y$23:$AU$47,25,0)/12</f>
        <v>83333.333333333328</v>
      </c>
      <c r="HR64" s="18">
        <f>HLOOKUP(HR$6,CapEx!$Y$23:$AU$47,25,0)/12</f>
        <v>83333.333333333328</v>
      </c>
      <c r="HS64" s="18">
        <f>HLOOKUP(HS$6,CapEx!$Y$23:$AU$47,25,0)/12</f>
        <v>83333.333333333328</v>
      </c>
      <c r="HT64" s="18">
        <f>HLOOKUP(HT$6,CapEx!$Y$23:$AU$47,25,0)/12</f>
        <v>83333.333333333328</v>
      </c>
      <c r="HU64" s="18">
        <f>HLOOKUP(HU$6,CapEx!$Y$23:$AU$47,25,0)/12</f>
        <v>83333.333333333328</v>
      </c>
      <c r="HV64" s="18">
        <f>HLOOKUP(HV$6,CapEx!$Y$23:$AU$47,25,0)/12</f>
        <v>83333.333333333328</v>
      </c>
      <c r="HW64" s="18">
        <f>HLOOKUP(HW$6,CapEx!$Y$23:$AU$47,25,0)/12</f>
        <v>83333.333333333328</v>
      </c>
      <c r="HX64" s="18">
        <f>HLOOKUP(HX$6,CapEx!$Y$23:$AU$47,25,0)/12</f>
        <v>83333.333333333328</v>
      </c>
      <c r="HY64" s="18">
        <f>HLOOKUP(HY$6,CapEx!$Y$23:$AU$47,25,0)/12</f>
        <v>83333.333333333328</v>
      </c>
      <c r="HZ64" s="18">
        <f>HLOOKUP(HZ$6,CapEx!$Y$23:$AU$47,25,0)/12</f>
        <v>83333.333333333328</v>
      </c>
      <c r="IA64" s="18">
        <f>HLOOKUP(IA$6,CapEx!$Y$23:$AU$47,25,0)/12</f>
        <v>83333.333333333328</v>
      </c>
      <c r="IB64" s="18">
        <f>HLOOKUP(IB$6,CapEx!$Y$23:$AU$47,25,0)/12</f>
        <v>83333.333333333328</v>
      </c>
      <c r="IC64" s="18">
        <f>HLOOKUP(IC$6,CapEx!$Y$23:$AU$47,25,0)/12</f>
        <v>83333.333333333328</v>
      </c>
      <c r="ID64" s="18">
        <f>HLOOKUP(ID$6,CapEx!$Y$23:$AU$47,25,0)/12</f>
        <v>83333.333333333328</v>
      </c>
      <c r="IE64" s="18">
        <f>HLOOKUP(IE$6,CapEx!$Y$23:$AU$47,25,0)/12</f>
        <v>83333.333333333328</v>
      </c>
      <c r="IF64" s="18">
        <f>HLOOKUP(IF$6,CapEx!$Y$23:$AU$47,25,0)/12</f>
        <v>83333.333333333328</v>
      </c>
      <c r="IG64" s="18">
        <f>HLOOKUP(IG$6,CapEx!$Y$23:$AU$47,25,0)/12</f>
        <v>83333.333333333328</v>
      </c>
      <c r="IH64" s="18">
        <f>HLOOKUP(IH$6,CapEx!$Y$23:$AU$47,25,0)/12</f>
        <v>83333.333333333328</v>
      </c>
      <c r="II64" s="18">
        <f>HLOOKUP(II$6,CapEx!$Y$23:$AU$47,25,0)/12</f>
        <v>83333.333333333328</v>
      </c>
      <c r="IJ64" s="18">
        <f>HLOOKUP(IJ$6,CapEx!$Y$23:$AU$47,25,0)/12</f>
        <v>83333.333333333328</v>
      </c>
      <c r="IK64" s="18">
        <f>HLOOKUP(IK$6,CapEx!$Y$23:$AU$47,25,0)/12</f>
        <v>83333.333333333328</v>
      </c>
      <c r="IL64" s="18">
        <f>HLOOKUP(IL$6,CapEx!$Y$23:$AU$47,25,0)/12</f>
        <v>83333.333333333328</v>
      </c>
      <c r="IM64" s="18">
        <f>HLOOKUP(IM$6,CapEx!$Y$23:$AU$47,25,0)/12</f>
        <v>83333.333333333328</v>
      </c>
      <c r="IN64" s="18">
        <f>HLOOKUP(IN$6,CapEx!$Y$23:$AU$47,25,0)/12</f>
        <v>83333.333333333328</v>
      </c>
      <c r="IO64" s="18">
        <f>HLOOKUP(IO$6,CapEx!$Y$23:$AU$47,25,0)/12</f>
        <v>83333.333333333328</v>
      </c>
      <c r="IP64" s="18">
        <f>HLOOKUP(IP$6,CapEx!$Y$23:$AU$47,25,0)/12</f>
        <v>83333.333333333328</v>
      </c>
      <c r="IQ64" s="18">
        <f>HLOOKUP(IQ$6,CapEx!$Y$23:$AU$47,25,0)/12</f>
        <v>83333.333333333328</v>
      </c>
      <c r="IR64" s="18">
        <f>HLOOKUP(IR$6,CapEx!$Y$23:$AU$47,25,0)/12</f>
        <v>83333.333333333328</v>
      </c>
      <c r="IS64" s="18">
        <f>HLOOKUP(IS$6,CapEx!$Y$23:$AU$47,25,0)/12</f>
        <v>83333.333333333328</v>
      </c>
      <c r="IT64" s="18">
        <f>HLOOKUP(IT$6,CapEx!$Y$23:$AU$47,25,0)/12</f>
        <v>83333.333333333328</v>
      </c>
      <c r="IU64" s="18">
        <f>HLOOKUP(IU$6,CapEx!$Y$23:$AU$47,25,0)/12</f>
        <v>83333.333333333328</v>
      </c>
      <c r="IV64" s="18">
        <f>HLOOKUP(IV$6,CapEx!$Y$23:$AU$47,25,0)/12</f>
        <v>83333.333333333328</v>
      </c>
      <c r="IW64" s="18">
        <f>HLOOKUP(IW$6,CapEx!$Y$23:$AU$47,25,0)/12</f>
        <v>83333.333333333328</v>
      </c>
      <c r="IX64" s="18">
        <f>HLOOKUP(IX$6,CapEx!$Y$23:$AU$47,25,0)/12</f>
        <v>83333.333333333328</v>
      </c>
      <c r="IY64" s="18">
        <f>HLOOKUP(IY$6,CapEx!$Y$23:$AU$47,25,0)/12</f>
        <v>83333.333333333328</v>
      </c>
      <c r="IZ64" s="18">
        <f>HLOOKUP(IZ$6,CapEx!$Y$23:$AU$47,25,0)/12</f>
        <v>83333.333333333328</v>
      </c>
      <c r="JA64" s="18">
        <f>HLOOKUP(JA$6,CapEx!$Y$23:$AU$47,25,0)/12</f>
        <v>83333.333333333328</v>
      </c>
      <c r="JB64" s="18">
        <f>HLOOKUP(JB$6,CapEx!$Y$23:$AU$47,25,0)/12</f>
        <v>83333.333333333328</v>
      </c>
      <c r="JC64" s="18">
        <f>HLOOKUP(JC$6,CapEx!$Y$23:$AU$47,25,0)/12</f>
        <v>83333.333333333328</v>
      </c>
      <c r="JD64" s="18">
        <f>HLOOKUP(JD$6,CapEx!$Y$23:$AU$47,25,0)/12</f>
        <v>83333.333333333328</v>
      </c>
      <c r="JE64" s="18">
        <f>HLOOKUP(JE$6,CapEx!$Y$23:$AU$47,25,0)/12</f>
        <v>83333.333333333328</v>
      </c>
      <c r="JF64" s="18">
        <f>HLOOKUP(JF$6,CapEx!$Y$23:$AU$47,25,0)/12</f>
        <v>83333.333333333328</v>
      </c>
      <c r="JG64" s="18">
        <f>HLOOKUP(JG$6,CapEx!$Y$23:$AU$47,25,0)/12</f>
        <v>83333.333333333328</v>
      </c>
      <c r="JH64" s="18">
        <f>HLOOKUP(JH$6,CapEx!$Y$23:$AU$47,25,0)/12</f>
        <v>83333.333333333328</v>
      </c>
      <c r="JI64" s="18">
        <f>HLOOKUP(JI$6,CapEx!$Y$23:$AU$47,25,0)/12</f>
        <v>83333.333333333328</v>
      </c>
      <c r="JJ64" s="18">
        <f>HLOOKUP(JJ$6,CapEx!$Y$23:$AU$47,25,0)/12</f>
        <v>83333.333333333328</v>
      </c>
      <c r="JK64" s="18">
        <f>HLOOKUP(JK$6,CapEx!$Y$23:$AU$47,25,0)/12</f>
        <v>83333.333333333328</v>
      </c>
      <c r="JL64" s="18">
        <f>HLOOKUP(JL$6,CapEx!$Y$23:$AU$47,25,0)/12</f>
        <v>83333.333333333328</v>
      </c>
      <c r="JM64" s="18">
        <f>HLOOKUP(JM$6,CapEx!$Y$23:$AU$47,25,0)/12</f>
        <v>83333.333333333328</v>
      </c>
      <c r="JN64" s="18">
        <f>HLOOKUP(JN$6,CapEx!$Y$23:$AU$47,25,0)/12</f>
        <v>83333.333333333328</v>
      </c>
      <c r="JO64" s="18">
        <f>HLOOKUP(JO$6,CapEx!$Y$23:$AU$47,25,0)/12</f>
        <v>83333.333333333328</v>
      </c>
      <c r="JP64" s="18">
        <f>HLOOKUP(JP$6,CapEx!$Y$23:$AU$47,25,0)/12</f>
        <v>83333.333333333328</v>
      </c>
      <c r="JQ64" s="18">
        <f>HLOOKUP(JQ$6,CapEx!$Y$23:$AU$47,25,0)/12</f>
        <v>83333.333333333328</v>
      </c>
      <c r="JR64" s="18">
        <f>HLOOKUP(JR$6,CapEx!$Y$23:$AU$47,25,0)/12</f>
        <v>83333.333333333328</v>
      </c>
    </row>
    <row r="65" spans="2:278" x14ac:dyDescent="0.2">
      <c r="B65" s="1" t="s">
        <v>119</v>
      </c>
      <c r="C65" s="18">
        <f>IF(C$1&lt;CapEx!$O$7,0,SUM(Summary!$I$4:$I$5)/25)</f>
        <v>0</v>
      </c>
      <c r="D65" s="18">
        <f>IF(D$1&lt;CapEx!$O$7,0,SUM(Summary!$I$4:$I$5)/25)</f>
        <v>0</v>
      </c>
      <c r="E65" s="18">
        <f>IF(E$1&lt;CapEx!$O$7,0,SUM(Summary!$I$4:$I$5)/25)</f>
        <v>0</v>
      </c>
      <c r="F65" s="18">
        <f>IF(F$1&lt;CapEx!$O$7,0,SUM(Summary!$I$4:$I$5)/25)</f>
        <v>0</v>
      </c>
      <c r="G65" s="18">
        <f>IF(G$1&lt;CapEx!$O$7,0,SUM(Summary!$I$4:$I$5)/25)</f>
        <v>0</v>
      </c>
      <c r="H65" s="18">
        <f>IF(H$1&lt;CapEx!$O$7,0,SUM(Summary!$I$4:$I$5)/25)</f>
        <v>0</v>
      </c>
      <c r="I65" s="18">
        <f>IF(I$1&lt;CapEx!$O$7,0,SUM(Summary!$I$4:$I$5)/25)</f>
        <v>0</v>
      </c>
      <c r="J65" s="18">
        <f>IF(J$1&lt;CapEx!$O$7,0,SUM(Summary!$I$4:$I$5)/25)</f>
        <v>0</v>
      </c>
      <c r="K65" s="18">
        <f>IF(K$1&lt;CapEx!$O$7,0,SUM(Summary!$I$4:$I$5)/25)</f>
        <v>0</v>
      </c>
      <c r="L65" s="18">
        <f>IF(L$1&lt;CapEx!$O$7,0,SUM(Summary!$I$4:$I$5)/25)</f>
        <v>0</v>
      </c>
      <c r="M65" s="18">
        <f>IF(M$1&lt;CapEx!$O$7,0,SUM(Summary!$I$4:$I$5)/25)</f>
        <v>0</v>
      </c>
      <c r="N65" s="18">
        <f>IF(N$1&lt;CapEx!$O$7,0,SUM(Summary!$I$4:$I$5)/25)</f>
        <v>0</v>
      </c>
      <c r="O65" s="18">
        <f>IF(O$1&lt;CapEx!$O$7,0,SUM(Summary!$I$4:$I$5)/25)</f>
        <v>0</v>
      </c>
      <c r="P65" s="18">
        <f>IF(P$1&lt;CapEx!$O$7,0,SUM(Summary!$I$4:$I$5)/25)</f>
        <v>0</v>
      </c>
      <c r="Q65" s="18">
        <f>IF(Q$1&lt;CapEx!$O$7,0,SUM(Summary!$I$4:$I$5)/25)</f>
        <v>0</v>
      </c>
      <c r="R65" s="18">
        <f>IF(R$1&lt;CapEx!$O$7,0,SUM(Summary!$I$4:$I$5)/25)</f>
        <v>203782.46780407999</v>
      </c>
      <c r="S65" s="18">
        <f>IF(S$1&lt;CapEx!$O$7,0,SUM(Summary!$I$4:$I$5)/25)</f>
        <v>203782.46780407999</v>
      </c>
      <c r="T65" s="18">
        <f>IF(T$1&lt;CapEx!$O$7,0,SUM(Summary!$I$4:$I$5)/25)</f>
        <v>203782.46780407999</v>
      </c>
      <c r="U65" s="18">
        <f>IF(U$1&lt;CapEx!$O$7,0,SUM(Summary!$I$4:$I$5)/25)</f>
        <v>203782.46780407999</v>
      </c>
      <c r="V65" s="18">
        <f>IF(V$1&lt;CapEx!$O$7,0,SUM(Summary!$I$4:$I$5)/25)</f>
        <v>203782.46780407999</v>
      </c>
      <c r="W65" s="18">
        <f>IF(W$1&lt;CapEx!$O$7,0,SUM(Summary!$I$4:$I$5)/25)</f>
        <v>203782.46780407999</v>
      </c>
      <c r="X65" s="18">
        <f>IF(X$1&lt;CapEx!$O$7,0,SUM(Summary!$I$4:$I$5)/25)</f>
        <v>203782.46780407999</v>
      </c>
      <c r="Y65" s="18">
        <f>IF(Y$1&lt;CapEx!$O$7,0,SUM(Summary!$I$4:$I$5)/25)</f>
        <v>203782.46780407999</v>
      </c>
      <c r="Z65" s="18">
        <f>IF(Z$1&lt;CapEx!$O$7,0,SUM(Summary!$I$4:$I$5)/25)</f>
        <v>203782.46780407999</v>
      </c>
      <c r="AA65" s="18">
        <f>IF(AA$1&lt;CapEx!$O$7,0,SUM(Summary!$I$4:$I$5)/(25*12))</f>
        <v>16981.872317006666</v>
      </c>
      <c r="AB65" s="18">
        <f>IF(AB$1&lt;CapEx!$O$7,0,SUM(Summary!$I$4:$I$5)/(25*12))</f>
        <v>16981.872317006666</v>
      </c>
      <c r="AC65" s="18">
        <f>IF(AC$1&lt;CapEx!$O$7,0,SUM(Summary!$I$4:$I$5)/(25*12))</f>
        <v>16981.872317006666</v>
      </c>
      <c r="AD65" s="18">
        <f>IF(AD$1&lt;CapEx!$O$7,0,SUM(Summary!$I$4:$I$5)/(25*12))</f>
        <v>16981.872317006666</v>
      </c>
      <c r="AE65" s="18">
        <f>IF(AE$1&lt;CapEx!$O$7,0,SUM(Summary!$I$4:$I$5)/(25*12))</f>
        <v>16981.872317006666</v>
      </c>
      <c r="AF65" s="18">
        <f>IF(AF$1&lt;CapEx!$O$7,0,SUM(Summary!$I$4:$I$5)/(25*12))</f>
        <v>16981.872317006666</v>
      </c>
      <c r="AG65" s="18">
        <f>IF(AG$1&lt;CapEx!$O$7,0,SUM(Summary!$I$4:$I$5)/(25*12))</f>
        <v>16981.872317006666</v>
      </c>
      <c r="AH65" s="18">
        <f>IF(AH$1&lt;CapEx!$O$7,0,SUM(Summary!$I$4:$I$5)/(25*12))</f>
        <v>16981.872317006666</v>
      </c>
      <c r="AI65" s="18">
        <f>IF(AI$1&lt;CapEx!$O$7,0,SUM(Summary!$I$4:$I$5)/(25*12))</f>
        <v>16981.872317006666</v>
      </c>
      <c r="AJ65" s="18">
        <f>IF(AJ$1&lt;CapEx!$O$7,0,SUM(Summary!$I$4:$I$5)/(25*12))</f>
        <v>16981.872317006666</v>
      </c>
      <c r="AK65" s="18">
        <f>IF(AK$1&lt;CapEx!$O$7,0,SUM(Summary!$I$4:$I$5)/(25*12))</f>
        <v>16981.872317006666</v>
      </c>
      <c r="AL65" s="18">
        <f>IF(AL$1&lt;CapEx!$O$7,0,SUM(Summary!$I$4:$I$5)/(25*12))</f>
        <v>16981.872317006666</v>
      </c>
      <c r="AM65" s="18">
        <f>IF(AM$1&lt;CapEx!$O$7,0,SUM(Summary!$I$4:$I$5)/(25*12))</f>
        <v>16981.872317006666</v>
      </c>
      <c r="AN65" s="18">
        <f>IF(AN$1&lt;CapEx!$O$7,0,SUM(Summary!$I$4:$I$5)/(25*12))</f>
        <v>16981.872317006666</v>
      </c>
      <c r="AO65" s="18">
        <f>IF(AO$1&lt;CapEx!$O$7,0,SUM(Summary!$I$4:$I$5)/(25*12))</f>
        <v>16981.872317006666</v>
      </c>
      <c r="AP65" s="18">
        <f>IF(AP$1&lt;CapEx!$O$7,0,SUM(Summary!$I$4:$I$5)/(25*12))</f>
        <v>16981.872317006666</v>
      </c>
      <c r="AQ65" s="18">
        <f>IF(AQ$1&lt;CapEx!$O$7,0,SUM(Summary!$I$4:$I$5)/(25*12))</f>
        <v>16981.872317006666</v>
      </c>
      <c r="AR65" s="18">
        <f>IF(AR$1&lt;CapEx!$O$7,0,SUM(Summary!$I$4:$I$5)/(25*12))</f>
        <v>16981.872317006666</v>
      </c>
      <c r="AS65" s="18">
        <f>IF(AS$1&lt;CapEx!$O$7,0,SUM(Summary!$I$4:$I$5)/(25*12))</f>
        <v>16981.872317006666</v>
      </c>
      <c r="AT65" s="18">
        <f>IF(AT$1&lt;CapEx!$O$7,0,SUM(Summary!$I$4:$I$5)/(25*12))</f>
        <v>16981.872317006666</v>
      </c>
      <c r="AU65" s="18">
        <f>IF(AU$1&lt;CapEx!$O$7,0,SUM(Summary!$I$4:$I$5)/(25*12))</f>
        <v>16981.872317006666</v>
      </c>
      <c r="AV65" s="18">
        <f>IF(AV$1&lt;CapEx!$O$7,0,SUM(Summary!$I$4:$I$5)/(25*12))</f>
        <v>16981.872317006666</v>
      </c>
      <c r="AW65" s="18">
        <f>IF(AW$1&lt;CapEx!$O$7,0,SUM(Summary!$I$4:$I$5)/(25*12))</f>
        <v>16981.872317006666</v>
      </c>
      <c r="AX65" s="18">
        <f>IF(AX$1&lt;CapEx!$O$7,0,SUM(Summary!$I$4:$I$5)/(25*12))</f>
        <v>16981.872317006666</v>
      </c>
      <c r="AY65" s="18">
        <f>IF(AY$1&lt;CapEx!$O$7,0,SUM(Summary!$I$4:$I$5)/(25*12))</f>
        <v>16981.872317006666</v>
      </c>
      <c r="AZ65" s="18">
        <f>IF(AZ$1&lt;CapEx!$O$7,0,SUM(Summary!$I$4:$I$5)/(25*12))</f>
        <v>16981.872317006666</v>
      </c>
      <c r="BA65" s="18">
        <f>IF(BA$1&lt;CapEx!$O$7,0,SUM(Summary!$I$4:$I$5)/(25*12))</f>
        <v>16981.872317006666</v>
      </c>
      <c r="BB65" s="18">
        <f>IF(BB$1&lt;CapEx!$O$7,0,SUM(Summary!$I$4:$I$5)/(25*12))</f>
        <v>16981.872317006666</v>
      </c>
      <c r="BC65" s="18">
        <f>IF(BC$1&lt;CapEx!$O$7,0,SUM(Summary!$I$4:$I$5)/(25*12))</f>
        <v>16981.872317006666</v>
      </c>
      <c r="BD65" s="18">
        <f>IF(BD$1&lt;CapEx!$O$7,0,SUM(Summary!$I$4:$I$5)/(25*12))</f>
        <v>16981.872317006666</v>
      </c>
      <c r="BE65" s="18">
        <f>IF(BE$1&lt;CapEx!$O$7,0,SUM(Summary!$I$4:$I$5)/(25*12))</f>
        <v>16981.872317006666</v>
      </c>
      <c r="BF65" s="18">
        <f>IF(BF$1&lt;CapEx!$O$7,0,SUM(Summary!$I$4:$I$5)/(25*12))</f>
        <v>16981.872317006666</v>
      </c>
      <c r="BG65" s="18">
        <f>IF(BG$1&lt;CapEx!$O$7,0,SUM(Summary!$I$4:$I$5)/(25*12))</f>
        <v>16981.872317006666</v>
      </c>
      <c r="BH65" s="18">
        <f>IF(BH$1&lt;CapEx!$O$7,0,SUM(Summary!$I$4:$I$5)/(25*12))</f>
        <v>16981.872317006666</v>
      </c>
      <c r="BI65" s="18">
        <f>IF(BI$1&lt;CapEx!$O$7,0,SUM(Summary!$I$4:$I$5)/(25*12))</f>
        <v>16981.872317006666</v>
      </c>
      <c r="BJ65" s="18">
        <f>IF(BJ$1&lt;CapEx!$O$7,0,SUM(Summary!$I$4:$I$5)/(25*12))</f>
        <v>16981.872317006666</v>
      </c>
      <c r="BK65" s="18">
        <f>IF(BK$1&lt;CapEx!$O$7,0,SUM(Summary!$I$4:$I$5)/(25*12))</f>
        <v>16981.872317006666</v>
      </c>
      <c r="BL65" s="18">
        <f>IF(BL$1&lt;CapEx!$O$7,0,SUM(Summary!$I$4:$I$5)/(25*12))</f>
        <v>16981.872317006666</v>
      </c>
      <c r="BM65" s="18">
        <f>IF(BM$1&lt;CapEx!$O$7,0,SUM(Summary!$I$4:$I$5)/(25*12))</f>
        <v>16981.872317006666</v>
      </c>
      <c r="BN65" s="18">
        <f>IF(BN$1&lt;CapEx!$O$7,0,SUM(Summary!$I$4:$I$5)/(25*12))</f>
        <v>16981.872317006666</v>
      </c>
      <c r="BO65" s="18">
        <f>IF(BO$1&lt;CapEx!$O$7,0,SUM(Summary!$I$4:$I$5)/(25*12))</f>
        <v>16981.872317006666</v>
      </c>
      <c r="BP65" s="18">
        <f>IF(BP$1&lt;CapEx!$O$7,0,SUM(Summary!$I$4:$I$5)/(25*12))</f>
        <v>16981.872317006666</v>
      </c>
      <c r="BQ65" s="18">
        <f>IF(BQ$1&lt;CapEx!$O$7,0,SUM(Summary!$I$4:$I$5)/(25*12))</f>
        <v>16981.872317006666</v>
      </c>
      <c r="BR65" s="18">
        <f>IF(BR$1&lt;CapEx!$O$7,0,SUM(Summary!$I$4:$I$5)/(25*12))</f>
        <v>16981.872317006666</v>
      </c>
      <c r="BS65" s="18">
        <f>IF(BS$1&lt;CapEx!$O$7,0,SUM(Summary!$I$4:$I$5)/(25*12))</f>
        <v>16981.872317006666</v>
      </c>
      <c r="BT65" s="18">
        <f>IF(BT$1&lt;CapEx!$O$7,0,SUM(Summary!$I$4:$I$5)/(25*12))</f>
        <v>16981.872317006666</v>
      </c>
      <c r="BU65" s="18">
        <f>IF(BU$1&lt;CapEx!$O$7,0,SUM(Summary!$I$4:$I$5)/(25*12))</f>
        <v>16981.872317006666</v>
      </c>
      <c r="BV65" s="18">
        <f>IF(BV$1&lt;CapEx!$O$7,0,SUM(Summary!$I$4:$I$5)/(25*12))</f>
        <v>16981.872317006666</v>
      </c>
      <c r="BW65" s="18">
        <f>IF(BW$1&lt;CapEx!$O$7,0,SUM(Summary!$I$4:$I$5)/(25*12))</f>
        <v>16981.872317006666</v>
      </c>
      <c r="BX65" s="18">
        <f>IF(BX$1&lt;CapEx!$O$7,0,SUM(Summary!$I$4:$I$5)/(25*12))</f>
        <v>16981.872317006666</v>
      </c>
      <c r="BY65" s="18">
        <f>IF(BY$1&lt;CapEx!$O$7,0,SUM(Summary!$I$4:$I$5)/(25*12))</f>
        <v>16981.872317006666</v>
      </c>
      <c r="BZ65" s="18">
        <f>IF(BZ$1&lt;CapEx!$O$7,0,SUM(Summary!$I$4:$I$5)/(25*12))</f>
        <v>16981.872317006666</v>
      </c>
      <c r="CA65" s="18">
        <f>IF(CA$1&lt;CapEx!$O$7,0,SUM(Summary!$I$4:$I$5)/(25*12))</f>
        <v>16981.872317006666</v>
      </c>
      <c r="CB65" s="18">
        <f>IF(CB$1&lt;CapEx!$O$7,0,SUM(Summary!$I$4:$I$5)/(25*12))</f>
        <v>16981.872317006666</v>
      </c>
      <c r="CC65" s="18">
        <f>IF(CC$1&lt;CapEx!$O$7,0,SUM(Summary!$I$4:$I$5)/(25*12))</f>
        <v>16981.872317006666</v>
      </c>
      <c r="CD65" s="18">
        <f>IF(CD$1&lt;CapEx!$O$7,0,SUM(Summary!$I$4:$I$5)/(25*12))</f>
        <v>16981.872317006666</v>
      </c>
      <c r="CE65" s="18">
        <f>IF(CE$1&lt;CapEx!$O$7,0,SUM(Summary!$I$4:$I$5)/(25*12))</f>
        <v>16981.872317006666</v>
      </c>
      <c r="CF65" s="18">
        <f>IF(CF$1&lt;CapEx!$O$7,0,SUM(Summary!$I$4:$I$5)/(25*12))</f>
        <v>16981.872317006666</v>
      </c>
      <c r="CG65" s="18">
        <f>IF(CG$1&lt;CapEx!$O$7,0,SUM(Summary!$I$4:$I$5)/(25*12))</f>
        <v>16981.872317006666</v>
      </c>
      <c r="CH65" s="18">
        <f>IF(CH$1&lt;CapEx!$O$7,0,SUM(Summary!$I$4:$I$5)/(25*12))</f>
        <v>16981.872317006666</v>
      </c>
      <c r="CI65" s="18">
        <f>IF(CI$1&lt;CapEx!$O$7,0,SUM(Summary!$I$4:$I$5)/(25*12))</f>
        <v>16981.872317006666</v>
      </c>
      <c r="CJ65" s="18">
        <f>IF(CJ$1&lt;CapEx!$O$7,0,SUM(Summary!$I$4:$I$5)/(25*12))</f>
        <v>16981.872317006666</v>
      </c>
      <c r="CK65" s="18">
        <f>IF(CK$1&lt;CapEx!$O$7,0,SUM(Summary!$I$4:$I$5)/(25*12))</f>
        <v>16981.872317006666</v>
      </c>
      <c r="CL65" s="18">
        <f>IF(CL$1&lt;CapEx!$O$7,0,SUM(Summary!$I$4:$I$5)/(25*12))</f>
        <v>16981.872317006666</v>
      </c>
      <c r="CM65" s="18">
        <f>IF(CM$1&lt;CapEx!$O$7,0,SUM(Summary!$I$4:$I$5)/(25*12))</f>
        <v>16981.872317006666</v>
      </c>
      <c r="CN65" s="18">
        <f>IF(CN$1&lt;CapEx!$O$7,0,SUM(Summary!$I$4:$I$5)/(25*12))</f>
        <v>16981.872317006666</v>
      </c>
      <c r="CO65" s="18">
        <f>IF(CO$1&lt;CapEx!$O$7,0,SUM(Summary!$I$4:$I$5)/(25*12))</f>
        <v>16981.872317006666</v>
      </c>
      <c r="CP65" s="18">
        <f>IF(CP$1&lt;CapEx!$O$7,0,SUM(Summary!$I$4:$I$5)/(25*12))</f>
        <v>16981.872317006666</v>
      </c>
      <c r="CQ65" s="18">
        <f>IF(CQ$1&lt;CapEx!$O$7,0,SUM(Summary!$I$4:$I$5)/(25*12))</f>
        <v>16981.872317006666</v>
      </c>
      <c r="CR65" s="18">
        <f>IF(CR$1&lt;CapEx!$O$7,0,SUM(Summary!$I$4:$I$5)/(25*12))</f>
        <v>16981.872317006666</v>
      </c>
      <c r="CS65" s="18">
        <f>IF(CS$1&lt;CapEx!$O$7,0,SUM(Summary!$I$4:$I$5)/(25*12))</f>
        <v>16981.872317006666</v>
      </c>
      <c r="CT65" s="18">
        <f>IF(CT$1&lt;CapEx!$O$7,0,SUM(Summary!$I$4:$I$5)/(25*12))</f>
        <v>16981.872317006666</v>
      </c>
      <c r="CU65" s="18">
        <f>IF(CU$1&lt;CapEx!$O$7,0,SUM(Summary!$I$4:$I$5)/(25*12))</f>
        <v>16981.872317006666</v>
      </c>
      <c r="CV65" s="18">
        <f>IF(CV$1&lt;CapEx!$O$7,0,SUM(Summary!$I$4:$I$5)/(25*12))</f>
        <v>16981.872317006666</v>
      </c>
      <c r="CW65" s="18">
        <f>IF(CW$1&lt;CapEx!$O$7,0,SUM(Summary!$I$4:$I$5)/(25*12))</f>
        <v>16981.872317006666</v>
      </c>
      <c r="CX65" s="18">
        <f>IF(CX$1&lt;CapEx!$O$7,0,SUM(Summary!$I$4:$I$5)/(25*12))</f>
        <v>16981.872317006666</v>
      </c>
      <c r="CY65" s="18">
        <f>IF(CY$1&lt;CapEx!$O$7,0,SUM(Summary!$I$4:$I$5)/(25*12))</f>
        <v>16981.872317006666</v>
      </c>
      <c r="CZ65" s="18">
        <f>IF(CZ$1&lt;CapEx!$O$7,0,SUM(Summary!$I$4:$I$5)/(25*12))</f>
        <v>16981.872317006666</v>
      </c>
      <c r="DA65" s="18">
        <f>IF(DA$1&lt;CapEx!$O$7,0,SUM(Summary!$I$4:$I$5)/(25*12))</f>
        <v>16981.872317006666</v>
      </c>
      <c r="DB65" s="18">
        <f>IF(DB$1&lt;CapEx!$O$7,0,SUM(Summary!$I$4:$I$5)/(25*12))</f>
        <v>16981.872317006666</v>
      </c>
      <c r="DC65" s="18">
        <f>IF(DC$1&lt;CapEx!$O$7,0,SUM(Summary!$I$4:$I$5)/(25*12))</f>
        <v>16981.872317006666</v>
      </c>
      <c r="DD65" s="18">
        <f>IF(DD$1&lt;CapEx!$O$7,0,SUM(Summary!$I$4:$I$5)/(25*12))</f>
        <v>16981.872317006666</v>
      </c>
      <c r="DE65" s="18">
        <f>IF(DE$1&lt;CapEx!$O$7,0,SUM(Summary!$I$4:$I$5)/(25*12))</f>
        <v>16981.872317006666</v>
      </c>
      <c r="DF65" s="18">
        <f>IF(DF$1&lt;CapEx!$O$7,0,SUM(Summary!$I$4:$I$5)/(25*12))</f>
        <v>16981.872317006666</v>
      </c>
      <c r="DG65" s="18">
        <f>IF(DG$1&lt;CapEx!$O$7,0,SUM(Summary!$I$4:$I$5)/(25*12))</f>
        <v>16981.872317006666</v>
      </c>
      <c r="DH65" s="18">
        <f>IF(DH$1&lt;CapEx!$O$7,0,SUM(Summary!$I$4:$I$5)/(25*12))</f>
        <v>16981.872317006666</v>
      </c>
      <c r="DI65" s="18">
        <f>IF(DI$1&lt;CapEx!$O$7,0,SUM(Summary!$I$4:$I$5)/(25*12))</f>
        <v>16981.872317006666</v>
      </c>
      <c r="DJ65" s="18">
        <f>IF(DJ$1&lt;CapEx!$O$7,0,SUM(Summary!$I$4:$I$5)/(25*12))</f>
        <v>16981.872317006666</v>
      </c>
      <c r="DK65" s="18">
        <f>IF(DK$1&lt;CapEx!$O$7,0,SUM(Summary!$I$4:$I$5)/(25*12))</f>
        <v>16981.872317006666</v>
      </c>
      <c r="DL65" s="18">
        <f>IF(DL$1&lt;CapEx!$O$7,0,SUM(Summary!$I$4:$I$5)/(25*12))</f>
        <v>16981.872317006666</v>
      </c>
      <c r="DM65" s="18">
        <f>IF(DM$1&lt;CapEx!$O$7,0,SUM(Summary!$I$4:$I$5)/(25*12))</f>
        <v>16981.872317006666</v>
      </c>
      <c r="DN65" s="18">
        <f>IF(DN$1&lt;CapEx!$O$7,0,SUM(Summary!$I$4:$I$5)/(25*12))</f>
        <v>16981.872317006666</v>
      </c>
      <c r="DO65" s="18">
        <f>IF(DO$1&lt;CapEx!$O$7,0,SUM(Summary!$I$4:$I$5)/(25*12))</f>
        <v>16981.872317006666</v>
      </c>
      <c r="DP65" s="18">
        <f>IF(DP$1&lt;CapEx!$O$7,0,SUM(Summary!$I$4:$I$5)/(25*12))</f>
        <v>16981.872317006666</v>
      </c>
      <c r="DQ65" s="18">
        <f>IF(DQ$1&lt;CapEx!$O$7,0,SUM(Summary!$I$4:$I$5)/(25*12))</f>
        <v>16981.872317006666</v>
      </c>
      <c r="DR65" s="18">
        <f>IF(DR$1&lt;CapEx!$O$7,0,SUM(Summary!$I$4:$I$5)/(25*12))</f>
        <v>16981.872317006666</v>
      </c>
      <c r="DS65" s="18">
        <f>IF(DS$1&lt;CapEx!$O$7,0,SUM(Summary!$I$4:$I$5)/(25*12))</f>
        <v>16981.872317006666</v>
      </c>
      <c r="DT65" s="18">
        <f>IF(DT$1&lt;CapEx!$O$7,0,SUM(Summary!$I$4:$I$5)/(25*12))</f>
        <v>16981.872317006666</v>
      </c>
      <c r="DU65" s="18">
        <f>IF(DU$1&lt;CapEx!$O$7,0,SUM(Summary!$I$4:$I$5)/(25*12))</f>
        <v>16981.872317006666</v>
      </c>
      <c r="DV65" s="18">
        <f>IF(DV$1&lt;CapEx!$O$7,0,SUM(Summary!$I$4:$I$5)/(25*12))</f>
        <v>16981.872317006666</v>
      </c>
      <c r="DW65" s="18">
        <f>IF(DW$1&lt;CapEx!$O$7,0,SUM(Summary!$I$4:$I$5)/(25*12))</f>
        <v>16981.872317006666</v>
      </c>
      <c r="DX65" s="18">
        <f>IF(DX$1&lt;CapEx!$O$7,0,SUM(Summary!$I$4:$I$5)/(25*12))</f>
        <v>16981.872317006666</v>
      </c>
      <c r="DY65" s="18">
        <f>IF(DY$1&lt;CapEx!$O$7,0,SUM(Summary!$I$4:$I$5)/(25*12))</f>
        <v>16981.872317006666</v>
      </c>
      <c r="DZ65" s="18">
        <f>IF(DZ$1&lt;CapEx!$O$7,0,SUM(Summary!$I$4:$I$5)/(25*12))</f>
        <v>16981.872317006666</v>
      </c>
      <c r="EA65" s="18">
        <f>IF(EA$1&lt;CapEx!$O$7,0,SUM(Summary!$I$4:$I$5)/(25*12))</f>
        <v>16981.872317006666</v>
      </c>
      <c r="EB65" s="18">
        <f>IF(EB$1&lt;CapEx!$O$7,0,SUM(Summary!$I$4:$I$5)/(25*12))</f>
        <v>16981.872317006666</v>
      </c>
      <c r="EC65" s="18">
        <f>IF(EC$1&lt;CapEx!$O$7,0,SUM(Summary!$I$4:$I$5)/(25*12))</f>
        <v>16981.872317006666</v>
      </c>
      <c r="ED65" s="18">
        <f>IF(ED$1&lt;CapEx!$O$7,0,SUM(Summary!$I$4:$I$5)/(25*12))</f>
        <v>16981.872317006666</v>
      </c>
      <c r="EE65" s="18">
        <f>IF(EE$1&lt;CapEx!$O$7,0,SUM(Summary!$I$4:$I$5)/(25*12))</f>
        <v>16981.872317006666</v>
      </c>
      <c r="EF65" s="18">
        <f>IF(EF$1&lt;CapEx!$O$7,0,SUM(Summary!$I$4:$I$5)/(25*12))</f>
        <v>16981.872317006666</v>
      </c>
      <c r="EG65" s="18">
        <f>IF(EG$1&lt;CapEx!$O$7,0,SUM(Summary!$I$4:$I$5)/(25*12))</f>
        <v>16981.872317006666</v>
      </c>
      <c r="EH65" s="18">
        <f>IF(EH$1&lt;CapEx!$O$7,0,SUM(Summary!$I$4:$I$5)/(25*12))</f>
        <v>16981.872317006666</v>
      </c>
      <c r="EI65" s="18">
        <f>IF(EI$1&lt;CapEx!$O$7,0,SUM(Summary!$I$4:$I$5)/(25*12))</f>
        <v>16981.872317006666</v>
      </c>
      <c r="EJ65" s="18">
        <f>IF(EJ$1&lt;CapEx!$O$7,0,SUM(Summary!$I$4:$I$5)/(25*12))</f>
        <v>16981.872317006666</v>
      </c>
      <c r="EK65" s="18">
        <f>IF(EK$1&lt;CapEx!$O$7,0,SUM(Summary!$I$4:$I$5)/(25*12))</f>
        <v>16981.872317006666</v>
      </c>
      <c r="EL65" s="18">
        <f>IF(EL$1&lt;CapEx!$O$7,0,SUM(Summary!$I$4:$I$5)/(25*12))</f>
        <v>16981.872317006666</v>
      </c>
      <c r="EM65" s="18">
        <f>IF(EM$1&lt;CapEx!$O$7,0,SUM(Summary!$I$4:$I$5)/(25*12))</f>
        <v>16981.872317006666</v>
      </c>
      <c r="EN65" s="18">
        <f>IF(EN$1&lt;CapEx!$O$7,0,SUM(Summary!$I$4:$I$5)/(25*12))</f>
        <v>16981.872317006666</v>
      </c>
      <c r="EO65" s="18">
        <f>IF(EO$1&lt;CapEx!$O$7,0,SUM(Summary!$I$4:$I$5)/(25*12))</f>
        <v>16981.872317006666</v>
      </c>
      <c r="EP65" s="18">
        <f>IF(EP$1&lt;CapEx!$O$7,0,SUM(Summary!$I$4:$I$5)/(25*12))</f>
        <v>16981.872317006666</v>
      </c>
      <c r="EQ65" s="18">
        <f>IF(EQ$1&lt;CapEx!$O$7,0,SUM(Summary!$I$4:$I$5)/(25*12))</f>
        <v>16981.872317006666</v>
      </c>
      <c r="ER65" s="18">
        <f>IF(ER$1&lt;CapEx!$O$7,0,SUM(Summary!$I$4:$I$5)/(25*12))</f>
        <v>16981.872317006666</v>
      </c>
      <c r="ES65" s="18">
        <f>IF(ES$1&lt;CapEx!$O$7,0,SUM(Summary!$I$4:$I$5)/(25*12))</f>
        <v>16981.872317006666</v>
      </c>
      <c r="ET65" s="18">
        <f>IF(ET$1&lt;CapEx!$O$7,0,SUM(Summary!$I$4:$I$5)/(25*12))</f>
        <v>16981.872317006666</v>
      </c>
      <c r="EU65" s="18">
        <f>IF(EU$1&lt;CapEx!$O$7,0,SUM(Summary!$I$4:$I$5)/(25*12))</f>
        <v>16981.872317006666</v>
      </c>
      <c r="EV65" s="18">
        <f>IF(EV$1&lt;CapEx!$O$7,0,SUM(Summary!$I$4:$I$5)/(25*12))</f>
        <v>16981.872317006666</v>
      </c>
      <c r="EW65" s="18">
        <f>IF(EW$1&lt;CapEx!$O$7,0,SUM(Summary!$I$4:$I$5)/(25*12))</f>
        <v>16981.872317006666</v>
      </c>
      <c r="EX65" s="18">
        <f>IF(EX$1&lt;CapEx!$O$7,0,SUM(Summary!$I$4:$I$5)/(25*12))</f>
        <v>16981.872317006666</v>
      </c>
      <c r="EY65" s="18">
        <f>IF(EY$1&lt;CapEx!$O$7,0,SUM(Summary!$I$4:$I$5)/(25*12))</f>
        <v>16981.872317006666</v>
      </c>
      <c r="EZ65" s="18">
        <f>IF(EZ$1&lt;CapEx!$O$7,0,SUM(Summary!$I$4:$I$5)/(25*12))</f>
        <v>16981.872317006666</v>
      </c>
      <c r="FA65" s="18">
        <f>IF(FA$1&lt;CapEx!$O$7,0,SUM(Summary!$I$4:$I$5)/(25*12))</f>
        <v>16981.872317006666</v>
      </c>
      <c r="FB65" s="18">
        <f>IF(FB$1&lt;CapEx!$O$7,0,SUM(Summary!$I$4:$I$5)/(25*12))</f>
        <v>16981.872317006666</v>
      </c>
      <c r="FC65" s="18">
        <f>IF(FC$1&lt;CapEx!$O$7,0,SUM(Summary!$I$4:$I$5)/(25*12))</f>
        <v>16981.872317006666</v>
      </c>
      <c r="FD65" s="18">
        <f>IF(FD$1&lt;CapEx!$O$7,0,SUM(Summary!$I$4:$I$5)/(25*12))</f>
        <v>16981.872317006666</v>
      </c>
      <c r="FE65" s="18">
        <f>IF(FE$1&lt;CapEx!$O$7,0,SUM(Summary!$I$4:$I$5)/(25*12))</f>
        <v>16981.872317006666</v>
      </c>
      <c r="FF65" s="18">
        <f>IF(FF$1&lt;CapEx!$O$7,0,SUM(Summary!$I$4:$I$5)/(25*12))</f>
        <v>16981.872317006666</v>
      </c>
      <c r="FG65" s="18">
        <f>IF(FG$1&lt;CapEx!$O$7,0,SUM(Summary!$I$4:$I$5)/(25*12))</f>
        <v>16981.872317006666</v>
      </c>
      <c r="FH65" s="18">
        <f>IF(FH$1&lt;CapEx!$O$7,0,SUM(Summary!$I$4:$I$5)/(25*12))</f>
        <v>16981.872317006666</v>
      </c>
      <c r="FI65" s="18">
        <f>IF(FI$1&lt;CapEx!$O$7,0,SUM(Summary!$I$4:$I$5)/(25*12))</f>
        <v>16981.872317006666</v>
      </c>
      <c r="FJ65" s="18">
        <f>IF(FJ$1&lt;CapEx!$O$7,0,SUM(Summary!$I$4:$I$5)/(25*12))</f>
        <v>16981.872317006666</v>
      </c>
      <c r="FK65" s="18">
        <f>IF(FK$1&lt;CapEx!$O$7,0,SUM(Summary!$I$4:$I$5)/(25*12))</f>
        <v>16981.872317006666</v>
      </c>
      <c r="FL65" s="18">
        <f>IF(FL$1&lt;CapEx!$O$7,0,SUM(Summary!$I$4:$I$5)/(25*12))</f>
        <v>16981.872317006666</v>
      </c>
      <c r="FM65" s="18">
        <f>IF(FM$1&lt;CapEx!$O$7,0,SUM(Summary!$I$4:$I$5)/(25*12))</f>
        <v>16981.872317006666</v>
      </c>
      <c r="FN65" s="18">
        <f>IF(FN$1&lt;CapEx!$O$7,0,SUM(Summary!$I$4:$I$5)/(25*12))</f>
        <v>16981.872317006666</v>
      </c>
      <c r="FO65" s="18">
        <f>IF(FO$1&lt;CapEx!$O$7,0,SUM(Summary!$I$4:$I$5)/(25*12))</f>
        <v>16981.872317006666</v>
      </c>
      <c r="FP65" s="18">
        <f>IF(FP$1&lt;CapEx!$O$7,0,SUM(Summary!$I$4:$I$5)/(25*12))</f>
        <v>16981.872317006666</v>
      </c>
      <c r="FQ65" s="18">
        <f>IF(FQ$1&lt;CapEx!$O$7,0,SUM(Summary!$I$4:$I$5)/(25*12))</f>
        <v>16981.872317006666</v>
      </c>
      <c r="FR65" s="18">
        <f>IF(FR$1&lt;CapEx!$O$7,0,SUM(Summary!$I$4:$I$5)/(25*12))</f>
        <v>16981.872317006666</v>
      </c>
      <c r="FS65" s="18">
        <f>IF(FS$1&lt;CapEx!$O$7,0,SUM(Summary!$I$4:$I$5)/(25*12))</f>
        <v>16981.872317006666</v>
      </c>
      <c r="FT65" s="18">
        <f>IF(FT$1&lt;CapEx!$O$7,0,SUM(Summary!$I$4:$I$5)/(25*12))</f>
        <v>16981.872317006666</v>
      </c>
      <c r="FU65" s="18">
        <f>IF(FU$1&lt;CapEx!$O$7,0,SUM(Summary!$I$4:$I$5)/(25*12))</f>
        <v>16981.872317006666</v>
      </c>
      <c r="FV65" s="18">
        <f>IF(FV$1&lt;CapEx!$O$7,0,SUM(Summary!$I$4:$I$5)/(25*12))</f>
        <v>16981.872317006666</v>
      </c>
      <c r="FW65" s="18">
        <f>IF(FW$1&lt;CapEx!$O$7,0,SUM(Summary!$I$4:$I$5)/(25*12))</f>
        <v>16981.872317006666</v>
      </c>
      <c r="FX65" s="18">
        <f>IF(FX$1&lt;CapEx!$O$7,0,SUM(Summary!$I$4:$I$5)/(25*12))</f>
        <v>16981.872317006666</v>
      </c>
      <c r="FY65" s="18">
        <f>IF(FY$1&lt;CapEx!$O$7,0,SUM(Summary!$I$4:$I$5)/(25*12))</f>
        <v>16981.872317006666</v>
      </c>
      <c r="FZ65" s="18">
        <f>IF(FZ$1&lt;CapEx!$O$7,0,SUM(Summary!$I$4:$I$5)/(25*12))</f>
        <v>16981.872317006666</v>
      </c>
      <c r="GA65" s="18">
        <f>IF(GA$1&lt;CapEx!$O$7,0,SUM(Summary!$I$4:$I$5)/(25*12))</f>
        <v>16981.872317006666</v>
      </c>
      <c r="GB65" s="18">
        <f>IF(GB$1&lt;CapEx!$O$7,0,SUM(Summary!$I$4:$I$5)/(25*12))</f>
        <v>16981.872317006666</v>
      </c>
      <c r="GC65" s="18">
        <f>IF(GC$1&lt;CapEx!$O$7,0,SUM(Summary!$I$4:$I$5)/(25*12))</f>
        <v>16981.872317006666</v>
      </c>
      <c r="GD65" s="18">
        <f>IF(GD$1&lt;CapEx!$O$7,0,SUM(Summary!$I$4:$I$5)/(25*12))</f>
        <v>16981.872317006666</v>
      </c>
      <c r="GE65" s="18">
        <f>IF(GE$1&lt;CapEx!$O$7,0,SUM(Summary!$I$4:$I$5)/(25*12))</f>
        <v>16981.872317006666</v>
      </c>
      <c r="GF65" s="18">
        <f>IF(GF$1&lt;CapEx!$O$7,0,SUM(Summary!$I$4:$I$5)/(25*12))</f>
        <v>16981.872317006666</v>
      </c>
      <c r="GG65" s="18">
        <f>IF(GG$1&lt;CapEx!$O$7,0,SUM(Summary!$I$4:$I$5)/(25*12))</f>
        <v>16981.872317006666</v>
      </c>
      <c r="GH65" s="18">
        <f>IF(GH$1&lt;CapEx!$O$7,0,SUM(Summary!$I$4:$I$5)/(25*12))</f>
        <v>16981.872317006666</v>
      </c>
      <c r="GI65" s="18">
        <f>IF(GI$1&lt;CapEx!$O$7,0,SUM(Summary!$I$4:$I$5)/(25*12))</f>
        <v>16981.872317006666</v>
      </c>
      <c r="GJ65" s="18">
        <f>IF(GJ$1&lt;CapEx!$O$7,0,SUM(Summary!$I$4:$I$5)/(25*12))</f>
        <v>16981.872317006666</v>
      </c>
      <c r="GK65" s="18">
        <f>IF(GK$1&lt;CapEx!$O$7,0,SUM(Summary!$I$4:$I$5)/(25*12))</f>
        <v>16981.872317006666</v>
      </c>
      <c r="GL65" s="18">
        <f>IF(GL$1&lt;CapEx!$O$7,0,SUM(Summary!$I$4:$I$5)/(25*12))</f>
        <v>16981.872317006666</v>
      </c>
      <c r="GM65" s="18">
        <f>IF(GM$1&lt;CapEx!$O$7,0,SUM(Summary!$I$4:$I$5)/(25*12))</f>
        <v>16981.872317006666</v>
      </c>
      <c r="GN65" s="18">
        <f>IF(GN$1&lt;CapEx!$O$7,0,SUM(Summary!$I$4:$I$5)/(25*12))</f>
        <v>16981.872317006666</v>
      </c>
      <c r="GO65" s="18">
        <f>IF(GO$1&lt;CapEx!$O$7,0,SUM(Summary!$I$4:$I$5)/(25*12))</f>
        <v>16981.872317006666</v>
      </c>
      <c r="GP65" s="18">
        <f>IF(GP$1&lt;CapEx!$O$7,0,SUM(Summary!$I$4:$I$5)/(25*12))</f>
        <v>16981.872317006666</v>
      </c>
      <c r="GQ65" s="18">
        <f>IF(GQ$1&lt;CapEx!$O$7,0,SUM(Summary!$I$4:$I$5)/(25*12))</f>
        <v>16981.872317006666</v>
      </c>
      <c r="GR65" s="18">
        <f>IF(GR$1&lt;CapEx!$O$7,0,SUM(Summary!$I$4:$I$5)/(25*12))</f>
        <v>16981.872317006666</v>
      </c>
      <c r="GS65" s="18">
        <f>IF(GS$1&lt;CapEx!$O$7,0,SUM(Summary!$I$4:$I$5)/(25*12))</f>
        <v>16981.872317006666</v>
      </c>
      <c r="GT65" s="18">
        <f>IF(GT$1&lt;CapEx!$O$7,0,SUM(Summary!$I$4:$I$5)/(25*12))</f>
        <v>16981.872317006666</v>
      </c>
      <c r="GU65" s="18">
        <f>IF(GU$1&lt;CapEx!$O$7,0,SUM(Summary!$I$4:$I$5)/(25*12))</f>
        <v>16981.872317006666</v>
      </c>
      <c r="GV65" s="18">
        <f>IF(GV$1&lt;CapEx!$O$7,0,SUM(Summary!$I$4:$I$5)/(25*12))</f>
        <v>16981.872317006666</v>
      </c>
      <c r="GW65" s="18">
        <f>IF(GW$1&lt;CapEx!$O$7,0,SUM(Summary!$I$4:$I$5)/(25*12))</f>
        <v>16981.872317006666</v>
      </c>
      <c r="GX65" s="18">
        <f>IF(GX$1&lt;CapEx!$O$7,0,SUM(Summary!$I$4:$I$5)/(25*12))</f>
        <v>16981.872317006666</v>
      </c>
      <c r="GY65" s="18">
        <f>IF(GY$1&lt;CapEx!$O$7,0,SUM(Summary!$I$4:$I$5)/(25*12))</f>
        <v>16981.872317006666</v>
      </c>
      <c r="GZ65" s="18">
        <f>IF(GZ$1&lt;CapEx!$O$7,0,SUM(Summary!$I$4:$I$5)/(25*12))</f>
        <v>16981.872317006666</v>
      </c>
      <c r="HA65" s="18">
        <f>IF(HA$1&lt;CapEx!$O$7,0,SUM(Summary!$I$4:$I$5)/(25*12))</f>
        <v>16981.872317006666</v>
      </c>
      <c r="HB65" s="18">
        <f>IF(HB$1&lt;CapEx!$O$7,0,SUM(Summary!$I$4:$I$5)/(25*12))</f>
        <v>16981.872317006666</v>
      </c>
      <c r="HC65" s="18">
        <f>IF(HC$1&lt;CapEx!$O$7,0,SUM(Summary!$I$4:$I$5)/(25*12))</f>
        <v>16981.872317006666</v>
      </c>
      <c r="HD65" s="18">
        <f>IF(HD$1&lt;CapEx!$O$7,0,SUM(Summary!$I$4:$I$5)/(25*12))</f>
        <v>16981.872317006666</v>
      </c>
      <c r="HE65" s="18">
        <f>IF(HE$1&lt;CapEx!$O$7,0,SUM(Summary!$I$4:$I$5)/(25*12))</f>
        <v>16981.872317006666</v>
      </c>
      <c r="HF65" s="18">
        <f>IF(HF$1&lt;CapEx!$O$7,0,SUM(Summary!$I$4:$I$5)/(25*12))</f>
        <v>16981.872317006666</v>
      </c>
      <c r="HG65" s="18">
        <f>IF(HG$1&lt;CapEx!$O$7,0,SUM(Summary!$I$4:$I$5)/(25*12))</f>
        <v>16981.872317006666</v>
      </c>
      <c r="HH65" s="18">
        <f>IF(HH$1&lt;CapEx!$O$7,0,SUM(Summary!$I$4:$I$5)/(25*12))</f>
        <v>16981.872317006666</v>
      </c>
      <c r="HI65" s="18">
        <f>IF(HI$1&lt;CapEx!$O$7,0,SUM(Summary!$I$4:$I$5)/(25*12))</f>
        <v>16981.872317006666</v>
      </c>
      <c r="HJ65" s="18">
        <f>IF(HJ$1&lt;CapEx!$O$7,0,SUM(Summary!$I$4:$I$5)/(25*12))</f>
        <v>16981.872317006666</v>
      </c>
      <c r="HK65" s="18">
        <f>IF(HK$1&lt;CapEx!$O$7,0,SUM(Summary!$I$4:$I$5)/(25*12))</f>
        <v>16981.872317006666</v>
      </c>
      <c r="HL65" s="18">
        <f>IF(HL$1&lt;CapEx!$O$7,0,SUM(Summary!$I$4:$I$5)/(25*12))</f>
        <v>16981.872317006666</v>
      </c>
      <c r="HM65" s="18">
        <f>IF(HM$1&lt;CapEx!$O$7,0,SUM(Summary!$I$4:$I$5)/(25*12))</f>
        <v>16981.872317006666</v>
      </c>
      <c r="HN65" s="18">
        <f>IF(HN$1&lt;CapEx!$O$7,0,SUM(Summary!$I$4:$I$5)/(25*12))</f>
        <v>16981.872317006666</v>
      </c>
      <c r="HO65" s="18">
        <f>IF(HO$1&lt;CapEx!$O$7,0,SUM(Summary!$I$4:$I$5)/(25*12))</f>
        <v>16981.872317006666</v>
      </c>
      <c r="HP65" s="18">
        <f>IF(HP$1&lt;CapEx!$O$7,0,SUM(Summary!$I$4:$I$5)/(25*12))</f>
        <v>16981.872317006666</v>
      </c>
      <c r="HQ65" s="18">
        <f>IF(HQ$1&lt;CapEx!$O$7,0,SUM(Summary!$I$4:$I$5)/(25*12))</f>
        <v>16981.872317006666</v>
      </c>
      <c r="HR65" s="18">
        <f>IF(HR$1&lt;CapEx!$O$7,0,SUM(Summary!$I$4:$I$5)/(25*12))</f>
        <v>16981.872317006666</v>
      </c>
      <c r="HS65" s="18">
        <f>IF(HS$1&lt;CapEx!$O$7,0,SUM(Summary!$I$4:$I$5)/(25*12))</f>
        <v>16981.872317006666</v>
      </c>
      <c r="HT65" s="18">
        <f>IF(HT$1&lt;CapEx!$O$7,0,SUM(Summary!$I$4:$I$5)/(25*12))</f>
        <v>16981.872317006666</v>
      </c>
      <c r="HU65" s="18">
        <f>IF(HU$1&lt;CapEx!$O$7,0,SUM(Summary!$I$4:$I$5)/(25*12))</f>
        <v>16981.872317006666</v>
      </c>
      <c r="HV65" s="18">
        <f>IF(HV$1&lt;CapEx!$O$7,0,SUM(Summary!$I$4:$I$5)/(25*12))</f>
        <v>16981.872317006666</v>
      </c>
      <c r="HW65" s="18">
        <f>IF(HW$1&lt;CapEx!$O$7,0,SUM(Summary!$I$4:$I$5)/(25*12))</f>
        <v>16981.872317006666</v>
      </c>
      <c r="HX65" s="18">
        <f>IF(HX$1&lt;CapEx!$O$7,0,SUM(Summary!$I$4:$I$5)/(25*12))</f>
        <v>16981.872317006666</v>
      </c>
      <c r="HY65" s="18">
        <f>IF(HY$1&lt;CapEx!$O$7,0,SUM(Summary!$I$4:$I$5)/(25*12))</f>
        <v>16981.872317006666</v>
      </c>
      <c r="HZ65" s="18">
        <f>IF(HZ$1&lt;CapEx!$O$7,0,SUM(Summary!$I$4:$I$5)/(25*12))</f>
        <v>16981.872317006666</v>
      </c>
      <c r="IA65" s="18">
        <f>IF(IA$1&lt;CapEx!$O$7,0,SUM(Summary!$I$4:$I$5)/(25*12))</f>
        <v>16981.872317006666</v>
      </c>
      <c r="IB65" s="18">
        <f>IF(IB$1&lt;CapEx!$O$7,0,SUM(Summary!$I$4:$I$5)/(25*12))</f>
        <v>16981.872317006666</v>
      </c>
      <c r="IC65" s="18">
        <f>IF(IC$1&lt;CapEx!$O$7,0,SUM(Summary!$I$4:$I$5)/(25*12))</f>
        <v>16981.872317006666</v>
      </c>
      <c r="ID65" s="18">
        <f>IF(ID$1&lt;CapEx!$O$7,0,SUM(Summary!$I$4:$I$5)/(25*12))</f>
        <v>16981.872317006666</v>
      </c>
      <c r="IE65" s="18">
        <f>IF(IE$1&lt;CapEx!$O$7,0,SUM(Summary!$I$4:$I$5)/(25*12))</f>
        <v>16981.872317006666</v>
      </c>
      <c r="IF65" s="18">
        <f>IF(IF$1&lt;CapEx!$O$7,0,SUM(Summary!$I$4:$I$5)/(25*12))</f>
        <v>16981.872317006666</v>
      </c>
      <c r="IG65" s="18">
        <f>IF(IG$1&lt;CapEx!$O$7,0,SUM(Summary!$I$4:$I$5)/(25*12))</f>
        <v>16981.872317006666</v>
      </c>
      <c r="IH65" s="18">
        <f>IF(IH$1&lt;CapEx!$O$7,0,SUM(Summary!$I$4:$I$5)/(25*12))</f>
        <v>16981.872317006666</v>
      </c>
      <c r="II65" s="18">
        <f>IF(II$1&lt;CapEx!$O$7,0,SUM(Summary!$I$4:$I$5)/(25*12))</f>
        <v>16981.872317006666</v>
      </c>
      <c r="IJ65" s="18">
        <f>IF(IJ$1&lt;CapEx!$O$7,0,SUM(Summary!$I$4:$I$5)/(25*12))</f>
        <v>16981.872317006666</v>
      </c>
      <c r="IK65" s="18">
        <f>IF(IK$1&lt;CapEx!$O$7,0,SUM(Summary!$I$4:$I$5)/(25*12))</f>
        <v>16981.872317006666</v>
      </c>
      <c r="IL65" s="18">
        <f>IF(IL$1&lt;CapEx!$O$7,0,SUM(Summary!$I$4:$I$5)/(25*12))</f>
        <v>16981.872317006666</v>
      </c>
      <c r="IM65" s="18">
        <f>IF(IM$1&lt;CapEx!$O$7,0,SUM(Summary!$I$4:$I$5)/(25*12))</f>
        <v>16981.872317006666</v>
      </c>
      <c r="IN65" s="18">
        <f>IF(IN$1&lt;CapEx!$O$7,0,SUM(Summary!$I$4:$I$5)/(25*12))</f>
        <v>16981.872317006666</v>
      </c>
      <c r="IO65" s="18">
        <f>IF(IO$1&lt;CapEx!$O$7,0,SUM(Summary!$I$4:$I$5)/(25*12))</f>
        <v>16981.872317006666</v>
      </c>
      <c r="IP65" s="18">
        <f>IF(IP$1&lt;CapEx!$O$7,0,SUM(Summary!$I$4:$I$5)/(25*12))</f>
        <v>16981.872317006666</v>
      </c>
      <c r="IQ65" s="18">
        <f>IF(IQ$1&lt;CapEx!$O$7,0,SUM(Summary!$I$4:$I$5)/(25*12))</f>
        <v>16981.872317006666</v>
      </c>
      <c r="IR65" s="18">
        <f>IF(IR$1&lt;CapEx!$O$7,0,SUM(Summary!$I$4:$I$5)/(25*12))</f>
        <v>16981.872317006666</v>
      </c>
      <c r="IS65" s="18">
        <f>IF(IS$1&lt;CapEx!$O$7,0,SUM(Summary!$I$4:$I$5)/(25*12))</f>
        <v>16981.872317006666</v>
      </c>
      <c r="IT65" s="18">
        <f>IF(IT$1&lt;CapEx!$O$7,0,SUM(Summary!$I$4:$I$5)/(25*12))</f>
        <v>16981.872317006666</v>
      </c>
      <c r="IU65" s="18">
        <f>IF(IU$1&lt;CapEx!$O$7,0,SUM(Summary!$I$4:$I$5)/(25*12))</f>
        <v>16981.872317006666</v>
      </c>
      <c r="IV65" s="18">
        <f>IF(IV$1&lt;CapEx!$O$7,0,SUM(Summary!$I$4:$I$5)/(25*12))</f>
        <v>16981.872317006666</v>
      </c>
      <c r="IW65" s="18">
        <f>IF(IW$1&lt;CapEx!$O$7,0,SUM(Summary!$I$4:$I$5)/(25*12))</f>
        <v>16981.872317006666</v>
      </c>
      <c r="IX65" s="18">
        <f>IF(IX$1&lt;CapEx!$O$7,0,SUM(Summary!$I$4:$I$5)/(25*12))</f>
        <v>16981.872317006666</v>
      </c>
      <c r="IY65" s="18">
        <f>IF(IY$1&lt;CapEx!$O$7,0,SUM(Summary!$I$4:$I$5)/(25*12))</f>
        <v>16981.872317006666</v>
      </c>
      <c r="IZ65" s="18">
        <f>IF(IZ$1&lt;CapEx!$O$7,0,SUM(Summary!$I$4:$I$5)/(25*12))</f>
        <v>16981.872317006666</v>
      </c>
      <c r="JA65" s="18">
        <f>IF(JA$1&lt;CapEx!$O$7,0,SUM(Summary!$I$4:$I$5)/(25*12))</f>
        <v>16981.872317006666</v>
      </c>
      <c r="JB65" s="18">
        <f>IF(JB$1&lt;CapEx!$O$7,0,SUM(Summary!$I$4:$I$5)/(25*12))</f>
        <v>16981.872317006666</v>
      </c>
      <c r="JC65" s="18">
        <f>IF(JC$1&lt;CapEx!$O$7,0,SUM(Summary!$I$4:$I$5)/(25*12))</f>
        <v>16981.872317006666</v>
      </c>
      <c r="JD65" s="18">
        <f>IF(JD$1&lt;CapEx!$O$7,0,SUM(Summary!$I$4:$I$5)/(25*12))</f>
        <v>16981.872317006666</v>
      </c>
      <c r="JE65" s="18">
        <f>IF(JE$1&lt;CapEx!$O$7,0,SUM(Summary!$I$4:$I$5)/(25*12))</f>
        <v>16981.872317006666</v>
      </c>
      <c r="JF65" s="18">
        <f>IF(JF$1&lt;CapEx!$O$7,0,SUM(Summary!$I$4:$I$5)/(25*12))</f>
        <v>16981.872317006666</v>
      </c>
      <c r="JG65" s="18">
        <f>IF(JG$1&lt;CapEx!$O$7,0,SUM(Summary!$I$4:$I$5)/(25*12))</f>
        <v>16981.872317006666</v>
      </c>
      <c r="JH65" s="18">
        <f>IF(JH$1&lt;CapEx!$O$7,0,SUM(Summary!$I$4:$I$5)/(25*12))</f>
        <v>16981.872317006666</v>
      </c>
      <c r="JI65" s="18">
        <f>IF(JI$1&lt;CapEx!$O$7,0,SUM(Summary!$I$4:$I$5)/(25*12))</f>
        <v>16981.872317006666</v>
      </c>
      <c r="JJ65" s="18">
        <f>IF(JJ$1&lt;CapEx!$O$7,0,SUM(Summary!$I$4:$I$5)/(25*12))</f>
        <v>16981.872317006666</v>
      </c>
      <c r="JK65" s="18">
        <f>IF(JK$1&lt;CapEx!$O$7,0,SUM(Summary!$I$4:$I$5)/(25*12))</f>
        <v>16981.872317006666</v>
      </c>
      <c r="JL65" s="18">
        <f>IF(JL$1&lt;CapEx!$O$7,0,SUM(Summary!$I$4:$I$5)/(25*12))</f>
        <v>16981.872317006666</v>
      </c>
      <c r="JM65" s="18">
        <f>IF(JM$1&lt;CapEx!$O$7,0,SUM(Summary!$I$4:$I$5)/(25*12))</f>
        <v>16981.872317006666</v>
      </c>
      <c r="JN65" s="18">
        <f>IF(JN$1&lt;CapEx!$O$7,0,SUM(Summary!$I$4:$I$5)/(25*12))</f>
        <v>16981.872317006666</v>
      </c>
      <c r="JO65" s="18">
        <f>IF(JO$1&lt;CapEx!$O$7,0,SUM(Summary!$I$4:$I$5)/(25*12))</f>
        <v>16981.872317006666</v>
      </c>
      <c r="JP65" s="18">
        <f>IF(JP$1&lt;CapEx!$O$7,0,SUM(Summary!$I$4:$I$5)/(25*12))</f>
        <v>16981.872317006666</v>
      </c>
      <c r="JQ65" s="18">
        <f>IF(JQ$1&lt;CapEx!$O$7,0,SUM(Summary!$I$4:$I$5)/(25*12))</f>
        <v>16981.872317006666</v>
      </c>
      <c r="JR65" s="18">
        <f>IF(JR$1&lt;CapEx!$O$7,0,SUM(Summary!$I$4:$I$5)/(25*12))</f>
        <v>16981.872317006666</v>
      </c>
    </row>
    <row r="66" spans="2:278" x14ac:dyDescent="0.2">
      <c r="B66" s="53" t="s">
        <v>152</v>
      </c>
      <c r="C66" s="95">
        <f>SUM(C63:C65)</f>
        <v>0</v>
      </c>
      <c r="D66" s="95">
        <f t="shared" ref="D66:BO66" si="528">SUM(D63:D65)</f>
        <v>0</v>
      </c>
      <c r="E66" s="95">
        <f t="shared" si="528"/>
        <v>0</v>
      </c>
      <c r="F66" s="95">
        <f t="shared" si="528"/>
        <v>0</v>
      </c>
      <c r="G66" s="95">
        <f t="shared" si="528"/>
        <v>0</v>
      </c>
      <c r="H66" s="95">
        <f t="shared" si="528"/>
        <v>0</v>
      </c>
      <c r="I66" s="95">
        <f t="shared" si="528"/>
        <v>0</v>
      </c>
      <c r="J66" s="95">
        <f t="shared" si="528"/>
        <v>0</v>
      </c>
      <c r="K66" s="95">
        <f t="shared" si="528"/>
        <v>0</v>
      </c>
      <c r="L66" s="95">
        <f t="shared" si="528"/>
        <v>0</v>
      </c>
      <c r="M66" s="95">
        <f t="shared" si="528"/>
        <v>0</v>
      </c>
      <c r="N66" s="95">
        <f t="shared" si="528"/>
        <v>0</v>
      </c>
      <c r="O66" s="95">
        <f t="shared" si="528"/>
        <v>0</v>
      </c>
      <c r="P66" s="95">
        <f t="shared" si="528"/>
        <v>0</v>
      </c>
      <c r="Q66" s="95">
        <f t="shared" si="528"/>
        <v>0</v>
      </c>
      <c r="R66" s="95">
        <f t="shared" si="528"/>
        <v>3236259.6672695559</v>
      </c>
      <c r="S66" s="95">
        <f t="shared" si="528"/>
        <v>3236259.6672695559</v>
      </c>
      <c r="T66" s="95">
        <f t="shared" si="528"/>
        <v>3236259.6672695559</v>
      </c>
      <c r="U66" s="95">
        <f t="shared" si="528"/>
        <v>3236259.6672695559</v>
      </c>
      <c r="V66" s="95">
        <f t="shared" si="528"/>
        <v>3236259.6672695559</v>
      </c>
      <c r="W66" s="95">
        <f t="shared" si="528"/>
        <v>3236259.6672695559</v>
      </c>
      <c r="X66" s="95">
        <f t="shared" si="528"/>
        <v>3236259.6672695559</v>
      </c>
      <c r="Y66" s="95">
        <f t="shared" si="528"/>
        <v>3236259.6672695559</v>
      </c>
      <c r="Z66" s="95">
        <f t="shared" si="528"/>
        <v>3236259.6672695559</v>
      </c>
      <c r="AA66" s="95">
        <f t="shared" si="528"/>
        <v>3049459.0717824828</v>
      </c>
      <c r="AB66" s="95">
        <f t="shared" si="528"/>
        <v>3049459.0717824828</v>
      </c>
      <c r="AC66" s="95">
        <f t="shared" si="528"/>
        <v>3049459.0717824828</v>
      </c>
      <c r="AD66" s="95">
        <f t="shared" si="528"/>
        <v>3049459.0717824828</v>
      </c>
      <c r="AE66" s="95">
        <f t="shared" si="528"/>
        <v>3049459.0717824828</v>
      </c>
      <c r="AF66" s="95">
        <f t="shared" si="528"/>
        <v>3049459.0717824828</v>
      </c>
      <c r="AG66" s="95">
        <f t="shared" si="528"/>
        <v>3049459.0717824828</v>
      </c>
      <c r="AH66" s="95">
        <f t="shared" si="528"/>
        <v>3049459.0717824828</v>
      </c>
      <c r="AI66" s="95">
        <f t="shared" si="528"/>
        <v>3049459.0717824828</v>
      </c>
      <c r="AJ66" s="95">
        <f t="shared" si="528"/>
        <v>3049459.0717824828</v>
      </c>
      <c r="AK66" s="95">
        <f t="shared" si="528"/>
        <v>3049459.0717824828</v>
      </c>
      <c r="AL66" s="95">
        <f t="shared" si="528"/>
        <v>3049459.0717824828</v>
      </c>
      <c r="AM66" s="95">
        <f t="shared" si="528"/>
        <v>3049459.0717824828</v>
      </c>
      <c r="AN66" s="95">
        <f t="shared" si="528"/>
        <v>3049459.0717824828</v>
      </c>
      <c r="AO66" s="95">
        <f t="shared" si="528"/>
        <v>3049459.0717824828</v>
      </c>
      <c r="AP66" s="95">
        <f t="shared" si="528"/>
        <v>3049459.0717824828</v>
      </c>
      <c r="AQ66" s="95">
        <f t="shared" si="528"/>
        <v>3049459.0717824828</v>
      </c>
      <c r="AR66" s="95">
        <f t="shared" si="528"/>
        <v>3049459.0717824828</v>
      </c>
      <c r="AS66" s="95">
        <f t="shared" si="528"/>
        <v>3049459.0717824828</v>
      </c>
      <c r="AT66" s="95">
        <f t="shared" si="528"/>
        <v>3049459.0717824828</v>
      </c>
      <c r="AU66" s="95">
        <f t="shared" si="528"/>
        <v>3049459.0717824828</v>
      </c>
      <c r="AV66" s="95">
        <f t="shared" si="528"/>
        <v>3049459.0717824828</v>
      </c>
      <c r="AW66" s="95">
        <f t="shared" si="528"/>
        <v>3049459.0717824828</v>
      </c>
      <c r="AX66" s="95">
        <f t="shared" si="528"/>
        <v>3049459.0717824828</v>
      </c>
      <c r="AY66" s="95">
        <f t="shared" si="528"/>
        <v>3049459.0717824828</v>
      </c>
      <c r="AZ66" s="95">
        <f t="shared" si="528"/>
        <v>3049459.0717824828</v>
      </c>
      <c r="BA66" s="95">
        <f t="shared" si="528"/>
        <v>3049459.0717824828</v>
      </c>
      <c r="BB66" s="95">
        <f t="shared" si="528"/>
        <v>3049459.0717824828</v>
      </c>
      <c r="BC66" s="95">
        <f t="shared" si="528"/>
        <v>3049459.0717824828</v>
      </c>
      <c r="BD66" s="95">
        <f t="shared" si="528"/>
        <v>3049459.0717824828</v>
      </c>
      <c r="BE66" s="95">
        <f t="shared" si="528"/>
        <v>3049459.0717824828</v>
      </c>
      <c r="BF66" s="95">
        <f t="shared" si="528"/>
        <v>3049459.0717824828</v>
      </c>
      <c r="BG66" s="95">
        <f t="shared" si="528"/>
        <v>3049459.0717824828</v>
      </c>
      <c r="BH66" s="95">
        <f t="shared" si="528"/>
        <v>3049459.0717824828</v>
      </c>
      <c r="BI66" s="95">
        <f t="shared" si="528"/>
        <v>3049459.0717824828</v>
      </c>
      <c r="BJ66" s="95">
        <f t="shared" si="528"/>
        <v>3049459.0717824828</v>
      </c>
      <c r="BK66" s="95">
        <f t="shared" si="528"/>
        <v>3049459.0717824828</v>
      </c>
      <c r="BL66" s="95">
        <f t="shared" si="528"/>
        <v>3049459.0717824828</v>
      </c>
      <c r="BM66" s="95">
        <f t="shared" si="528"/>
        <v>3049459.0717824828</v>
      </c>
      <c r="BN66" s="95">
        <f t="shared" si="528"/>
        <v>3049459.0717824828</v>
      </c>
      <c r="BO66" s="95">
        <f t="shared" si="528"/>
        <v>3049459.0717824828</v>
      </c>
      <c r="BP66" s="95">
        <f t="shared" ref="BP66:EA66" si="529">SUM(BP63:BP65)</f>
        <v>3049459.0717824828</v>
      </c>
      <c r="BQ66" s="95">
        <f t="shared" si="529"/>
        <v>3049459.0717824828</v>
      </c>
      <c r="BR66" s="95">
        <f t="shared" si="529"/>
        <v>3049459.0717824828</v>
      </c>
      <c r="BS66" s="95">
        <f t="shared" si="529"/>
        <v>3049459.0717824828</v>
      </c>
      <c r="BT66" s="95">
        <f t="shared" si="529"/>
        <v>3049459.0717824828</v>
      </c>
      <c r="BU66" s="95">
        <f t="shared" si="529"/>
        <v>3049459.0717824828</v>
      </c>
      <c r="BV66" s="95">
        <f t="shared" si="529"/>
        <v>3049459.0717824828</v>
      </c>
      <c r="BW66" s="95">
        <f t="shared" si="529"/>
        <v>3049459.0717824828</v>
      </c>
      <c r="BX66" s="95">
        <f t="shared" si="529"/>
        <v>3049459.0717824828</v>
      </c>
      <c r="BY66" s="95">
        <f t="shared" si="529"/>
        <v>3049459.0717824828</v>
      </c>
      <c r="BZ66" s="95">
        <f t="shared" si="529"/>
        <v>3049459.0717824828</v>
      </c>
      <c r="CA66" s="95">
        <f t="shared" si="529"/>
        <v>3049459.0717824828</v>
      </c>
      <c r="CB66" s="95">
        <f t="shared" si="529"/>
        <v>3049459.0717824828</v>
      </c>
      <c r="CC66" s="95">
        <f t="shared" si="529"/>
        <v>3049459.0717824828</v>
      </c>
      <c r="CD66" s="95">
        <f t="shared" si="529"/>
        <v>3049459.0717824828</v>
      </c>
      <c r="CE66" s="95">
        <f t="shared" si="529"/>
        <v>3049459.0717824828</v>
      </c>
      <c r="CF66" s="95">
        <f t="shared" si="529"/>
        <v>3049459.0717824828</v>
      </c>
      <c r="CG66" s="95">
        <f t="shared" si="529"/>
        <v>3049459.0717824828</v>
      </c>
      <c r="CH66" s="95">
        <f t="shared" si="529"/>
        <v>3049459.0717824828</v>
      </c>
      <c r="CI66" s="95">
        <f t="shared" si="529"/>
        <v>3061363.8336872449</v>
      </c>
      <c r="CJ66" s="95">
        <f t="shared" si="529"/>
        <v>3061363.8336872449</v>
      </c>
      <c r="CK66" s="95">
        <f t="shared" si="529"/>
        <v>3061363.8336872449</v>
      </c>
      <c r="CL66" s="95">
        <f t="shared" si="529"/>
        <v>3061363.8336872449</v>
      </c>
      <c r="CM66" s="95">
        <f t="shared" si="529"/>
        <v>3061363.8336872449</v>
      </c>
      <c r="CN66" s="95">
        <f t="shared" si="529"/>
        <v>3061363.8336872449</v>
      </c>
      <c r="CO66" s="95">
        <f t="shared" si="529"/>
        <v>3061363.8336872449</v>
      </c>
      <c r="CP66" s="95">
        <f t="shared" si="529"/>
        <v>3061363.8336872449</v>
      </c>
      <c r="CQ66" s="95">
        <f t="shared" si="529"/>
        <v>3061363.8336872449</v>
      </c>
      <c r="CR66" s="95">
        <f t="shared" si="529"/>
        <v>3061363.8336872449</v>
      </c>
      <c r="CS66" s="95">
        <f t="shared" si="529"/>
        <v>3061363.8336872449</v>
      </c>
      <c r="CT66" s="95">
        <f t="shared" si="529"/>
        <v>3061363.8336872449</v>
      </c>
      <c r="CU66" s="95">
        <f t="shared" si="529"/>
        <v>3073268.5955920066</v>
      </c>
      <c r="CV66" s="95">
        <f t="shared" si="529"/>
        <v>3073268.5955920066</v>
      </c>
      <c r="CW66" s="95">
        <f t="shared" si="529"/>
        <v>3073268.5955920066</v>
      </c>
      <c r="CX66" s="95">
        <f t="shared" si="529"/>
        <v>40791.396126530482</v>
      </c>
      <c r="CY66" s="95">
        <f t="shared" si="529"/>
        <v>40791.396126530482</v>
      </c>
      <c r="CZ66" s="95">
        <f t="shared" si="529"/>
        <v>40791.396126530482</v>
      </c>
      <c r="DA66" s="95">
        <f t="shared" si="529"/>
        <v>40791.396126530482</v>
      </c>
      <c r="DB66" s="95">
        <f t="shared" si="529"/>
        <v>40791.396126530482</v>
      </c>
      <c r="DC66" s="95">
        <f t="shared" si="529"/>
        <v>40791.396126530482</v>
      </c>
      <c r="DD66" s="95">
        <f t="shared" si="529"/>
        <v>40791.396126530482</v>
      </c>
      <c r="DE66" s="95">
        <f t="shared" si="529"/>
        <v>40791.396126530482</v>
      </c>
      <c r="DF66" s="95">
        <f t="shared" si="529"/>
        <v>40791.396126530482</v>
      </c>
      <c r="DG66" s="95">
        <f t="shared" si="529"/>
        <v>52696.158031292383</v>
      </c>
      <c r="DH66" s="95">
        <f t="shared" si="529"/>
        <v>52696.158031292383</v>
      </c>
      <c r="DI66" s="95">
        <f t="shared" si="529"/>
        <v>52696.158031292383</v>
      </c>
      <c r="DJ66" s="95">
        <f t="shared" si="529"/>
        <v>52696.158031292383</v>
      </c>
      <c r="DK66" s="95">
        <f t="shared" si="529"/>
        <v>52696.158031292383</v>
      </c>
      <c r="DL66" s="95">
        <f t="shared" si="529"/>
        <v>52696.158031292383</v>
      </c>
      <c r="DM66" s="95">
        <f t="shared" si="529"/>
        <v>52696.158031292383</v>
      </c>
      <c r="DN66" s="95">
        <f t="shared" si="529"/>
        <v>52696.158031292383</v>
      </c>
      <c r="DO66" s="95">
        <f t="shared" si="529"/>
        <v>52696.158031292383</v>
      </c>
      <c r="DP66" s="95">
        <f t="shared" si="529"/>
        <v>52696.158031292383</v>
      </c>
      <c r="DQ66" s="95">
        <f t="shared" si="529"/>
        <v>52696.158031292383</v>
      </c>
      <c r="DR66" s="95">
        <f t="shared" si="529"/>
        <v>52696.158031292383</v>
      </c>
      <c r="DS66" s="95">
        <f t="shared" si="529"/>
        <v>64600.919936054292</v>
      </c>
      <c r="DT66" s="95">
        <f t="shared" si="529"/>
        <v>64600.919936054292</v>
      </c>
      <c r="DU66" s="95">
        <f t="shared" si="529"/>
        <v>64600.919936054292</v>
      </c>
      <c r="DV66" s="95">
        <f t="shared" si="529"/>
        <v>64600.919936054292</v>
      </c>
      <c r="DW66" s="95">
        <f t="shared" si="529"/>
        <v>64600.919936054292</v>
      </c>
      <c r="DX66" s="95">
        <f t="shared" si="529"/>
        <v>64600.919936054292</v>
      </c>
      <c r="DY66" s="95">
        <f t="shared" si="529"/>
        <v>64600.919936054292</v>
      </c>
      <c r="DZ66" s="95">
        <f t="shared" si="529"/>
        <v>64600.919936054292</v>
      </c>
      <c r="EA66" s="95">
        <f t="shared" si="529"/>
        <v>64600.919936054292</v>
      </c>
      <c r="EB66" s="95">
        <f t="shared" ref="EB66:GM66" si="530">SUM(EB63:EB65)</f>
        <v>64600.919936054292</v>
      </c>
      <c r="EC66" s="95">
        <f t="shared" si="530"/>
        <v>64600.919936054292</v>
      </c>
      <c r="ED66" s="95">
        <f t="shared" si="530"/>
        <v>64600.919936054292</v>
      </c>
      <c r="EE66" s="95">
        <f t="shared" si="530"/>
        <v>76505.681840816193</v>
      </c>
      <c r="EF66" s="95">
        <f t="shared" si="530"/>
        <v>76505.681840816193</v>
      </c>
      <c r="EG66" s="95">
        <f t="shared" si="530"/>
        <v>76505.681840816193</v>
      </c>
      <c r="EH66" s="95">
        <f t="shared" si="530"/>
        <v>76505.681840816193</v>
      </c>
      <c r="EI66" s="95">
        <f t="shared" si="530"/>
        <v>76505.681840816193</v>
      </c>
      <c r="EJ66" s="95">
        <f t="shared" si="530"/>
        <v>76505.681840816193</v>
      </c>
      <c r="EK66" s="95">
        <f t="shared" si="530"/>
        <v>76505.681840816193</v>
      </c>
      <c r="EL66" s="95">
        <f t="shared" si="530"/>
        <v>76505.681840816193</v>
      </c>
      <c r="EM66" s="95">
        <f t="shared" si="530"/>
        <v>76505.681840816193</v>
      </c>
      <c r="EN66" s="95">
        <f t="shared" si="530"/>
        <v>76505.681840816193</v>
      </c>
      <c r="EO66" s="95">
        <f t="shared" si="530"/>
        <v>76505.681840816193</v>
      </c>
      <c r="EP66" s="95">
        <f t="shared" si="530"/>
        <v>76505.681840816193</v>
      </c>
      <c r="EQ66" s="95">
        <f t="shared" si="530"/>
        <v>88410.443745578101</v>
      </c>
      <c r="ER66" s="95">
        <f t="shared" si="530"/>
        <v>88410.443745578101</v>
      </c>
      <c r="ES66" s="95">
        <f t="shared" si="530"/>
        <v>88410.443745578101</v>
      </c>
      <c r="ET66" s="95">
        <f t="shared" si="530"/>
        <v>88410.443745578101</v>
      </c>
      <c r="EU66" s="95">
        <f t="shared" si="530"/>
        <v>88410.443745578101</v>
      </c>
      <c r="EV66" s="95">
        <f t="shared" si="530"/>
        <v>88410.443745578101</v>
      </c>
      <c r="EW66" s="95">
        <f t="shared" si="530"/>
        <v>88410.443745578101</v>
      </c>
      <c r="EX66" s="95">
        <f t="shared" si="530"/>
        <v>88410.443745578101</v>
      </c>
      <c r="EY66" s="95">
        <f t="shared" si="530"/>
        <v>88410.443745578101</v>
      </c>
      <c r="EZ66" s="95">
        <f t="shared" si="530"/>
        <v>88410.443745578101</v>
      </c>
      <c r="FA66" s="95">
        <f t="shared" si="530"/>
        <v>88410.443745578101</v>
      </c>
      <c r="FB66" s="95">
        <f t="shared" si="530"/>
        <v>88410.443745578101</v>
      </c>
      <c r="FC66" s="95">
        <f t="shared" si="530"/>
        <v>100315.20565033999</v>
      </c>
      <c r="FD66" s="95">
        <f t="shared" si="530"/>
        <v>100315.20565033999</v>
      </c>
      <c r="FE66" s="95">
        <f t="shared" si="530"/>
        <v>100315.20565033999</v>
      </c>
      <c r="FF66" s="95">
        <f t="shared" si="530"/>
        <v>100315.20565033999</v>
      </c>
      <c r="FG66" s="95">
        <f t="shared" si="530"/>
        <v>100315.20565033999</v>
      </c>
      <c r="FH66" s="95">
        <f t="shared" si="530"/>
        <v>100315.20565033999</v>
      </c>
      <c r="FI66" s="95">
        <f t="shared" si="530"/>
        <v>100315.20565033999</v>
      </c>
      <c r="FJ66" s="95">
        <f t="shared" si="530"/>
        <v>100315.20565033999</v>
      </c>
      <c r="FK66" s="95">
        <f t="shared" si="530"/>
        <v>100315.20565033999</v>
      </c>
      <c r="FL66" s="95">
        <f t="shared" si="530"/>
        <v>100315.20565033999</v>
      </c>
      <c r="FM66" s="95">
        <f t="shared" si="530"/>
        <v>100315.20565033999</v>
      </c>
      <c r="FN66" s="95">
        <f t="shared" si="530"/>
        <v>100315.20565033999</v>
      </c>
      <c r="FO66" s="95">
        <f t="shared" si="530"/>
        <v>100315.20565033999</v>
      </c>
      <c r="FP66" s="95">
        <f t="shared" si="530"/>
        <v>100315.20565033999</v>
      </c>
      <c r="FQ66" s="95">
        <f t="shared" si="530"/>
        <v>100315.20565033999</v>
      </c>
      <c r="FR66" s="95">
        <f t="shared" si="530"/>
        <v>100315.20565033999</v>
      </c>
      <c r="FS66" s="95">
        <f t="shared" si="530"/>
        <v>100315.20565033999</v>
      </c>
      <c r="FT66" s="95">
        <f t="shared" si="530"/>
        <v>100315.20565033999</v>
      </c>
      <c r="FU66" s="95">
        <f t="shared" si="530"/>
        <v>100315.20565033999</v>
      </c>
      <c r="FV66" s="95">
        <f t="shared" si="530"/>
        <v>100315.20565033999</v>
      </c>
      <c r="FW66" s="95">
        <f t="shared" si="530"/>
        <v>100315.20565033999</v>
      </c>
      <c r="FX66" s="95">
        <f t="shared" si="530"/>
        <v>100315.20565033999</v>
      </c>
      <c r="FY66" s="95">
        <f t="shared" si="530"/>
        <v>100315.20565033999</v>
      </c>
      <c r="FZ66" s="95">
        <f t="shared" si="530"/>
        <v>100315.20565033999</v>
      </c>
      <c r="GA66" s="95">
        <f t="shared" si="530"/>
        <v>100315.20565033999</v>
      </c>
      <c r="GB66" s="95">
        <f t="shared" si="530"/>
        <v>100315.20565033999</v>
      </c>
      <c r="GC66" s="95">
        <f t="shared" si="530"/>
        <v>100315.20565033999</v>
      </c>
      <c r="GD66" s="95">
        <f t="shared" si="530"/>
        <v>100315.20565033999</v>
      </c>
      <c r="GE66" s="95">
        <f t="shared" si="530"/>
        <v>100315.20565033999</v>
      </c>
      <c r="GF66" s="95">
        <f t="shared" si="530"/>
        <v>100315.20565033999</v>
      </c>
      <c r="GG66" s="95">
        <f t="shared" si="530"/>
        <v>100315.20565033999</v>
      </c>
      <c r="GH66" s="95">
        <f t="shared" si="530"/>
        <v>100315.20565033999</v>
      </c>
      <c r="GI66" s="95">
        <f t="shared" si="530"/>
        <v>100315.20565033999</v>
      </c>
      <c r="GJ66" s="95">
        <f t="shared" si="530"/>
        <v>100315.20565033999</v>
      </c>
      <c r="GK66" s="95">
        <f t="shared" si="530"/>
        <v>100315.20565033999</v>
      </c>
      <c r="GL66" s="95">
        <f t="shared" si="530"/>
        <v>100315.20565033999</v>
      </c>
      <c r="GM66" s="95">
        <f t="shared" si="530"/>
        <v>100315.20565033999</v>
      </c>
      <c r="GN66" s="95">
        <f t="shared" ref="GN66:IY66" si="531">SUM(GN63:GN65)</f>
        <v>100315.20565033999</v>
      </c>
      <c r="GO66" s="95">
        <f t="shared" si="531"/>
        <v>100315.20565033999</v>
      </c>
      <c r="GP66" s="95">
        <f t="shared" si="531"/>
        <v>100315.20565033999</v>
      </c>
      <c r="GQ66" s="95">
        <f t="shared" si="531"/>
        <v>100315.20565033999</v>
      </c>
      <c r="GR66" s="95">
        <f t="shared" si="531"/>
        <v>100315.20565033999</v>
      </c>
      <c r="GS66" s="95">
        <f t="shared" si="531"/>
        <v>100315.20565033999</v>
      </c>
      <c r="GT66" s="95">
        <f t="shared" si="531"/>
        <v>100315.20565033999</v>
      </c>
      <c r="GU66" s="95">
        <f t="shared" si="531"/>
        <v>100315.20565033999</v>
      </c>
      <c r="GV66" s="95">
        <f t="shared" si="531"/>
        <v>100315.20565033999</v>
      </c>
      <c r="GW66" s="95">
        <f t="shared" si="531"/>
        <v>100315.20565033999</v>
      </c>
      <c r="GX66" s="95">
        <f t="shared" si="531"/>
        <v>100315.20565033999</v>
      </c>
      <c r="GY66" s="95">
        <f t="shared" si="531"/>
        <v>100315.20565033999</v>
      </c>
      <c r="GZ66" s="95">
        <f t="shared" si="531"/>
        <v>100315.20565033999</v>
      </c>
      <c r="HA66" s="95">
        <f t="shared" si="531"/>
        <v>100315.20565033999</v>
      </c>
      <c r="HB66" s="95">
        <f t="shared" si="531"/>
        <v>100315.20565033999</v>
      </c>
      <c r="HC66" s="95">
        <f t="shared" si="531"/>
        <v>100315.20565033999</v>
      </c>
      <c r="HD66" s="95">
        <f t="shared" si="531"/>
        <v>100315.20565033999</v>
      </c>
      <c r="HE66" s="95">
        <f t="shared" si="531"/>
        <v>100315.20565033999</v>
      </c>
      <c r="HF66" s="95">
        <f t="shared" si="531"/>
        <v>100315.20565033999</v>
      </c>
      <c r="HG66" s="95">
        <f t="shared" si="531"/>
        <v>100315.20565033999</v>
      </c>
      <c r="HH66" s="95">
        <f t="shared" si="531"/>
        <v>100315.20565033999</v>
      </c>
      <c r="HI66" s="95">
        <f t="shared" si="531"/>
        <v>100315.20565033999</v>
      </c>
      <c r="HJ66" s="95">
        <f t="shared" si="531"/>
        <v>100315.20565033999</v>
      </c>
      <c r="HK66" s="95">
        <f t="shared" si="531"/>
        <v>100315.20565033999</v>
      </c>
      <c r="HL66" s="95">
        <f t="shared" si="531"/>
        <v>100315.20565033999</v>
      </c>
      <c r="HM66" s="95">
        <f t="shared" si="531"/>
        <v>100315.20565033999</v>
      </c>
      <c r="HN66" s="95">
        <f t="shared" si="531"/>
        <v>100315.20565033999</v>
      </c>
      <c r="HO66" s="95">
        <f t="shared" si="531"/>
        <v>100315.20565033999</v>
      </c>
      <c r="HP66" s="95">
        <f t="shared" si="531"/>
        <v>100315.20565033999</v>
      </c>
      <c r="HQ66" s="95">
        <f t="shared" si="531"/>
        <v>100315.20565033999</v>
      </c>
      <c r="HR66" s="95">
        <f t="shared" si="531"/>
        <v>100315.20565033999</v>
      </c>
      <c r="HS66" s="95">
        <f t="shared" si="531"/>
        <v>100315.20565033999</v>
      </c>
      <c r="HT66" s="95">
        <f t="shared" si="531"/>
        <v>100315.20565033999</v>
      </c>
      <c r="HU66" s="95">
        <f t="shared" si="531"/>
        <v>100315.20565033999</v>
      </c>
      <c r="HV66" s="95">
        <f t="shared" si="531"/>
        <v>100315.20565033999</v>
      </c>
      <c r="HW66" s="95">
        <f t="shared" si="531"/>
        <v>100315.20565033999</v>
      </c>
      <c r="HX66" s="95">
        <f t="shared" si="531"/>
        <v>100315.20565033999</v>
      </c>
      <c r="HY66" s="95">
        <f t="shared" si="531"/>
        <v>100315.20565033999</v>
      </c>
      <c r="HZ66" s="95">
        <f t="shared" si="531"/>
        <v>100315.20565033999</v>
      </c>
      <c r="IA66" s="95">
        <f t="shared" si="531"/>
        <v>100315.20565033999</v>
      </c>
      <c r="IB66" s="95">
        <f t="shared" si="531"/>
        <v>100315.20565033999</v>
      </c>
      <c r="IC66" s="95">
        <f t="shared" si="531"/>
        <v>100315.20565033999</v>
      </c>
      <c r="ID66" s="95">
        <f t="shared" si="531"/>
        <v>100315.20565033999</v>
      </c>
      <c r="IE66" s="95">
        <f t="shared" si="531"/>
        <v>100315.20565033999</v>
      </c>
      <c r="IF66" s="95">
        <f t="shared" si="531"/>
        <v>100315.20565033999</v>
      </c>
      <c r="IG66" s="95">
        <f t="shared" si="531"/>
        <v>100315.20565033999</v>
      </c>
      <c r="IH66" s="95">
        <f t="shared" si="531"/>
        <v>100315.20565033999</v>
      </c>
      <c r="II66" s="95">
        <f t="shared" si="531"/>
        <v>100315.20565033999</v>
      </c>
      <c r="IJ66" s="95">
        <f t="shared" si="531"/>
        <v>100315.20565033999</v>
      </c>
      <c r="IK66" s="95">
        <f t="shared" si="531"/>
        <v>100315.20565033999</v>
      </c>
      <c r="IL66" s="95">
        <f t="shared" si="531"/>
        <v>100315.20565033999</v>
      </c>
      <c r="IM66" s="95">
        <f t="shared" si="531"/>
        <v>100315.20565033999</v>
      </c>
      <c r="IN66" s="95">
        <f t="shared" si="531"/>
        <v>100315.20565033999</v>
      </c>
      <c r="IO66" s="95">
        <f t="shared" si="531"/>
        <v>100315.20565033999</v>
      </c>
      <c r="IP66" s="95">
        <f t="shared" si="531"/>
        <v>100315.20565033999</v>
      </c>
      <c r="IQ66" s="95">
        <f t="shared" si="531"/>
        <v>100315.20565033999</v>
      </c>
      <c r="IR66" s="95">
        <f t="shared" si="531"/>
        <v>100315.20565033999</v>
      </c>
      <c r="IS66" s="95">
        <f t="shared" si="531"/>
        <v>100315.20565033999</v>
      </c>
      <c r="IT66" s="95">
        <f t="shared" si="531"/>
        <v>100315.20565033999</v>
      </c>
      <c r="IU66" s="95">
        <f t="shared" si="531"/>
        <v>100315.20565033999</v>
      </c>
      <c r="IV66" s="95">
        <f t="shared" si="531"/>
        <v>100315.20565033999</v>
      </c>
      <c r="IW66" s="95">
        <f t="shared" si="531"/>
        <v>100315.20565033999</v>
      </c>
      <c r="IX66" s="95">
        <f t="shared" si="531"/>
        <v>100315.20565033999</v>
      </c>
      <c r="IY66" s="95">
        <f t="shared" si="531"/>
        <v>100315.20565033999</v>
      </c>
      <c r="IZ66" s="95">
        <f t="shared" ref="IZ66:JR66" si="532">SUM(IZ63:IZ65)</f>
        <v>100315.20565033999</v>
      </c>
      <c r="JA66" s="95">
        <f t="shared" si="532"/>
        <v>100315.20565033999</v>
      </c>
      <c r="JB66" s="95">
        <f t="shared" si="532"/>
        <v>100315.20565033999</v>
      </c>
      <c r="JC66" s="95">
        <f t="shared" si="532"/>
        <v>100315.20565033999</v>
      </c>
      <c r="JD66" s="95">
        <f t="shared" si="532"/>
        <v>100315.20565033999</v>
      </c>
      <c r="JE66" s="95">
        <f t="shared" si="532"/>
        <v>100315.20565033999</v>
      </c>
      <c r="JF66" s="95">
        <f t="shared" si="532"/>
        <v>100315.20565033999</v>
      </c>
      <c r="JG66" s="95">
        <f t="shared" si="532"/>
        <v>100315.20565033999</v>
      </c>
      <c r="JH66" s="95">
        <f t="shared" si="532"/>
        <v>100315.20565033999</v>
      </c>
      <c r="JI66" s="95">
        <f t="shared" si="532"/>
        <v>100315.20565033999</v>
      </c>
      <c r="JJ66" s="95">
        <f t="shared" si="532"/>
        <v>100315.20565033999</v>
      </c>
      <c r="JK66" s="95">
        <f t="shared" si="532"/>
        <v>100315.20565033999</v>
      </c>
      <c r="JL66" s="95">
        <f t="shared" si="532"/>
        <v>100315.20565033999</v>
      </c>
      <c r="JM66" s="95">
        <f t="shared" si="532"/>
        <v>100315.20565033999</v>
      </c>
      <c r="JN66" s="95">
        <f t="shared" si="532"/>
        <v>100315.20565033999</v>
      </c>
      <c r="JO66" s="95">
        <f t="shared" si="532"/>
        <v>100315.20565033999</v>
      </c>
      <c r="JP66" s="95">
        <f t="shared" si="532"/>
        <v>100315.20565033999</v>
      </c>
      <c r="JQ66" s="95">
        <f t="shared" si="532"/>
        <v>100315.20565033999</v>
      </c>
      <c r="JR66" s="95">
        <f t="shared" si="532"/>
        <v>100315.20565033999</v>
      </c>
    </row>
    <row r="67" spans="2:278" x14ac:dyDescent="0.2">
      <c r="I67" s="20"/>
      <c r="U67" s="20"/>
      <c r="AG67" s="20"/>
    </row>
    <row r="68" spans="2:278" x14ac:dyDescent="0.2">
      <c r="B68" s="60" t="s">
        <v>124</v>
      </c>
      <c r="C68" s="61">
        <f>C58-C66</f>
        <v>-601983.14987559081</v>
      </c>
      <c r="D68" s="61">
        <f t="shared" ref="D68:BO68" si="533">D58-D66</f>
        <v>-601983.14987559081</v>
      </c>
      <c r="E68" s="61">
        <f t="shared" si="533"/>
        <v>-601983.14987559081</v>
      </c>
      <c r="F68" s="61">
        <f t="shared" si="533"/>
        <v>-601983.14987559081</v>
      </c>
      <c r="G68" s="61">
        <f t="shared" si="533"/>
        <v>-601983.14987559081</v>
      </c>
      <c r="H68" s="61">
        <f t="shared" si="533"/>
        <v>-601983.14987559081</v>
      </c>
      <c r="I68" s="61">
        <f t="shared" si="533"/>
        <v>-601983.14987559081</v>
      </c>
      <c r="J68" s="61">
        <f t="shared" si="533"/>
        <v>-601983.14987559081</v>
      </c>
      <c r="K68" s="61">
        <f t="shared" si="533"/>
        <v>-601983.14987559081</v>
      </c>
      <c r="L68" s="61">
        <f t="shared" si="533"/>
        <v>-601983.14987559081</v>
      </c>
      <c r="M68" s="61">
        <f t="shared" si="533"/>
        <v>-601983.14987559081</v>
      </c>
      <c r="N68" s="61">
        <f t="shared" si="533"/>
        <v>-601983.14987559081</v>
      </c>
      <c r="O68" s="61">
        <f t="shared" si="533"/>
        <v>-625951.35646225046</v>
      </c>
      <c r="P68" s="61">
        <f t="shared" si="533"/>
        <v>-625951.35646225046</v>
      </c>
      <c r="Q68" s="61">
        <f t="shared" si="533"/>
        <v>-625951.35646225046</v>
      </c>
      <c r="R68" s="61">
        <f t="shared" si="533"/>
        <v>-76911.162615757901</v>
      </c>
      <c r="S68" s="61">
        <f t="shared" si="533"/>
        <v>82152.791263704654</v>
      </c>
      <c r="T68" s="61">
        <f t="shared" si="533"/>
        <v>-63231.727456973866</v>
      </c>
      <c r="U68" s="61">
        <f t="shared" si="533"/>
        <v>103076.33600509912</v>
      </c>
      <c r="V68" s="61">
        <f t="shared" si="533"/>
        <v>103506.22567398194</v>
      </c>
      <c r="W68" s="61">
        <f t="shared" si="533"/>
        <v>-42624.875800323673</v>
      </c>
      <c r="X68" s="61">
        <f t="shared" si="533"/>
        <v>117802.61986851878</v>
      </c>
      <c r="Y68" s="61">
        <f t="shared" si="533"/>
        <v>-28828.278428244404</v>
      </c>
      <c r="Z68" s="61">
        <f t="shared" si="533"/>
        <v>132147.82247983012</v>
      </c>
      <c r="AA68" s="61">
        <f t="shared" si="533"/>
        <v>356434.80079607293</v>
      </c>
      <c r="AB68" s="61">
        <f t="shared" si="533"/>
        <v>-100122.79840242304</v>
      </c>
      <c r="AC68" s="61">
        <f t="shared" si="533"/>
        <v>370853.52499483153</v>
      </c>
      <c r="AD68" s="61">
        <f t="shared" si="533"/>
        <v>2011945.0442101406</v>
      </c>
      <c r="AE68" s="61">
        <f t="shared" si="533"/>
        <v>2233933.3232285306</v>
      </c>
      <c r="AF68" s="61">
        <f t="shared" si="533"/>
        <v>2025907.3358301837</v>
      </c>
      <c r="AG68" s="61">
        <f t="shared" si="533"/>
        <v>2248450.6558456998</v>
      </c>
      <c r="AH68" s="61">
        <f t="shared" si="533"/>
        <v>2255727.894421326</v>
      </c>
      <c r="AI68" s="61">
        <f t="shared" si="533"/>
        <v>2046940.2634203956</v>
      </c>
      <c r="AJ68" s="61">
        <f t="shared" si="533"/>
        <v>2270319.6205121176</v>
      </c>
      <c r="AK68" s="61">
        <f t="shared" si="533"/>
        <v>2061022.1102522239</v>
      </c>
      <c r="AL68" s="61">
        <f t="shared" si="533"/>
        <v>2284961.1514714807</v>
      </c>
      <c r="AM68" s="61">
        <f t="shared" si="533"/>
        <v>2324786.1320502311</v>
      </c>
      <c r="AN68" s="61">
        <f t="shared" si="533"/>
        <v>1679885.5582319777</v>
      </c>
      <c r="AO68" s="61">
        <f t="shared" si="533"/>
        <v>2339502.6855462305</v>
      </c>
      <c r="AP68" s="61">
        <f t="shared" si="533"/>
        <v>2316262.7284211982</v>
      </c>
      <c r="AQ68" s="61">
        <f t="shared" si="533"/>
        <v>2520202.4255208056</v>
      </c>
      <c r="AR68" s="61">
        <f t="shared" si="533"/>
        <v>2309383.467432498</v>
      </c>
      <c r="AS68" s="61">
        <f t="shared" si="533"/>
        <v>2535573.1712595494</v>
      </c>
      <c r="AT68" s="61">
        <f t="shared" si="533"/>
        <v>2543278.1876834184</v>
      </c>
      <c r="AU68" s="61">
        <f t="shared" si="533"/>
        <v>2331683.6063154321</v>
      </c>
      <c r="AV68" s="61">
        <f t="shared" si="533"/>
        <v>2558727.6180122541</v>
      </c>
      <c r="AW68" s="61">
        <f t="shared" si="533"/>
        <v>2346613.7987367474</v>
      </c>
      <c r="AX68" s="61">
        <f t="shared" si="533"/>
        <v>2574229.7259105109</v>
      </c>
      <c r="AY68" s="61">
        <f t="shared" si="533"/>
        <v>2616834.453615156</v>
      </c>
      <c r="AZ68" s="61">
        <f t="shared" si="533"/>
        <v>2183258.5058272323</v>
      </c>
      <c r="BA68" s="61">
        <f t="shared" si="533"/>
        <v>2632415.911116017</v>
      </c>
      <c r="BB68" s="61">
        <f t="shared" si="533"/>
        <v>2418996.4100494143</v>
      </c>
      <c r="BC68" s="61">
        <f t="shared" si="533"/>
        <v>2648050.4913871493</v>
      </c>
      <c r="BD68" s="61">
        <f t="shared" si="533"/>
        <v>2434105.6676000012</v>
      </c>
      <c r="BE68" s="61">
        <f t="shared" si="533"/>
        <v>2663738.3735549692</v>
      </c>
      <c r="BF68" s="61">
        <f t="shared" si="533"/>
        <v>2671602.3589913622</v>
      </c>
      <c r="BG68" s="61">
        <f t="shared" si="533"/>
        <v>2456866.2650817586</v>
      </c>
      <c r="BH68" s="61">
        <f t="shared" si="533"/>
        <v>2687370.5311809583</v>
      </c>
      <c r="BI68" s="61">
        <f t="shared" si="533"/>
        <v>2472104.7246354464</v>
      </c>
      <c r="BJ68" s="61">
        <f t="shared" si="533"/>
        <v>2703192.4557160055</v>
      </c>
      <c r="BK68" s="61">
        <f t="shared" si="533"/>
        <v>2748475.6387641253</v>
      </c>
      <c r="BL68" s="61">
        <f t="shared" si="533"/>
        <v>2084395.2075217878</v>
      </c>
      <c r="BM68" s="61">
        <f t="shared" si="533"/>
        <v>2764378.5318282368</v>
      </c>
      <c r="BN68" s="61">
        <f t="shared" si="533"/>
        <v>2547780.7035735119</v>
      </c>
      <c r="BO68" s="61">
        <f t="shared" si="533"/>
        <v>2780335.6314727962</v>
      </c>
      <c r="BP68" s="61">
        <f t="shared" ref="BP68:EA68" si="534">BP58-BP66</f>
        <v>2563201.8829847584</v>
      </c>
      <c r="BQ68" s="61">
        <f t="shared" si="534"/>
        <v>2796347.1204590499</v>
      </c>
      <c r="BR68" s="61">
        <f t="shared" si="534"/>
        <v>2804373.3182357401</v>
      </c>
      <c r="BS68" s="61">
        <f t="shared" si="534"/>
        <v>2586432.337047562</v>
      </c>
      <c r="BT68" s="61">
        <f t="shared" si="534"/>
        <v>2820466.7352531869</v>
      </c>
      <c r="BU68" s="61">
        <f t="shared" si="534"/>
        <v>2601985.3553328719</v>
      </c>
      <c r="BV68" s="61">
        <f t="shared" si="534"/>
        <v>2836615.0012014406</v>
      </c>
      <c r="BW68" s="61">
        <f t="shared" si="534"/>
        <v>2884761.9469333449</v>
      </c>
      <c r="BX68" s="61">
        <f t="shared" si="534"/>
        <v>2210658.7903424548</v>
      </c>
      <c r="BY68" s="61">
        <f t="shared" si="534"/>
        <v>2900992.833187962</v>
      </c>
      <c r="BZ68" s="61">
        <f t="shared" si="534"/>
        <v>2681152.560130978</v>
      </c>
      <c r="CA68" s="61">
        <f t="shared" si="534"/>
        <v>2917279.031825359</v>
      </c>
      <c r="CB68" s="61">
        <f t="shared" si="534"/>
        <v>2696892.0271764714</v>
      </c>
      <c r="CC68" s="61">
        <f t="shared" si="534"/>
        <v>2933620.729315171</v>
      </c>
      <c r="CD68" s="61">
        <f t="shared" si="534"/>
        <v>2941812.4485724196</v>
      </c>
      <c r="CE68" s="61">
        <f t="shared" si="534"/>
        <v>2720601.926538758</v>
      </c>
      <c r="CF68" s="61">
        <f t="shared" si="534"/>
        <v>2958237.7453398751</v>
      </c>
      <c r="CG68" s="61">
        <f t="shared" si="534"/>
        <v>2736475.9228442721</v>
      </c>
      <c r="CH68" s="61">
        <f t="shared" si="534"/>
        <v>2974719.0098741855</v>
      </c>
      <c r="CI68" s="61">
        <f t="shared" si="534"/>
        <v>3014023.48954105</v>
      </c>
      <c r="CJ68" s="61">
        <f t="shared" si="534"/>
        <v>2329695.3405122692</v>
      </c>
      <c r="CK68" s="61">
        <f t="shared" si="534"/>
        <v>3030589.0596746849</v>
      </c>
      <c r="CL68" s="61">
        <f t="shared" si="534"/>
        <v>2807440.9303789027</v>
      </c>
      <c r="CM68" s="61">
        <f t="shared" si="534"/>
        <v>3047211.0704306485</v>
      </c>
      <c r="CN68" s="61">
        <f t="shared" si="534"/>
        <v>2823505.1800227938</v>
      </c>
      <c r="CO68" s="61">
        <f t="shared" si="534"/>
        <v>3063889.7120620124</v>
      </c>
      <c r="CP68" s="61">
        <f t="shared" si="534"/>
        <v>3072250.3290844411</v>
      </c>
      <c r="CQ68" s="61">
        <f t="shared" si="534"/>
        <v>2847704.3079995895</v>
      </c>
      <c r="CR68" s="61">
        <f t="shared" si="534"/>
        <v>3089014.2751495643</v>
      </c>
      <c r="CS68" s="61">
        <f t="shared" si="534"/>
        <v>2863905.8318875479</v>
      </c>
      <c r="CT68" s="61">
        <f t="shared" si="534"/>
        <v>3105835.3305185707</v>
      </c>
      <c r="CU68" s="61">
        <f t="shared" si="534"/>
        <v>3148414.8176375595</v>
      </c>
      <c r="CV68" s="61">
        <f t="shared" si="534"/>
        <v>2453655.3268039343</v>
      </c>
      <c r="CW68" s="61">
        <f t="shared" si="534"/>
        <v>3165321.8980927696</v>
      </c>
      <c r="CX68" s="61">
        <f t="shared" si="534"/>
        <v>5971276.3806532715</v>
      </c>
      <c r="CY68" s="61">
        <f t="shared" si="534"/>
        <v>6214763.7697666138</v>
      </c>
      <c r="CZ68" s="61">
        <f t="shared" si="534"/>
        <v>5987672.0396649549</v>
      </c>
      <c r="DA68" s="61">
        <f t="shared" si="534"/>
        <v>6231786.2278412068</v>
      </c>
      <c r="DB68" s="61">
        <f t="shared" si="534"/>
        <v>6240319.1874165898</v>
      </c>
      <c r="DC68" s="61">
        <f t="shared" si="534"/>
        <v>6012370.3781062737</v>
      </c>
      <c r="DD68" s="61">
        <f t="shared" si="534"/>
        <v>6257428.6896769321</v>
      </c>
      <c r="DE68" s="61">
        <f t="shared" si="534"/>
        <v>6028906.1120491391</v>
      </c>
      <c r="DF68" s="61">
        <f t="shared" si="534"/>
        <v>6274596.4659385625</v>
      </c>
      <c r="DG68" s="61">
        <f t="shared" si="534"/>
        <v>6320678.8720159214</v>
      </c>
      <c r="DH68" s="61">
        <f t="shared" si="534"/>
        <v>5615277.52533828</v>
      </c>
      <c r="DI68" s="61">
        <f t="shared" si="534"/>
        <v>6337934.4277365133</v>
      </c>
      <c r="DJ68" s="61">
        <f t="shared" si="534"/>
        <v>6107969.0452796333</v>
      </c>
      <c r="DK68" s="61">
        <f t="shared" si="534"/>
        <v>6355248.7496956047</v>
      </c>
      <c r="DL68" s="61">
        <f t="shared" si="534"/>
        <v>6124702.8749012696</v>
      </c>
      <c r="DM68" s="61">
        <f t="shared" si="534"/>
        <v>6372622.0359443724</v>
      </c>
      <c r="DN68" s="61">
        <f t="shared" si="534"/>
        <v>6381330.8527498962</v>
      </c>
      <c r="DO68" s="61">
        <f t="shared" si="534"/>
        <v>6149910.6082101138</v>
      </c>
      <c r="DP68" s="61">
        <f t="shared" si="534"/>
        <v>6398792.958232373</v>
      </c>
      <c r="DQ68" s="61">
        <f t="shared" si="534"/>
        <v>6166787.3702804344</v>
      </c>
      <c r="DR68" s="61">
        <f t="shared" si="534"/>
        <v>6416314.5260425862</v>
      </c>
      <c r="DS68" s="61">
        <f t="shared" si="534"/>
        <v>6466144.0576842129</v>
      </c>
      <c r="DT68" s="61">
        <f t="shared" si="534"/>
        <v>5749886.0923935371</v>
      </c>
      <c r="DU68" s="61">
        <f t="shared" si="534"/>
        <v>6483755.1949179778</v>
      </c>
      <c r="DV68" s="61">
        <f t="shared" si="534"/>
        <v>6250277.6952180602</v>
      </c>
      <c r="DW68" s="61">
        <f t="shared" si="534"/>
        <v>6501426.2967026914</v>
      </c>
      <c r="DX68" s="61">
        <f t="shared" si="534"/>
        <v>6267356.5938860076</v>
      </c>
      <c r="DY68" s="61">
        <f t="shared" si="534"/>
        <v>6519157.56510734</v>
      </c>
      <c r="DZ68" s="61">
        <f t="shared" si="534"/>
        <v>6528045.8251238856</v>
      </c>
      <c r="EA68" s="61">
        <f t="shared" si="534"/>
        <v>6293084.1131175803</v>
      </c>
      <c r="EB68" s="61">
        <f t="shared" ref="EB68:GM68" si="535">EB58-EB66</f>
        <v>6545867.7238204041</v>
      </c>
      <c r="EC68" s="61">
        <f t="shared" si="535"/>
        <v>6310308.8597322041</v>
      </c>
      <c r="ED68" s="61">
        <f t="shared" si="535"/>
        <v>6563750.2972782971</v>
      </c>
      <c r="EE68" s="61">
        <f t="shared" si="535"/>
        <v>6592499.1107347794</v>
      </c>
      <c r="EF68" s="61">
        <f t="shared" si="535"/>
        <v>5865165.4295779401</v>
      </c>
      <c r="EG68" s="61">
        <f t="shared" si="535"/>
        <v>6610473.079892857</v>
      </c>
      <c r="EH68" s="61">
        <f t="shared" si="535"/>
        <v>6373412.609785758</v>
      </c>
      <c r="EI68" s="61">
        <f t="shared" si="535"/>
        <v>6628508.2362236073</v>
      </c>
      <c r="EJ68" s="61">
        <f t="shared" si="535"/>
        <v>6390843.6159070097</v>
      </c>
      <c r="EK68" s="61">
        <f t="shared" si="535"/>
        <v>6646604.7858951008</v>
      </c>
      <c r="EL68" s="61">
        <f t="shared" si="535"/>
        <v>6655676.1478500916</v>
      </c>
      <c r="EM68" s="61">
        <f t="shared" si="535"/>
        <v>6417101.5229507703</v>
      </c>
      <c r="EN68" s="61">
        <f t="shared" si="535"/>
        <v>6673865.1756104957</v>
      </c>
      <c r="EO68" s="61">
        <f t="shared" si="535"/>
        <v>6434681.3516705306</v>
      </c>
      <c r="EP68" s="61">
        <f t="shared" si="535"/>
        <v>6692116.1151609197</v>
      </c>
      <c r="EQ68" s="61">
        <f t="shared" si="535"/>
        <v>6710351.0106497975</v>
      </c>
      <c r="ER68" s="61">
        <f t="shared" si="535"/>
        <v>5971718.094404446</v>
      </c>
      <c r="ES68" s="61">
        <f t="shared" si="535"/>
        <v>6728695.2092238571</v>
      </c>
      <c r="ET68" s="61">
        <f t="shared" si="535"/>
        <v>6487979.4857882345</v>
      </c>
      <c r="EU68" s="61">
        <f t="shared" si="535"/>
        <v>6747101.8423934532</v>
      </c>
      <c r="EV68" s="61">
        <f t="shared" si="535"/>
        <v>6505769.7805729797</v>
      </c>
      <c r="EW68" s="61">
        <f t="shared" si="535"/>
        <v>6765571.1205087109</v>
      </c>
      <c r="EX68" s="61">
        <f t="shared" si="535"/>
        <v>6774829.3173481394</v>
      </c>
      <c r="EY68" s="61">
        <f t="shared" si="535"/>
        <v>6532568.8924192162</v>
      </c>
      <c r="EZ68" s="61">
        <f t="shared" si="535"/>
        <v>6793392.9588316157</v>
      </c>
      <c r="FA68" s="61">
        <f t="shared" si="535"/>
        <v>6550511.044805197</v>
      </c>
      <c r="FB68" s="61">
        <f t="shared" si="535"/>
        <v>6812019.7742264252</v>
      </c>
      <c r="FC68" s="61">
        <f t="shared" si="535"/>
        <v>6831960.5165132545</v>
      </c>
      <c r="FD68" s="61">
        <f t="shared" si="535"/>
        <v>6081800.3347369228</v>
      </c>
      <c r="FE68" s="61">
        <f t="shared" si="535"/>
        <v>6850682.4920515921</v>
      </c>
      <c r="FF68" s="61">
        <f t="shared" si="535"/>
        <v>6606237.7737538973</v>
      </c>
      <c r="FG68" s="61">
        <f t="shared" si="535"/>
        <v>6869468.1749113239</v>
      </c>
      <c r="FH68" s="61">
        <f t="shared" si="535"/>
        <v>6624394.6841053134</v>
      </c>
      <c r="FI68" s="61">
        <f t="shared" si="535"/>
        <v>6888317.7797092376</v>
      </c>
      <c r="FJ68" s="61">
        <f t="shared" si="535"/>
        <v>6897766.6200994216</v>
      </c>
      <c r="FK68" s="61">
        <f t="shared" si="535"/>
        <v>6651746.0371979615</v>
      </c>
      <c r="FL68" s="61">
        <f t="shared" si="535"/>
        <v>6916712.5117855575</v>
      </c>
      <c r="FM68" s="61">
        <f t="shared" si="535"/>
        <v>6670057.9017254859</v>
      </c>
      <c r="FN68" s="61">
        <f t="shared" si="535"/>
        <v>6935722.8651047358</v>
      </c>
      <c r="FO68" s="61">
        <f t="shared" si="535"/>
        <v>6969387.7522064084</v>
      </c>
      <c r="FP68" s="61">
        <f t="shared" si="535"/>
        <v>6207467.6721841525</v>
      </c>
      <c r="FQ68" s="61">
        <f t="shared" si="535"/>
        <v>6988495.2053502118</v>
      </c>
      <c r="FR68" s="61">
        <f t="shared" si="535"/>
        <v>6740246.2626072653</v>
      </c>
      <c r="FS68" s="61">
        <f t="shared" si="535"/>
        <v>7007667.6643562336</v>
      </c>
      <c r="FT68" s="61">
        <f t="shared" si="535"/>
        <v>6758777.264069722</v>
      </c>
      <c r="FU68" s="61">
        <f t="shared" si="535"/>
        <v>7026905.3481942518</v>
      </c>
      <c r="FV68" s="61">
        <f t="shared" si="535"/>
        <v>7036548.7180539584</v>
      </c>
      <c r="FW68" s="61">
        <f t="shared" si="535"/>
        <v>6786692.1187471366</v>
      </c>
      <c r="FX68" s="61">
        <f t="shared" si="535"/>
        <v>7055884.6513146413</v>
      </c>
      <c r="FY68" s="61">
        <f t="shared" si="535"/>
        <v>6805381.233778662</v>
      </c>
      <c r="FZ68" s="61">
        <f t="shared" si="535"/>
        <v>7075286.3600484589</v>
      </c>
      <c r="GA68" s="61">
        <f t="shared" si="535"/>
        <v>7110892.1739648795</v>
      </c>
      <c r="GB68" s="61">
        <f t="shared" si="535"/>
        <v>6336974.8678191593</v>
      </c>
      <c r="GC68" s="61">
        <f t="shared" si="535"/>
        <v>7130392.961545852</v>
      </c>
      <c r="GD68" s="61">
        <f t="shared" si="535"/>
        <v>6878263.0466933073</v>
      </c>
      <c r="GE68" s="61">
        <f t="shared" si="535"/>
        <v>7149960.0798671516</v>
      </c>
      <c r="GF68" s="61">
        <f t="shared" si="535"/>
        <v>6897175.7664601468</v>
      </c>
      <c r="GG68" s="61">
        <f t="shared" si="535"/>
        <v>7169593.7523396276</v>
      </c>
      <c r="GH68" s="61">
        <f t="shared" si="535"/>
        <v>7179435.6164031485</v>
      </c>
      <c r="GI68" s="61">
        <f t="shared" si="535"/>
        <v>6925665.6114856284</v>
      </c>
      <c r="GJ68" s="61">
        <f t="shared" si="535"/>
        <v>7199169.5406365562</v>
      </c>
      <c r="GK68" s="61">
        <f t="shared" si="535"/>
        <v>6944739.6683036936</v>
      </c>
      <c r="GL68" s="61">
        <f t="shared" si="535"/>
        <v>7218970.5808300264</v>
      </c>
      <c r="GM68" s="61">
        <f t="shared" si="535"/>
        <v>7237932.3483412182</v>
      </c>
      <c r="GN68" s="61">
        <f t="shared" ref="GN68:IY68" si="536">GN58-GN66</f>
        <v>6451775.6982668629</v>
      </c>
      <c r="GO68" s="61">
        <f t="shared" si="536"/>
        <v>7257834.4865417983</v>
      </c>
      <c r="GP68" s="61">
        <f t="shared" si="536"/>
        <v>7001745.3031964516</v>
      </c>
      <c r="GQ68" s="61">
        <f t="shared" si="536"/>
        <v>7277804.3072309811</v>
      </c>
      <c r="GR68" s="61">
        <f t="shared" si="536"/>
        <v>7021047.52317857</v>
      </c>
      <c r="GS68" s="61">
        <f t="shared" si="536"/>
        <v>7297842.0383505393</v>
      </c>
      <c r="GT68" s="61">
        <f t="shared" si="536"/>
        <v>7307886.4417623505</v>
      </c>
      <c r="GU68" s="61">
        <f t="shared" si="536"/>
        <v>7050124.0803624503</v>
      </c>
      <c r="GV68" s="61">
        <f t="shared" si="536"/>
        <v>7328026.4675902678</v>
      </c>
      <c r="GW68" s="61">
        <f t="shared" si="536"/>
        <v>7069590.9262639526</v>
      </c>
      <c r="GX68" s="61">
        <f t="shared" si="536"/>
        <v>7348234.9770511435</v>
      </c>
      <c r="GY68" s="61">
        <f t="shared" si="536"/>
        <v>7358364.9851847216</v>
      </c>
      <c r="GZ68" s="61">
        <f t="shared" si="536"/>
        <v>6559721.9867711766</v>
      </c>
      <c r="HA68" s="61">
        <f t="shared" si="536"/>
        <v>7378676.6527621662</v>
      </c>
      <c r="HB68" s="61">
        <f t="shared" si="536"/>
        <v>7118548.3245659219</v>
      </c>
      <c r="HC68" s="61">
        <f t="shared" si="536"/>
        <v>7399057.3819903005</v>
      </c>
      <c r="HD68" s="61">
        <f t="shared" si="536"/>
        <v>7138247.9845223464</v>
      </c>
      <c r="HE68" s="61">
        <f t="shared" si="536"/>
        <v>7419507.4054334853</v>
      </c>
      <c r="HF68" s="61">
        <f t="shared" si="536"/>
        <v>7429758.4753751494</v>
      </c>
      <c r="HG68" s="61">
        <f t="shared" si="536"/>
        <v>7167923.2134374855</v>
      </c>
      <c r="HH68" s="61">
        <f t="shared" si="536"/>
        <v>7450312.8779048976</v>
      </c>
      <c r="HI68" s="61">
        <f t="shared" si="536"/>
        <v>7187790.8548904601</v>
      </c>
      <c r="HJ68" s="61">
        <f t="shared" si="536"/>
        <v>7470937.1594765028</v>
      </c>
      <c r="HK68" s="61">
        <f t="shared" si="536"/>
        <v>7481275.5784047041</v>
      </c>
      <c r="HL68" s="61">
        <f t="shared" si="536"/>
        <v>6669894.2420069268</v>
      </c>
      <c r="HM68" s="61">
        <f t="shared" si="536"/>
        <v>7502005.1199803259</v>
      </c>
      <c r="HN68" s="61">
        <f t="shared" si="536"/>
        <v>7237756.1587133063</v>
      </c>
      <c r="HO68" s="61">
        <f t="shared" si="536"/>
        <v>7522805.1303371647</v>
      </c>
      <c r="HP68" s="61">
        <f t="shared" si="536"/>
        <v>7257861.3594450494</v>
      </c>
      <c r="HQ68" s="61">
        <f t="shared" si="536"/>
        <v>7543675.8467556974</v>
      </c>
      <c r="HR68" s="61">
        <f t="shared" si="536"/>
        <v>7554137.7941056304</v>
      </c>
      <c r="HS68" s="61">
        <f t="shared" si="536"/>
        <v>7288147.4622376263</v>
      </c>
      <c r="HT68" s="61">
        <f t="shared" si="536"/>
        <v>7575115.0162579166</v>
      </c>
      <c r="HU68" s="61">
        <f t="shared" si="536"/>
        <v>7308424.0681018438</v>
      </c>
      <c r="HV68" s="61">
        <f t="shared" si="536"/>
        <v>7596163.5411580987</v>
      </c>
      <c r="HW68" s="61">
        <f t="shared" si="536"/>
        <v>7606714.6171308383</v>
      </c>
      <c r="HX68" s="61">
        <f t="shared" si="536"/>
        <v>6782337.8672494721</v>
      </c>
      <c r="HY68" s="61">
        <f t="shared" si="536"/>
        <v>7627870.5465457058</v>
      </c>
      <c r="HZ68" s="61">
        <f t="shared" si="536"/>
        <v>7359417.8195957979</v>
      </c>
      <c r="IA68" s="61">
        <f t="shared" si="536"/>
        <v>7649098.3804066097</v>
      </c>
      <c r="IB68" s="61">
        <f t="shared" si="536"/>
        <v>7379936.826204245</v>
      </c>
      <c r="IC68" s="61">
        <f t="shared" si="536"/>
        <v>7670398.3608055497</v>
      </c>
      <c r="ID68" s="61">
        <f t="shared" si="536"/>
        <v>7681075.4818323068</v>
      </c>
      <c r="IE68" s="61">
        <f t="shared" si="536"/>
        <v>7410846.2525017699</v>
      </c>
      <c r="IF68" s="61">
        <f t="shared" si="536"/>
        <v>7702484.1377363289</v>
      </c>
      <c r="IG68" s="61">
        <f t="shared" si="536"/>
        <v>7431540.1573143965</v>
      </c>
      <c r="IH68" s="61">
        <f t="shared" si="536"/>
        <v>7723965.5489639044</v>
      </c>
      <c r="II68" s="61">
        <f t="shared" si="536"/>
        <v>7734733.6143368483</v>
      </c>
      <c r="IJ68" s="61">
        <f t="shared" si="536"/>
        <v>6897099.186967507</v>
      </c>
      <c r="IK68" s="61">
        <f t="shared" si="536"/>
        <v>7756324.6180753186</v>
      </c>
      <c r="IL68" s="61">
        <f t="shared" si="536"/>
        <v>7483583.3152511269</v>
      </c>
      <c r="IM68" s="61">
        <f t="shared" si="536"/>
        <v>7777988.9910361962</v>
      </c>
      <c r="IN68" s="61">
        <f t="shared" si="536"/>
        <v>7504524.560462296</v>
      </c>
      <c r="IO68" s="61">
        <f t="shared" si="536"/>
        <v>7799726.9802203504</v>
      </c>
      <c r="IP68" s="61">
        <f t="shared" si="536"/>
        <v>7810623.6583101898</v>
      </c>
      <c r="IQ68" s="61">
        <f t="shared" si="536"/>
        <v>7536070.0123807909</v>
      </c>
      <c r="IR68" s="61">
        <f t="shared" si="536"/>
        <v>7832472.5367673282</v>
      </c>
      <c r="IS68" s="61">
        <f t="shared" si="536"/>
        <v>7557189.7197084744</v>
      </c>
      <c r="IT68" s="61">
        <f t="shared" si="536"/>
        <v>7854395.6525773546</v>
      </c>
      <c r="IU68" s="61">
        <f t="shared" si="536"/>
        <v>7865385.1275539286</v>
      </c>
      <c r="IV68" s="61">
        <f t="shared" si="536"/>
        <v>7014225.4654645454</v>
      </c>
      <c r="IW68" s="61">
        <f t="shared" si="536"/>
        <v>7887420.0682363296</v>
      </c>
      <c r="IX68" s="61">
        <f t="shared" si="536"/>
        <v>7610303.6679103477</v>
      </c>
      <c r="IY68" s="61">
        <f t="shared" si="536"/>
        <v>7909529.8726180103</v>
      </c>
      <c r="IZ68" s="61">
        <f t="shared" ref="IZ68:JR68" si="537">IZ58-IZ66</f>
        <v>7631675.7554662926</v>
      </c>
      <c r="JA68" s="61">
        <f t="shared" si="537"/>
        <v>7931714.792708016</v>
      </c>
      <c r="JB68" s="61">
        <f t="shared" si="537"/>
        <v>7942835.5001273016</v>
      </c>
      <c r="JC68" s="61">
        <f t="shared" si="537"/>
        <v>7663870.1927186893</v>
      </c>
      <c r="JD68" s="61">
        <f t="shared" si="537"/>
        <v>7965133.5681448299</v>
      </c>
      <c r="JE68" s="61">
        <f t="shared" si="537"/>
        <v>7685424.3785773544</v>
      </c>
      <c r="JF68" s="61">
        <f t="shared" si="537"/>
        <v>7987507.3855941128</v>
      </c>
      <c r="JG68" s="61">
        <f t="shared" si="537"/>
        <v>7998722.7800026676</v>
      </c>
      <c r="JH68" s="61">
        <f t="shared" si="537"/>
        <v>7133764.9258971615</v>
      </c>
      <c r="JI68" s="61">
        <f t="shared" si="537"/>
        <v>8021210.6999485828</v>
      </c>
      <c r="JJ68" s="61">
        <f t="shared" si="537"/>
        <v>7739630.9345169878</v>
      </c>
      <c r="JK68" s="61">
        <f t="shared" si="537"/>
        <v>8043775.008371993</v>
      </c>
      <c r="JL68" s="61">
        <f t="shared" si="537"/>
        <v>7761442.6426357664</v>
      </c>
      <c r="JM68" s="61">
        <f t="shared" si="537"/>
        <v>8066415.9623914277</v>
      </c>
      <c r="JN68" s="61">
        <f t="shared" si="537"/>
        <v>8077765.2620846983</v>
      </c>
      <c r="JO68" s="61">
        <f t="shared" si="537"/>
        <v>7794299.2877435125</v>
      </c>
      <c r="JP68" s="61">
        <f t="shared" si="537"/>
        <v>8100521.6684808834</v>
      </c>
      <c r="JQ68" s="61">
        <f t="shared" si="537"/>
        <v>7816296.8040872868</v>
      </c>
      <c r="JR68" s="61">
        <f t="shared" si="537"/>
        <v>8123355.3670451017</v>
      </c>
    </row>
    <row r="69" spans="2:278" x14ac:dyDescent="0.2">
      <c r="I69" s="20"/>
      <c r="U69" s="20"/>
      <c r="AG69" s="20"/>
    </row>
    <row r="70" spans="2:278" x14ac:dyDescent="0.2">
      <c r="B70" s="1" t="s">
        <v>120</v>
      </c>
      <c r="C70" s="7">
        <f>'Capital Contributions'!E32</f>
        <v>149874.38056581622</v>
      </c>
      <c r="D70" s="7">
        <f>'Capital Contributions'!F32</f>
        <v>346909.87917971844</v>
      </c>
      <c r="E70" s="7">
        <f>'Capital Contributions'!G32</f>
        <v>432084.91923832841</v>
      </c>
      <c r="F70" s="7">
        <f>'Capital Contributions'!H32</f>
        <v>494356.87390158226</v>
      </c>
      <c r="G70" s="7">
        <f>'Capital Contributions'!I32</f>
        <v>576134.13998181873</v>
      </c>
      <c r="H70" s="7">
        <f>'Capital Contributions'!J32</f>
        <v>705049.91697056184</v>
      </c>
      <c r="I70" s="7">
        <f>'Capital Contributions'!K32</f>
        <v>838981.74269761785</v>
      </c>
      <c r="J70" s="7">
        <f>'Capital Contributions'!L32</f>
        <v>955139.59980678908</v>
      </c>
      <c r="K70" s="7">
        <f>'Capital Contributions'!M32</f>
        <v>1058042.7831197069</v>
      </c>
      <c r="L70" s="7">
        <f>'Capital Contributions'!N32</f>
        <v>1147571.8593441523</v>
      </c>
      <c r="M70" s="7">
        <f>'Capital Contributions'!O32</f>
        <v>1226925.7568700456</v>
      </c>
      <c r="N70" s="7">
        <f>'Capital Contributions'!P32</f>
        <v>1323169.4979038786</v>
      </c>
      <c r="O70" s="7">
        <f>'Capital Contributions'!Q32</f>
        <v>1380307.8092666978</v>
      </c>
      <c r="P70" s="7">
        <f>'Capital Contributions'!R32</f>
        <v>1380307.8092666978</v>
      </c>
      <c r="Q70" s="7">
        <f>'Capital Contributions'!S32</f>
        <v>1380307.8092666978</v>
      </c>
      <c r="R70" s="7">
        <f>'Capital Contributions'!T32</f>
        <v>1136724.0782196335</v>
      </c>
      <c r="S70" s="7">
        <f>'Capital Contributions'!U32</f>
        <v>1131619.5568096749</v>
      </c>
      <c r="T70" s="7">
        <f>'Capital Contributions'!V32</f>
        <v>1126485.2590248249</v>
      </c>
      <c r="U70" s="7">
        <f>'Capital Contributions'!W32</f>
        <v>1121321.011169563</v>
      </c>
      <c r="V70" s="7">
        <f>'Capital Contributions'!X32</f>
        <v>1116126.6385351459</v>
      </c>
      <c r="W70" s="7">
        <f>'Capital Contributions'!Y32</f>
        <v>1110901.9653936944</v>
      </c>
      <c r="X70" s="7">
        <f>'Capital Contributions'!Z32</f>
        <v>1105646.8149922511</v>
      </c>
      <c r="Y70" s="7">
        <f>'Capital Contributions'!AA32</f>
        <v>1100361.0095467996</v>
      </c>
      <c r="Z70" s="7">
        <f>'Capital Contributions'!AB32</f>
        <v>1095044.3702362492</v>
      </c>
      <c r="AA70" s="7">
        <f>'Capital Contributions'!AC32</f>
        <v>1089696.7171963877</v>
      </c>
      <c r="AB70" s="7">
        <f>'Capital Contributions'!AD32</f>
        <v>1084317.8695137934</v>
      </c>
      <c r="AC70" s="7">
        <f>'Capital Contributions'!AE32</f>
        <v>1078907.6452197176</v>
      </c>
      <c r="AD70" s="7">
        <f>'Capital Contributions'!AF32</f>
        <v>1073465.8612839261</v>
      </c>
      <c r="AE70" s="7">
        <f>'Capital Contributions'!AG32</f>
        <v>1067992.333608509</v>
      </c>
      <c r="AF70" s="7">
        <f>'Capital Contributions'!AH32</f>
        <v>1062486.8770216526</v>
      </c>
      <c r="AG70" s="7">
        <f>'Capital Contributions'!AI32</f>
        <v>1056949.3052713722</v>
      </c>
      <c r="AH70" s="7">
        <f>'Capital Contributions'!AJ32</f>
        <v>1051379.4310192154</v>
      </c>
      <c r="AI70" s="7">
        <f>'Capital Contributions'!AK32</f>
        <v>1045777.0658339211</v>
      </c>
      <c r="AJ70" s="7">
        <f>'Capital Contributions'!AL32</f>
        <v>1040142.0201850459</v>
      </c>
      <c r="AK70" s="7">
        <f>'Capital Contributions'!AM32</f>
        <v>1034474.1034365521</v>
      </c>
      <c r="AL70" s="7">
        <f>'Capital Contributions'!AN32</f>
        <v>1028773.1238403589</v>
      </c>
      <c r="AM70" s="7">
        <f>'Capital Contributions'!AO32</f>
        <v>1023038.8885298546</v>
      </c>
      <c r="AN70" s="7">
        <f>'Capital Contributions'!AP32</f>
        <v>1017271.2035133722</v>
      </c>
      <c r="AO70" s="7">
        <f>'Capital Contributions'!AQ32</f>
        <v>1011469.8736676271</v>
      </c>
      <c r="AP70" s="7">
        <f>'Capital Contributions'!AR32</f>
        <v>1005634.702731115</v>
      </c>
      <c r="AQ70" s="7">
        <f>'Capital Contributions'!AS32</f>
        <v>999765.49329747353</v>
      </c>
      <c r="AR70" s="7">
        <f>'Capital Contributions'!AT32</f>
        <v>993862.04680880229</v>
      </c>
      <c r="AS70" s="7">
        <f>'Capital Contributions'!AU32</f>
        <v>987924.16354894708</v>
      </c>
      <c r="AT70" s="7">
        <f>'Capital Contributions'!AV32</f>
        <v>981951.64263674291</v>
      </c>
      <c r="AU70" s="7">
        <f>'Capital Contributions'!AW32</f>
        <v>975944.2820192175</v>
      </c>
      <c r="AV70" s="7">
        <f>'Capital Contributions'!AX32</f>
        <v>969901.87846475642</v>
      </c>
      <c r="AW70" s="7">
        <f>'Capital Contributions'!AY32</f>
        <v>963824.22755622771</v>
      </c>
      <c r="AX70" s="7">
        <f>'Capital Contributions'!AZ32</f>
        <v>957711.12368406588</v>
      </c>
      <c r="AY70" s="7">
        <f>'Capital Contributions'!BA32</f>
        <v>951562.36003931647</v>
      </c>
      <c r="AZ70" s="7">
        <f>'Capital Contributions'!BB32</f>
        <v>945377.72860663943</v>
      </c>
      <c r="BA70" s="7">
        <f>'Capital Contributions'!BC32</f>
        <v>939157.02015727153</v>
      </c>
      <c r="BB70" s="7">
        <f>'Capital Contributions'!BD32</f>
        <v>932900.0242419492</v>
      </c>
      <c r="BC70" s="7">
        <f>'Capital Contributions'!BE32</f>
        <v>926606.52918378753</v>
      </c>
      <c r="BD70" s="7">
        <f>'Capital Contributions'!BF32</f>
        <v>920276.32207111979</v>
      </c>
      <c r="BE70" s="7">
        <f>'Capital Contributions'!BG32</f>
        <v>913909.18875029485</v>
      </c>
      <c r="BF70" s="7">
        <f>'Capital Contributions'!BH32</f>
        <v>907504.91381843179</v>
      </c>
      <c r="BG70" s="7">
        <f>'Capital Contributions'!BI32</f>
        <v>901063.28061613278</v>
      </c>
      <c r="BH70" s="7">
        <f>'Capital Contributions'!BJ32</f>
        <v>894584.07122015383</v>
      </c>
      <c r="BI70" s="7">
        <f>'Capital Contributions'!BK32</f>
        <v>888067.0664360316</v>
      </c>
      <c r="BJ70" s="7">
        <f>'Capital Contributions'!BL32</f>
        <v>881512.04579066869</v>
      </c>
      <c r="BK70" s="7">
        <f>'Capital Contributions'!BM32</f>
        <v>874918.78752487455</v>
      </c>
      <c r="BL70" s="7">
        <f>'Capital Contributions'!BN32</f>
        <v>868287.0685858631</v>
      </c>
      <c r="BM70" s="7">
        <f>'Capital Contributions'!BO32</f>
        <v>861616.6646197075</v>
      </c>
      <c r="BN70" s="7">
        <f>'Capital Contributions'!BP32</f>
        <v>854907.34996374929</v>
      </c>
      <c r="BO70" s="7">
        <f>'Capital Contributions'!BQ32</f>
        <v>848158.8976389647</v>
      </c>
      <c r="BP70" s="7">
        <f>'Capital Contributions'!BR32</f>
        <v>841371.07934228552</v>
      </c>
      <c r="BQ70" s="7">
        <f>'Capital Contributions'!BS32</f>
        <v>834543.66543887579</v>
      </c>
      <c r="BR70" s="7">
        <f>'Capital Contributions'!BT32</f>
        <v>827676.42495436268</v>
      </c>
      <c r="BS70" s="7">
        <f>'Capital Contributions'!BU32</f>
        <v>820769.12556702341</v>
      </c>
      <c r="BT70" s="7">
        <f>'Capital Contributions'!BV32</f>
        <v>813821.53359992453</v>
      </c>
      <c r="BU70" s="7">
        <f>'Capital Contributions'!BW32</f>
        <v>806833.41401301767</v>
      </c>
      <c r="BV70" s="7">
        <f>'Capital Contributions'!BX32</f>
        <v>799804.5303951872</v>
      </c>
      <c r="BW70" s="7">
        <f>'Capital Contributions'!BY32</f>
        <v>792734.64495625254</v>
      </c>
      <c r="BX70" s="7">
        <f>'Capital Contributions'!BZ32</f>
        <v>785623.51851892425</v>
      </c>
      <c r="BY70" s="7">
        <f>'Capital Contributions'!CA32</f>
        <v>778470.9105107116</v>
      </c>
      <c r="BZ70" s="7">
        <f>'Capital Contributions'!CB32</f>
        <v>771276.57895578421</v>
      </c>
      <c r="CA70" s="7">
        <f>'Capital Contributions'!CC32</f>
        <v>764040.28046678659</v>
      </c>
      <c r="CB70" s="7">
        <f>'Capital Contributions'!CD32</f>
        <v>756761.77023660298</v>
      </c>
      <c r="CC70" s="7">
        <f>'Capital Contributions'!CE32</f>
        <v>749440.80203007674</v>
      </c>
      <c r="CD70" s="7">
        <f>'Capital Contributions'!CF32</f>
        <v>742077.12817567913</v>
      </c>
      <c r="CE70" s="7">
        <f>'Capital Contributions'!CG32</f>
        <v>734670.49955713074</v>
      </c>
      <c r="CF70" s="7">
        <f>'Capital Contributions'!CH32</f>
        <v>727220.66560497426</v>
      </c>
      <c r="CG70" s="7">
        <f>'Capital Contributions'!CI32</f>
        <v>719727.37428809679</v>
      </c>
      <c r="CH70" s="7">
        <f>'Capital Contributions'!CJ32</f>
        <v>712190.37210520427</v>
      </c>
      <c r="CI70" s="7">
        <f>'Capital Contributions'!CK32</f>
        <v>704609.4040762448</v>
      </c>
      <c r="CJ70" s="7">
        <f>'Capital Contributions'!CL32</f>
        <v>696984.21373378311</v>
      </c>
      <c r="CK70" s="7">
        <f>'Capital Contributions'!CM32</f>
        <v>689314.54311432375</v>
      </c>
      <c r="CL70" s="7">
        <f>'Capital Contributions'!CN32</f>
        <v>681600.13274958427</v>
      </c>
      <c r="CM70" s="7">
        <f>'Capital Contributions'!CO32</f>
        <v>673840.72165771702</v>
      </c>
      <c r="CN70" s="7">
        <f>'Capital Contributions'!CP32</f>
        <v>666036.04733448057</v>
      </c>
      <c r="CO70" s="7">
        <f>'Capital Contributions'!CQ32</f>
        <v>658185.84574435849</v>
      </c>
      <c r="CP70" s="7">
        <f>'Capital Contributions'!CR32</f>
        <v>650289.85131162754</v>
      </c>
      <c r="CQ70" s="7">
        <f>'Capital Contributions'!CS32</f>
        <v>642347.7969113721</v>
      </c>
      <c r="CR70" s="7">
        <f>'Capital Contributions'!CT32</f>
        <v>634359.41386044864</v>
      </c>
      <c r="CS70" s="7">
        <f>'Capital Contributions'!CU32</f>
        <v>626324.43190839479</v>
      </c>
      <c r="CT70" s="7">
        <f>'Capital Contributions'!CV32</f>
        <v>618242.57922828733</v>
      </c>
      <c r="CU70" s="7">
        <f>'Capital Contributions'!CW32</f>
        <v>610113.58240754588</v>
      </c>
      <c r="CV70" s="7">
        <f>'Capital Contributions'!CX32</f>
        <v>601937.16643868352</v>
      </c>
      <c r="CW70" s="7">
        <f>'Capital Contributions'!CY32</f>
        <v>593713.05471000262</v>
      </c>
      <c r="CX70" s="7">
        <f>'Capital Contributions'!CZ32</f>
        <v>585440.96899623796</v>
      </c>
      <c r="CY70" s="7">
        <f>'Capital Contributions'!DA32</f>
        <v>577120.62944914284</v>
      </c>
      <c r="CZ70" s="7">
        <f>'Capital Contributions'!DB32</f>
        <v>568751.75458802306</v>
      </c>
      <c r="DA70" s="7">
        <f>'Capital Contributions'!DC32</f>
        <v>560334.06129021337</v>
      </c>
      <c r="DB70" s="7">
        <f>'Capital Contributions'!DD32</f>
        <v>551867.26478149975</v>
      </c>
      <c r="DC70" s="7">
        <f>'Capital Contributions'!DE32</f>
        <v>543351.07862648543</v>
      </c>
      <c r="DD70" s="7">
        <f>'Capital Contributions'!DF32</f>
        <v>534785.21471890016</v>
      </c>
      <c r="DE70" s="7">
        <f>'Capital Contributions'!DG32</f>
        <v>526169.38327185391</v>
      </c>
      <c r="DF70" s="7">
        <f>'Capital Contributions'!DH32</f>
        <v>517503.29280803323</v>
      </c>
      <c r="DG70" s="7">
        <f>'Capital Contributions'!DI32</f>
        <v>508786.65014984028</v>
      </c>
      <c r="DH70" s="7">
        <f>'Capital Contributions'!DJ32</f>
        <v>500019.16040947457</v>
      </c>
      <c r="DI70" s="7">
        <f>'Capital Contributions'!DK32</f>
        <v>491200.52697895677</v>
      </c>
      <c r="DJ70" s="7">
        <f>'Capital Contributions'!DL32</f>
        <v>482330.45152009418</v>
      </c>
      <c r="DK70" s="7">
        <f>'Capital Contributions'!DM32</f>
        <v>473408.63395438832</v>
      </c>
      <c r="DL70" s="7">
        <f>'Capital Contributions'!DN32</f>
        <v>464434.77245288237</v>
      </c>
      <c r="DM70" s="7">
        <f>'Capital Contributions'!DO32</f>
        <v>455408.56342595106</v>
      </c>
      <c r="DN70" s="7">
        <f>'Capital Contributions'!DP32</f>
        <v>446329.70151302934</v>
      </c>
      <c r="DO70" s="7">
        <f>'Capital Contributions'!DQ32</f>
        <v>437197.87957228225</v>
      </c>
      <c r="DP70" s="7">
        <f>'Capital Contributions'!DR32</f>
        <v>428012.78867021407</v>
      </c>
      <c r="DQ70" s="7">
        <f>'Capital Contributions'!DS32</f>
        <v>418774.11807121721</v>
      </c>
      <c r="DR70" s="7">
        <f>'Capital Contributions'!DT32</f>
        <v>409481.55522705952</v>
      </c>
      <c r="DS70" s="7">
        <f>'Capital Contributions'!DU32</f>
        <v>400134.78576631087</v>
      </c>
      <c r="DT70" s="7">
        <f>'Capital Contributions'!DV32</f>
        <v>390733.49348370795</v>
      </c>
      <c r="DU70" s="7">
        <f>'Capital Contributions'!DW32</f>
        <v>381277.36032945645</v>
      </c>
      <c r="DV70" s="7">
        <f>'Capital Contributions'!DX32</f>
        <v>371766.06639847177</v>
      </c>
      <c r="DW70" s="7">
        <f>'Capital Contributions'!DY32</f>
        <v>362199.28991955641</v>
      </c>
      <c r="DX70" s="7">
        <f>'Capital Contributions'!DZ32</f>
        <v>352576.70724451402</v>
      </c>
      <c r="DY70" s="7">
        <f>'Capital Contributions'!EA32</f>
        <v>342897.99283720052</v>
      </c>
      <c r="DZ70" s="7">
        <f>'Capital Contributions'!EB32</f>
        <v>333162.8192625111</v>
      </c>
      <c r="EA70" s="7">
        <f>'Capital Contributions'!EC32</f>
        <v>323370.85717530263</v>
      </c>
      <c r="EB70" s="7">
        <f>'Capital Contributions'!ED32</f>
        <v>313521.77530925215</v>
      </c>
      <c r="EC70" s="7">
        <f>'Capital Contributions'!EE32</f>
        <v>303615.24046564964</v>
      </c>
      <c r="ED70" s="7">
        <f>'Capital Contributions'!EF32</f>
        <v>293650.91750212607</v>
      </c>
      <c r="EE70" s="7">
        <f>'Capital Contributions'!EG32</f>
        <v>283628.46932131535</v>
      </c>
      <c r="EF70" s="7">
        <f>'Capital Contributions'!EH32</f>
        <v>273547.55685944995</v>
      </c>
      <c r="EG70" s="7">
        <f>'Capital Contributions'!EI32</f>
        <v>263407.83907489025</v>
      </c>
      <c r="EH70" s="7">
        <f>'Capital Contributions'!EJ32</f>
        <v>253208.972936587</v>
      </c>
      <c r="EI70" s="7">
        <f>'Capital Contributions'!EK32</f>
        <v>249672.18413340172</v>
      </c>
      <c r="EJ70" s="7">
        <f>'Capital Contributions'!EL32</f>
        <v>246114.76406219791</v>
      </c>
      <c r="EK70" s="7">
        <f>'Capital Contributions'!EM32</f>
        <v>242536.59237391202</v>
      </c>
      <c r="EL70" s="7">
        <f>'Capital Contributions'!EN32</f>
        <v>238937.5480174445</v>
      </c>
      <c r="EM70" s="7">
        <f>'Capital Contributions'!EO32</f>
        <v>235317.50923556421</v>
      </c>
      <c r="EN70" s="7">
        <f>'Capital Contributions'!EP32</f>
        <v>231676.35356078963</v>
      </c>
      <c r="EO70" s="7">
        <f>'Capital Contributions'!EQ32</f>
        <v>228013.95781124555</v>
      </c>
      <c r="EP70" s="7">
        <f>'Capital Contributions'!ER32</f>
        <v>224330.1980864958</v>
      </c>
      <c r="EQ70" s="7">
        <f>'Capital Contributions'!ES32</f>
        <v>220624.94976335164</v>
      </c>
      <c r="ER70" s="7">
        <f>'Capital Contributions'!ET32</f>
        <v>216898.08749165584</v>
      </c>
      <c r="ES70" s="7">
        <f>'Capital Contributions'!EU32</f>
        <v>213149.48519004177</v>
      </c>
      <c r="ET70" s="7">
        <f>'Capital Contributions'!EV32</f>
        <v>209379.01604166834</v>
      </c>
      <c r="EU70" s="7">
        <f>'Capital Contributions'!EW32</f>
        <v>205586.55248992937</v>
      </c>
      <c r="EV70" s="7">
        <f>'Capital Contributions'!EX32</f>
        <v>201771.96623413858</v>
      </c>
      <c r="EW70" s="7">
        <f>'Capital Contributions'!EY32</f>
        <v>197935.12822518905</v>
      </c>
      <c r="EX70" s="7">
        <f>'Capital Contributions'!EZ32</f>
        <v>194075.90866118731</v>
      </c>
      <c r="EY70" s="7">
        <f>'Capital Contributions'!FA32</f>
        <v>190194.17698306221</v>
      </c>
      <c r="EZ70" s="7">
        <f>'Capital Contributions'!FB32</f>
        <v>186289.80187014805</v>
      </c>
      <c r="FA70" s="7">
        <f>'Capital Contributions'!FC32</f>
        <v>182362.65123574188</v>
      </c>
      <c r="FB70" s="7">
        <f>'Capital Contributions'!FD32</f>
        <v>178412.59222263502</v>
      </c>
      <c r="FC70" s="7">
        <f>'Capital Contributions'!FE32</f>
        <v>174439.49119861834</v>
      </c>
      <c r="FD70" s="7">
        <f>'Capital Contributions'!FF32</f>
        <v>170443.21375196159</v>
      </c>
      <c r="FE70" s="7">
        <f>'Capital Contributions'!FG32</f>
        <v>166423.62468686601</v>
      </c>
      <c r="FF70" s="7">
        <f>'Capital Contributions'!FH32</f>
        <v>162380.5880188907</v>
      </c>
      <c r="FG70" s="7">
        <f>'Capital Contributions'!FI32</f>
        <v>158313.96697035222</v>
      </c>
      <c r="FH70" s="7">
        <f>'Capital Contributions'!FJ32</f>
        <v>154223.62396569728</v>
      </c>
      <c r="FI70" s="7">
        <f>'Capital Contributions'!FK32</f>
        <v>150109.4206268485</v>
      </c>
      <c r="FJ70" s="7">
        <f>'Capital Contributions'!FL32</f>
        <v>145971.21776852309</v>
      </c>
      <c r="FK70" s="7">
        <f>'Capital Contributions'!FM32</f>
        <v>141808.87539352413</v>
      </c>
      <c r="FL70" s="7">
        <f>'Capital Contributions'!FN32</f>
        <v>137622.25268800432</v>
      </c>
      <c r="FM70" s="7">
        <f>'Capital Contributions'!FO32</f>
        <v>133411.20801670232</v>
      </c>
      <c r="FN70" s="7">
        <f>'Capital Contributions'!FP32</f>
        <v>129175.59891815107</v>
      </c>
      <c r="FO70" s="7">
        <f>'Capital Contributions'!FQ32</f>
        <v>124915.28209985825</v>
      </c>
      <c r="FP70" s="7">
        <f>'Capital Contributions'!FR32</f>
        <v>120630.11343345873</v>
      </c>
      <c r="FQ70" s="7">
        <f>'Capital Contributions'!FS32</f>
        <v>116319.94794983855</v>
      </c>
      <c r="FR70" s="7">
        <f>'Capital Contributions'!FT32</f>
        <v>111984.63983423058</v>
      </c>
      <c r="FS70" s="7">
        <f>'Capital Contributions'!FU32</f>
        <v>107624.04242128159</v>
      </c>
      <c r="FT70" s="7">
        <f>'Capital Contributions'!FV32</f>
        <v>103238.00819009036</v>
      </c>
      <c r="FU70" s="7">
        <f>'Capital Contributions'!FW32</f>
        <v>98826.38875921721</v>
      </c>
      <c r="FV70" s="7">
        <f>'Capital Contributions'!FX32</f>
        <v>94389.03488166396</v>
      </c>
      <c r="FW70" s="7">
        <f>'Capital Contributions'!FY32</f>
        <v>89925.796439824975</v>
      </c>
      <c r="FX70" s="7">
        <f>'Capital Contributions'!FZ32</f>
        <v>85436.522440408589</v>
      </c>
      <c r="FY70" s="7">
        <f>'Capital Contributions'!GA32</f>
        <v>80921.061009328958</v>
      </c>
      <c r="FZ70" s="7">
        <f>'Capital Contributions'!GB32</f>
        <v>76379.259386568025</v>
      </c>
      <c r="GA70" s="7">
        <f>'Capital Contributions'!GC32</f>
        <v>71810.963921007657</v>
      </c>
      <c r="GB70" s="7">
        <f>'Capital Contributions'!GD32</f>
        <v>67216.020065231511</v>
      </c>
      <c r="GC70" s="7">
        <f>'Capital Contributions'!GE32</f>
        <v>62594.272370296669</v>
      </c>
      <c r="GD70" s="7">
        <f>'Capital Contributions'!GF32</f>
        <v>57945.564480474713</v>
      </c>
      <c r="GE70" s="7">
        <f>'Capital Contributions'!GG32</f>
        <v>53269.739127962122</v>
      </c>
      <c r="GF70" s="7">
        <f>'Capital Contributions'!GH32</f>
        <v>48566.638127559883</v>
      </c>
      <c r="GG70" s="7">
        <f>'Capital Contributions'!GI32</f>
        <v>43836.102371321969</v>
      </c>
      <c r="GH70" s="7">
        <f>'Capital Contributions'!GJ32</f>
        <v>39077.971823172658</v>
      </c>
      <c r="GI70" s="7">
        <f>'Capital Contributions'!GK32</f>
        <v>34292.085513492471</v>
      </c>
      <c r="GJ70" s="7">
        <f>'Capital Contributions'!GL32</f>
        <v>29478.281533672493</v>
      </c>
      <c r="GK70" s="7">
        <f>'Capital Contributions'!GM32</f>
        <v>24636.397030636897</v>
      </c>
      <c r="GL70" s="7">
        <f>'Capital Contributions'!GN32</f>
        <v>19766.268201333591</v>
      </c>
      <c r="GM70" s="7">
        <f>'Capital Contributions'!GO32</f>
        <v>14867.730287192682</v>
      </c>
      <c r="GN70" s="7">
        <f>'Capital Contributions'!GP32</f>
        <v>9940.6175685526214</v>
      </c>
      <c r="GO70" s="7">
        <f>'Capital Contributions'!GQ32</f>
        <v>4984.7633590538235</v>
      </c>
      <c r="GP70" s="7">
        <f>'Capital Contributions'!GR32</f>
        <v>0</v>
      </c>
      <c r="GQ70" s="7">
        <f>'Capital Contributions'!GS32</f>
        <v>0</v>
      </c>
      <c r="GR70" s="7">
        <f>'Capital Contributions'!GT32</f>
        <v>0</v>
      </c>
      <c r="GS70" s="7">
        <f>'Capital Contributions'!GU32</f>
        <v>0</v>
      </c>
      <c r="GT70" s="7">
        <f>'Capital Contributions'!GV32</f>
        <v>0</v>
      </c>
      <c r="GU70" s="7">
        <f>'Capital Contributions'!GW32</f>
        <v>0</v>
      </c>
      <c r="GV70" s="7">
        <f>'Capital Contributions'!GX32</f>
        <v>0</v>
      </c>
      <c r="GW70" s="7">
        <f>'Capital Contributions'!GY32</f>
        <v>0</v>
      </c>
      <c r="GX70" s="7">
        <f>'Capital Contributions'!GZ32</f>
        <v>0</v>
      </c>
      <c r="GY70" s="7">
        <f>'Capital Contributions'!HA32</f>
        <v>0</v>
      </c>
      <c r="GZ70" s="7">
        <f>'Capital Contributions'!HB32</f>
        <v>0</v>
      </c>
      <c r="HA70" s="7">
        <f>'Capital Contributions'!HC32</f>
        <v>0</v>
      </c>
      <c r="HB70" s="7">
        <f>'Capital Contributions'!HD32</f>
        <v>0</v>
      </c>
      <c r="HC70" s="7">
        <f>'Capital Contributions'!HE32</f>
        <v>0</v>
      </c>
      <c r="HD70" s="7">
        <f>'Capital Contributions'!HF32</f>
        <v>0</v>
      </c>
      <c r="HE70" s="7">
        <f>'Capital Contributions'!HG32</f>
        <v>0</v>
      </c>
      <c r="HF70" s="7">
        <f>'Capital Contributions'!HH32</f>
        <v>0</v>
      </c>
      <c r="HG70" s="7">
        <f>'Capital Contributions'!HI32</f>
        <v>0</v>
      </c>
      <c r="HH70" s="7">
        <f>'Capital Contributions'!HJ32</f>
        <v>0</v>
      </c>
      <c r="HI70" s="7">
        <f>'Capital Contributions'!HK32</f>
        <v>0</v>
      </c>
      <c r="HJ70" s="7">
        <f>'Capital Contributions'!HL32</f>
        <v>0</v>
      </c>
      <c r="HK70" s="7">
        <f>'Capital Contributions'!HM32</f>
        <v>0</v>
      </c>
      <c r="HL70" s="7">
        <f>'Capital Contributions'!HN32</f>
        <v>0</v>
      </c>
      <c r="HM70" s="7">
        <f>'Capital Contributions'!HO32</f>
        <v>0</v>
      </c>
      <c r="HN70" s="7">
        <f>'Capital Contributions'!HP32</f>
        <v>0</v>
      </c>
      <c r="HO70" s="7">
        <f>'Capital Contributions'!HQ32</f>
        <v>0</v>
      </c>
      <c r="HP70" s="7">
        <f>'Capital Contributions'!HR32</f>
        <v>0</v>
      </c>
      <c r="HQ70" s="7">
        <f>'Capital Contributions'!HS32</f>
        <v>0</v>
      </c>
      <c r="HR70" s="7">
        <f>'Capital Contributions'!HT32</f>
        <v>0</v>
      </c>
      <c r="HS70" s="7">
        <f>'Capital Contributions'!HU32</f>
        <v>0</v>
      </c>
      <c r="HT70" s="7">
        <f>'Capital Contributions'!HV32</f>
        <v>0</v>
      </c>
      <c r="HU70" s="7">
        <f>'Capital Contributions'!HW32</f>
        <v>0</v>
      </c>
      <c r="HV70" s="7">
        <f>'Capital Contributions'!HX32</f>
        <v>0</v>
      </c>
      <c r="HW70" s="7">
        <f>'Capital Contributions'!HY32</f>
        <v>0</v>
      </c>
      <c r="HX70" s="7">
        <f>'Capital Contributions'!HZ32</f>
        <v>0</v>
      </c>
      <c r="HY70" s="7">
        <f>'Capital Contributions'!IA32</f>
        <v>0</v>
      </c>
      <c r="HZ70" s="7">
        <f>'Capital Contributions'!IB32</f>
        <v>0</v>
      </c>
      <c r="IA70" s="7">
        <f>'Capital Contributions'!IC32</f>
        <v>0</v>
      </c>
      <c r="IB70" s="7">
        <f>'Capital Contributions'!ID32</f>
        <v>0</v>
      </c>
      <c r="IC70" s="7">
        <f>'Capital Contributions'!IE32</f>
        <v>0</v>
      </c>
      <c r="ID70" s="7">
        <f>'Capital Contributions'!IF32</f>
        <v>0</v>
      </c>
      <c r="IE70" s="7">
        <f>'Capital Contributions'!IG32</f>
        <v>0</v>
      </c>
      <c r="IF70" s="7">
        <f>'Capital Contributions'!IH32</f>
        <v>0</v>
      </c>
      <c r="IG70" s="7">
        <f>'Capital Contributions'!II32</f>
        <v>0</v>
      </c>
      <c r="IH70" s="7">
        <f>'Capital Contributions'!IJ32</f>
        <v>0</v>
      </c>
      <c r="II70" s="7">
        <f>'Capital Contributions'!IK32</f>
        <v>0</v>
      </c>
      <c r="IJ70" s="7">
        <f>'Capital Contributions'!IL32</f>
        <v>0</v>
      </c>
      <c r="IK70" s="7">
        <f>'Capital Contributions'!IM32</f>
        <v>0</v>
      </c>
      <c r="IL70" s="7">
        <f>'Capital Contributions'!IN32</f>
        <v>0</v>
      </c>
      <c r="IM70" s="7">
        <f>'Capital Contributions'!IO32</f>
        <v>0</v>
      </c>
      <c r="IN70" s="7">
        <f>'Capital Contributions'!IP32</f>
        <v>0</v>
      </c>
      <c r="IO70" s="7">
        <f>'Capital Contributions'!IQ32</f>
        <v>0</v>
      </c>
      <c r="IP70" s="7">
        <f>'Capital Contributions'!IR32</f>
        <v>0</v>
      </c>
      <c r="IQ70" s="7">
        <f>'Capital Contributions'!IS32</f>
        <v>0</v>
      </c>
      <c r="IR70" s="7">
        <f>'Capital Contributions'!IT32</f>
        <v>0</v>
      </c>
      <c r="IS70" s="7">
        <f>'Capital Contributions'!IU32</f>
        <v>0</v>
      </c>
      <c r="IT70" s="7">
        <f>'Capital Contributions'!IV32</f>
        <v>0</v>
      </c>
      <c r="IU70" s="7">
        <f>'Capital Contributions'!IW32</f>
        <v>0</v>
      </c>
      <c r="IV70" s="7">
        <f>'Capital Contributions'!IX32</f>
        <v>0</v>
      </c>
      <c r="IW70" s="7">
        <f>'Capital Contributions'!IY32</f>
        <v>0</v>
      </c>
      <c r="IX70" s="7">
        <f>'Capital Contributions'!IZ32</f>
        <v>0</v>
      </c>
      <c r="IY70" s="7">
        <f>'Capital Contributions'!JA32</f>
        <v>0</v>
      </c>
      <c r="IZ70" s="7">
        <f>'Capital Contributions'!JB32</f>
        <v>0</v>
      </c>
      <c r="JA70" s="7">
        <f>'Capital Contributions'!JC32</f>
        <v>0</v>
      </c>
      <c r="JB70" s="7">
        <f>'Capital Contributions'!JD32</f>
        <v>0</v>
      </c>
      <c r="JC70" s="7">
        <f>'Capital Contributions'!JE32</f>
        <v>0</v>
      </c>
      <c r="JD70" s="7">
        <f>'Capital Contributions'!JF32</f>
        <v>0</v>
      </c>
      <c r="JE70" s="7">
        <f>'Capital Contributions'!JG32</f>
        <v>0</v>
      </c>
      <c r="JF70" s="7">
        <f>'Capital Contributions'!JH32</f>
        <v>0</v>
      </c>
      <c r="JG70" s="7">
        <f>'Capital Contributions'!JI32</f>
        <v>0</v>
      </c>
      <c r="JH70" s="7">
        <f>'Capital Contributions'!JJ32</f>
        <v>0</v>
      </c>
      <c r="JI70" s="7">
        <f>'Capital Contributions'!JK32</f>
        <v>0</v>
      </c>
      <c r="JJ70" s="7">
        <f>'Capital Contributions'!JL32</f>
        <v>0</v>
      </c>
      <c r="JK70" s="7">
        <f>'Capital Contributions'!JM32</f>
        <v>0</v>
      </c>
      <c r="JL70" s="7">
        <f>'Capital Contributions'!JN32</f>
        <v>0</v>
      </c>
      <c r="JM70" s="7">
        <f>'Capital Contributions'!JO32</f>
        <v>0</v>
      </c>
      <c r="JN70" s="7">
        <f>'Capital Contributions'!JP32</f>
        <v>0</v>
      </c>
      <c r="JO70" s="7">
        <f>'Capital Contributions'!JQ32</f>
        <v>0</v>
      </c>
      <c r="JP70" s="7">
        <f>'Capital Contributions'!JR32</f>
        <v>0</v>
      </c>
      <c r="JQ70" s="7">
        <f>'Capital Contributions'!JS32</f>
        <v>0</v>
      </c>
      <c r="JR70" s="7">
        <f>'Capital Contributions'!JT32</f>
        <v>0</v>
      </c>
    </row>
    <row r="71" spans="2:278" x14ac:dyDescent="0.2">
      <c r="I71" s="20"/>
      <c r="U71" s="20"/>
      <c r="AG71" s="20"/>
    </row>
    <row r="72" spans="2:278" x14ac:dyDescent="0.2">
      <c r="B72" s="60" t="s">
        <v>128</v>
      </c>
      <c r="C72" s="61">
        <f>C68-C70</f>
        <v>-751857.530441407</v>
      </c>
      <c r="D72" s="61">
        <f t="shared" ref="D72:BO72" si="538">D68-D70</f>
        <v>-948893.02905530925</v>
      </c>
      <c r="E72" s="61">
        <f t="shared" si="538"/>
        <v>-1034068.0691139193</v>
      </c>
      <c r="F72" s="61">
        <f t="shared" si="538"/>
        <v>-1096340.0237771731</v>
      </c>
      <c r="G72" s="61">
        <f t="shared" si="538"/>
        <v>-1178117.2898574094</v>
      </c>
      <c r="H72" s="61">
        <f t="shared" si="538"/>
        <v>-1307033.0668461528</v>
      </c>
      <c r="I72" s="61">
        <f>I68-I70</f>
        <v>-1440964.8925732085</v>
      </c>
      <c r="J72" s="61">
        <f t="shared" si="538"/>
        <v>-1557122.7496823799</v>
      </c>
      <c r="K72" s="61">
        <f t="shared" si="538"/>
        <v>-1660025.9329952977</v>
      </c>
      <c r="L72" s="61">
        <f t="shared" si="538"/>
        <v>-1749555.0092197431</v>
      </c>
      <c r="M72" s="61">
        <f t="shared" si="538"/>
        <v>-1828908.9067456364</v>
      </c>
      <c r="N72" s="61">
        <f t="shared" si="538"/>
        <v>-1925152.6477794694</v>
      </c>
      <c r="O72" s="61">
        <f t="shared" si="538"/>
        <v>-2006259.1657289483</v>
      </c>
      <c r="P72" s="61">
        <f t="shared" si="538"/>
        <v>-2006259.1657289483</v>
      </c>
      <c r="Q72" s="61">
        <f t="shared" si="538"/>
        <v>-2006259.1657289483</v>
      </c>
      <c r="R72" s="61">
        <f t="shared" si="538"/>
        <v>-1213635.2408353915</v>
      </c>
      <c r="S72" s="61">
        <f t="shared" si="538"/>
        <v>-1049466.7655459703</v>
      </c>
      <c r="T72" s="61">
        <f t="shared" si="538"/>
        <v>-1189716.9864817988</v>
      </c>
      <c r="U72" s="61">
        <f t="shared" si="538"/>
        <v>-1018244.6751644639</v>
      </c>
      <c r="V72" s="61">
        <f t="shared" si="538"/>
        <v>-1012620.412861164</v>
      </c>
      <c r="W72" s="61">
        <f t="shared" si="538"/>
        <v>-1153526.841194018</v>
      </c>
      <c r="X72" s="61">
        <f t="shared" si="538"/>
        <v>-987844.19512373232</v>
      </c>
      <c r="Y72" s="61">
        <f t="shared" si="538"/>
        <v>-1129189.287975044</v>
      </c>
      <c r="Z72" s="61">
        <f t="shared" si="538"/>
        <v>-962896.54775641905</v>
      </c>
      <c r="AA72" s="61">
        <f t="shared" si="538"/>
        <v>-733261.91640031477</v>
      </c>
      <c r="AB72" s="61">
        <f t="shared" si="538"/>
        <v>-1184440.6679162164</v>
      </c>
      <c r="AC72" s="61">
        <f t="shared" si="538"/>
        <v>-708054.12022488611</v>
      </c>
      <c r="AD72" s="61">
        <f t="shared" si="538"/>
        <v>938479.18292621453</v>
      </c>
      <c r="AE72" s="61">
        <f t="shared" si="538"/>
        <v>1165940.9896200215</v>
      </c>
      <c r="AF72" s="61">
        <f t="shared" si="538"/>
        <v>963420.45880853105</v>
      </c>
      <c r="AG72" s="61">
        <f t="shared" si="538"/>
        <v>1191501.3505743276</v>
      </c>
      <c r="AH72" s="61">
        <f t="shared" si="538"/>
        <v>1204348.4634021106</v>
      </c>
      <c r="AI72" s="61">
        <f t="shared" si="538"/>
        <v>1001163.1975864745</v>
      </c>
      <c r="AJ72" s="61">
        <f t="shared" si="538"/>
        <v>1230177.6003270717</v>
      </c>
      <c r="AK72" s="61">
        <f t="shared" si="538"/>
        <v>1026548.0068156718</v>
      </c>
      <c r="AL72" s="61">
        <f t="shared" si="538"/>
        <v>1256188.0276311217</v>
      </c>
      <c r="AM72" s="61">
        <f t="shared" si="538"/>
        <v>1301747.2435203765</v>
      </c>
      <c r="AN72" s="61">
        <f t="shared" si="538"/>
        <v>662614.35471860552</v>
      </c>
      <c r="AO72" s="61">
        <f t="shared" si="538"/>
        <v>1328032.8118786034</v>
      </c>
      <c r="AP72" s="61">
        <f t="shared" si="538"/>
        <v>1310628.0256900832</v>
      </c>
      <c r="AQ72" s="61">
        <f t="shared" si="538"/>
        <v>1520436.9322233321</v>
      </c>
      <c r="AR72" s="61">
        <f t="shared" si="538"/>
        <v>1315521.4206236957</v>
      </c>
      <c r="AS72" s="61">
        <f t="shared" si="538"/>
        <v>1547649.0077106024</v>
      </c>
      <c r="AT72" s="61">
        <f t="shared" si="538"/>
        <v>1561326.5450466755</v>
      </c>
      <c r="AU72" s="61">
        <f t="shared" si="538"/>
        <v>1355739.3242962146</v>
      </c>
      <c r="AV72" s="61">
        <f t="shared" si="538"/>
        <v>1588825.7395474976</v>
      </c>
      <c r="AW72" s="61">
        <f t="shared" si="538"/>
        <v>1382789.5711805196</v>
      </c>
      <c r="AX72" s="61">
        <f t="shared" si="538"/>
        <v>1616518.602226445</v>
      </c>
      <c r="AY72" s="61">
        <f t="shared" si="538"/>
        <v>1665272.0935758394</v>
      </c>
      <c r="AZ72" s="61">
        <f t="shared" si="538"/>
        <v>1237880.7772205928</v>
      </c>
      <c r="BA72" s="61">
        <f t="shared" si="538"/>
        <v>1693258.8909587455</v>
      </c>
      <c r="BB72" s="61">
        <f t="shared" si="538"/>
        <v>1486096.3858074651</v>
      </c>
      <c r="BC72" s="61">
        <f t="shared" si="538"/>
        <v>1721443.9622033618</v>
      </c>
      <c r="BD72" s="61">
        <f t="shared" si="538"/>
        <v>1513829.3455288815</v>
      </c>
      <c r="BE72" s="61">
        <f t="shared" si="538"/>
        <v>1749829.1848046742</v>
      </c>
      <c r="BF72" s="61">
        <f t="shared" si="538"/>
        <v>1764097.4451729304</v>
      </c>
      <c r="BG72" s="61">
        <f t="shared" si="538"/>
        <v>1555802.9844656258</v>
      </c>
      <c r="BH72" s="61">
        <f t="shared" si="538"/>
        <v>1792786.4599608043</v>
      </c>
      <c r="BI72" s="61">
        <f t="shared" si="538"/>
        <v>1584037.6581994148</v>
      </c>
      <c r="BJ72" s="61">
        <f t="shared" si="538"/>
        <v>1821680.4099253369</v>
      </c>
      <c r="BK72" s="61">
        <f t="shared" si="538"/>
        <v>1873556.8512392507</v>
      </c>
      <c r="BL72" s="61">
        <f t="shared" si="538"/>
        <v>1216108.1389359247</v>
      </c>
      <c r="BM72" s="61">
        <f t="shared" si="538"/>
        <v>1902761.8672085293</v>
      </c>
      <c r="BN72" s="61">
        <f t="shared" si="538"/>
        <v>1692873.3536097626</v>
      </c>
      <c r="BO72" s="61">
        <f t="shared" si="538"/>
        <v>1932176.7338338315</v>
      </c>
      <c r="BP72" s="61">
        <f t="shared" ref="BP72:CS72" si="539">BP68-BP70</f>
        <v>1721830.8036424727</v>
      </c>
      <c r="BQ72" s="61">
        <f t="shared" si="539"/>
        <v>1961803.4550201742</v>
      </c>
      <c r="BR72" s="61">
        <f t="shared" si="539"/>
        <v>1976696.8932813774</v>
      </c>
      <c r="BS72" s="61">
        <f t="shared" si="539"/>
        <v>1765663.2114805386</v>
      </c>
      <c r="BT72" s="61">
        <f t="shared" si="539"/>
        <v>2006645.2016532624</v>
      </c>
      <c r="BU72" s="61">
        <f t="shared" si="539"/>
        <v>1795151.9413198542</v>
      </c>
      <c r="BV72" s="61">
        <f t="shared" si="539"/>
        <v>2036810.4708062534</v>
      </c>
      <c r="BW72" s="61">
        <f t="shared" si="539"/>
        <v>2092027.3019770924</v>
      </c>
      <c r="BX72" s="61">
        <f t="shared" si="539"/>
        <v>1425035.2718235306</v>
      </c>
      <c r="BY72" s="61">
        <f t="shared" si="539"/>
        <v>2122521.9226772506</v>
      </c>
      <c r="BZ72" s="61">
        <f t="shared" si="539"/>
        <v>1909875.9811751938</v>
      </c>
      <c r="CA72" s="61">
        <f t="shared" si="539"/>
        <v>2153238.7513585724</v>
      </c>
      <c r="CB72" s="61">
        <f t="shared" si="539"/>
        <v>1940130.2569398684</v>
      </c>
      <c r="CC72" s="61">
        <f t="shared" si="539"/>
        <v>2184179.9272850943</v>
      </c>
      <c r="CD72" s="61">
        <f t="shared" si="539"/>
        <v>2199735.3203967405</v>
      </c>
      <c r="CE72" s="61">
        <f t="shared" si="539"/>
        <v>1985931.4269816272</v>
      </c>
      <c r="CF72" s="61">
        <f t="shared" si="539"/>
        <v>2231017.079734901</v>
      </c>
      <c r="CG72" s="61">
        <f t="shared" si="539"/>
        <v>2016748.5485561753</v>
      </c>
      <c r="CH72" s="61">
        <f>CH68-CH70</f>
        <v>2262528.637768981</v>
      </c>
      <c r="CI72" s="61">
        <f t="shared" si="539"/>
        <v>2309414.0854648054</v>
      </c>
      <c r="CJ72" s="61">
        <f t="shared" si="539"/>
        <v>1632711.1267784862</v>
      </c>
      <c r="CK72" s="61">
        <f t="shared" si="539"/>
        <v>2341274.5165603613</v>
      </c>
      <c r="CL72" s="61">
        <f t="shared" si="539"/>
        <v>2125840.7976293182</v>
      </c>
      <c r="CM72" s="61">
        <f t="shared" si="539"/>
        <v>2373370.3487729314</v>
      </c>
      <c r="CN72" s="61">
        <f t="shared" si="539"/>
        <v>2157469.1326883133</v>
      </c>
      <c r="CO72" s="61">
        <f t="shared" si="539"/>
        <v>2405703.866317654</v>
      </c>
      <c r="CP72" s="61">
        <f t="shared" si="539"/>
        <v>2421960.4777728133</v>
      </c>
      <c r="CQ72" s="61">
        <f t="shared" si="539"/>
        <v>2205356.5110882176</v>
      </c>
      <c r="CR72" s="61">
        <f t="shared" si="539"/>
        <v>2454654.8612891156</v>
      </c>
      <c r="CS72" s="61">
        <f t="shared" si="539"/>
        <v>2237581.3999791532</v>
      </c>
      <c r="CT72" s="61">
        <f>CT68-CT70</f>
        <v>2487592.7512902832</v>
      </c>
      <c r="CU72" s="61">
        <f t="shared" ref="CU72:DE72" si="540">CU68-CU70</f>
        <v>2538301.2352300137</v>
      </c>
      <c r="CV72" s="61">
        <f t="shared" si="540"/>
        <v>1851718.1603652509</v>
      </c>
      <c r="CW72" s="61">
        <f t="shared" si="540"/>
        <v>2571608.8433827669</v>
      </c>
      <c r="CX72" s="61">
        <f t="shared" si="540"/>
        <v>5385835.4116570335</v>
      </c>
      <c r="CY72" s="61">
        <f t="shared" si="540"/>
        <v>5637643.1403174708</v>
      </c>
      <c r="CZ72" s="61">
        <f t="shared" si="540"/>
        <v>5418920.2850769321</v>
      </c>
      <c r="DA72" s="61">
        <f t="shared" si="540"/>
        <v>5671452.1665509939</v>
      </c>
      <c r="DB72" s="61">
        <f t="shared" si="540"/>
        <v>5688451.9226350896</v>
      </c>
      <c r="DC72" s="61">
        <f t="shared" si="540"/>
        <v>5469019.2994797882</v>
      </c>
      <c r="DD72" s="61">
        <f t="shared" si="540"/>
        <v>5722643.4749580324</v>
      </c>
      <c r="DE72" s="61">
        <f t="shared" si="540"/>
        <v>5502736.7287772857</v>
      </c>
      <c r="DF72" s="61">
        <f>DF68-DF70</f>
        <v>5757093.173130529</v>
      </c>
      <c r="DG72" s="61">
        <f t="shared" ref="DG72:DQ72" si="541">DG68-DG70</f>
        <v>5811892.2218660815</v>
      </c>
      <c r="DH72" s="61">
        <f t="shared" si="541"/>
        <v>5115258.3649288053</v>
      </c>
      <c r="DI72" s="61">
        <f t="shared" si="541"/>
        <v>5846733.9007575568</v>
      </c>
      <c r="DJ72" s="61">
        <f t="shared" si="541"/>
        <v>5625638.5937595386</v>
      </c>
      <c r="DK72" s="61">
        <f t="shared" si="541"/>
        <v>5881840.1157412166</v>
      </c>
      <c r="DL72" s="61">
        <f t="shared" si="541"/>
        <v>5660268.1024483871</v>
      </c>
      <c r="DM72" s="61">
        <f t="shared" si="541"/>
        <v>5917213.4725184217</v>
      </c>
      <c r="DN72" s="61">
        <f t="shared" si="541"/>
        <v>5935001.1512368666</v>
      </c>
      <c r="DO72" s="61">
        <f t="shared" si="541"/>
        <v>5712712.7286378313</v>
      </c>
      <c r="DP72" s="61">
        <f t="shared" si="541"/>
        <v>5970780.1695621591</v>
      </c>
      <c r="DQ72" s="61">
        <f t="shared" si="541"/>
        <v>5748013.2522092173</v>
      </c>
      <c r="DR72" s="61">
        <f>DR68-DR70</f>
        <v>6006832.9708155263</v>
      </c>
      <c r="DS72" s="61">
        <f t="shared" ref="DS72:EC72" si="542">DS68-DS70</f>
        <v>6066009.2719179019</v>
      </c>
      <c r="DT72" s="61">
        <f t="shared" si="542"/>
        <v>5359152.5989098288</v>
      </c>
      <c r="DU72" s="61">
        <f t="shared" si="542"/>
        <v>6102477.8345885212</v>
      </c>
      <c r="DV72" s="61">
        <f t="shared" si="542"/>
        <v>5878511.6288195886</v>
      </c>
      <c r="DW72" s="61">
        <f t="shared" si="542"/>
        <v>6139227.0067831352</v>
      </c>
      <c r="DX72" s="61">
        <f t="shared" si="542"/>
        <v>5914779.8866414931</v>
      </c>
      <c r="DY72" s="61">
        <f t="shared" si="542"/>
        <v>6176259.5722701391</v>
      </c>
      <c r="DZ72" s="61">
        <f t="shared" si="542"/>
        <v>6194883.0058613745</v>
      </c>
      <c r="EA72" s="61">
        <f t="shared" si="542"/>
        <v>5969713.2559422776</v>
      </c>
      <c r="EB72" s="61">
        <f t="shared" si="542"/>
        <v>6232345.9485111516</v>
      </c>
      <c r="EC72" s="61">
        <f t="shared" si="542"/>
        <v>6006693.6192665547</v>
      </c>
      <c r="ED72" s="61">
        <f>ED68-ED70</f>
        <v>6270099.3797761714</v>
      </c>
      <c r="EE72" s="61">
        <f t="shared" ref="EE72:EO72" si="543">EE68-EE70</f>
        <v>6308870.6414134642</v>
      </c>
      <c r="EF72" s="61">
        <f t="shared" si="543"/>
        <v>5591617.8727184907</v>
      </c>
      <c r="EG72" s="61">
        <f t="shared" si="543"/>
        <v>6347065.2408179669</v>
      </c>
      <c r="EH72" s="61">
        <f t="shared" si="543"/>
        <v>6120203.6368491706</v>
      </c>
      <c r="EI72" s="61">
        <f t="shared" si="543"/>
        <v>6378836.0520902053</v>
      </c>
      <c r="EJ72" s="61">
        <f t="shared" si="543"/>
        <v>6144728.8518448118</v>
      </c>
      <c r="EK72" s="61">
        <f t="shared" si="543"/>
        <v>6404068.1935211886</v>
      </c>
      <c r="EL72" s="61">
        <f t="shared" si="543"/>
        <v>6416738.5998326475</v>
      </c>
      <c r="EM72" s="61">
        <f t="shared" si="543"/>
        <v>6181784.0137152057</v>
      </c>
      <c r="EN72" s="61">
        <f t="shared" si="543"/>
        <v>6442188.8220497062</v>
      </c>
      <c r="EO72" s="61">
        <f t="shared" si="543"/>
        <v>6206667.3938592849</v>
      </c>
      <c r="EP72" s="61">
        <f>EP68-EP70</f>
        <v>6467785.9170744242</v>
      </c>
      <c r="EQ72" s="61">
        <f t="shared" ref="EQ72:FA72" si="544">EQ68-EQ70</f>
        <v>6489726.0608864455</v>
      </c>
      <c r="ER72" s="61">
        <f t="shared" si="544"/>
        <v>5754820.0069127902</v>
      </c>
      <c r="ES72" s="61">
        <f t="shared" si="544"/>
        <v>6515545.7240338158</v>
      </c>
      <c r="ET72" s="61">
        <f t="shared" si="544"/>
        <v>6278600.4697465664</v>
      </c>
      <c r="EU72" s="61">
        <f t="shared" si="544"/>
        <v>6541515.2899035234</v>
      </c>
      <c r="EV72" s="61">
        <f t="shared" si="544"/>
        <v>6303997.8143388415</v>
      </c>
      <c r="EW72" s="61">
        <f t="shared" si="544"/>
        <v>6567635.9922835222</v>
      </c>
      <c r="EX72" s="61">
        <f t="shared" si="544"/>
        <v>6580753.4086869517</v>
      </c>
      <c r="EY72" s="61">
        <f t="shared" si="544"/>
        <v>6342374.715436154</v>
      </c>
      <c r="EZ72" s="61">
        <f t="shared" si="544"/>
        <v>6607103.156961468</v>
      </c>
      <c r="FA72" s="61">
        <f t="shared" si="544"/>
        <v>6368148.3935694555</v>
      </c>
      <c r="FB72" s="61">
        <f>FB68-FB70</f>
        <v>6633607.1820037905</v>
      </c>
      <c r="FC72" s="61">
        <f t="shared" ref="FC72:FM72" si="545">FC68-FC70</f>
        <v>6657521.0253146365</v>
      </c>
      <c r="FD72" s="61">
        <f t="shared" si="545"/>
        <v>5911357.1209849613</v>
      </c>
      <c r="FE72" s="61">
        <f t="shared" si="545"/>
        <v>6684258.867364726</v>
      </c>
      <c r="FF72" s="61">
        <f t="shared" si="545"/>
        <v>6443857.1857350068</v>
      </c>
      <c r="FG72" s="61">
        <f t="shared" si="545"/>
        <v>6711154.2079409715</v>
      </c>
      <c r="FH72" s="61">
        <f t="shared" si="545"/>
        <v>6470171.060139616</v>
      </c>
      <c r="FI72" s="61">
        <f t="shared" si="545"/>
        <v>6738208.3590823887</v>
      </c>
      <c r="FJ72" s="61">
        <f t="shared" si="545"/>
        <v>6751795.4023308987</v>
      </c>
      <c r="FK72" s="61">
        <f t="shared" si="545"/>
        <v>6509937.1618044376</v>
      </c>
      <c r="FL72" s="61">
        <f t="shared" si="545"/>
        <v>6779090.2590975529</v>
      </c>
      <c r="FM72" s="61">
        <f t="shared" si="545"/>
        <v>6536646.6937087839</v>
      </c>
      <c r="FN72" s="61">
        <f>FN68-FN70</f>
        <v>6806547.2661865847</v>
      </c>
      <c r="FO72" s="61">
        <f t="shared" ref="FO72:FY72" si="546">FO68-FO70</f>
        <v>6844472.4701065505</v>
      </c>
      <c r="FP72" s="61">
        <f t="shared" si="546"/>
        <v>6086837.5587506937</v>
      </c>
      <c r="FQ72" s="61">
        <f t="shared" si="546"/>
        <v>6872175.257400373</v>
      </c>
      <c r="FR72" s="61">
        <f t="shared" si="546"/>
        <v>6628261.6227730345</v>
      </c>
      <c r="FS72" s="61">
        <f t="shared" si="546"/>
        <v>6900043.6219349522</v>
      </c>
      <c r="FT72" s="61">
        <f t="shared" si="546"/>
        <v>6655539.2558796313</v>
      </c>
      <c r="FU72" s="61">
        <f t="shared" si="546"/>
        <v>6928078.9594350345</v>
      </c>
      <c r="FV72" s="61">
        <f t="shared" si="546"/>
        <v>6942159.6831722949</v>
      </c>
      <c r="FW72" s="61">
        <f t="shared" si="546"/>
        <v>6696766.3223073119</v>
      </c>
      <c r="FX72" s="61">
        <f t="shared" si="546"/>
        <v>6970448.128874233</v>
      </c>
      <c r="FY72" s="61">
        <f t="shared" si="546"/>
        <v>6724460.1727693332</v>
      </c>
      <c r="FZ72" s="61">
        <f>FZ68-FZ70</f>
        <v>6998907.1006618906</v>
      </c>
      <c r="GA72" s="61">
        <f t="shared" ref="GA72:GK72" si="547">GA68-GA70</f>
        <v>7039081.2100438718</v>
      </c>
      <c r="GB72" s="61">
        <f t="shared" si="547"/>
        <v>6269758.847753928</v>
      </c>
      <c r="GC72" s="61">
        <f t="shared" si="547"/>
        <v>7067798.6891755555</v>
      </c>
      <c r="GD72" s="61">
        <f t="shared" si="547"/>
        <v>6820317.4822128322</v>
      </c>
      <c r="GE72" s="61">
        <f t="shared" si="547"/>
        <v>7096690.3407391896</v>
      </c>
      <c r="GF72" s="61">
        <f t="shared" si="547"/>
        <v>6848609.128332587</v>
      </c>
      <c r="GG72" s="61">
        <f t="shared" si="547"/>
        <v>7125757.6499683056</v>
      </c>
      <c r="GH72" s="61">
        <f t="shared" si="547"/>
        <v>7140357.6445799759</v>
      </c>
      <c r="GI72" s="61">
        <f t="shared" si="547"/>
        <v>6891373.5259721363</v>
      </c>
      <c r="GJ72" s="61">
        <f t="shared" si="547"/>
        <v>7169691.2591028837</v>
      </c>
      <c r="GK72" s="61">
        <f t="shared" si="547"/>
        <v>6920103.271273057</v>
      </c>
      <c r="GL72" s="61">
        <f>GL68-GL70</f>
        <v>7199204.3126286929</v>
      </c>
      <c r="GM72" s="61">
        <f t="shared" ref="GM72:GW72" si="548">GM68-GM70</f>
        <v>7223064.6180540258</v>
      </c>
      <c r="GN72" s="61">
        <f t="shared" si="548"/>
        <v>6441835.0806983104</v>
      </c>
      <c r="GO72" s="61">
        <f t="shared" si="548"/>
        <v>7252849.7231827443</v>
      </c>
      <c r="GP72" s="61">
        <f t="shared" si="548"/>
        <v>7001745.3031964516</v>
      </c>
      <c r="GQ72" s="61">
        <f t="shared" si="548"/>
        <v>7277804.3072309811</v>
      </c>
      <c r="GR72" s="61">
        <f t="shared" si="548"/>
        <v>7021047.52317857</v>
      </c>
      <c r="GS72" s="61">
        <f t="shared" si="548"/>
        <v>7297842.0383505393</v>
      </c>
      <c r="GT72" s="61">
        <f t="shared" si="548"/>
        <v>7307886.4417623505</v>
      </c>
      <c r="GU72" s="61">
        <f t="shared" si="548"/>
        <v>7050124.0803624503</v>
      </c>
      <c r="GV72" s="61">
        <f t="shared" si="548"/>
        <v>7328026.4675902678</v>
      </c>
      <c r="GW72" s="61">
        <f t="shared" si="548"/>
        <v>7069590.9262639526</v>
      </c>
      <c r="GX72" s="61">
        <f>GX68-GX70</f>
        <v>7348234.9770511435</v>
      </c>
      <c r="GY72" s="61">
        <f t="shared" ref="GY72:HI72" si="549">GY68-GY70</f>
        <v>7358364.9851847216</v>
      </c>
      <c r="GZ72" s="61">
        <f t="shared" si="549"/>
        <v>6559721.9867711766</v>
      </c>
      <c r="HA72" s="61">
        <f t="shared" si="549"/>
        <v>7378676.6527621662</v>
      </c>
      <c r="HB72" s="61">
        <f t="shared" si="549"/>
        <v>7118548.3245659219</v>
      </c>
      <c r="HC72" s="61">
        <f t="shared" si="549"/>
        <v>7399057.3819903005</v>
      </c>
      <c r="HD72" s="61">
        <f t="shared" si="549"/>
        <v>7138247.9845223464</v>
      </c>
      <c r="HE72" s="61">
        <f t="shared" si="549"/>
        <v>7419507.4054334853</v>
      </c>
      <c r="HF72" s="61">
        <f t="shared" si="549"/>
        <v>7429758.4753751494</v>
      </c>
      <c r="HG72" s="61">
        <f t="shared" si="549"/>
        <v>7167923.2134374855</v>
      </c>
      <c r="HH72" s="61">
        <f t="shared" si="549"/>
        <v>7450312.8779048976</v>
      </c>
      <c r="HI72" s="61">
        <f t="shared" si="549"/>
        <v>7187790.8548904601</v>
      </c>
      <c r="HJ72" s="61">
        <f>HJ68-HJ70</f>
        <v>7470937.1594765028</v>
      </c>
      <c r="HK72" s="61">
        <f t="shared" ref="HK72:HU72" si="550">HK68-HK70</f>
        <v>7481275.5784047041</v>
      </c>
      <c r="HL72" s="61">
        <f t="shared" si="550"/>
        <v>6669894.2420069268</v>
      </c>
      <c r="HM72" s="61">
        <f t="shared" si="550"/>
        <v>7502005.1199803259</v>
      </c>
      <c r="HN72" s="61">
        <f t="shared" si="550"/>
        <v>7237756.1587133063</v>
      </c>
      <c r="HO72" s="61">
        <f t="shared" si="550"/>
        <v>7522805.1303371647</v>
      </c>
      <c r="HP72" s="61">
        <f t="shared" si="550"/>
        <v>7257861.3594450494</v>
      </c>
      <c r="HQ72" s="61">
        <f t="shared" si="550"/>
        <v>7543675.8467556974</v>
      </c>
      <c r="HR72" s="61">
        <f t="shared" si="550"/>
        <v>7554137.7941056304</v>
      </c>
      <c r="HS72" s="61">
        <f t="shared" si="550"/>
        <v>7288147.4622376263</v>
      </c>
      <c r="HT72" s="61">
        <f t="shared" si="550"/>
        <v>7575115.0162579166</v>
      </c>
      <c r="HU72" s="61">
        <f t="shared" si="550"/>
        <v>7308424.0681018438</v>
      </c>
      <c r="HV72" s="61">
        <f>HV68-HV70</f>
        <v>7596163.5411580987</v>
      </c>
      <c r="HW72" s="61">
        <f t="shared" ref="HW72:IG72" si="551">HW68-HW70</f>
        <v>7606714.6171308383</v>
      </c>
      <c r="HX72" s="61">
        <f t="shared" si="551"/>
        <v>6782337.8672494721</v>
      </c>
      <c r="HY72" s="61">
        <f t="shared" si="551"/>
        <v>7627870.5465457058</v>
      </c>
      <c r="HZ72" s="61">
        <f t="shared" si="551"/>
        <v>7359417.8195957979</v>
      </c>
      <c r="IA72" s="61">
        <f t="shared" si="551"/>
        <v>7649098.3804066097</v>
      </c>
      <c r="IB72" s="61">
        <f t="shared" si="551"/>
        <v>7379936.826204245</v>
      </c>
      <c r="IC72" s="61">
        <f t="shared" si="551"/>
        <v>7670398.3608055497</v>
      </c>
      <c r="ID72" s="61">
        <f t="shared" si="551"/>
        <v>7681075.4818323068</v>
      </c>
      <c r="IE72" s="61">
        <f t="shared" si="551"/>
        <v>7410846.2525017699</v>
      </c>
      <c r="IF72" s="61">
        <f t="shared" si="551"/>
        <v>7702484.1377363289</v>
      </c>
      <c r="IG72" s="61">
        <f t="shared" si="551"/>
        <v>7431540.1573143965</v>
      </c>
      <c r="IH72" s="61">
        <f>IH68-IH70</f>
        <v>7723965.5489639044</v>
      </c>
      <c r="II72" s="61">
        <f t="shared" ref="II72:IS72" si="552">II68-II70</f>
        <v>7734733.6143368483</v>
      </c>
      <c r="IJ72" s="61">
        <f t="shared" si="552"/>
        <v>6897099.186967507</v>
      </c>
      <c r="IK72" s="61">
        <f t="shared" si="552"/>
        <v>7756324.6180753186</v>
      </c>
      <c r="IL72" s="61">
        <f t="shared" si="552"/>
        <v>7483583.3152511269</v>
      </c>
      <c r="IM72" s="61">
        <f t="shared" si="552"/>
        <v>7777988.9910361962</v>
      </c>
      <c r="IN72" s="61">
        <f t="shared" si="552"/>
        <v>7504524.560462296</v>
      </c>
      <c r="IO72" s="61">
        <f t="shared" si="552"/>
        <v>7799726.9802203504</v>
      </c>
      <c r="IP72" s="61">
        <f t="shared" si="552"/>
        <v>7810623.6583101898</v>
      </c>
      <c r="IQ72" s="61">
        <f t="shared" si="552"/>
        <v>7536070.0123807909</v>
      </c>
      <c r="IR72" s="61">
        <f t="shared" si="552"/>
        <v>7832472.5367673282</v>
      </c>
      <c r="IS72" s="61">
        <f t="shared" si="552"/>
        <v>7557189.7197084744</v>
      </c>
      <c r="IT72" s="61">
        <f>IT68-IT70</f>
        <v>7854395.6525773546</v>
      </c>
      <c r="IU72" s="61">
        <f t="shared" ref="IU72:JE72" si="553">IU68-IU70</f>
        <v>7865385.1275539286</v>
      </c>
      <c r="IV72" s="61">
        <f t="shared" si="553"/>
        <v>7014225.4654645454</v>
      </c>
      <c r="IW72" s="61">
        <f t="shared" si="553"/>
        <v>7887420.0682363296</v>
      </c>
      <c r="IX72" s="61">
        <f t="shared" si="553"/>
        <v>7610303.6679103477</v>
      </c>
      <c r="IY72" s="61">
        <f t="shared" si="553"/>
        <v>7909529.8726180103</v>
      </c>
      <c r="IZ72" s="61">
        <f t="shared" si="553"/>
        <v>7631675.7554662926</v>
      </c>
      <c r="JA72" s="61">
        <f t="shared" si="553"/>
        <v>7931714.792708016</v>
      </c>
      <c r="JB72" s="61">
        <f t="shared" si="553"/>
        <v>7942835.5001273016</v>
      </c>
      <c r="JC72" s="61">
        <f t="shared" si="553"/>
        <v>7663870.1927186893</v>
      </c>
      <c r="JD72" s="61">
        <f t="shared" si="553"/>
        <v>7965133.5681448299</v>
      </c>
      <c r="JE72" s="61">
        <f t="shared" si="553"/>
        <v>7685424.3785773544</v>
      </c>
      <c r="JF72" s="61">
        <f>JF68-JF70</f>
        <v>7987507.3855941128</v>
      </c>
      <c r="JG72" s="61">
        <f t="shared" ref="JG72:JQ72" si="554">JG68-JG70</f>
        <v>7998722.7800026676</v>
      </c>
      <c r="JH72" s="61">
        <f t="shared" si="554"/>
        <v>7133764.9258971615</v>
      </c>
      <c r="JI72" s="61">
        <f t="shared" si="554"/>
        <v>8021210.6999485828</v>
      </c>
      <c r="JJ72" s="61">
        <f t="shared" si="554"/>
        <v>7739630.9345169878</v>
      </c>
      <c r="JK72" s="61">
        <f t="shared" si="554"/>
        <v>8043775.008371993</v>
      </c>
      <c r="JL72" s="61">
        <f t="shared" si="554"/>
        <v>7761442.6426357664</v>
      </c>
      <c r="JM72" s="61">
        <f t="shared" si="554"/>
        <v>8066415.9623914277</v>
      </c>
      <c r="JN72" s="61">
        <f t="shared" si="554"/>
        <v>8077765.2620846983</v>
      </c>
      <c r="JO72" s="61">
        <f t="shared" si="554"/>
        <v>7794299.2877435125</v>
      </c>
      <c r="JP72" s="61">
        <f t="shared" si="554"/>
        <v>8100521.6684808834</v>
      </c>
      <c r="JQ72" s="61">
        <f t="shared" si="554"/>
        <v>7816296.8040872868</v>
      </c>
      <c r="JR72" s="61">
        <f>JR68-JR70</f>
        <v>8123355.3670451017</v>
      </c>
    </row>
    <row r="73" spans="2:278" x14ac:dyDescent="0.2">
      <c r="B73" s="3"/>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30"/>
      <c r="CJ73" s="30"/>
      <c r="CK73" s="30"/>
      <c r="CL73" s="30"/>
      <c r="CM73" s="30"/>
      <c r="CN73" s="30"/>
      <c r="CO73" s="30"/>
      <c r="CP73" s="30"/>
      <c r="CQ73" s="30"/>
      <c r="CR73" s="30"/>
      <c r="CS73" s="30"/>
      <c r="CT73" s="30"/>
      <c r="CU73" s="30"/>
      <c r="CV73" s="30"/>
      <c r="CW73" s="30"/>
      <c r="CX73" s="30"/>
      <c r="CY73" s="30"/>
      <c r="CZ73" s="30"/>
      <c r="DA73" s="30"/>
      <c r="DB73" s="30"/>
      <c r="DC73" s="30"/>
      <c r="DD73" s="30"/>
      <c r="DE73" s="30"/>
      <c r="DF73" s="30"/>
      <c r="DG73" s="30"/>
      <c r="DH73" s="30"/>
      <c r="DI73" s="30"/>
      <c r="DJ73" s="30"/>
      <c r="DK73" s="30"/>
      <c r="DL73" s="30"/>
      <c r="DM73" s="30"/>
      <c r="DN73" s="30"/>
      <c r="DO73" s="30"/>
      <c r="DP73" s="30"/>
      <c r="DQ73" s="30"/>
      <c r="DR73" s="30"/>
      <c r="DS73" s="30"/>
      <c r="DT73" s="30"/>
      <c r="DU73" s="30"/>
      <c r="DV73" s="30"/>
      <c r="DW73" s="30"/>
      <c r="DX73" s="30"/>
      <c r="DY73" s="30"/>
      <c r="DZ73" s="30"/>
      <c r="EA73" s="30"/>
      <c r="EB73" s="30"/>
      <c r="EC73" s="30"/>
      <c r="ED73" s="30"/>
      <c r="EE73" s="30"/>
      <c r="EF73" s="30"/>
      <c r="EG73" s="30"/>
      <c r="EH73" s="30"/>
      <c r="EI73" s="30"/>
      <c r="EJ73" s="30"/>
      <c r="EK73" s="30"/>
      <c r="EL73" s="30"/>
      <c r="EM73" s="30"/>
      <c r="EN73" s="30"/>
      <c r="EO73" s="30"/>
      <c r="EP73" s="30"/>
      <c r="EQ73" s="30"/>
      <c r="ER73" s="30"/>
      <c r="ES73" s="30"/>
      <c r="ET73" s="30"/>
      <c r="EU73" s="30"/>
      <c r="EV73" s="30"/>
      <c r="EW73" s="30"/>
      <c r="EX73" s="30"/>
      <c r="EY73" s="30"/>
      <c r="EZ73" s="30"/>
      <c r="FA73" s="30"/>
      <c r="FB73" s="30"/>
      <c r="FC73" s="30"/>
      <c r="FD73" s="30"/>
      <c r="FE73" s="30"/>
      <c r="FF73" s="30"/>
      <c r="FG73" s="30"/>
      <c r="FH73" s="30"/>
      <c r="FI73" s="30"/>
      <c r="FJ73" s="30"/>
      <c r="FK73" s="30"/>
      <c r="FL73" s="30"/>
      <c r="FM73" s="30"/>
      <c r="FN73" s="30"/>
      <c r="FO73" s="30"/>
      <c r="FP73" s="30"/>
      <c r="FQ73" s="30"/>
      <c r="FR73" s="30"/>
      <c r="FS73" s="30"/>
      <c r="FT73" s="30"/>
      <c r="FU73" s="30"/>
      <c r="FV73" s="30"/>
      <c r="FW73" s="30"/>
      <c r="FX73" s="30"/>
      <c r="FY73" s="30"/>
      <c r="FZ73" s="30"/>
      <c r="GA73" s="30"/>
      <c r="GB73" s="30"/>
      <c r="GC73" s="30"/>
      <c r="GD73" s="30"/>
      <c r="GE73" s="30"/>
      <c r="GF73" s="30"/>
      <c r="GG73" s="30"/>
      <c r="GH73" s="30"/>
      <c r="GI73" s="30"/>
      <c r="GJ73" s="30"/>
      <c r="GK73" s="30"/>
      <c r="GL73" s="30"/>
      <c r="GM73" s="30"/>
      <c r="GN73" s="30"/>
      <c r="GO73" s="30"/>
      <c r="GP73" s="30"/>
      <c r="GQ73" s="30"/>
      <c r="GR73" s="30"/>
      <c r="GS73" s="30"/>
      <c r="GT73" s="30"/>
      <c r="GU73" s="30"/>
      <c r="GV73" s="30"/>
      <c r="GW73" s="30"/>
      <c r="GX73" s="30"/>
      <c r="GY73" s="30"/>
      <c r="GZ73" s="30"/>
      <c r="HA73" s="30"/>
      <c r="HB73" s="30"/>
      <c r="HC73" s="30"/>
      <c r="HD73" s="30"/>
      <c r="HE73" s="30"/>
      <c r="HF73" s="30"/>
      <c r="HG73" s="30"/>
      <c r="HH73" s="30"/>
      <c r="HI73" s="30"/>
      <c r="HJ73" s="30"/>
      <c r="HK73" s="30"/>
      <c r="HL73" s="30"/>
      <c r="HM73" s="30"/>
      <c r="HN73" s="30"/>
      <c r="HO73" s="30"/>
      <c r="HP73" s="30"/>
      <c r="HQ73" s="30"/>
      <c r="HR73" s="30"/>
      <c r="HS73" s="30"/>
      <c r="HT73" s="30"/>
      <c r="HU73" s="30"/>
      <c r="HV73" s="30"/>
      <c r="HW73" s="30"/>
      <c r="HX73" s="30"/>
      <c r="HY73" s="30"/>
      <c r="HZ73" s="30"/>
      <c r="IA73" s="30"/>
      <c r="IB73" s="30"/>
      <c r="IC73" s="30"/>
      <c r="ID73" s="30"/>
      <c r="IE73" s="30"/>
      <c r="IF73" s="30"/>
      <c r="IG73" s="30"/>
      <c r="IH73" s="30"/>
      <c r="II73" s="30"/>
      <c r="IJ73" s="30"/>
      <c r="IK73" s="30"/>
      <c r="IL73" s="30"/>
      <c r="IM73" s="30"/>
      <c r="IN73" s="30"/>
      <c r="IO73" s="30"/>
      <c r="IP73" s="30"/>
      <c r="IQ73" s="30"/>
      <c r="IR73" s="30"/>
      <c r="IS73" s="30"/>
      <c r="IT73" s="30"/>
      <c r="IU73" s="30"/>
      <c r="IV73" s="30"/>
      <c r="IW73" s="30"/>
      <c r="IX73" s="30"/>
      <c r="IY73" s="30"/>
      <c r="IZ73" s="30"/>
      <c r="JA73" s="30"/>
      <c r="JB73" s="30"/>
      <c r="JC73" s="30"/>
      <c r="JD73" s="30"/>
      <c r="JE73" s="30"/>
      <c r="JF73" s="30"/>
      <c r="JG73" s="30"/>
      <c r="JH73" s="30"/>
      <c r="JI73" s="30"/>
      <c r="JJ73" s="30"/>
      <c r="JK73" s="30"/>
      <c r="JL73" s="30"/>
      <c r="JM73" s="30"/>
      <c r="JN73" s="30"/>
      <c r="JO73" s="30"/>
      <c r="JP73" s="30"/>
      <c r="JQ73" s="30"/>
      <c r="JR73" s="30"/>
    </row>
    <row r="74" spans="2:278" ht="15" customHeight="1" x14ac:dyDescent="0.2">
      <c r="B74" s="3" t="s">
        <v>129</v>
      </c>
    </row>
    <row r="75" spans="2:278" x14ac:dyDescent="0.2">
      <c r="B75" s="3" t="s">
        <v>130</v>
      </c>
    </row>
    <row r="76" spans="2:278" x14ac:dyDescent="0.2">
      <c r="B76" s="1" t="s">
        <v>132</v>
      </c>
      <c r="C76" s="7">
        <f>IF(C72&lt;0,0,C72*Inputs!$G$23)</f>
        <v>0</v>
      </c>
      <c r="D76" s="7">
        <f>IF(D72&lt;0,0,D72*Inputs!$G$23)</f>
        <v>0</v>
      </c>
      <c r="E76" s="7">
        <f>IF(E72&lt;0,0,E72*Inputs!$G$23)</f>
        <v>0</v>
      </c>
      <c r="F76" s="7">
        <f>IF(F72&lt;0,0,F72*Inputs!$G$23)</f>
        <v>0</v>
      </c>
      <c r="G76" s="7">
        <f>IF(G72&lt;0,0,G72*Inputs!$G$23)</f>
        <v>0</v>
      </c>
      <c r="H76" s="7">
        <f>IF(H72&lt;0,0,H72*Inputs!$G$23)</f>
        <v>0</v>
      </c>
      <c r="I76" s="7">
        <f>IF(I72&lt;0,0,I72*Inputs!$G$23)</f>
        <v>0</v>
      </c>
      <c r="J76" s="7">
        <f>IF(J72&lt;0,0,J72*Inputs!$G$23)</f>
        <v>0</v>
      </c>
      <c r="K76" s="7">
        <f>IF(K72&lt;0,0,K72*Inputs!$G$23)</f>
        <v>0</v>
      </c>
      <c r="L76" s="7">
        <f>IF(L72&lt;0,0,L72*Inputs!$G$23)</f>
        <v>0</v>
      </c>
      <c r="M76" s="7">
        <f>IF(M72&lt;0,0,M72*Inputs!$G$23)</f>
        <v>0</v>
      </c>
      <c r="N76" s="7">
        <f>IF(N72&lt;0,0,N72*Inputs!$G$23)</f>
        <v>0</v>
      </c>
      <c r="O76" s="7">
        <f>IF(O72&lt;0,0,O72*Inputs!$G$23)</f>
        <v>0</v>
      </c>
      <c r="P76" s="7">
        <f>IF(P72&lt;0,0,P72*Inputs!$G$23)</f>
        <v>0</v>
      </c>
      <c r="Q76" s="7">
        <f>IF(Q72&lt;0,0,Q72*Inputs!$G$23)</f>
        <v>0</v>
      </c>
      <c r="R76" s="7">
        <f>IF(R72&lt;0,0,R72*Inputs!$G$23)</f>
        <v>0</v>
      </c>
      <c r="S76" s="7">
        <f>IF(S72&lt;0,0,S72*Inputs!$G$23)</f>
        <v>0</v>
      </c>
      <c r="T76" s="7">
        <f>IF(T72&lt;0,0,T72*Inputs!$G$23)</f>
        <v>0</v>
      </c>
      <c r="U76" s="7">
        <f>IF(U72&lt;0,0,U72*Inputs!$G$23)</f>
        <v>0</v>
      </c>
      <c r="V76" s="7">
        <f>IF(V72&lt;0,0,V72*Inputs!$G$23)</f>
        <v>0</v>
      </c>
      <c r="W76" s="7">
        <f>IF(W72&lt;0,0,W72*Inputs!$G$23)</f>
        <v>0</v>
      </c>
      <c r="X76" s="7">
        <f>IF(X72&lt;0,0,X72*Inputs!$G$23)</f>
        <v>0</v>
      </c>
      <c r="Y76" s="7">
        <f>IF(Y72&lt;0,0,Y72*Inputs!$G$23)</f>
        <v>0</v>
      </c>
      <c r="Z76" s="7">
        <f>IF(Z72&lt;0,0,Z72*Inputs!$G$23)</f>
        <v>0</v>
      </c>
      <c r="AA76" s="7">
        <f>IF(AA72&lt;0,0,AA72*Inputs!$G$23)</f>
        <v>0</v>
      </c>
      <c r="AB76" s="7">
        <f>IF(AB72&lt;0,0,AB72*Inputs!$G$23)</f>
        <v>0</v>
      </c>
      <c r="AC76" s="7">
        <f>IF(AC72&lt;0,0,AC72*Inputs!$G$23)</f>
        <v>0</v>
      </c>
      <c r="AD76" s="7">
        <f>IF(AD72&lt;0,0,AD72*Inputs!$G$23)</f>
        <v>0</v>
      </c>
      <c r="AE76" s="7">
        <f>IF(AE72&lt;0,0,AE72*Inputs!$G$23)</f>
        <v>0</v>
      </c>
      <c r="AF76" s="7">
        <f>IF(AF72&lt;0,0,AF72*Inputs!$G$23)</f>
        <v>0</v>
      </c>
      <c r="AG76" s="7">
        <f>IF(AG72&lt;0,0,AG72*Inputs!$G$23)</f>
        <v>0</v>
      </c>
      <c r="AH76" s="7">
        <f>IF(AH72&lt;0,0,AH72*Inputs!$G$23)</f>
        <v>0</v>
      </c>
      <c r="AI76" s="7">
        <f>IF(AI72&lt;0,0,AI72*Inputs!$G$23)</f>
        <v>0</v>
      </c>
      <c r="AJ76" s="7">
        <f>IF(AJ72&lt;0,0,AJ72*Inputs!$G$23)</f>
        <v>0</v>
      </c>
      <c r="AK76" s="7">
        <f>IF(AK72&lt;0,0,AK72*Inputs!$G$23)</f>
        <v>0</v>
      </c>
      <c r="AL76" s="7">
        <f>IF(AL72&lt;0,0,AL72*Inputs!$G$23)</f>
        <v>0</v>
      </c>
      <c r="AM76" s="7">
        <f>IF(AM72&lt;0,0,AM72*Inputs!$G$23)</f>
        <v>0</v>
      </c>
      <c r="AN76" s="7">
        <f>IF(AN72&lt;0,0,AN72*Inputs!$G$23)</f>
        <v>0</v>
      </c>
      <c r="AO76" s="7">
        <f>IF(AO72&lt;0,0,AO72*Inputs!$G$23)</f>
        <v>0</v>
      </c>
      <c r="AP76" s="7">
        <f>IF(AP72&lt;0,0,AP72*Inputs!$G$23)</f>
        <v>0</v>
      </c>
      <c r="AQ76" s="7">
        <f>IF(AQ72&lt;0,0,AQ72*Inputs!$G$23)</f>
        <v>0</v>
      </c>
      <c r="AR76" s="7">
        <f>IF(AR72&lt;0,0,AR72*Inputs!$G$23)</f>
        <v>0</v>
      </c>
      <c r="AS76" s="7">
        <f>IF(AS72&lt;0,0,AS72*Inputs!$G$23)</f>
        <v>0</v>
      </c>
      <c r="AT76" s="7">
        <f>IF(AT72&lt;0,0,AT72*Inputs!$G$23)</f>
        <v>0</v>
      </c>
      <c r="AU76" s="7">
        <f>IF(AU72&lt;0,0,AU72*Inputs!$G$23)</f>
        <v>0</v>
      </c>
      <c r="AV76" s="7">
        <f>IF(AV72&lt;0,0,AV72*Inputs!$G$23)</f>
        <v>0</v>
      </c>
      <c r="AW76" s="7">
        <f>IF(AW72&lt;0,0,AW72*Inputs!$G$23)</f>
        <v>0</v>
      </c>
      <c r="AX76" s="7">
        <f>IF(AX72&lt;0,0,AX72*Inputs!$G$23)</f>
        <v>0</v>
      </c>
      <c r="AY76" s="7">
        <f>IF(AY72&lt;0,0,AY72*Inputs!$G$23)</f>
        <v>0</v>
      </c>
      <c r="AZ76" s="7">
        <f>IF(AZ72&lt;0,0,AZ72*Inputs!$G$23)</f>
        <v>0</v>
      </c>
      <c r="BA76" s="7">
        <f>IF(BA72&lt;0,0,BA72*Inputs!$G$23)</f>
        <v>0</v>
      </c>
      <c r="BB76" s="7">
        <f>IF(BB72&lt;0,0,BB72*Inputs!$G$23)</f>
        <v>0</v>
      </c>
      <c r="BC76" s="7">
        <f>IF(BC72&lt;0,0,BC72*Inputs!$G$23)</f>
        <v>0</v>
      </c>
      <c r="BD76" s="7">
        <f>IF(BD72&lt;0,0,BD72*Inputs!$G$23)</f>
        <v>0</v>
      </c>
      <c r="BE76" s="7">
        <f>IF(BE72&lt;0,0,BE72*Inputs!$G$23)</f>
        <v>0</v>
      </c>
      <c r="BF76" s="7">
        <f>IF(BF72&lt;0,0,BF72*Inputs!$G$23)</f>
        <v>0</v>
      </c>
      <c r="BG76" s="7">
        <f>IF(BG72&lt;0,0,BG72*Inputs!$G$23)</f>
        <v>0</v>
      </c>
      <c r="BH76" s="7">
        <f>IF(BH72&lt;0,0,BH72*Inputs!$G$23)</f>
        <v>0</v>
      </c>
      <c r="BI76" s="7">
        <f>IF(BI72&lt;0,0,BI72*Inputs!$G$23)</f>
        <v>0</v>
      </c>
      <c r="BJ76" s="7">
        <f>IF(BJ72&lt;0,0,BJ72*Inputs!$G$23)</f>
        <v>0</v>
      </c>
      <c r="BK76" s="7">
        <f>IF(BK72&lt;0,0,BK72*Inputs!$G$23)</f>
        <v>0</v>
      </c>
      <c r="BL76" s="7">
        <f>IF(BL72&lt;0,0,BL72*Inputs!$G$23)</f>
        <v>0</v>
      </c>
      <c r="BM76" s="7">
        <f>IF(BM72&lt;0,0,BM72*Inputs!$G$23)</f>
        <v>0</v>
      </c>
      <c r="BN76" s="7">
        <f>IF(BN72&lt;0,0,BN72*Inputs!$G$23)</f>
        <v>0</v>
      </c>
      <c r="BO76" s="7">
        <f>IF(BO72&lt;0,0,BO72*Inputs!$G$23)</f>
        <v>0</v>
      </c>
      <c r="BP76" s="7">
        <f>IF(BP72&lt;0,0,BP72*Inputs!$G$23)</f>
        <v>0</v>
      </c>
      <c r="BQ76" s="7">
        <f>IF(BQ72&lt;0,0,BQ72*Inputs!$G$23)</f>
        <v>0</v>
      </c>
      <c r="BR76" s="7">
        <f>IF(BR72&lt;0,0,BR72*Inputs!$G$23)</f>
        <v>0</v>
      </c>
      <c r="BS76" s="7">
        <f>IF(BS72&lt;0,0,BS72*Inputs!$G$23)</f>
        <v>0</v>
      </c>
      <c r="BT76" s="7">
        <f>IF(BT72&lt;0,0,BT72*Inputs!$G$23)</f>
        <v>0</v>
      </c>
      <c r="BU76" s="7">
        <f>IF(BU72&lt;0,0,BU72*Inputs!$G$23)</f>
        <v>0</v>
      </c>
      <c r="BV76" s="7">
        <f>IF(BV72&lt;0,0,BV72*Inputs!$G$23)</f>
        <v>0</v>
      </c>
      <c r="BW76" s="7">
        <f>IF(BW72&lt;0,0,BW72*Inputs!$G$23)</f>
        <v>0</v>
      </c>
      <c r="BX76" s="7">
        <f>IF(BX72&lt;0,0,BX72*Inputs!$G$23)</f>
        <v>0</v>
      </c>
      <c r="BY76" s="7">
        <f>IF(BY72&lt;0,0,BY72*Inputs!$G$23)</f>
        <v>0</v>
      </c>
      <c r="BZ76" s="7">
        <f>IF(BZ72&lt;0,0,BZ72*Inputs!$G$23)</f>
        <v>0</v>
      </c>
      <c r="CA76" s="7">
        <f>IF(CA72&lt;0,0,CA72*Inputs!$G$23)</f>
        <v>0</v>
      </c>
      <c r="CB76" s="7">
        <f>IF(CB72&lt;0,0,CB72*Inputs!$G$23)</f>
        <v>0</v>
      </c>
      <c r="CC76" s="7">
        <f>IF(CC72&lt;0,0,CC72*Inputs!$G$23)</f>
        <v>0</v>
      </c>
      <c r="CD76" s="7">
        <f>IF(CD72&lt;0,0,CD72*Inputs!$G$23)</f>
        <v>0</v>
      </c>
      <c r="CE76" s="7">
        <f>IF(CE72&lt;0,0,CE72*Inputs!$G$23)</f>
        <v>0</v>
      </c>
      <c r="CF76" s="7">
        <f>IF(CF72&lt;0,0,CF72*Inputs!$G$23)</f>
        <v>0</v>
      </c>
      <c r="CG76" s="7">
        <f>IF(CG72&lt;0,0,CG72*Inputs!$G$23)</f>
        <v>0</v>
      </c>
      <c r="CH76" s="7">
        <f>IF(CH72&lt;0,0,CH72*Inputs!$G$23)</f>
        <v>0</v>
      </c>
      <c r="CI76" s="7">
        <f>IF(CI72&lt;0,0,CI72*Inputs!$G$23)</f>
        <v>0</v>
      </c>
      <c r="CJ76" s="7">
        <f>IF(CJ72&lt;0,0,CJ72*Inputs!$G$23)</f>
        <v>0</v>
      </c>
      <c r="CK76" s="7">
        <f>IF(CK72&lt;0,0,CK72*Inputs!$G$23)</f>
        <v>0</v>
      </c>
      <c r="CL76" s="7">
        <f>IF(CL72&lt;0,0,CL72*Inputs!$G$23)</f>
        <v>0</v>
      </c>
      <c r="CM76" s="7">
        <f>IF(CM72&lt;0,0,CM72*Inputs!$G$23)</f>
        <v>0</v>
      </c>
      <c r="CN76" s="7">
        <f>IF(CN72&lt;0,0,CN72*Inputs!$G$23)</f>
        <v>0</v>
      </c>
      <c r="CO76" s="7">
        <f>IF(CO72&lt;0,0,CO72*Inputs!$G$23)</f>
        <v>0</v>
      </c>
      <c r="CP76" s="7">
        <f>IF(CP72&lt;0,0,CP72*Inputs!$G$23)</f>
        <v>0</v>
      </c>
      <c r="CQ76" s="7">
        <f>IF(CQ72&lt;0,0,CQ72*Inputs!$G$23)</f>
        <v>0</v>
      </c>
      <c r="CR76" s="7">
        <f>IF(CR72&lt;0,0,CR72*Inputs!$G$23)</f>
        <v>0</v>
      </c>
      <c r="CS76" s="7">
        <f>IF(CS72&lt;0,0,CS72*Inputs!$G$23)</f>
        <v>0</v>
      </c>
      <c r="CT76" s="7">
        <f>IF(CT72&lt;0,0,CT72*Inputs!$G$23)</f>
        <v>0</v>
      </c>
      <c r="CU76" s="7">
        <f>IF(CU72&lt;0,0,CU72*Inputs!$G$23)</f>
        <v>0</v>
      </c>
      <c r="CV76" s="7">
        <f>IF(CV72&lt;0,0,CV72*Inputs!$G$23)</f>
        <v>0</v>
      </c>
      <c r="CW76" s="7">
        <f>IF(CW72&lt;0,0,CW72*Inputs!$G$23)</f>
        <v>0</v>
      </c>
      <c r="CX76" s="7">
        <f>IF(CX72&lt;0,0,CX72*Inputs!$G$23)</f>
        <v>0</v>
      </c>
      <c r="CY76" s="7">
        <f>IF(CY72&lt;0,0,CY72*Inputs!$G$23)</f>
        <v>0</v>
      </c>
      <c r="CZ76" s="7">
        <f>IF(CZ72&lt;0,0,CZ72*Inputs!$G$23)</f>
        <v>0</v>
      </c>
      <c r="DA76" s="7">
        <f>IF(DA72&lt;0,0,DA72*Inputs!$G$23)</f>
        <v>0</v>
      </c>
      <c r="DB76" s="7">
        <f>IF(DB72&lt;0,0,DB72*Inputs!$G$23)</f>
        <v>0</v>
      </c>
      <c r="DC76" s="7">
        <f>IF(DC72&lt;0,0,DC72*Inputs!$G$23)</f>
        <v>0</v>
      </c>
      <c r="DD76" s="7">
        <f>IF(DD72&lt;0,0,DD72*Inputs!$G$23)</f>
        <v>0</v>
      </c>
      <c r="DE76" s="7">
        <f>IF(DE72&lt;0,0,DE72*Inputs!$G$23)</f>
        <v>0</v>
      </c>
      <c r="DF76" s="7">
        <f>IF(DF72&lt;0,0,DF72*Inputs!$G$23)</f>
        <v>0</v>
      </c>
      <c r="DG76" s="7">
        <f>IF(DG72&lt;0,0,DG72*Inputs!$G$23)</f>
        <v>0</v>
      </c>
      <c r="DH76" s="7">
        <f>IF(DH72&lt;0,0,DH72*Inputs!$G$23)</f>
        <v>0</v>
      </c>
      <c r="DI76" s="7">
        <f>IF(DI72&lt;0,0,DI72*Inputs!$G$23)</f>
        <v>0</v>
      </c>
      <c r="DJ76" s="7">
        <f>IF(DJ72&lt;0,0,DJ72*Inputs!$G$23)</f>
        <v>0</v>
      </c>
      <c r="DK76" s="7">
        <f>IF(DK72&lt;0,0,DK72*Inputs!$G$23)</f>
        <v>0</v>
      </c>
      <c r="DL76" s="7">
        <f>IF(DL72&lt;0,0,DL72*Inputs!$G$23)</f>
        <v>0</v>
      </c>
      <c r="DM76" s="7">
        <f>IF(DM72&lt;0,0,DM72*Inputs!$G$23)</f>
        <v>0</v>
      </c>
      <c r="DN76" s="7">
        <f>IF(DN72&lt;0,0,DN72*Inputs!$G$23)</f>
        <v>0</v>
      </c>
      <c r="DO76" s="7">
        <f>IF(DO72&lt;0,0,DO72*Inputs!$G$23)</f>
        <v>0</v>
      </c>
      <c r="DP76" s="7">
        <f>IF(DP72&lt;0,0,DP72*Inputs!$G$23)</f>
        <v>0</v>
      </c>
      <c r="DQ76" s="7">
        <f>IF(DQ72&lt;0,0,DQ72*Inputs!$G$23)</f>
        <v>0</v>
      </c>
      <c r="DR76" s="7">
        <f>IF(DR72&lt;0,0,DR72*Inputs!$G$23)</f>
        <v>0</v>
      </c>
      <c r="DS76" s="7">
        <f>IF(DS72&lt;0,0,DS72*Inputs!$G$23)</f>
        <v>0</v>
      </c>
      <c r="DT76" s="7">
        <f>IF(DT72&lt;0,0,DT72*Inputs!$G$23)</f>
        <v>0</v>
      </c>
      <c r="DU76" s="7">
        <f>IF(DU72&lt;0,0,DU72*Inputs!$G$23)</f>
        <v>0</v>
      </c>
      <c r="DV76" s="7">
        <f>IF(DV72&lt;0,0,DV72*Inputs!$G$23)</f>
        <v>0</v>
      </c>
      <c r="DW76" s="7">
        <f>IF(DW72&lt;0,0,DW72*Inputs!$G$23)</f>
        <v>0</v>
      </c>
      <c r="DX76" s="7">
        <f>IF(DX72&lt;0,0,DX72*Inputs!$G$23)</f>
        <v>0</v>
      </c>
      <c r="DY76" s="7">
        <f>IF(DY72&lt;0,0,DY72*Inputs!$G$23)</f>
        <v>0</v>
      </c>
      <c r="DZ76" s="7">
        <f>IF(DZ72&lt;0,0,DZ72*Inputs!$G$23)</f>
        <v>0</v>
      </c>
      <c r="EA76" s="7">
        <f>IF(EA72&lt;0,0,EA72*Inputs!$G$23)</f>
        <v>0</v>
      </c>
      <c r="EB76" s="7">
        <f>IF(EB72&lt;0,0,EB72*Inputs!$G$23)</f>
        <v>0</v>
      </c>
      <c r="EC76" s="7">
        <f>IF(EC72&lt;0,0,EC72*Inputs!$G$23)</f>
        <v>0</v>
      </c>
      <c r="ED76" s="7">
        <f>IF(ED72&lt;0,0,ED72*Inputs!$G$23)</f>
        <v>0</v>
      </c>
      <c r="EE76" s="7">
        <f>IF(EE72&lt;0,0,EE72*Inputs!$G$23)</f>
        <v>0</v>
      </c>
      <c r="EF76" s="7">
        <f>IF(EF72&lt;0,0,EF72*Inputs!$G$23)</f>
        <v>0</v>
      </c>
      <c r="EG76" s="7">
        <f>IF(EG72&lt;0,0,EG72*Inputs!$G$23)</f>
        <v>0</v>
      </c>
      <c r="EH76" s="7">
        <f>IF(EH72&lt;0,0,EH72*Inputs!$G$23)</f>
        <v>0</v>
      </c>
      <c r="EI76" s="7">
        <f>IF(EI72&lt;0,0,EI72*Inputs!$G$23)</f>
        <v>0</v>
      </c>
      <c r="EJ76" s="7">
        <f>IF(EJ72&lt;0,0,EJ72*Inputs!$G$23)</f>
        <v>0</v>
      </c>
      <c r="EK76" s="7">
        <f>IF(EK72&lt;0,0,EK72*Inputs!$G$23)</f>
        <v>0</v>
      </c>
      <c r="EL76" s="7">
        <f>IF(EL72&lt;0,0,EL72*Inputs!$G$23)</f>
        <v>0</v>
      </c>
      <c r="EM76" s="7">
        <f>IF(EM72&lt;0,0,EM72*Inputs!$G$23)</f>
        <v>0</v>
      </c>
      <c r="EN76" s="7">
        <f>IF(EN72&lt;0,0,EN72*Inputs!$G$23)</f>
        <v>0</v>
      </c>
      <c r="EO76" s="7">
        <f>IF(EO72&lt;0,0,EO72*Inputs!$G$23)</f>
        <v>0</v>
      </c>
      <c r="EP76" s="7">
        <f>IF(EP72&lt;0,0,EP72*Inputs!$G$23)</f>
        <v>0</v>
      </c>
      <c r="EQ76" s="7">
        <f>IF(EQ72&lt;0,0,EQ72*Inputs!$G$23)</f>
        <v>0</v>
      </c>
      <c r="ER76" s="7">
        <f>IF(ER72&lt;0,0,ER72*Inputs!$G$23)</f>
        <v>0</v>
      </c>
      <c r="ES76" s="7">
        <f>IF(ES72&lt;0,0,ES72*Inputs!$G$23)</f>
        <v>0</v>
      </c>
      <c r="ET76" s="7">
        <f>IF(ET72&lt;0,0,ET72*Inputs!$G$23)</f>
        <v>0</v>
      </c>
      <c r="EU76" s="7">
        <f>IF(EU72&lt;0,0,EU72*Inputs!$G$23)</f>
        <v>0</v>
      </c>
      <c r="EV76" s="7">
        <f>IF(EV72&lt;0,0,EV72*Inputs!$G$23)</f>
        <v>0</v>
      </c>
      <c r="EW76" s="7">
        <f>IF(EW72&lt;0,0,EW72*Inputs!$G$23)</f>
        <v>0</v>
      </c>
      <c r="EX76" s="7">
        <f>IF(EX72&lt;0,0,EX72*Inputs!$G$23)</f>
        <v>0</v>
      </c>
      <c r="EY76" s="7">
        <f>IF(EY72&lt;0,0,EY72*Inputs!$G$23)</f>
        <v>0</v>
      </c>
      <c r="EZ76" s="7">
        <f>IF(EZ72&lt;0,0,EZ72*Inputs!$G$23)</f>
        <v>0</v>
      </c>
      <c r="FA76" s="7">
        <f>IF(FA72&lt;0,0,FA72*Inputs!$G$23)</f>
        <v>0</v>
      </c>
      <c r="FB76" s="7">
        <f>IF(FB72&lt;0,0,FB72*Inputs!$G$23)</f>
        <v>0</v>
      </c>
      <c r="FC76" s="7">
        <f>IF(FC72&lt;0,0,FC72*Inputs!$G$23)</f>
        <v>0</v>
      </c>
      <c r="FD76" s="7">
        <f>IF(FD72&lt;0,0,FD72*Inputs!$G$23)</f>
        <v>0</v>
      </c>
      <c r="FE76" s="7">
        <f>IF(FE72&lt;0,0,FE72*Inputs!$G$23)</f>
        <v>0</v>
      </c>
      <c r="FF76" s="7">
        <f>IF(FF72&lt;0,0,FF72*Inputs!$G$23)</f>
        <v>0</v>
      </c>
      <c r="FG76" s="7">
        <f>IF(FG72&lt;0,0,FG72*Inputs!$G$23)</f>
        <v>0</v>
      </c>
      <c r="FH76" s="7">
        <f>IF(FH72&lt;0,0,FH72*Inputs!$G$23)</f>
        <v>0</v>
      </c>
      <c r="FI76" s="7">
        <f>IF(FI72&lt;0,0,FI72*Inputs!$G$23)</f>
        <v>0</v>
      </c>
      <c r="FJ76" s="7">
        <f>IF(FJ72&lt;0,0,FJ72*Inputs!$G$23)</f>
        <v>0</v>
      </c>
      <c r="FK76" s="7">
        <f>IF(FK72&lt;0,0,FK72*Inputs!$G$23)</f>
        <v>0</v>
      </c>
      <c r="FL76" s="7">
        <f>IF(FL72&lt;0,0,FL72*Inputs!$G$23)</f>
        <v>0</v>
      </c>
      <c r="FM76" s="7">
        <f>IF(FM72&lt;0,0,FM72*Inputs!$G$23)</f>
        <v>0</v>
      </c>
      <c r="FN76" s="7">
        <f>IF(FN72&lt;0,0,FN72*Inputs!$G$23)</f>
        <v>0</v>
      </c>
      <c r="FO76" s="7">
        <f>IF(FO72&lt;0,0,FO72*Inputs!$G$23)</f>
        <v>0</v>
      </c>
      <c r="FP76" s="7">
        <f>IF(FP72&lt;0,0,FP72*Inputs!$G$23)</f>
        <v>0</v>
      </c>
      <c r="FQ76" s="7">
        <f>IF(FQ72&lt;0,0,FQ72*Inputs!$G$23)</f>
        <v>0</v>
      </c>
      <c r="FR76" s="7">
        <f>IF(FR72&lt;0,0,FR72*Inputs!$G$23)</f>
        <v>0</v>
      </c>
      <c r="FS76" s="7">
        <f>IF(FS72&lt;0,0,FS72*Inputs!$G$23)</f>
        <v>0</v>
      </c>
      <c r="FT76" s="7">
        <f>IF(FT72&lt;0,0,FT72*Inputs!$G$23)</f>
        <v>0</v>
      </c>
      <c r="FU76" s="7">
        <f>IF(FU72&lt;0,0,FU72*Inputs!$G$23)</f>
        <v>0</v>
      </c>
      <c r="FV76" s="7">
        <f>IF(FV72&lt;0,0,FV72*Inputs!$G$23)</f>
        <v>0</v>
      </c>
      <c r="FW76" s="7">
        <f>IF(FW72&lt;0,0,FW72*Inputs!$G$23)</f>
        <v>0</v>
      </c>
      <c r="FX76" s="7">
        <f>IF(FX72&lt;0,0,FX72*Inputs!$G$23)</f>
        <v>0</v>
      </c>
      <c r="FY76" s="7">
        <f>IF(FY72&lt;0,0,FY72*Inputs!$G$23)</f>
        <v>0</v>
      </c>
      <c r="FZ76" s="7">
        <f>IF(FZ72&lt;0,0,FZ72*Inputs!$G$23)</f>
        <v>0</v>
      </c>
      <c r="GA76" s="7">
        <f>IF(GA72&lt;0,0,GA72*Inputs!$G$23)</f>
        <v>0</v>
      </c>
      <c r="GB76" s="7">
        <f>IF(GB72&lt;0,0,GB72*Inputs!$G$23)</f>
        <v>0</v>
      </c>
      <c r="GC76" s="7">
        <f>IF(GC72&lt;0,0,GC72*Inputs!$G$23)</f>
        <v>0</v>
      </c>
      <c r="GD76" s="7">
        <f>IF(GD72&lt;0,0,GD72*Inputs!$G$23)</f>
        <v>0</v>
      </c>
      <c r="GE76" s="7">
        <f>IF(GE72&lt;0,0,GE72*Inputs!$G$23)</f>
        <v>0</v>
      </c>
      <c r="GF76" s="7">
        <f>IF(GF72&lt;0,0,GF72*Inputs!$G$23)</f>
        <v>0</v>
      </c>
      <c r="GG76" s="7">
        <f>IF(GG72&lt;0,0,GG72*Inputs!$G$23)</f>
        <v>0</v>
      </c>
      <c r="GH76" s="7">
        <f>IF(GH72&lt;0,0,GH72*Inputs!$G$23)</f>
        <v>0</v>
      </c>
      <c r="GI76" s="7">
        <f>IF(GI72&lt;0,0,GI72*Inputs!$G$23)</f>
        <v>0</v>
      </c>
      <c r="GJ76" s="7">
        <f>IF(GJ72&lt;0,0,GJ72*Inputs!$G$23)</f>
        <v>0</v>
      </c>
      <c r="GK76" s="7">
        <f>IF(GK72&lt;0,0,GK72*Inputs!$G$23)</f>
        <v>0</v>
      </c>
      <c r="GL76" s="7">
        <f>IF(GL72&lt;0,0,GL72*Inputs!$G$23)</f>
        <v>0</v>
      </c>
      <c r="GM76" s="7">
        <f>IF(GM72&lt;0,0,GM72*Inputs!$G$23)</f>
        <v>0</v>
      </c>
      <c r="GN76" s="7">
        <f>IF(GN72&lt;0,0,GN72*Inputs!$G$23)</f>
        <v>0</v>
      </c>
      <c r="GO76" s="7">
        <f>IF(GO72&lt;0,0,GO72*Inputs!$G$23)</f>
        <v>0</v>
      </c>
      <c r="GP76" s="7">
        <f>IF(GP72&lt;0,0,GP72*Inputs!$G$23)</f>
        <v>0</v>
      </c>
      <c r="GQ76" s="7">
        <f>IF(GQ72&lt;0,0,GQ72*Inputs!$G$23)</f>
        <v>0</v>
      </c>
      <c r="GR76" s="7">
        <f>IF(GR72&lt;0,0,GR72*Inputs!$G$23)</f>
        <v>0</v>
      </c>
      <c r="GS76" s="7">
        <f>IF(GS72&lt;0,0,GS72*Inputs!$G$23)</f>
        <v>0</v>
      </c>
      <c r="GT76" s="7">
        <f>IF(GT72&lt;0,0,GT72*Inputs!$G$23)</f>
        <v>0</v>
      </c>
      <c r="GU76" s="7">
        <f>IF(GU72&lt;0,0,GU72*Inputs!$G$23)</f>
        <v>0</v>
      </c>
      <c r="GV76" s="7">
        <f>IF(GV72&lt;0,0,GV72*Inputs!$G$23)</f>
        <v>0</v>
      </c>
      <c r="GW76" s="7">
        <f>IF(GW72&lt;0,0,GW72*Inputs!$G$23)</f>
        <v>0</v>
      </c>
      <c r="GX76" s="7">
        <f>IF(GX72&lt;0,0,GX72*Inputs!$G$23)</f>
        <v>0</v>
      </c>
      <c r="GY76" s="7">
        <f>IF(GY72&lt;0,0,GY72*Inputs!$G$23)</f>
        <v>0</v>
      </c>
      <c r="GZ76" s="7">
        <f>IF(GZ72&lt;0,0,GZ72*Inputs!$G$23)</f>
        <v>0</v>
      </c>
      <c r="HA76" s="7">
        <f>IF(HA72&lt;0,0,HA72*Inputs!$G$23)</f>
        <v>0</v>
      </c>
      <c r="HB76" s="7">
        <f>IF(HB72&lt;0,0,HB72*Inputs!$G$23)</f>
        <v>0</v>
      </c>
      <c r="HC76" s="7">
        <f>IF(HC72&lt;0,0,HC72*Inputs!$G$23)</f>
        <v>0</v>
      </c>
      <c r="HD76" s="7">
        <f>IF(HD72&lt;0,0,HD72*Inputs!$G$23)</f>
        <v>0</v>
      </c>
      <c r="HE76" s="7">
        <f>IF(HE72&lt;0,0,HE72*Inputs!$G$23)</f>
        <v>0</v>
      </c>
      <c r="HF76" s="7">
        <f>IF(HF72&lt;0,0,HF72*Inputs!$G$23)</f>
        <v>0</v>
      </c>
      <c r="HG76" s="7">
        <f>IF(HG72&lt;0,0,HG72*Inputs!$G$23)</f>
        <v>0</v>
      </c>
      <c r="HH76" s="7">
        <f>IF(HH72&lt;0,0,HH72*Inputs!$G$23)</f>
        <v>0</v>
      </c>
      <c r="HI76" s="7">
        <f>IF(HI72&lt;0,0,HI72*Inputs!$G$23)</f>
        <v>0</v>
      </c>
      <c r="HJ76" s="7">
        <f>IF(HJ72&lt;0,0,HJ72*Inputs!$G$23)</f>
        <v>0</v>
      </c>
      <c r="HK76" s="7">
        <f>IF(HK72&lt;0,0,HK72*Inputs!$G$23)</f>
        <v>0</v>
      </c>
      <c r="HL76" s="7">
        <f>IF(HL72&lt;0,0,HL72*Inputs!$G$23)</f>
        <v>0</v>
      </c>
      <c r="HM76" s="7">
        <f>IF(HM72&lt;0,0,HM72*Inputs!$G$23)</f>
        <v>0</v>
      </c>
      <c r="HN76" s="7">
        <f>IF(HN72&lt;0,0,HN72*Inputs!$G$23)</f>
        <v>0</v>
      </c>
      <c r="HO76" s="7">
        <f>IF(HO72&lt;0,0,HO72*Inputs!$G$23)</f>
        <v>0</v>
      </c>
      <c r="HP76" s="7">
        <f>IF(HP72&lt;0,0,HP72*Inputs!$G$23)</f>
        <v>0</v>
      </c>
      <c r="HQ76" s="7">
        <f>IF(HQ72&lt;0,0,HQ72*Inputs!$G$23)</f>
        <v>0</v>
      </c>
      <c r="HR76" s="7">
        <f>IF(HR72&lt;0,0,HR72*Inputs!$G$23)</f>
        <v>0</v>
      </c>
      <c r="HS76" s="7">
        <f>IF(HS72&lt;0,0,HS72*Inputs!$G$23)</f>
        <v>0</v>
      </c>
      <c r="HT76" s="7">
        <f>IF(HT72&lt;0,0,HT72*Inputs!$G$23)</f>
        <v>0</v>
      </c>
      <c r="HU76" s="7">
        <f>IF(HU72&lt;0,0,HU72*Inputs!$G$23)</f>
        <v>0</v>
      </c>
      <c r="HV76" s="7">
        <f>IF(HV72&lt;0,0,HV72*Inputs!$G$23)</f>
        <v>0</v>
      </c>
      <c r="HW76" s="7">
        <f>IF(HW72&lt;0,0,HW72*Inputs!$G$23)</f>
        <v>0</v>
      </c>
      <c r="HX76" s="7">
        <f>IF(HX72&lt;0,0,HX72*Inputs!$G$23)</f>
        <v>0</v>
      </c>
      <c r="HY76" s="7">
        <f>IF(HY72&lt;0,0,HY72*Inputs!$G$23)</f>
        <v>0</v>
      </c>
      <c r="HZ76" s="7">
        <f>IF(HZ72&lt;0,0,HZ72*Inputs!$G$23)</f>
        <v>0</v>
      </c>
      <c r="IA76" s="7">
        <f>IF(IA72&lt;0,0,IA72*Inputs!$G$23)</f>
        <v>0</v>
      </c>
      <c r="IB76" s="7">
        <f>IF(IB72&lt;0,0,IB72*Inputs!$G$23)</f>
        <v>0</v>
      </c>
      <c r="IC76" s="7">
        <f>IF(IC72&lt;0,0,IC72*Inputs!$G$23)</f>
        <v>0</v>
      </c>
      <c r="ID76" s="7">
        <f>IF(ID72&lt;0,0,ID72*Inputs!$G$23)</f>
        <v>0</v>
      </c>
      <c r="IE76" s="7">
        <f>IF(IE72&lt;0,0,IE72*Inputs!$G$23)</f>
        <v>0</v>
      </c>
      <c r="IF76" s="7">
        <f>IF(IF72&lt;0,0,IF72*Inputs!$G$23)</f>
        <v>0</v>
      </c>
      <c r="IG76" s="7">
        <f>IF(IG72&lt;0,0,IG72*Inputs!$G$23)</f>
        <v>0</v>
      </c>
      <c r="IH76" s="7">
        <f>IF(IH72&lt;0,0,IH72*Inputs!$G$23)</f>
        <v>0</v>
      </c>
      <c r="II76" s="7">
        <f>IF(II72&lt;0,0,II72*Inputs!$G$23)</f>
        <v>0</v>
      </c>
      <c r="IJ76" s="7">
        <f>IF(IJ72&lt;0,0,IJ72*Inputs!$G$23)</f>
        <v>0</v>
      </c>
      <c r="IK76" s="7">
        <f>IF(IK72&lt;0,0,IK72*Inputs!$G$23)</f>
        <v>0</v>
      </c>
      <c r="IL76" s="7">
        <f>IF(IL72&lt;0,0,IL72*Inputs!$G$23)</f>
        <v>0</v>
      </c>
      <c r="IM76" s="7">
        <f>IF(IM72&lt;0,0,IM72*Inputs!$G$23)</f>
        <v>0</v>
      </c>
      <c r="IN76" s="7">
        <f>IF(IN72&lt;0,0,IN72*Inputs!$G$23)</f>
        <v>0</v>
      </c>
      <c r="IO76" s="7">
        <f>IF(IO72&lt;0,0,IO72*Inputs!$G$23)</f>
        <v>0</v>
      </c>
      <c r="IP76" s="7">
        <f>IF(IP72&lt;0,0,IP72*Inputs!$G$23)</f>
        <v>0</v>
      </c>
      <c r="IQ76" s="7">
        <f>IF(IQ72&lt;0,0,IQ72*Inputs!$G$23)</f>
        <v>0</v>
      </c>
      <c r="IR76" s="7">
        <f>IF(IR72&lt;0,0,IR72*Inputs!$G$23)</f>
        <v>0</v>
      </c>
      <c r="IS76" s="7">
        <f>IF(IS72&lt;0,0,IS72*Inputs!$G$23)</f>
        <v>0</v>
      </c>
      <c r="IT76" s="7">
        <f>IF(IT72&lt;0,0,IT72*Inputs!$G$23)</f>
        <v>0</v>
      </c>
      <c r="IU76" s="7">
        <f>IF(IU72&lt;0,0,IU72*Inputs!$G$23)</f>
        <v>0</v>
      </c>
      <c r="IV76" s="7">
        <f>IF(IV72&lt;0,0,IV72*Inputs!$G$23)</f>
        <v>0</v>
      </c>
      <c r="IW76" s="7">
        <f>IF(IW72&lt;0,0,IW72*Inputs!$G$23)</f>
        <v>0</v>
      </c>
      <c r="IX76" s="7">
        <f>IF(IX72&lt;0,0,IX72*Inputs!$G$23)</f>
        <v>0</v>
      </c>
      <c r="IY76" s="7">
        <f>IF(IY72&lt;0,0,IY72*Inputs!$G$23)</f>
        <v>0</v>
      </c>
      <c r="IZ76" s="7">
        <f>IF(IZ72&lt;0,0,IZ72*Inputs!$G$23)</f>
        <v>0</v>
      </c>
      <c r="JA76" s="7">
        <f>IF(JA72&lt;0,0,JA72*Inputs!$G$23)</f>
        <v>0</v>
      </c>
      <c r="JB76" s="7">
        <f>IF(JB72&lt;0,0,JB72*Inputs!$G$23)</f>
        <v>0</v>
      </c>
      <c r="JC76" s="7">
        <f>IF(JC72&lt;0,0,JC72*Inputs!$G$23)</f>
        <v>0</v>
      </c>
      <c r="JD76" s="7">
        <f>IF(JD72&lt;0,0,JD72*Inputs!$G$23)</f>
        <v>0</v>
      </c>
      <c r="JE76" s="7">
        <f>IF(JE72&lt;0,0,JE72*Inputs!$G$23)</f>
        <v>0</v>
      </c>
      <c r="JF76" s="7">
        <f>IF(JF72&lt;0,0,JF72*Inputs!$G$23)</f>
        <v>0</v>
      </c>
      <c r="JG76" s="7">
        <f>IF(JG72&lt;0,0,JG72*Inputs!$G$23)</f>
        <v>0</v>
      </c>
      <c r="JH76" s="7">
        <f>IF(JH72&lt;0,0,JH72*Inputs!$G$23)</f>
        <v>0</v>
      </c>
      <c r="JI76" s="7">
        <f>IF(JI72&lt;0,0,JI72*Inputs!$G$23)</f>
        <v>0</v>
      </c>
      <c r="JJ76" s="7">
        <f>IF(JJ72&lt;0,0,JJ72*Inputs!$G$23)</f>
        <v>0</v>
      </c>
      <c r="JK76" s="7">
        <f>IF(JK72&lt;0,0,JK72*Inputs!$G$23)</f>
        <v>0</v>
      </c>
      <c r="JL76" s="7">
        <f>IF(JL72&lt;0,0,JL72*Inputs!$G$23)</f>
        <v>0</v>
      </c>
      <c r="JM76" s="7">
        <f>IF(JM72&lt;0,0,JM72*Inputs!$G$23)</f>
        <v>0</v>
      </c>
      <c r="JN76" s="7">
        <f>IF(JN72&lt;0,0,JN72*Inputs!$G$23)</f>
        <v>0</v>
      </c>
      <c r="JO76" s="7">
        <f>IF(JO72&lt;0,0,JO72*Inputs!$G$23)</f>
        <v>0</v>
      </c>
      <c r="JP76" s="7">
        <f>IF(JP72&lt;0,0,JP72*Inputs!$G$23)</f>
        <v>0</v>
      </c>
      <c r="JQ76" s="7">
        <f>IF(JQ72&lt;0,0,JQ72*Inputs!$G$23)</f>
        <v>0</v>
      </c>
      <c r="JR76" s="7">
        <f>IF(JR72&lt;0,0,JR72*Inputs!$G$23)</f>
        <v>0</v>
      </c>
    </row>
    <row r="77" spans="2:278" x14ac:dyDescent="0.2">
      <c r="B77" s="53" t="s">
        <v>136</v>
      </c>
      <c r="C77" s="44">
        <f t="shared" ref="C77:AH77" si="555">SUM(C76:C76)</f>
        <v>0</v>
      </c>
      <c r="D77" s="44">
        <f t="shared" si="555"/>
        <v>0</v>
      </c>
      <c r="E77" s="44">
        <f t="shared" si="555"/>
        <v>0</v>
      </c>
      <c r="F77" s="44">
        <f t="shared" si="555"/>
        <v>0</v>
      </c>
      <c r="G77" s="44">
        <f t="shared" si="555"/>
        <v>0</v>
      </c>
      <c r="H77" s="44">
        <f t="shared" si="555"/>
        <v>0</v>
      </c>
      <c r="I77" s="44">
        <f t="shared" si="555"/>
        <v>0</v>
      </c>
      <c r="J77" s="44">
        <f t="shared" si="555"/>
        <v>0</v>
      </c>
      <c r="K77" s="44">
        <f t="shared" si="555"/>
        <v>0</v>
      </c>
      <c r="L77" s="44">
        <f t="shared" si="555"/>
        <v>0</v>
      </c>
      <c r="M77" s="44">
        <f t="shared" si="555"/>
        <v>0</v>
      </c>
      <c r="N77" s="44">
        <f t="shared" si="555"/>
        <v>0</v>
      </c>
      <c r="O77" s="44">
        <f t="shared" si="555"/>
        <v>0</v>
      </c>
      <c r="P77" s="44">
        <f t="shared" si="555"/>
        <v>0</v>
      </c>
      <c r="Q77" s="44">
        <f t="shared" si="555"/>
        <v>0</v>
      </c>
      <c r="R77" s="44">
        <f t="shared" si="555"/>
        <v>0</v>
      </c>
      <c r="S77" s="44">
        <f t="shared" si="555"/>
        <v>0</v>
      </c>
      <c r="T77" s="44">
        <f t="shared" si="555"/>
        <v>0</v>
      </c>
      <c r="U77" s="44">
        <f t="shared" si="555"/>
        <v>0</v>
      </c>
      <c r="V77" s="44">
        <f t="shared" si="555"/>
        <v>0</v>
      </c>
      <c r="W77" s="44">
        <f t="shared" si="555"/>
        <v>0</v>
      </c>
      <c r="X77" s="44">
        <f t="shared" si="555"/>
        <v>0</v>
      </c>
      <c r="Y77" s="44">
        <f t="shared" si="555"/>
        <v>0</v>
      </c>
      <c r="Z77" s="44">
        <f t="shared" si="555"/>
        <v>0</v>
      </c>
      <c r="AA77" s="44">
        <f t="shared" si="555"/>
        <v>0</v>
      </c>
      <c r="AB77" s="44">
        <f t="shared" si="555"/>
        <v>0</v>
      </c>
      <c r="AC77" s="44">
        <f t="shared" si="555"/>
        <v>0</v>
      </c>
      <c r="AD77" s="44">
        <f t="shared" si="555"/>
        <v>0</v>
      </c>
      <c r="AE77" s="44">
        <f t="shared" si="555"/>
        <v>0</v>
      </c>
      <c r="AF77" s="44">
        <f t="shared" si="555"/>
        <v>0</v>
      </c>
      <c r="AG77" s="44">
        <f t="shared" si="555"/>
        <v>0</v>
      </c>
      <c r="AH77" s="44">
        <f t="shared" si="555"/>
        <v>0</v>
      </c>
      <c r="AI77" s="44">
        <f t="shared" ref="AI77:BN77" si="556">SUM(AI76:AI76)</f>
        <v>0</v>
      </c>
      <c r="AJ77" s="44">
        <f t="shared" si="556"/>
        <v>0</v>
      </c>
      <c r="AK77" s="44">
        <f t="shared" si="556"/>
        <v>0</v>
      </c>
      <c r="AL77" s="44">
        <f t="shared" si="556"/>
        <v>0</v>
      </c>
      <c r="AM77" s="44">
        <f t="shared" si="556"/>
        <v>0</v>
      </c>
      <c r="AN77" s="44">
        <f t="shared" si="556"/>
        <v>0</v>
      </c>
      <c r="AO77" s="44">
        <f t="shared" si="556"/>
        <v>0</v>
      </c>
      <c r="AP77" s="44">
        <f t="shared" si="556"/>
        <v>0</v>
      </c>
      <c r="AQ77" s="44">
        <f t="shared" si="556"/>
        <v>0</v>
      </c>
      <c r="AR77" s="44">
        <f t="shared" si="556"/>
        <v>0</v>
      </c>
      <c r="AS77" s="44">
        <f t="shared" si="556"/>
        <v>0</v>
      </c>
      <c r="AT77" s="44">
        <f t="shared" si="556"/>
        <v>0</v>
      </c>
      <c r="AU77" s="44">
        <f t="shared" si="556"/>
        <v>0</v>
      </c>
      <c r="AV77" s="44">
        <f t="shared" si="556"/>
        <v>0</v>
      </c>
      <c r="AW77" s="44">
        <f t="shared" si="556"/>
        <v>0</v>
      </c>
      <c r="AX77" s="44">
        <f t="shared" si="556"/>
        <v>0</v>
      </c>
      <c r="AY77" s="44">
        <f t="shared" si="556"/>
        <v>0</v>
      </c>
      <c r="AZ77" s="44">
        <f t="shared" si="556"/>
        <v>0</v>
      </c>
      <c r="BA77" s="44">
        <f t="shared" si="556"/>
        <v>0</v>
      </c>
      <c r="BB77" s="44">
        <f t="shared" si="556"/>
        <v>0</v>
      </c>
      <c r="BC77" s="44">
        <f t="shared" si="556"/>
        <v>0</v>
      </c>
      <c r="BD77" s="44">
        <f t="shared" si="556"/>
        <v>0</v>
      </c>
      <c r="BE77" s="44">
        <f t="shared" si="556"/>
        <v>0</v>
      </c>
      <c r="BF77" s="44">
        <f t="shared" si="556"/>
        <v>0</v>
      </c>
      <c r="BG77" s="44">
        <f t="shared" si="556"/>
        <v>0</v>
      </c>
      <c r="BH77" s="44">
        <f t="shared" si="556"/>
        <v>0</v>
      </c>
      <c r="BI77" s="44">
        <f t="shared" si="556"/>
        <v>0</v>
      </c>
      <c r="BJ77" s="44">
        <f t="shared" si="556"/>
        <v>0</v>
      </c>
      <c r="BK77" s="44">
        <f t="shared" si="556"/>
        <v>0</v>
      </c>
      <c r="BL77" s="44">
        <f t="shared" si="556"/>
        <v>0</v>
      </c>
      <c r="BM77" s="44">
        <f t="shared" si="556"/>
        <v>0</v>
      </c>
      <c r="BN77" s="44">
        <f t="shared" si="556"/>
        <v>0</v>
      </c>
      <c r="BO77" s="44">
        <f t="shared" ref="BO77:CT77" si="557">SUM(BO76:BO76)</f>
        <v>0</v>
      </c>
      <c r="BP77" s="44">
        <f t="shared" si="557"/>
        <v>0</v>
      </c>
      <c r="BQ77" s="44">
        <f t="shared" si="557"/>
        <v>0</v>
      </c>
      <c r="BR77" s="44">
        <f t="shared" si="557"/>
        <v>0</v>
      </c>
      <c r="BS77" s="44">
        <f t="shared" si="557"/>
        <v>0</v>
      </c>
      <c r="BT77" s="44">
        <f t="shared" si="557"/>
        <v>0</v>
      </c>
      <c r="BU77" s="44">
        <f t="shared" si="557"/>
        <v>0</v>
      </c>
      <c r="BV77" s="44">
        <f t="shared" si="557"/>
        <v>0</v>
      </c>
      <c r="BW77" s="44">
        <f t="shared" si="557"/>
        <v>0</v>
      </c>
      <c r="BX77" s="44">
        <f t="shared" si="557"/>
        <v>0</v>
      </c>
      <c r="BY77" s="44">
        <f t="shared" si="557"/>
        <v>0</v>
      </c>
      <c r="BZ77" s="44">
        <f t="shared" si="557"/>
        <v>0</v>
      </c>
      <c r="CA77" s="44">
        <f t="shared" si="557"/>
        <v>0</v>
      </c>
      <c r="CB77" s="44">
        <f t="shared" si="557"/>
        <v>0</v>
      </c>
      <c r="CC77" s="44">
        <f t="shared" si="557"/>
        <v>0</v>
      </c>
      <c r="CD77" s="44">
        <f t="shared" si="557"/>
        <v>0</v>
      </c>
      <c r="CE77" s="44">
        <f t="shared" si="557"/>
        <v>0</v>
      </c>
      <c r="CF77" s="44">
        <f t="shared" si="557"/>
        <v>0</v>
      </c>
      <c r="CG77" s="44">
        <f t="shared" si="557"/>
        <v>0</v>
      </c>
      <c r="CH77" s="44">
        <f t="shared" si="557"/>
        <v>0</v>
      </c>
      <c r="CI77" s="44">
        <f t="shared" si="557"/>
        <v>0</v>
      </c>
      <c r="CJ77" s="44">
        <f t="shared" si="557"/>
        <v>0</v>
      </c>
      <c r="CK77" s="44">
        <f t="shared" si="557"/>
        <v>0</v>
      </c>
      <c r="CL77" s="44">
        <f t="shared" si="557"/>
        <v>0</v>
      </c>
      <c r="CM77" s="44">
        <f t="shared" si="557"/>
        <v>0</v>
      </c>
      <c r="CN77" s="44">
        <f t="shared" si="557"/>
        <v>0</v>
      </c>
      <c r="CO77" s="44">
        <f t="shared" si="557"/>
        <v>0</v>
      </c>
      <c r="CP77" s="44">
        <f t="shared" si="557"/>
        <v>0</v>
      </c>
      <c r="CQ77" s="44">
        <f t="shared" si="557"/>
        <v>0</v>
      </c>
      <c r="CR77" s="44">
        <f t="shared" si="557"/>
        <v>0</v>
      </c>
      <c r="CS77" s="44">
        <f t="shared" si="557"/>
        <v>0</v>
      </c>
      <c r="CT77" s="44">
        <f t="shared" si="557"/>
        <v>0</v>
      </c>
      <c r="CU77" s="44">
        <f t="shared" ref="CU77:DF77" si="558">SUM(CU76:CU76)</f>
        <v>0</v>
      </c>
      <c r="CV77" s="44">
        <f t="shared" si="558"/>
        <v>0</v>
      </c>
      <c r="CW77" s="44">
        <f t="shared" si="558"/>
        <v>0</v>
      </c>
      <c r="CX77" s="44">
        <f t="shared" si="558"/>
        <v>0</v>
      </c>
      <c r="CY77" s="44">
        <f t="shared" si="558"/>
        <v>0</v>
      </c>
      <c r="CZ77" s="44">
        <f t="shared" si="558"/>
        <v>0</v>
      </c>
      <c r="DA77" s="44">
        <f t="shared" si="558"/>
        <v>0</v>
      </c>
      <c r="DB77" s="44">
        <f t="shared" si="558"/>
        <v>0</v>
      </c>
      <c r="DC77" s="44">
        <f t="shared" si="558"/>
        <v>0</v>
      </c>
      <c r="DD77" s="44">
        <f t="shared" si="558"/>
        <v>0</v>
      </c>
      <c r="DE77" s="44">
        <f t="shared" si="558"/>
        <v>0</v>
      </c>
      <c r="DF77" s="44">
        <f t="shared" si="558"/>
        <v>0</v>
      </c>
      <c r="DG77" s="44">
        <f t="shared" ref="DG77:DR77" si="559">SUM(DG76:DG76)</f>
        <v>0</v>
      </c>
      <c r="DH77" s="44">
        <f t="shared" si="559"/>
        <v>0</v>
      </c>
      <c r="DI77" s="44">
        <f t="shared" si="559"/>
        <v>0</v>
      </c>
      <c r="DJ77" s="44">
        <f t="shared" si="559"/>
        <v>0</v>
      </c>
      <c r="DK77" s="44">
        <f t="shared" si="559"/>
        <v>0</v>
      </c>
      <c r="DL77" s="44">
        <f t="shared" si="559"/>
        <v>0</v>
      </c>
      <c r="DM77" s="44">
        <f t="shared" si="559"/>
        <v>0</v>
      </c>
      <c r="DN77" s="44">
        <f t="shared" si="559"/>
        <v>0</v>
      </c>
      <c r="DO77" s="44">
        <f t="shared" si="559"/>
        <v>0</v>
      </c>
      <c r="DP77" s="44">
        <f t="shared" si="559"/>
        <v>0</v>
      </c>
      <c r="DQ77" s="44">
        <f t="shared" si="559"/>
        <v>0</v>
      </c>
      <c r="DR77" s="44">
        <f t="shared" si="559"/>
        <v>0</v>
      </c>
      <c r="DS77" s="44">
        <f t="shared" ref="DS77:ED77" si="560">SUM(DS76:DS76)</f>
        <v>0</v>
      </c>
      <c r="DT77" s="44">
        <f t="shared" si="560"/>
        <v>0</v>
      </c>
      <c r="DU77" s="44">
        <f t="shared" si="560"/>
        <v>0</v>
      </c>
      <c r="DV77" s="44">
        <f t="shared" si="560"/>
        <v>0</v>
      </c>
      <c r="DW77" s="44">
        <f t="shared" si="560"/>
        <v>0</v>
      </c>
      <c r="DX77" s="44">
        <f t="shared" si="560"/>
        <v>0</v>
      </c>
      <c r="DY77" s="44">
        <f t="shared" si="560"/>
        <v>0</v>
      </c>
      <c r="DZ77" s="44">
        <f t="shared" si="560"/>
        <v>0</v>
      </c>
      <c r="EA77" s="44">
        <f t="shared" si="560"/>
        <v>0</v>
      </c>
      <c r="EB77" s="44">
        <f t="shared" si="560"/>
        <v>0</v>
      </c>
      <c r="EC77" s="44">
        <f t="shared" si="560"/>
        <v>0</v>
      </c>
      <c r="ED77" s="44">
        <f t="shared" si="560"/>
        <v>0</v>
      </c>
      <c r="EE77" s="44">
        <f t="shared" ref="EE77:EP77" si="561">SUM(EE76:EE76)</f>
        <v>0</v>
      </c>
      <c r="EF77" s="44">
        <f t="shared" si="561"/>
        <v>0</v>
      </c>
      <c r="EG77" s="44">
        <f t="shared" si="561"/>
        <v>0</v>
      </c>
      <c r="EH77" s="44">
        <f t="shared" si="561"/>
        <v>0</v>
      </c>
      <c r="EI77" s="44">
        <f t="shared" si="561"/>
        <v>0</v>
      </c>
      <c r="EJ77" s="44">
        <f t="shared" si="561"/>
        <v>0</v>
      </c>
      <c r="EK77" s="44">
        <f t="shared" si="561"/>
        <v>0</v>
      </c>
      <c r="EL77" s="44">
        <f t="shared" si="561"/>
        <v>0</v>
      </c>
      <c r="EM77" s="44">
        <f t="shared" si="561"/>
        <v>0</v>
      </c>
      <c r="EN77" s="44">
        <f t="shared" si="561"/>
        <v>0</v>
      </c>
      <c r="EO77" s="44">
        <f t="shared" si="561"/>
        <v>0</v>
      </c>
      <c r="EP77" s="44">
        <f t="shared" si="561"/>
        <v>0</v>
      </c>
      <c r="EQ77" s="44">
        <f t="shared" ref="EQ77:FB77" si="562">SUM(EQ76:EQ76)</f>
        <v>0</v>
      </c>
      <c r="ER77" s="44">
        <f t="shared" si="562"/>
        <v>0</v>
      </c>
      <c r="ES77" s="44">
        <f t="shared" si="562"/>
        <v>0</v>
      </c>
      <c r="ET77" s="44">
        <f t="shared" si="562"/>
        <v>0</v>
      </c>
      <c r="EU77" s="44">
        <f t="shared" si="562"/>
        <v>0</v>
      </c>
      <c r="EV77" s="44">
        <f t="shared" si="562"/>
        <v>0</v>
      </c>
      <c r="EW77" s="44">
        <f t="shared" si="562"/>
        <v>0</v>
      </c>
      <c r="EX77" s="44">
        <f t="shared" si="562"/>
        <v>0</v>
      </c>
      <c r="EY77" s="44">
        <f t="shared" si="562"/>
        <v>0</v>
      </c>
      <c r="EZ77" s="44">
        <f t="shared" si="562"/>
        <v>0</v>
      </c>
      <c r="FA77" s="44">
        <f t="shared" si="562"/>
        <v>0</v>
      </c>
      <c r="FB77" s="44">
        <f t="shared" si="562"/>
        <v>0</v>
      </c>
      <c r="FC77" s="44">
        <f t="shared" ref="FC77:FN77" si="563">SUM(FC76:FC76)</f>
        <v>0</v>
      </c>
      <c r="FD77" s="44">
        <f t="shared" si="563"/>
        <v>0</v>
      </c>
      <c r="FE77" s="44">
        <f t="shared" si="563"/>
        <v>0</v>
      </c>
      <c r="FF77" s="44">
        <f t="shared" si="563"/>
        <v>0</v>
      </c>
      <c r="FG77" s="44">
        <f t="shared" si="563"/>
        <v>0</v>
      </c>
      <c r="FH77" s="44">
        <f t="shared" si="563"/>
        <v>0</v>
      </c>
      <c r="FI77" s="44">
        <f t="shared" si="563"/>
        <v>0</v>
      </c>
      <c r="FJ77" s="44">
        <f t="shared" si="563"/>
        <v>0</v>
      </c>
      <c r="FK77" s="44">
        <f t="shared" si="563"/>
        <v>0</v>
      </c>
      <c r="FL77" s="44">
        <f t="shared" si="563"/>
        <v>0</v>
      </c>
      <c r="FM77" s="44">
        <f t="shared" si="563"/>
        <v>0</v>
      </c>
      <c r="FN77" s="44">
        <f t="shared" si="563"/>
        <v>0</v>
      </c>
      <c r="FO77" s="44">
        <f t="shared" ref="FO77:FZ77" si="564">SUM(FO76:FO76)</f>
        <v>0</v>
      </c>
      <c r="FP77" s="44">
        <f t="shared" si="564"/>
        <v>0</v>
      </c>
      <c r="FQ77" s="44">
        <f t="shared" si="564"/>
        <v>0</v>
      </c>
      <c r="FR77" s="44">
        <f t="shared" si="564"/>
        <v>0</v>
      </c>
      <c r="FS77" s="44">
        <f t="shared" si="564"/>
        <v>0</v>
      </c>
      <c r="FT77" s="44">
        <f t="shared" si="564"/>
        <v>0</v>
      </c>
      <c r="FU77" s="44">
        <f t="shared" si="564"/>
        <v>0</v>
      </c>
      <c r="FV77" s="44">
        <f t="shared" si="564"/>
        <v>0</v>
      </c>
      <c r="FW77" s="44">
        <f t="shared" si="564"/>
        <v>0</v>
      </c>
      <c r="FX77" s="44">
        <f t="shared" si="564"/>
        <v>0</v>
      </c>
      <c r="FY77" s="44">
        <f t="shared" si="564"/>
        <v>0</v>
      </c>
      <c r="FZ77" s="44">
        <f t="shared" si="564"/>
        <v>0</v>
      </c>
      <c r="GA77" s="44">
        <f t="shared" ref="GA77:GL77" si="565">SUM(GA76:GA76)</f>
        <v>0</v>
      </c>
      <c r="GB77" s="44">
        <f t="shared" si="565"/>
        <v>0</v>
      </c>
      <c r="GC77" s="44">
        <f t="shared" si="565"/>
        <v>0</v>
      </c>
      <c r="GD77" s="44">
        <f t="shared" si="565"/>
        <v>0</v>
      </c>
      <c r="GE77" s="44">
        <f t="shared" si="565"/>
        <v>0</v>
      </c>
      <c r="GF77" s="44">
        <f t="shared" si="565"/>
        <v>0</v>
      </c>
      <c r="GG77" s="44">
        <f t="shared" si="565"/>
        <v>0</v>
      </c>
      <c r="GH77" s="44">
        <f t="shared" si="565"/>
        <v>0</v>
      </c>
      <c r="GI77" s="44">
        <f t="shared" si="565"/>
        <v>0</v>
      </c>
      <c r="GJ77" s="44">
        <f t="shared" si="565"/>
        <v>0</v>
      </c>
      <c r="GK77" s="44">
        <f t="shared" si="565"/>
        <v>0</v>
      </c>
      <c r="GL77" s="44">
        <f t="shared" si="565"/>
        <v>0</v>
      </c>
      <c r="GM77" s="44">
        <f t="shared" ref="GM77:GX77" si="566">SUM(GM76:GM76)</f>
        <v>0</v>
      </c>
      <c r="GN77" s="44">
        <f t="shared" si="566"/>
        <v>0</v>
      </c>
      <c r="GO77" s="44">
        <f t="shared" si="566"/>
        <v>0</v>
      </c>
      <c r="GP77" s="44">
        <f t="shared" si="566"/>
        <v>0</v>
      </c>
      <c r="GQ77" s="44">
        <f t="shared" si="566"/>
        <v>0</v>
      </c>
      <c r="GR77" s="44">
        <f t="shared" si="566"/>
        <v>0</v>
      </c>
      <c r="GS77" s="44">
        <f t="shared" si="566"/>
        <v>0</v>
      </c>
      <c r="GT77" s="44">
        <f t="shared" si="566"/>
        <v>0</v>
      </c>
      <c r="GU77" s="44">
        <f t="shared" si="566"/>
        <v>0</v>
      </c>
      <c r="GV77" s="44">
        <f t="shared" si="566"/>
        <v>0</v>
      </c>
      <c r="GW77" s="44">
        <f t="shared" si="566"/>
        <v>0</v>
      </c>
      <c r="GX77" s="44">
        <f t="shared" si="566"/>
        <v>0</v>
      </c>
      <c r="GY77" s="44">
        <f t="shared" ref="GY77:HJ77" si="567">SUM(GY76:GY76)</f>
        <v>0</v>
      </c>
      <c r="GZ77" s="44">
        <f t="shared" si="567"/>
        <v>0</v>
      </c>
      <c r="HA77" s="44">
        <f t="shared" si="567"/>
        <v>0</v>
      </c>
      <c r="HB77" s="44">
        <f t="shared" si="567"/>
        <v>0</v>
      </c>
      <c r="HC77" s="44">
        <f t="shared" si="567"/>
        <v>0</v>
      </c>
      <c r="HD77" s="44">
        <f t="shared" si="567"/>
        <v>0</v>
      </c>
      <c r="HE77" s="44">
        <f t="shared" si="567"/>
        <v>0</v>
      </c>
      <c r="HF77" s="44">
        <f t="shared" si="567"/>
        <v>0</v>
      </c>
      <c r="HG77" s="44">
        <f t="shared" si="567"/>
        <v>0</v>
      </c>
      <c r="HH77" s="44">
        <f t="shared" si="567"/>
        <v>0</v>
      </c>
      <c r="HI77" s="44">
        <f t="shared" si="567"/>
        <v>0</v>
      </c>
      <c r="HJ77" s="44">
        <f t="shared" si="567"/>
        <v>0</v>
      </c>
      <c r="HK77" s="44">
        <f t="shared" ref="HK77:HV77" si="568">SUM(HK76:HK76)</f>
        <v>0</v>
      </c>
      <c r="HL77" s="44">
        <f t="shared" si="568"/>
        <v>0</v>
      </c>
      <c r="HM77" s="44">
        <f t="shared" si="568"/>
        <v>0</v>
      </c>
      <c r="HN77" s="44">
        <f t="shared" si="568"/>
        <v>0</v>
      </c>
      <c r="HO77" s="44">
        <f t="shared" si="568"/>
        <v>0</v>
      </c>
      <c r="HP77" s="44">
        <f t="shared" si="568"/>
        <v>0</v>
      </c>
      <c r="HQ77" s="44">
        <f t="shared" si="568"/>
        <v>0</v>
      </c>
      <c r="HR77" s="44">
        <f t="shared" si="568"/>
        <v>0</v>
      </c>
      <c r="HS77" s="44">
        <f t="shared" si="568"/>
        <v>0</v>
      </c>
      <c r="HT77" s="44">
        <f t="shared" si="568"/>
        <v>0</v>
      </c>
      <c r="HU77" s="44">
        <f t="shared" si="568"/>
        <v>0</v>
      </c>
      <c r="HV77" s="44">
        <f t="shared" si="568"/>
        <v>0</v>
      </c>
      <c r="HW77" s="44">
        <f t="shared" ref="HW77:IH77" si="569">SUM(HW76:HW76)</f>
        <v>0</v>
      </c>
      <c r="HX77" s="44">
        <f t="shared" si="569"/>
        <v>0</v>
      </c>
      <c r="HY77" s="44">
        <f t="shared" si="569"/>
        <v>0</v>
      </c>
      <c r="HZ77" s="44">
        <f t="shared" si="569"/>
        <v>0</v>
      </c>
      <c r="IA77" s="44">
        <f t="shared" si="569"/>
        <v>0</v>
      </c>
      <c r="IB77" s="44">
        <f t="shared" si="569"/>
        <v>0</v>
      </c>
      <c r="IC77" s="44">
        <f t="shared" si="569"/>
        <v>0</v>
      </c>
      <c r="ID77" s="44">
        <f t="shared" si="569"/>
        <v>0</v>
      </c>
      <c r="IE77" s="44">
        <f t="shared" si="569"/>
        <v>0</v>
      </c>
      <c r="IF77" s="44">
        <f t="shared" si="569"/>
        <v>0</v>
      </c>
      <c r="IG77" s="44">
        <f t="shared" si="569"/>
        <v>0</v>
      </c>
      <c r="IH77" s="44">
        <f t="shared" si="569"/>
        <v>0</v>
      </c>
      <c r="II77" s="44">
        <f t="shared" ref="II77:IT77" si="570">SUM(II76:II76)</f>
        <v>0</v>
      </c>
      <c r="IJ77" s="44">
        <f t="shared" si="570"/>
        <v>0</v>
      </c>
      <c r="IK77" s="44">
        <f t="shared" si="570"/>
        <v>0</v>
      </c>
      <c r="IL77" s="44">
        <f t="shared" si="570"/>
        <v>0</v>
      </c>
      <c r="IM77" s="44">
        <f t="shared" si="570"/>
        <v>0</v>
      </c>
      <c r="IN77" s="44">
        <f t="shared" si="570"/>
        <v>0</v>
      </c>
      <c r="IO77" s="44">
        <f t="shared" si="570"/>
        <v>0</v>
      </c>
      <c r="IP77" s="44">
        <f t="shared" si="570"/>
        <v>0</v>
      </c>
      <c r="IQ77" s="44">
        <f t="shared" si="570"/>
        <v>0</v>
      </c>
      <c r="IR77" s="44">
        <f t="shared" si="570"/>
        <v>0</v>
      </c>
      <c r="IS77" s="44">
        <f t="shared" si="570"/>
        <v>0</v>
      </c>
      <c r="IT77" s="44">
        <f t="shared" si="570"/>
        <v>0</v>
      </c>
      <c r="IU77" s="44">
        <f t="shared" ref="IU77:JF77" si="571">SUM(IU76:IU76)</f>
        <v>0</v>
      </c>
      <c r="IV77" s="44">
        <f t="shared" si="571"/>
        <v>0</v>
      </c>
      <c r="IW77" s="44">
        <f t="shared" si="571"/>
        <v>0</v>
      </c>
      <c r="IX77" s="44">
        <f t="shared" si="571"/>
        <v>0</v>
      </c>
      <c r="IY77" s="44">
        <f t="shared" si="571"/>
        <v>0</v>
      </c>
      <c r="IZ77" s="44">
        <f t="shared" si="571"/>
        <v>0</v>
      </c>
      <c r="JA77" s="44">
        <f t="shared" si="571"/>
        <v>0</v>
      </c>
      <c r="JB77" s="44">
        <f t="shared" si="571"/>
        <v>0</v>
      </c>
      <c r="JC77" s="44">
        <f t="shared" si="571"/>
        <v>0</v>
      </c>
      <c r="JD77" s="44">
        <f t="shared" si="571"/>
        <v>0</v>
      </c>
      <c r="JE77" s="44">
        <f t="shared" si="571"/>
        <v>0</v>
      </c>
      <c r="JF77" s="44">
        <f t="shared" si="571"/>
        <v>0</v>
      </c>
      <c r="JG77" s="44">
        <f t="shared" ref="JG77:JR77" si="572">SUM(JG76:JG76)</f>
        <v>0</v>
      </c>
      <c r="JH77" s="44">
        <f t="shared" si="572"/>
        <v>0</v>
      </c>
      <c r="JI77" s="44">
        <f t="shared" si="572"/>
        <v>0</v>
      </c>
      <c r="JJ77" s="44">
        <f t="shared" si="572"/>
        <v>0</v>
      </c>
      <c r="JK77" s="44">
        <f t="shared" si="572"/>
        <v>0</v>
      </c>
      <c r="JL77" s="44">
        <f t="shared" si="572"/>
        <v>0</v>
      </c>
      <c r="JM77" s="44">
        <f t="shared" si="572"/>
        <v>0</v>
      </c>
      <c r="JN77" s="44">
        <f t="shared" si="572"/>
        <v>0</v>
      </c>
      <c r="JO77" s="44">
        <f t="shared" si="572"/>
        <v>0</v>
      </c>
      <c r="JP77" s="44">
        <f t="shared" si="572"/>
        <v>0</v>
      </c>
      <c r="JQ77" s="44">
        <f t="shared" si="572"/>
        <v>0</v>
      </c>
      <c r="JR77" s="44">
        <f t="shared" si="572"/>
        <v>0</v>
      </c>
    </row>
    <row r="78" spans="2:278" x14ac:dyDescent="0.2">
      <c r="B78" s="3"/>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c r="DX78" s="42"/>
      <c r="DY78" s="42"/>
      <c r="DZ78" s="42"/>
      <c r="EA78" s="42"/>
      <c r="EB78" s="42"/>
      <c r="EC78" s="42"/>
      <c r="ED78" s="42"/>
      <c r="EE78" s="42"/>
      <c r="EF78" s="42"/>
      <c r="EG78" s="42"/>
      <c r="EH78" s="42"/>
      <c r="EI78" s="42"/>
      <c r="EJ78" s="42"/>
      <c r="EK78" s="42"/>
      <c r="EL78" s="42"/>
      <c r="EM78" s="42"/>
      <c r="EN78" s="42"/>
      <c r="EO78" s="42"/>
      <c r="EP78" s="42"/>
      <c r="EQ78" s="42"/>
      <c r="ER78" s="42"/>
      <c r="ES78" s="42"/>
      <c r="ET78" s="42"/>
      <c r="EU78" s="42"/>
      <c r="EV78" s="42"/>
      <c r="EW78" s="42"/>
      <c r="EX78" s="42"/>
      <c r="EY78" s="42"/>
      <c r="EZ78" s="42"/>
      <c r="FA78" s="42"/>
      <c r="FB78" s="42"/>
      <c r="FC78" s="42"/>
      <c r="FD78" s="42"/>
      <c r="FE78" s="42"/>
      <c r="FF78" s="42"/>
      <c r="FG78" s="42"/>
      <c r="FH78" s="42"/>
      <c r="FI78" s="42"/>
      <c r="FJ78" s="42"/>
      <c r="FK78" s="42"/>
      <c r="FL78" s="42"/>
      <c r="FM78" s="42"/>
      <c r="FN78" s="42"/>
      <c r="FO78" s="42"/>
      <c r="FP78" s="42"/>
      <c r="FQ78" s="42"/>
      <c r="FR78" s="42"/>
      <c r="FS78" s="42"/>
      <c r="FT78" s="42"/>
      <c r="FU78" s="42"/>
      <c r="FV78" s="42"/>
      <c r="FW78" s="42"/>
      <c r="FX78" s="42"/>
      <c r="FY78" s="42"/>
      <c r="FZ78" s="42"/>
      <c r="GA78" s="42"/>
      <c r="GB78" s="42"/>
      <c r="GC78" s="42"/>
      <c r="GD78" s="42"/>
      <c r="GE78" s="42"/>
      <c r="GF78" s="42"/>
      <c r="GG78" s="42"/>
      <c r="GH78" s="42"/>
      <c r="GI78" s="42"/>
      <c r="GJ78" s="42"/>
      <c r="GK78" s="42"/>
      <c r="GL78" s="42"/>
      <c r="GM78" s="42"/>
      <c r="GN78" s="42"/>
      <c r="GO78" s="42"/>
      <c r="GP78" s="42"/>
      <c r="GQ78" s="42"/>
      <c r="GR78" s="42"/>
      <c r="GS78" s="42"/>
      <c r="GT78" s="42"/>
      <c r="GU78" s="42"/>
      <c r="GV78" s="42"/>
      <c r="GW78" s="42"/>
      <c r="GX78" s="42"/>
      <c r="GY78" s="42"/>
      <c r="GZ78" s="42"/>
      <c r="HA78" s="42"/>
      <c r="HB78" s="42"/>
      <c r="HC78" s="42"/>
      <c r="HD78" s="42"/>
      <c r="HE78" s="42"/>
      <c r="HF78" s="42"/>
      <c r="HG78" s="42"/>
      <c r="HH78" s="42"/>
      <c r="HI78" s="42"/>
      <c r="HJ78" s="42"/>
      <c r="HK78" s="42"/>
      <c r="HL78" s="42"/>
      <c r="HM78" s="42"/>
      <c r="HN78" s="42"/>
      <c r="HO78" s="42"/>
      <c r="HP78" s="42"/>
      <c r="HQ78" s="42"/>
      <c r="HR78" s="42"/>
      <c r="HS78" s="42"/>
      <c r="HT78" s="42"/>
      <c r="HU78" s="42"/>
      <c r="HV78" s="42"/>
      <c r="HW78" s="42"/>
      <c r="HX78" s="42"/>
      <c r="HY78" s="42"/>
      <c r="HZ78" s="42"/>
      <c r="IA78" s="42"/>
      <c r="IB78" s="42"/>
      <c r="IC78" s="42"/>
      <c r="ID78" s="42"/>
      <c r="IE78" s="42"/>
      <c r="IF78" s="42"/>
      <c r="IG78" s="42"/>
      <c r="IH78" s="42"/>
      <c r="II78" s="42"/>
      <c r="IJ78" s="42"/>
      <c r="IK78" s="42"/>
      <c r="IL78" s="42"/>
      <c r="IM78" s="42"/>
      <c r="IN78" s="42"/>
      <c r="IO78" s="42"/>
      <c r="IP78" s="42"/>
      <c r="IQ78" s="42"/>
      <c r="IR78" s="42"/>
      <c r="IS78" s="42"/>
      <c r="IT78" s="42"/>
      <c r="IU78" s="42"/>
      <c r="IV78" s="42"/>
      <c r="IW78" s="42"/>
      <c r="IX78" s="42"/>
      <c r="IY78" s="42"/>
      <c r="IZ78" s="42"/>
      <c r="JA78" s="42"/>
      <c r="JB78" s="42"/>
      <c r="JC78" s="42"/>
      <c r="JD78" s="42"/>
      <c r="JE78" s="42"/>
      <c r="JF78" s="42"/>
      <c r="JG78" s="42"/>
      <c r="JH78" s="42"/>
      <c r="JI78" s="42"/>
      <c r="JJ78" s="42"/>
      <c r="JK78" s="42"/>
      <c r="JL78" s="42"/>
      <c r="JM78" s="42"/>
      <c r="JN78" s="42"/>
      <c r="JO78" s="42"/>
      <c r="JP78" s="42"/>
      <c r="JQ78" s="42"/>
      <c r="JR78" s="42"/>
    </row>
    <row r="79" spans="2:278" x14ac:dyDescent="0.2">
      <c r="B79" s="3" t="s">
        <v>139</v>
      </c>
      <c r="C79" s="42">
        <f>C72-C77</f>
        <v>-751857.530441407</v>
      </c>
      <c r="D79" s="42">
        <f>D72-D77</f>
        <v>-948893.02905530925</v>
      </c>
      <c r="E79" s="42">
        <f t="shared" ref="E79:BP79" si="573">E72-E77</f>
        <v>-1034068.0691139193</v>
      </c>
      <c r="F79" s="42">
        <f t="shared" si="573"/>
        <v>-1096340.0237771731</v>
      </c>
      <c r="G79" s="42">
        <f t="shared" si="573"/>
        <v>-1178117.2898574094</v>
      </c>
      <c r="H79" s="42">
        <f t="shared" si="573"/>
        <v>-1307033.0668461528</v>
      </c>
      <c r="I79" s="42">
        <f t="shared" si="573"/>
        <v>-1440964.8925732085</v>
      </c>
      <c r="J79" s="42">
        <f t="shared" si="573"/>
        <v>-1557122.7496823799</v>
      </c>
      <c r="K79" s="42">
        <f t="shared" si="573"/>
        <v>-1660025.9329952977</v>
      </c>
      <c r="L79" s="42">
        <f t="shared" si="573"/>
        <v>-1749555.0092197431</v>
      </c>
      <c r="M79" s="42">
        <f t="shared" si="573"/>
        <v>-1828908.9067456364</v>
      </c>
      <c r="N79" s="42">
        <f t="shared" si="573"/>
        <v>-1925152.6477794694</v>
      </c>
      <c r="O79" s="42">
        <f t="shared" si="573"/>
        <v>-2006259.1657289483</v>
      </c>
      <c r="P79" s="42">
        <f t="shared" si="573"/>
        <v>-2006259.1657289483</v>
      </c>
      <c r="Q79" s="42">
        <f t="shared" si="573"/>
        <v>-2006259.1657289483</v>
      </c>
      <c r="R79" s="42">
        <f t="shared" si="573"/>
        <v>-1213635.2408353915</v>
      </c>
      <c r="S79" s="42">
        <f t="shared" si="573"/>
        <v>-1049466.7655459703</v>
      </c>
      <c r="T79" s="42">
        <f t="shared" si="573"/>
        <v>-1189716.9864817988</v>
      </c>
      <c r="U79" s="42">
        <f t="shared" si="573"/>
        <v>-1018244.6751644639</v>
      </c>
      <c r="V79" s="42">
        <f t="shared" si="573"/>
        <v>-1012620.412861164</v>
      </c>
      <c r="W79" s="42">
        <f t="shared" si="573"/>
        <v>-1153526.841194018</v>
      </c>
      <c r="X79" s="42">
        <f t="shared" si="573"/>
        <v>-987844.19512373232</v>
      </c>
      <c r="Y79" s="42">
        <f t="shared" si="573"/>
        <v>-1129189.287975044</v>
      </c>
      <c r="Z79" s="42">
        <f t="shared" si="573"/>
        <v>-962896.54775641905</v>
      </c>
      <c r="AA79" s="42">
        <f t="shared" si="573"/>
        <v>-733261.91640031477</v>
      </c>
      <c r="AB79" s="42">
        <f t="shared" si="573"/>
        <v>-1184440.6679162164</v>
      </c>
      <c r="AC79" s="42">
        <f t="shared" si="573"/>
        <v>-708054.12022488611</v>
      </c>
      <c r="AD79" s="42">
        <f t="shared" si="573"/>
        <v>938479.18292621453</v>
      </c>
      <c r="AE79" s="42">
        <f t="shared" si="573"/>
        <v>1165940.9896200215</v>
      </c>
      <c r="AF79" s="42">
        <f t="shared" si="573"/>
        <v>963420.45880853105</v>
      </c>
      <c r="AG79" s="42">
        <f t="shared" si="573"/>
        <v>1191501.3505743276</v>
      </c>
      <c r="AH79" s="42">
        <f t="shared" si="573"/>
        <v>1204348.4634021106</v>
      </c>
      <c r="AI79" s="42">
        <f t="shared" si="573"/>
        <v>1001163.1975864745</v>
      </c>
      <c r="AJ79" s="42">
        <f t="shared" si="573"/>
        <v>1230177.6003270717</v>
      </c>
      <c r="AK79" s="42">
        <f t="shared" si="573"/>
        <v>1026548.0068156718</v>
      </c>
      <c r="AL79" s="42">
        <f t="shared" si="573"/>
        <v>1256188.0276311217</v>
      </c>
      <c r="AM79" s="42">
        <f t="shared" si="573"/>
        <v>1301747.2435203765</v>
      </c>
      <c r="AN79" s="42">
        <f t="shared" si="573"/>
        <v>662614.35471860552</v>
      </c>
      <c r="AO79" s="42">
        <f t="shared" si="573"/>
        <v>1328032.8118786034</v>
      </c>
      <c r="AP79" s="42">
        <f t="shared" si="573"/>
        <v>1310628.0256900832</v>
      </c>
      <c r="AQ79" s="42">
        <f t="shared" si="573"/>
        <v>1520436.9322233321</v>
      </c>
      <c r="AR79" s="42">
        <f t="shared" si="573"/>
        <v>1315521.4206236957</v>
      </c>
      <c r="AS79" s="42">
        <f t="shared" si="573"/>
        <v>1547649.0077106024</v>
      </c>
      <c r="AT79" s="42">
        <f t="shared" si="573"/>
        <v>1561326.5450466755</v>
      </c>
      <c r="AU79" s="42">
        <f t="shared" si="573"/>
        <v>1355739.3242962146</v>
      </c>
      <c r="AV79" s="42">
        <f t="shared" si="573"/>
        <v>1588825.7395474976</v>
      </c>
      <c r="AW79" s="42">
        <f t="shared" si="573"/>
        <v>1382789.5711805196</v>
      </c>
      <c r="AX79" s="42">
        <f t="shared" si="573"/>
        <v>1616518.602226445</v>
      </c>
      <c r="AY79" s="42">
        <f t="shared" si="573"/>
        <v>1665272.0935758394</v>
      </c>
      <c r="AZ79" s="42">
        <f t="shared" si="573"/>
        <v>1237880.7772205928</v>
      </c>
      <c r="BA79" s="42">
        <f t="shared" si="573"/>
        <v>1693258.8909587455</v>
      </c>
      <c r="BB79" s="42">
        <f t="shared" si="573"/>
        <v>1486096.3858074651</v>
      </c>
      <c r="BC79" s="42">
        <f t="shared" si="573"/>
        <v>1721443.9622033618</v>
      </c>
      <c r="BD79" s="42">
        <f t="shared" si="573"/>
        <v>1513829.3455288815</v>
      </c>
      <c r="BE79" s="42">
        <f t="shared" si="573"/>
        <v>1749829.1848046742</v>
      </c>
      <c r="BF79" s="42">
        <f t="shared" si="573"/>
        <v>1764097.4451729304</v>
      </c>
      <c r="BG79" s="42">
        <f t="shared" si="573"/>
        <v>1555802.9844656258</v>
      </c>
      <c r="BH79" s="42">
        <f t="shared" si="573"/>
        <v>1792786.4599608043</v>
      </c>
      <c r="BI79" s="42">
        <f t="shared" si="573"/>
        <v>1584037.6581994148</v>
      </c>
      <c r="BJ79" s="42">
        <f t="shared" si="573"/>
        <v>1821680.4099253369</v>
      </c>
      <c r="BK79" s="42">
        <f t="shared" si="573"/>
        <v>1873556.8512392507</v>
      </c>
      <c r="BL79" s="42">
        <f t="shared" si="573"/>
        <v>1216108.1389359247</v>
      </c>
      <c r="BM79" s="42">
        <f t="shared" si="573"/>
        <v>1902761.8672085293</v>
      </c>
      <c r="BN79" s="42">
        <f t="shared" si="573"/>
        <v>1692873.3536097626</v>
      </c>
      <c r="BO79" s="42">
        <f t="shared" si="573"/>
        <v>1932176.7338338315</v>
      </c>
      <c r="BP79" s="42">
        <f t="shared" si="573"/>
        <v>1721830.8036424727</v>
      </c>
      <c r="BQ79" s="42">
        <f t="shared" ref="BQ79:CT79" si="574">BQ72-BQ77</f>
        <v>1961803.4550201742</v>
      </c>
      <c r="BR79" s="42">
        <f t="shared" si="574"/>
        <v>1976696.8932813774</v>
      </c>
      <c r="BS79" s="42">
        <f t="shared" si="574"/>
        <v>1765663.2114805386</v>
      </c>
      <c r="BT79" s="42">
        <f t="shared" si="574"/>
        <v>2006645.2016532624</v>
      </c>
      <c r="BU79" s="42">
        <f t="shared" si="574"/>
        <v>1795151.9413198542</v>
      </c>
      <c r="BV79" s="42">
        <f t="shared" si="574"/>
        <v>2036810.4708062534</v>
      </c>
      <c r="BW79" s="42">
        <f t="shared" si="574"/>
        <v>2092027.3019770924</v>
      </c>
      <c r="BX79" s="42">
        <f t="shared" si="574"/>
        <v>1425035.2718235306</v>
      </c>
      <c r="BY79" s="42">
        <f t="shared" si="574"/>
        <v>2122521.9226772506</v>
      </c>
      <c r="BZ79" s="42">
        <f t="shared" si="574"/>
        <v>1909875.9811751938</v>
      </c>
      <c r="CA79" s="42">
        <f t="shared" si="574"/>
        <v>2153238.7513585724</v>
      </c>
      <c r="CB79" s="42">
        <f t="shared" si="574"/>
        <v>1940130.2569398684</v>
      </c>
      <c r="CC79" s="42">
        <f t="shared" si="574"/>
        <v>2184179.9272850943</v>
      </c>
      <c r="CD79" s="42">
        <f t="shared" si="574"/>
        <v>2199735.3203967405</v>
      </c>
      <c r="CE79" s="42">
        <f t="shared" si="574"/>
        <v>1985931.4269816272</v>
      </c>
      <c r="CF79" s="42">
        <f t="shared" si="574"/>
        <v>2231017.079734901</v>
      </c>
      <c r="CG79" s="42">
        <f t="shared" si="574"/>
        <v>2016748.5485561753</v>
      </c>
      <c r="CH79" s="42">
        <f t="shared" si="574"/>
        <v>2262528.637768981</v>
      </c>
      <c r="CI79" s="42">
        <f t="shared" si="574"/>
        <v>2309414.0854648054</v>
      </c>
      <c r="CJ79" s="42">
        <f t="shared" si="574"/>
        <v>1632711.1267784862</v>
      </c>
      <c r="CK79" s="42">
        <f t="shared" si="574"/>
        <v>2341274.5165603613</v>
      </c>
      <c r="CL79" s="42">
        <f t="shared" si="574"/>
        <v>2125840.7976293182</v>
      </c>
      <c r="CM79" s="42">
        <f t="shared" si="574"/>
        <v>2373370.3487729314</v>
      </c>
      <c r="CN79" s="42">
        <f t="shared" si="574"/>
        <v>2157469.1326883133</v>
      </c>
      <c r="CO79" s="42">
        <f t="shared" si="574"/>
        <v>2405703.866317654</v>
      </c>
      <c r="CP79" s="42">
        <f t="shared" si="574"/>
        <v>2421960.4777728133</v>
      </c>
      <c r="CQ79" s="42">
        <f t="shared" si="574"/>
        <v>2205356.5110882176</v>
      </c>
      <c r="CR79" s="42">
        <f t="shared" si="574"/>
        <v>2454654.8612891156</v>
      </c>
      <c r="CS79" s="42">
        <f t="shared" si="574"/>
        <v>2237581.3999791532</v>
      </c>
      <c r="CT79" s="42">
        <f t="shared" si="574"/>
        <v>2487592.7512902832</v>
      </c>
      <c r="CU79" s="42">
        <f t="shared" ref="CU79:DF79" si="575">CU72-CU77</f>
        <v>2538301.2352300137</v>
      </c>
      <c r="CV79" s="42">
        <f t="shared" si="575"/>
        <v>1851718.1603652509</v>
      </c>
      <c r="CW79" s="42">
        <f t="shared" si="575"/>
        <v>2571608.8433827669</v>
      </c>
      <c r="CX79" s="42">
        <f t="shared" si="575"/>
        <v>5385835.4116570335</v>
      </c>
      <c r="CY79" s="42">
        <f t="shared" si="575"/>
        <v>5637643.1403174708</v>
      </c>
      <c r="CZ79" s="42">
        <f t="shared" si="575"/>
        <v>5418920.2850769321</v>
      </c>
      <c r="DA79" s="42">
        <f t="shared" si="575"/>
        <v>5671452.1665509939</v>
      </c>
      <c r="DB79" s="42">
        <f t="shared" si="575"/>
        <v>5688451.9226350896</v>
      </c>
      <c r="DC79" s="42">
        <f t="shared" si="575"/>
        <v>5469019.2994797882</v>
      </c>
      <c r="DD79" s="42">
        <f t="shared" si="575"/>
        <v>5722643.4749580324</v>
      </c>
      <c r="DE79" s="42">
        <f t="shared" si="575"/>
        <v>5502736.7287772857</v>
      </c>
      <c r="DF79" s="42">
        <f t="shared" si="575"/>
        <v>5757093.173130529</v>
      </c>
      <c r="DG79" s="42">
        <f t="shared" ref="DG79:DR79" si="576">DG72-DG77</f>
        <v>5811892.2218660815</v>
      </c>
      <c r="DH79" s="42">
        <f t="shared" si="576"/>
        <v>5115258.3649288053</v>
      </c>
      <c r="DI79" s="42">
        <f t="shared" si="576"/>
        <v>5846733.9007575568</v>
      </c>
      <c r="DJ79" s="42">
        <f t="shared" si="576"/>
        <v>5625638.5937595386</v>
      </c>
      <c r="DK79" s="42">
        <f t="shared" si="576"/>
        <v>5881840.1157412166</v>
      </c>
      <c r="DL79" s="42">
        <f t="shared" si="576"/>
        <v>5660268.1024483871</v>
      </c>
      <c r="DM79" s="42">
        <f t="shared" si="576"/>
        <v>5917213.4725184217</v>
      </c>
      <c r="DN79" s="42">
        <f t="shared" si="576"/>
        <v>5935001.1512368666</v>
      </c>
      <c r="DO79" s="42">
        <f t="shared" si="576"/>
        <v>5712712.7286378313</v>
      </c>
      <c r="DP79" s="42">
        <f t="shared" si="576"/>
        <v>5970780.1695621591</v>
      </c>
      <c r="DQ79" s="42">
        <f t="shared" si="576"/>
        <v>5748013.2522092173</v>
      </c>
      <c r="DR79" s="42">
        <f t="shared" si="576"/>
        <v>6006832.9708155263</v>
      </c>
      <c r="DS79" s="42">
        <f t="shared" ref="DS79:ED79" si="577">DS72-DS77</f>
        <v>6066009.2719179019</v>
      </c>
      <c r="DT79" s="42">
        <f t="shared" si="577"/>
        <v>5359152.5989098288</v>
      </c>
      <c r="DU79" s="42">
        <f t="shared" si="577"/>
        <v>6102477.8345885212</v>
      </c>
      <c r="DV79" s="42">
        <f t="shared" si="577"/>
        <v>5878511.6288195886</v>
      </c>
      <c r="DW79" s="42">
        <f t="shared" si="577"/>
        <v>6139227.0067831352</v>
      </c>
      <c r="DX79" s="42">
        <f t="shared" si="577"/>
        <v>5914779.8866414931</v>
      </c>
      <c r="DY79" s="42">
        <f t="shared" si="577"/>
        <v>6176259.5722701391</v>
      </c>
      <c r="DZ79" s="42">
        <f t="shared" si="577"/>
        <v>6194883.0058613745</v>
      </c>
      <c r="EA79" s="42">
        <f t="shared" si="577"/>
        <v>5969713.2559422776</v>
      </c>
      <c r="EB79" s="42">
        <f t="shared" si="577"/>
        <v>6232345.9485111516</v>
      </c>
      <c r="EC79" s="42">
        <f t="shared" si="577"/>
        <v>6006693.6192665547</v>
      </c>
      <c r="ED79" s="42">
        <f t="shared" si="577"/>
        <v>6270099.3797761714</v>
      </c>
      <c r="EE79" s="42">
        <f t="shared" ref="EE79:EP79" si="578">EE72-EE77</f>
        <v>6308870.6414134642</v>
      </c>
      <c r="EF79" s="42">
        <f t="shared" si="578"/>
        <v>5591617.8727184907</v>
      </c>
      <c r="EG79" s="42">
        <f t="shared" si="578"/>
        <v>6347065.2408179669</v>
      </c>
      <c r="EH79" s="42">
        <f t="shared" si="578"/>
        <v>6120203.6368491706</v>
      </c>
      <c r="EI79" s="42">
        <f t="shared" si="578"/>
        <v>6378836.0520902053</v>
      </c>
      <c r="EJ79" s="42">
        <f t="shared" si="578"/>
        <v>6144728.8518448118</v>
      </c>
      <c r="EK79" s="42">
        <f t="shared" si="578"/>
        <v>6404068.1935211886</v>
      </c>
      <c r="EL79" s="42">
        <f t="shared" si="578"/>
        <v>6416738.5998326475</v>
      </c>
      <c r="EM79" s="42">
        <f t="shared" si="578"/>
        <v>6181784.0137152057</v>
      </c>
      <c r="EN79" s="42">
        <f t="shared" si="578"/>
        <v>6442188.8220497062</v>
      </c>
      <c r="EO79" s="42">
        <f t="shared" si="578"/>
        <v>6206667.3938592849</v>
      </c>
      <c r="EP79" s="42">
        <f t="shared" si="578"/>
        <v>6467785.9170744242</v>
      </c>
      <c r="EQ79" s="42">
        <f t="shared" ref="EQ79:FB79" si="579">EQ72-EQ77</f>
        <v>6489726.0608864455</v>
      </c>
      <c r="ER79" s="42">
        <f t="shared" si="579"/>
        <v>5754820.0069127902</v>
      </c>
      <c r="ES79" s="42">
        <f t="shared" si="579"/>
        <v>6515545.7240338158</v>
      </c>
      <c r="ET79" s="42">
        <f t="shared" si="579"/>
        <v>6278600.4697465664</v>
      </c>
      <c r="EU79" s="42">
        <f t="shared" si="579"/>
        <v>6541515.2899035234</v>
      </c>
      <c r="EV79" s="42">
        <f t="shared" si="579"/>
        <v>6303997.8143388415</v>
      </c>
      <c r="EW79" s="42">
        <f t="shared" si="579"/>
        <v>6567635.9922835222</v>
      </c>
      <c r="EX79" s="42">
        <f t="shared" si="579"/>
        <v>6580753.4086869517</v>
      </c>
      <c r="EY79" s="42">
        <f t="shared" si="579"/>
        <v>6342374.715436154</v>
      </c>
      <c r="EZ79" s="42">
        <f t="shared" si="579"/>
        <v>6607103.156961468</v>
      </c>
      <c r="FA79" s="42">
        <f t="shared" si="579"/>
        <v>6368148.3935694555</v>
      </c>
      <c r="FB79" s="42">
        <f t="shared" si="579"/>
        <v>6633607.1820037905</v>
      </c>
      <c r="FC79" s="42">
        <f t="shared" ref="FC79:FN79" si="580">FC72-FC77</f>
        <v>6657521.0253146365</v>
      </c>
      <c r="FD79" s="42">
        <f t="shared" si="580"/>
        <v>5911357.1209849613</v>
      </c>
      <c r="FE79" s="42">
        <f t="shared" si="580"/>
        <v>6684258.867364726</v>
      </c>
      <c r="FF79" s="42">
        <f t="shared" si="580"/>
        <v>6443857.1857350068</v>
      </c>
      <c r="FG79" s="42">
        <f t="shared" si="580"/>
        <v>6711154.2079409715</v>
      </c>
      <c r="FH79" s="42">
        <f t="shared" si="580"/>
        <v>6470171.060139616</v>
      </c>
      <c r="FI79" s="42">
        <f t="shared" si="580"/>
        <v>6738208.3590823887</v>
      </c>
      <c r="FJ79" s="42">
        <f t="shared" si="580"/>
        <v>6751795.4023308987</v>
      </c>
      <c r="FK79" s="42">
        <f t="shared" si="580"/>
        <v>6509937.1618044376</v>
      </c>
      <c r="FL79" s="42">
        <f t="shared" si="580"/>
        <v>6779090.2590975529</v>
      </c>
      <c r="FM79" s="42">
        <f t="shared" si="580"/>
        <v>6536646.6937087839</v>
      </c>
      <c r="FN79" s="42">
        <f t="shared" si="580"/>
        <v>6806547.2661865847</v>
      </c>
      <c r="FO79" s="42">
        <f t="shared" ref="FO79:FZ79" si="581">FO72-FO77</f>
        <v>6844472.4701065505</v>
      </c>
      <c r="FP79" s="42">
        <f t="shared" si="581"/>
        <v>6086837.5587506937</v>
      </c>
      <c r="FQ79" s="42">
        <f t="shared" si="581"/>
        <v>6872175.257400373</v>
      </c>
      <c r="FR79" s="42">
        <f t="shared" si="581"/>
        <v>6628261.6227730345</v>
      </c>
      <c r="FS79" s="42">
        <f t="shared" si="581"/>
        <v>6900043.6219349522</v>
      </c>
      <c r="FT79" s="42">
        <f t="shared" si="581"/>
        <v>6655539.2558796313</v>
      </c>
      <c r="FU79" s="42">
        <f t="shared" si="581"/>
        <v>6928078.9594350345</v>
      </c>
      <c r="FV79" s="42">
        <f t="shared" si="581"/>
        <v>6942159.6831722949</v>
      </c>
      <c r="FW79" s="42">
        <f t="shared" si="581"/>
        <v>6696766.3223073119</v>
      </c>
      <c r="FX79" s="42">
        <f t="shared" si="581"/>
        <v>6970448.128874233</v>
      </c>
      <c r="FY79" s="42">
        <f t="shared" si="581"/>
        <v>6724460.1727693332</v>
      </c>
      <c r="FZ79" s="42">
        <f t="shared" si="581"/>
        <v>6998907.1006618906</v>
      </c>
      <c r="GA79" s="42">
        <f t="shared" ref="GA79:GL79" si="582">GA72-GA77</f>
        <v>7039081.2100438718</v>
      </c>
      <c r="GB79" s="42">
        <f t="shared" si="582"/>
        <v>6269758.847753928</v>
      </c>
      <c r="GC79" s="42">
        <f t="shared" si="582"/>
        <v>7067798.6891755555</v>
      </c>
      <c r="GD79" s="42">
        <f t="shared" si="582"/>
        <v>6820317.4822128322</v>
      </c>
      <c r="GE79" s="42">
        <f t="shared" si="582"/>
        <v>7096690.3407391896</v>
      </c>
      <c r="GF79" s="42">
        <f t="shared" si="582"/>
        <v>6848609.128332587</v>
      </c>
      <c r="GG79" s="42">
        <f t="shared" si="582"/>
        <v>7125757.6499683056</v>
      </c>
      <c r="GH79" s="42">
        <f t="shared" si="582"/>
        <v>7140357.6445799759</v>
      </c>
      <c r="GI79" s="42">
        <f t="shared" si="582"/>
        <v>6891373.5259721363</v>
      </c>
      <c r="GJ79" s="42">
        <f t="shared" si="582"/>
        <v>7169691.2591028837</v>
      </c>
      <c r="GK79" s="42">
        <f t="shared" si="582"/>
        <v>6920103.271273057</v>
      </c>
      <c r="GL79" s="42">
        <f t="shared" si="582"/>
        <v>7199204.3126286929</v>
      </c>
      <c r="GM79" s="42">
        <f t="shared" ref="GM79:GX79" si="583">GM72-GM77</f>
        <v>7223064.6180540258</v>
      </c>
      <c r="GN79" s="42">
        <f t="shared" si="583"/>
        <v>6441835.0806983104</v>
      </c>
      <c r="GO79" s="42">
        <f t="shared" si="583"/>
        <v>7252849.7231827443</v>
      </c>
      <c r="GP79" s="42">
        <f t="shared" si="583"/>
        <v>7001745.3031964516</v>
      </c>
      <c r="GQ79" s="42">
        <f t="shared" si="583"/>
        <v>7277804.3072309811</v>
      </c>
      <c r="GR79" s="42">
        <f t="shared" si="583"/>
        <v>7021047.52317857</v>
      </c>
      <c r="GS79" s="42">
        <f t="shared" si="583"/>
        <v>7297842.0383505393</v>
      </c>
      <c r="GT79" s="42">
        <f t="shared" si="583"/>
        <v>7307886.4417623505</v>
      </c>
      <c r="GU79" s="42">
        <f t="shared" si="583"/>
        <v>7050124.0803624503</v>
      </c>
      <c r="GV79" s="42">
        <f t="shared" si="583"/>
        <v>7328026.4675902678</v>
      </c>
      <c r="GW79" s="42">
        <f t="shared" si="583"/>
        <v>7069590.9262639526</v>
      </c>
      <c r="GX79" s="42">
        <f t="shared" si="583"/>
        <v>7348234.9770511435</v>
      </c>
      <c r="GY79" s="42">
        <f t="shared" ref="GY79:HJ79" si="584">GY72-GY77</f>
        <v>7358364.9851847216</v>
      </c>
      <c r="GZ79" s="42">
        <f t="shared" si="584"/>
        <v>6559721.9867711766</v>
      </c>
      <c r="HA79" s="42">
        <f t="shared" si="584"/>
        <v>7378676.6527621662</v>
      </c>
      <c r="HB79" s="42">
        <f t="shared" si="584"/>
        <v>7118548.3245659219</v>
      </c>
      <c r="HC79" s="42">
        <f t="shared" si="584"/>
        <v>7399057.3819903005</v>
      </c>
      <c r="HD79" s="42">
        <f t="shared" si="584"/>
        <v>7138247.9845223464</v>
      </c>
      <c r="HE79" s="42">
        <f t="shared" si="584"/>
        <v>7419507.4054334853</v>
      </c>
      <c r="HF79" s="42">
        <f t="shared" si="584"/>
        <v>7429758.4753751494</v>
      </c>
      <c r="HG79" s="42">
        <f t="shared" si="584"/>
        <v>7167923.2134374855</v>
      </c>
      <c r="HH79" s="42">
        <f t="shared" si="584"/>
        <v>7450312.8779048976</v>
      </c>
      <c r="HI79" s="42">
        <f t="shared" si="584"/>
        <v>7187790.8548904601</v>
      </c>
      <c r="HJ79" s="42">
        <f t="shared" si="584"/>
        <v>7470937.1594765028</v>
      </c>
      <c r="HK79" s="42">
        <f t="shared" ref="HK79:HV79" si="585">HK72-HK77</f>
        <v>7481275.5784047041</v>
      </c>
      <c r="HL79" s="42">
        <f t="shared" si="585"/>
        <v>6669894.2420069268</v>
      </c>
      <c r="HM79" s="42">
        <f t="shared" si="585"/>
        <v>7502005.1199803259</v>
      </c>
      <c r="HN79" s="42">
        <f t="shared" si="585"/>
        <v>7237756.1587133063</v>
      </c>
      <c r="HO79" s="42">
        <f t="shared" si="585"/>
        <v>7522805.1303371647</v>
      </c>
      <c r="HP79" s="42">
        <f t="shared" si="585"/>
        <v>7257861.3594450494</v>
      </c>
      <c r="HQ79" s="42">
        <f t="shared" si="585"/>
        <v>7543675.8467556974</v>
      </c>
      <c r="HR79" s="42">
        <f t="shared" si="585"/>
        <v>7554137.7941056304</v>
      </c>
      <c r="HS79" s="42">
        <f t="shared" si="585"/>
        <v>7288147.4622376263</v>
      </c>
      <c r="HT79" s="42">
        <f t="shared" si="585"/>
        <v>7575115.0162579166</v>
      </c>
      <c r="HU79" s="42">
        <f t="shared" si="585"/>
        <v>7308424.0681018438</v>
      </c>
      <c r="HV79" s="42">
        <f t="shared" si="585"/>
        <v>7596163.5411580987</v>
      </c>
      <c r="HW79" s="42">
        <f t="shared" ref="HW79:IH79" si="586">HW72-HW77</f>
        <v>7606714.6171308383</v>
      </c>
      <c r="HX79" s="42">
        <f t="shared" si="586"/>
        <v>6782337.8672494721</v>
      </c>
      <c r="HY79" s="42">
        <f t="shared" si="586"/>
        <v>7627870.5465457058</v>
      </c>
      <c r="HZ79" s="42">
        <f t="shared" si="586"/>
        <v>7359417.8195957979</v>
      </c>
      <c r="IA79" s="42">
        <f t="shared" si="586"/>
        <v>7649098.3804066097</v>
      </c>
      <c r="IB79" s="42">
        <f t="shared" si="586"/>
        <v>7379936.826204245</v>
      </c>
      <c r="IC79" s="42">
        <f t="shared" si="586"/>
        <v>7670398.3608055497</v>
      </c>
      <c r="ID79" s="42">
        <f t="shared" si="586"/>
        <v>7681075.4818323068</v>
      </c>
      <c r="IE79" s="42">
        <f t="shared" si="586"/>
        <v>7410846.2525017699</v>
      </c>
      <c r="IF79" s="42">
        <f t="shared" si="586"/>
        <v>7702484.1377363289</v>
      </c>
      <c r="IG79" s="42">
        <f t="shared" si="586"/>
        <v>7431540.1573143965</v>
      </c>
      <c r="IH79" s="42">
        <f t="shared" si="586"/>
        <v>7723965.5489639044</v>
      </c>
      <c r="II79" s="42">
        <f t="shared" ref="II79:IT79" si="587">II72-II77</f>
        <v>7734733.6143368483</v>
      </c>
      <c r="IJ79" s="42">
        <f t="shared" si="587"/>
        <v>6897099.186967507</v>
      </c>
      <c r="IK79" s="42">
        <f t="shared" si="587"/>
        <v>7756324.6180753186</v>
      </c>
      <c r="IL79" s="42">
        <f t="shared" si="587"/>
        <v>7483583.3152511269</v>
      </c>
      <c r="IM79" s="42">
        <f t="shared" si="587"/>
        <v>7777988.9910361962</v>
      </c>
      <c r="IN79" s="42">
        <f t="shared" si="587"/>
        <v>7504524.560462296</v>
      </c>
      <c r="IO79" s="42">
        <f t="shared" si="587"/>
        <v>7799726.9802203504</v>
      </c>
      <c r="IP79" s="42">
        <f t="shared" si="587"/>
        <v>7810623.6583101898</v>
      </c>
      <c r="IQ79" s="42">
        <f t="shared" si="587"/>
        <v>7536070.0123807909</v>
      </c>
      <c r="IR79" s="42">
        <f t="shared" si="587"/>
        <v>7832472.5367673282</v>
      </c>
      <c r="IS79" s="42">
        <f t="shared" si="587"/>
        <v>7557189.7197084744</v>
      </c>
      <c r="IT79" s="42">
        <f t="shared" si="587"/>
        <v>7854395.6525773546</v>
      </c>
      <c r="IU79" s="42">
        <f t="shared" ref="IU79:JF79" si="588">IU72-IU77</f>
        <v>7865385.1275539286</v>
      </c>
      <c r="IV79" s="42">
        <f t="shared" si="588"/>
        <v>7014225.4654645454</v>
      </c>
      <c r="IW79" s="42">
        <f t="shared" si="588"/>
        <v>7887420.0682363296</v>
      </c>
      <c r="IX79" s="42">
        <f t="shared" si="588"/>
        <v>7610303.6679103477</v>
      </c>
      <c r="IY79" s="42">
        <f t="shared" si="588"/>
        <v>7909529.8726180103</v>
      </c>
      <c r="IZ79" s="42">
        <f t="shared" si="588"/>
        <v>7631675.7554662926</v>
      </c>
      <c r="JA79" s="42">
        <f t="shared" si="588"/>
        <v>7931714.792708016</v>
      </c>
      <c r="JB79" s="42">
        <f t="shared" si="588"/>
        <v>7942835.5001273016</v>
      </c>
      <c r="JC79" s="42">
        <f t="shared" si="588"/>
        <v>7663870.1927186893</v>
      </c>
      <c r="JD79" s="42">
        <f t="shared" si="588"/>
        <v>7965133.5681448299</v>
      </c>
      <c r="JE79" s="42">
        <f t="shared" si="588"/>
        <v>7685424.3785773544</v>
      </c>
      <c r="JF79" s="42">
        <f t="shared" si="588"/>
        <v>7987507.3855941128</v>
      </c>
      <c r="JG79" s="42">
        <f t="shared" ref="JG79:JR79" si="589">JG72-JG77</f>
        <v>7998722.7800026676</v>
      </c>
      <c r="JH79" s="42">
        <f t="shared" si="589"/>
        <v>7133764.9258971615</v>
      </c>
      <c r="JI79" s="42">
        <f t="shared" si="589"/>
        <v>8021210.6999485828</v>
      </c>
      <c r="JJ79" s="42">
        <f t="shared" si="589"/>
        <v>7739630.9345169878</v>
      </c>
      <c r="JK79" s="42">
        <f t="shared" si="589"/>
        <v>8043775.008371993</v>
      </c>
      <c r="JL79" s="42">
        <f t="shared" si="589"/>
        <v>7761442.6426357664</v>
      </c>
      <c r="JM79" s="42">
        <f t="shared" si="589"/>
        <v>8066415.9623914277</v>
      </c>
      <c r="JN79" s="42">
        <f t="shared" si="589"/>
        <v>8077765.2620846983</v>
      </c>
      <c r="JO79" s="42">
        <f t="shared" si="589"/>
        <v>7794299.2877435125</v>
      </c>
      <c r="JP79" s="42">
        <f t="shared" si="589"/>
        <v>8100521.6684808834</v>
      </c>
      <c r="JQ79" s="42">
        <f t="shared" si="589"/>
        <v>7816296.8040872868</v>
      </c>
      <c r="JR79" s="42">
        <f t="shared" si="589"/>
        <v>8123355.3670451017</v>
      </c>
    </row>
    <row r="80" spans="2:278" x14ac:dyDescent="0.2">
      <c r="B80" s="3"/>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2"/>
      <c r="DV80" s="42"/>
      <c r="DW80" s="42"/>
      <c r="DX80" s="42"/>
      <c r="DY80" s="42"/>
      <c r="DZ80" s="42"/>
      <c r="EA80" s="42"/>
      <c r="EB80" s="42"/>
      <c r="EC80" s="42"/>
      <c r="ED80" s="42"/>
      <c r="EE80" s="42"/>
      <c r="EF80" s="42"/>
      <c r="EG80" s="42"/>
      <c r="EH80" s="42"/>
      <c r="EI80" s="42"/>
      <c r="EJ80" s="42"/>
      <c r="EK80" s="42"/>
      <c r="EL80" s="42"/>
      <c r="EM80" s="42"/>
      <c r="EN80" s="42"/>
      <c r="EO80" s="42"/>
      <c r="EP80" s="42"/>
      <c r="EQ80" s="42"/>
      <c r="ER80" s="42"/>
      <c r="ES80" s="42"/>
      <c r="ET80" s="42"/>
      <c r="EU80" s="42"/>
      <c r="EV80" s="42"/>
      <c r="EW80" s="42"/>
      <c r="EX80" s="42"/>
      <c r="EY80" s="42"/>
      <c r="EZ80" s="42"/>
      <c r="FA80" s="42"/>
      <c r="FB80" s="42"/>
      <c r="FC80" s="42"/>
      <c r="FD80" s="42"/>
      <c r="FE80" s="42"/>
      <c r="FF80" s="42"/>
      <c r="FG80" s="42"/>
      <c r="FH80" s="42"/>
      <c r="FI80" s="42"/>
      <c r="FJ80" s="42"/>
      <c r="FK80" s="42"/>
      <c r="FL80" s="42"/>
      <c r="FM80" s="42"/>
      <c r="FN80" s="42"/>
      <c r="FO80" s="42"/>
      <c r="FP80" s="42"/>
      <c r="FQ80" s="42"/>
      <c r="FR80" s="42"/>
      <c r="FS80" s="42"/>
      <c r="FT80" s="42"/>
      <c r="FU80" s="42"/>
      <c r="FV80" s="42"/>
      <c r="FW80" s="42"/>
      <c r="FX80" s="42"/>
      <c r="FY80" s="42"/>
      <c r="FZ80" s="42"/>
      <c r="GA80" s="42"/>
      <c r="GB80" s="42"/>
      <c r="GC80" s="42"/>
      <c r="GD80" s="42"/>
      <c r="GE80" s="42"/>
      <c r="GF80" s="42"/>
      <c r="GG80" s="42"/>
      <c r="GH80" s="42"/>
      <c r="GI80" s="42"/>
      <c r="GJ80" s="42"/>
      <c r="GK80" s="42"/>
      <c r="GL80" s="42"/>
      <c r="GM80" s="42"/>
      <c r="GN80" s="42"/>
      <c r="GO80" s="42"/>
      <c r="GP80" s="42"/>
      <c r="GQ80" s="42"/>
      <c r="GR80" s="42"/>
      <c r="GS80" s="42"/>
      <c r="GT80" s="42"/>
      <c r="GU80" s="42"/>
      <c r="GV80" s="42"/>
      <c r="GW80" s="42"/>
      <c r="GX80" s="42"/>
      <c r="GY80" s="42"/>
      <c r="GZ80" s="42"/>
      <c r="HA80" s="42"/>
      <c r="HB80" s="42"/>
      <c r="HC80" s="42"/>
      <c r="HD80" s="42"/>
      <c r="HE80" s="42"/>
      <c r="HF80" s="42"/>
      <c r="HG80" s="42"/>
      <c r="HH80" s="42"/>
      <c r="HI80" s="42"/>
      <c r="HJ80" s="42"/>
      <c r="HK80" s="42"/>
      <c r="HL80" s="42"/>
      <c r="HM80" s="42"/>
      <c r="HN80" s="42"/>
      <c r="HO80" s="42"/>
      <c r="HP80" s="42"/>
      <c r="HQ80" s="42"/>
      <c r="HR80" s="42"/>
      <c r="HS80" s="42"/>
      <c r="HT80" s="42"/>
      <c r="HU80" s="42"/>
      <c r="HV80" s="42"/>
      <c r="HW80" s="42"/>
      <c r="HX80" s="42"/>
      <c r="HY80" s="42"/>
      <c r="HZ80" s="42"/>
      <c r="IA80" s="42"/>
      <c r="IB80" s="42"/>
      <c r="IC80" s="42"/>
      <c r="ID80" s="42"/>
      <c r="IE80" s="42"/>
      <c r="IF80" s="42"/>
      <c r="IG80" s="42"/>
      <c r="IH80" s="42"/>
      <c r="II80" s="42"/>
      <c r="IJ80" s="42"/>
      <c r="IK80" s="42"/>
      <c r="IL80" s="42"/>
      <c r="IM80" s="42"/>
      <c r="IN80" s="42"/>
      <c r="IO80" s="42"/>
      <c r="IP80" s="42"/>
      <c r="IQ80" s="42"/>
      <c r="IR80" s="42"/>
      <c r="IS80" s="42"/>
      <c r="IT80" s="42"/>
      <c r="IU80" s="42"/>
      <c r="IV80" s="42"/>
      <c r="IW80" s="42"/>
      <c r="IX80" s="42"/>
      <c r="IY80" s="42"/>
      <c r="IZ80" s="42"/>
      <c r="JA80" s="42"/>
      <c r="JB80" s="42"/>
      <c r="JC80" s="42"/>
      <c r="JD80" s="42"/>
      <c r="JE80" s="42"/>
      <c r="JF80" s="42"/>
      <c r="JG80" s="42"/>
      <c r="JH80" s="42"/>
      <c r="JI80" s="42"/>
      <c r="JJ80" s="42"/>
      <c r="JK80" s="42"/>
      <c r="JL80" s="42"/>
      <c r="JM80" s="42"/>
      <c r="JN80" s="42"/>
      <c r="JO80" s="42"/>
      <c r="JP80" s="42"/>
      <c r="JQ80" s="42"/>
      <c r="JR80" s="42"/>
    </row>
    <row r="81" spans="2:278" x14ac:dyDescent="0.2">
      <c r="B81" s="1" t="s">
        <v>133</v>
      </c>
      <c r="C81" s="7">
        <f>IF(C79&lt;0,C79,0)</f>
        <v>-751857.530441407</v>
      </c>
      <c r="D81" s="7">
        <f>IF(D79&lt;0,C81+D79,C81+C82)</f>
        <v>-1700750.5594967161</v>
      </c>
      <c r="E81" s="7">
        <f t="shared" ref="E81:BP81" si="590">IF(E79&lt;0,D81+E79,D81+D82)</f>
        <v>-2734818.6286106352</v>
      </c>
      <c r="F81" s="7">
        <f t="shared" si="590"/>
        <v>-3831158.6523878081</v>
      </c>
      <c r="G81" s="7">
        <f t="shared" si="590"/>
        <v>-5009275.942245217</v>
      </c>
      <c r="H81" s="7">
        <f t="shared" si="590"/>
        <v>-6316309.0090913698</v>
      </c>
      <c r="I81" s="7">
        <f t="shared" si="590"/>
        <v>-7757273.9016645784</v>
      </c>
      <c r="J81" s="7">
        <f t="shared" si="590"/>
        <v>-9314396.6513469592</v>
      </c>
      <c r="K81" s="7">
        <f t="shared" si="590"/>
        <v>-10974422.584342256</v>
      </c>
      <c r="L81" s="7">
        <f t="shared" si="590"/>
        <v>-12723977.593561999</v>
      </c>
      <c r="M81" s="7">
        <f t="shared" si="590"/>
        <v>-14552886.500307636</v>
      </c>
      <c r="N81" s="7">
        <f t="shared" si="590"/>
        <v>-16478039.148087107</v>
      </c>
      <c r="O81" s="7">
        <f t="shared" si="590"/>
        <v>-18484298.313816056</v>
      </c>
      <c r="P81" s="7">
        <f t="shared" si="590"/>
        <v>-20490557.479545005</v>
      </c>
      <c r="Q81" s="7">
        <f t="shared" si="590"/>
        <v>-22496816.645273954</v>
      </c>
      <c r="R81" s="7">
        <f t="shared" si="590"/>
        <v>-23710451.886109345</v>
      </c>
      <c r="S81" s="7">
        <f t="shared" si="590"/>
        <v>-24759918.651655316</v>
      </c>
      <c r="T81" s="7">
        <f t="shared" si="590"/>
        <v>-25949635.638137117</v>
      </c>
      <c r="U81" s="7">
        <f t="shared" si="590"/>
        <v>-26967880.313301582</v>
      </c>
      <c r="V81" s="7">
        <f t="shared" si="590"/>
        <v>-27980500.726162747</v>
      </c>
      <c r="W81" s="7">
        <f t="shared" si="590"/>
        <v>-29134027.567356765</v>
      </c>
      <c r="X81" s="7">
        <f t="shared" si="590"/>
        <v>-30121871.762480497</v>
      </c>
      <c r="Y81" s="7">
        <f t="shared" si="590"/>
        <v>-31251061.05045554</v>
      </c>
      <c r="Z81" s="7">
        <f t="shared" si="590"/>
        <v>-32213957.598211959</v>
      </c>
      <c r="AA81" s="7">
        <f t="shared" si="590"/>
        <v>-32947219.514612272</v>
      </c>
      <c r="AB81" s="7">
        <f t="shared" si="590"/>
        <v>-34131660.182528488</v>
      </c>
      <c r="AC81" s="7">
        <f t="shared" si="590"/>
        <v>-34839714.302753374</v>
      </c>
      <c r="AD81" s="7">
        <f t="shared" si="590"/>
        <v>-34839714.302753374</v>
      </c>
      <c r="AE81" s="7">
        <f t="shared" si="590"/>
        <v>-34088930.956412405</v>
      </c>
      <c r="AF81" s="7">
        <f t="shared" si="590"/>
        <v>-33156178.164716389</v>
      </c>
      <c r="AG81" s="7">
        <f t="shared" si="590"/>
        <v>-32385441.797669563</v>
      </c>
      <c r="AH81" s="7">
        <f t="shared" si="590"/>
        <v>-31432240.717210103</v>
      </c>
      <c r="AI81" s="7">
        <f t="shared" si="590"/>
        <v>-30468761.946488414</v>
      </c>
      <c r="AJ81" s="7">
        <f t="shared" si="590"/>
        <v>-29667831.388419233</v>
      </c>
      <c r="AK81" s="7">
        <f t="shared" si="590"/>
        <v>-28683689.308157574</v>
      </c>
      <c r="AL81" s="7">
        <f t="shared" si="590"/>
        <v>-27862450.902705036</v>
      </c>
      <c r="AM81" s="7">
        <f t="shared" si="590"/>
        <v>-26857500.480600137</v>
      </c>
      <c r="AN81" s="7">
        <f t="shared" si="590"/>
        <v>-25816102.685783837</v>
      </c>
      <c r="AO81" s="7">
        <f t="shared" si="590"/>
        <v>-25286011.202008951</v>
      </c>
      <c r="AP81" s="7">
        <f t="shared" si="590"/>
        <v>-24223584.952506069</v>
      </c>
      <c r="AQ81" s="7">
        <f t="shared" si="590"/>
        <v>-23175082.531954002</v>
      </c>
      <c r="AR81" s="7">
        <f t="shared" si="590"/>
        <v>-21958732.986175336</v>
      </c>
      <c r="AS81" s="7">
        <f t="shared" si="590"/>
        <v>-20906315.849676378</v>
      </c>
      <c r="AT81" s="7">
        <f t="shared" si="590"/>
        <v>-19668196.643507898</v>
      </c>
      <c r="AU81" s="7">
        <f t="shared" si="590"/>
        <v>-18419135.407470558</v>
      </c>
      <c r="AV81" s="7">
        <f t="shared" si="590"/>
        <v>-17334543.948033586</v>
      </c>
      <c r="AW81" s="7">
        <f t="shared" si="590"/>
        <v>-16063483.356395587</v>
      </c>
      <c r="AX81" s="7">
        <f t="shared" si="590"/>
        <v>-14957251.699451171</v>
      </c>
      <c r="AY81" s="7">
        <f t="shared" si="590"/>
        <v>-13664036.817670014</v>
      </c>
      <c r="AZ81" s="7">
        <f t="shared" si="590"/>
        <v>-12331819.142809343</v>
      </c>
      <c r="BA81" s="7">
        <f t="shared" si="590"/>
        <v>-11341514.521032868</v>
      </c>
      <c r="BB81" s="7">
        <f t="shared" si="590"/>
        <v>-9986907.4082658719</v>
      </c>
      <c r="BC81" s="7">
        <f t="shared" si="590"/>
        <v>-8798030.2996199001</v>
      </c>
      <c r="BD81" s="7">
        <f t="shared" si="590"/>
        <v>-7420875.1298572104</v>
      </c>
      <c r="BE81" s="7">
        <f t="shared" si="590"/>
        <v>-6209811.6534341052</v>
      </c>
      <c r="BF81" s="7">
        <f t="shared" si="590"/>
        <v>-4809948.305590366</v>
      </c>
      <c r="BG81" s="7">
        <f t="shared" si="590"/>
        <v>-3398670.3494520215</v>
      </c>
      <c r="BH81" s="7">
        <f t="shared" si="590"/>
        <v>-2154027.9618795207</v>
      </c>
      <c r="BI81" s="7">
        <f t="shared" si="590"/>
        <v>-719798.79391087708</v>
      </c>
      <c r="BJ81" s="7">
        <f t="shared" si="590"/>
        <v>0</v>
      </c>
      <c r="BK81" s="7">
        <f t="shared" si="590"/>
        <v>0</v>
      </c>
      <c r="BL81" s="7">
        <f t="shared" si="590"/>
        <v>0</v>
      </c>
      <c r="BM81" s="7">
        <f t="shared" si="590"/>
        <v>0</v>
      </c>
      <c r="BN81" s="7">
        <f t="shared" si="590"/>
        <v>0</v>
      </c>
      <c r="BO81" s="7">
        <f t="shared" si="590"/>
        <v>0</v>
      </c>
      <c r="BP81" s="7">
        <f t="shared" si="590"/>
        <v>0</v>
      </c>
      <c r="BQ81" s="7">
        <f t="shared" ref="BQ81:CT81" si="591">IF(BQ79&lt;0,BP81+BQ79,BP81+BP82)</f>
        <v>0</v>
      </c>
      <c r="BR81" s="7">
        <f t="shared" si="591"/>
        <v>0</v>
      </c>
      <c r="BS81" s="7">
        <f t="shared" si="591"/>
        <v>0</v>
      </c>
      <c r="BT81" s="7">
        <f t="shared" si="591"/>
        <v>0</v>
      </c>
      <c r="BU81" s="7">
        <f t="shared" si="591"/>
        <v>0</v>
      </c>
      <c r="BV81" s="7">
        <f t="shared" si="591"/>
        <v>0</v>
      </c>
      <c r="BW81" s="7">
        <f t="shared" si="591"/>
        <v>0</v>
      </c>
      <c r="BX81" s="7">
        <f t="shared" si="591"/>
        <v>0</v>
      </c>
      <c r="BY81" s="7">
        <f t="shared" si="591"/>
        <v>0</v>
      </c>
      <c r="BZ81" s="7">
        <f t="shared" si="591"/>
        <v>0</v>
      </c>
      <c r="CA81" s="7">
        <f t="shared" si="591"/>
        <v>0</v>
      </c>
      <c r="CB81" s="7">
        <f t="shared" si="591"/>
        <v>0</v>
      </c>
      <c r="CC81" s="7">
        <f t="shared" si="591"/>
        <v>0</v>
      </c>
      <c r="CD81" s="7">
        <f t="shared" si="591"/>
        <v>0</v>
      </c>
      <c r="CE81" s="7">
        <f t="shared" si="591"/>
        <v>0</v>
      </c>
      <c r="CF81" s="7">
        <f t="shared" si="591"/>
        <v>0</v>
      </c>
      <c r="CG81" s="7">
        <f t="shared" si="591"/>
        <v>0</v>
      </c>
      <c r="CH81" s="7">
        <f t="shared" si="591"/>
        <v>0</v>
      </c>
      <c r="CI81" s="7">
        <f t="shared" si="591"/>
        <v>0</v>
      </c>
      <c r="CJ81" s="7">
        <f t="shared" si="591"/>
        <v>0</v>
      </c>
      <c r="CK81" s="7">
        <f t="shared" si="591"/>
        <v>0</v>
      </c>
      <c r="CL81" s="7">
        <f t="shared" si="591"/>
        <v>0</v>
      </c>
      <c r="CM81" s="7">
        <f t="shared" si="591"/>
        <v>0</v>
      </c>
      <c r="CN81" s="7">
        <f t="shared" si="591"/>
        <v>0</v>
      </c>
      <c r="CO81" s="7">
        <f t="shared" si="591"/>
        <v>0</v>
      </c>
      <c r="CP81" s="7">
        <f t="shared" si="591"/>
        <v>0</v>
      </c>
      <c r="CQ81" s="7">
        <f t="shared" si="591"/>
        <v>0</v>
      </c>
      <c r="CR81" s="7">
        <f t="shared" si="591"/>
        <v>0</v>
      </c>
      <c r="CS81" s="7">
        <f t="shared" si="591"/>
        <v>0</v>
      </c>
      <c r="CT81" s="7">
        <f t="shared" si="591"/>
        <v>0</v>
      </c>
      <c r="CU81" s="7">
        <f t="shared" ref="CU81" si="592">IF(CU79&lt;0,CT81+CU79,CT81+CT82)</f>
        <v>0</v>
      </c>
      <c r="CV81" s="7">
        <f t="shared" ref="CV81" si="593">IF(CV79&lt;0,CU81+CV79,CU81+CU82)</f>
        <v>0</v>
      </c>
      <c r="CW81" s="7">
        <f t="shared" ref="CW81" si="594">IF(CW79&lt;0,CV81+CW79,CV81+CV82)</f>
        <v>0</v>
      </c>
      <c r="CX81" s="7">
        <f t="shared" ref="CX81" si="595">IF(CX79&lt;0,CW81+CX79,CW81+CW82)</f>
        <v>0</v>
      </c>
      <c r="CY81" s="7">
        <f t="shared" ref="CY81" si="596">IF(CY79&lt;0,CX81+CY79,CX81+CX82)</f>
        <v>0</v>
      </c>
      <c r="CZ81" s="7">
        <f t="shared" ref="CZ81" si="597">IF(CZ79&lt;0,CY81+CZ79,CY81+CY82)</f>
        <v>0</v>
      </c>
      <c r="DA81" s="7">
        <f t="shared" ref="DA81" si="598">IF(DA79&lt;0,CZ81+DA79,CZ81+CZ82)</f>
        <v>0</v>
      </c>
      <c r="DB81" s="7">
        <f t="shared" ref="DB81" si="599">IF(DB79&lt;0,DA81+DB79,DA81+DA82)</f>
        <v>0</v>
      </c>
      <c r="DC81" s="7">
        <f t="shared" ref="DC81" si="600">IF(DC79&lt;0,DB81+DC79,DB81+DB82)</f>
        <v>0</v>
      </c>
      <c r="DD81" s="7">
        <f t="shared" ref="DD81" si="601">IF(DD79&lt;0,DC81+DD79,DC81+DC82)</f>
        <v>0</v>
      </c>
      <c r="DE81" s="7">
        <f t="shared" ref="DE81" si="602">IF(DE79&lt;0,DD81+DE79,DD81+DD82)</f>
        <v>0</v>
      </c>
      <c r="DF81" s="7">
        <f t="shared" ref="DF81" si="603">IF(DF79&lt;0,DE81+DF79,DE81+DE82)</f>
        <v>0</v>
      </c>
      <c r="DG81" s="7">
        <f t="shared" ref="DG81" si="604">IF(DG79&lt;0,DF81+DG79,DF81+DF82)</f>
        <v>0</v>
      </c>
      <c r="DH81" s="7">
        <f t="shared" ref="DH81" si="605">IF(DH79&lt;0,DG81+DH79,DG81+DG82)</f>
        <v>0</v>
      </c>
      <c r="DI81" s="7">
        <f t="shared" ref="DI81" si="606">IF(DI79&lt;0,DH81+DI79,DH81+DH82)</f>
        <v>0</v>
      </c>
      <c r="DJ81" s="7">
        <f t="shared" ref="DJ81" si="607">IF(DJ79&lt;0,DI81+DJ79,DI81+DI82)</f>
        <v>0</v>
      </c>
      <c r="DK81" s="7">
        <f t="shared" ref="DK81" si="608">IF(DK79&lt;0,DJ81+DK79,DJ81+DJ82)</f>
        <v>0</v>
      </c>
      <c r="DL81" s="7">
        <f t="shared" ref="DL81" si="609">IF(DL79&lt;0,DK81+DL79,DK81+DK82)</f>
        <v>0</v>
      </c>
      <c r="DM81" s="7">
        <f t="shared" ref="DM81" si="610">IF(DM79&lt;0,DL81+DM79,DL81+DL82)</f>
        <v>0</v>
      </c>
      <c r="DN81" s="7">
        <f t="shared" ref="DN81" si="611">IF(DN79&lt;0,DM81+DN79,DM81+DM82)</f>
        <v>0</v>
      </c>
      <c r="DO81" s="7">
        <f t="shared" ref="DO81" si="612">IF(DO79&lt;0,DN81+DO79,DN81+DN82)</f>
        <v>0</v>
      </c>
      <c r="DP81" s="7">
        <f t="shared" ref="DP81" si="613">IF(DP79&lt;0,DO81+DP79,DO81+DO82)</f>
        <v>0</v>
      </c>
      <c r="DQ81" s="7">
        <f t="shared" ref="DQ81" si="614">IF(DQ79&lt;0,DP81+DQ79,DP81+DP82)</f>
        <v>0</v>
      </c>
      <c r="DR81" s="7">
        <f t="shared" ref="DR81" si="615">IF(DR79&lt;0,DQ81+DR79,DQ81+DQ82)</f>
        <v>0</v>
      </c>
      <c r="DS81" s="7">
        <f t="shared" ref="DS81" si="616">IF(DS79&lt;0,DR81+DS79,DR81+DR82)</f>
        <v>0</v>
      </c>
      <c r="DT81" s="7">
        <f t="shared" ref="DT81" si="617">IF(DT79&lt;0,DS81+DT79,DS81+DS82)</f>
        <v>0</v>
      </c>
      <c r="DU81" s="7">
        <f t="shared" ref="DU81" si="618">IF(DU79&lt;0,DT81+DU79,DT81+DT82)</f>
        <v>0</v>
      </c>
      <c r="DV81" s="7">
        <f t="shared" ref="DV81" si="619">IF(DV79&lt;0,DU81+DV79,DU81+DU82)</f>
        <v>0</v>
      </c>
      <c r="DW81" s="7">
        <f t="shared" ref="DW81" si="620">IF(DW79&lt;0,DV81+DW79,DV81+DV82)</f>
        <v>0</v>
      </c>
      <c r="DX81" s="7">
        <f t="shared" ref="DX81" si="621">IF(DX79&lt;0,DW81+DX79,DW81+DW82)</f>
        <v>0</v>
      </c>
      <c r="DY81" s="7">
        <f t="shared" ref="DY81" si="622">IF(DY79&lt;0,DX81+DY79,DX81+DX82)</f>
        <v>0</v>
      </c>
      <c r="DZ81" s="7">
        <f t="shared" ref="DZ81" si="623">IF(DZ79&lt;0,DY81+DZ79,DY81+DY82)</f>
        <v>0</v>
      </c>
      <c r="EA81" s="7">
        <f t="shared" ref="EA81" si="624">IF(EA79&lt;0,DZ81+EA79,DZ81+DZ82)</f>
        <v>0</v>
      </c>
      <c r="EB81" s="7">
        <f t="shared" ref="EB81" si="625">IF(EB79&lt;0,EA81+EB79,EA81+EA82)</f>
        <v>0</v>
      </c>
      <c r="EC81" s="7">
        <f t="shared" ref="EC81" si="626">IF(EC79&lt;0,EB81+EC79,EB81+EB82)</f>
        <v>0</v>
      </c>
      <c r="ED81" s="7">
        <f t="shared" ref="ED81" si="627">IF(ED79&lt;0,EC81+ED79,EC81+EC82)</f>
        <v>0</v>
      </c>
      <c r="EE81" s="7">
        <f t="shared" ref="EE81" si="628">IF(EE79&lt;0,ED81+EE79,ED81+ED82)</f>
        <v>0</v>
      </c>
      <c r="EF81" s="7">
        <f t="shared" ref="EF81" si="629">IF(EF79&lt;0,EE81+EF79,EE81+EE82)</f>
        <v>0</v>
      </c>
      <c r="EG81" s="7">
        <f t="shared" ref="EG81" si="630">IF(EG79&lt;0,EF81+EG79,EF81+EF82)</f>
        <v>0</v>
      </c>
      <c r="EH81" s="7">
        <f t="shared" ref="EH81" si="631">IF(EH79&lt;0,EG81+EH79,EG81+EG82)</f>
        <v>0</v>
      </c>
      <c r="EI81" s="7">
        <f t="shared" ref="EI81" si="632">IF(EI79&lt;0,EH81+EI79,EH81+EH82)</f>
        <v>0</v>
      </c>
      <c r="EJ81" s="7">
        <f t="shared" ref="EJ81" si="633">IF(EJ79&lt;0,EI81+EJ79,EI81+EI82)</f>
        <v>0</v>
      </c>
      <c r="EK81" s="7">
        <f t="shared" ref="EK81" si="634">IF(EK79&lt;0,EJ81+EK79,EJ81+EJ82)</f>
        <v>0</v>
      </c>
      <c r="EL81" s="7">
        <f t="shared" ref="EL81" si="635">IF(EL79&lt;0,EK81+EL79,EK81+EK82)</f>
        <v>0</v>
      </c>
      <c r="EM81" s="7">
        <f t="shared" ref="EM81" si="636">IF(EM79&lt;0,EL81+EM79,EL81+EL82)</f>
        <v>0</v>
      </c>
      <c r="EN81" s="7">
        <f t="shared" ref="EN81" si="637">IF(EN79&lt;0,EM81+EN79,EM81+EM82)</f>
        <v>0</v>
      </c>
      <c r="EO81" s="7">
        <f t="shared" ref="EO81" si="638">IF(EO79&lt;0,EN81+EO79,EN81+EN82)</f>
        <v>0</v>
      </c>
      <c r="EP81" s="7">
        <f t="shared" ref="EP81" si="639">IF(EP79&lt;0,EO81+EP79,EO81+EO82)</f>
        <v>0</v>
      </c>
      <c r="EQ81" s="7">
        <f t="shared" ref="EQ81" si="640">IF(EQ79&lt;0,EP81+EQ79,EP81+EP82)</f>
        <v>0</v>
      </c>
      <c r="ER81" s="7">
        <f t="shared" ref="ER81" si="641">IF(ER79&lt;0,EQ81+ER79,EQ81+EQ82)</f>
        <v>0</v>
      </c>
      <c r="ES81" s="7">
        <f t="shared" ref="ES81" si="642">IF(ES79&lt;0,ER81+ES79,ER81+ER82)</f>
        <v>0</v>
      </c>
      <c r="ET81" s="7">
        <f t="shared" ref="ET81" si="643">IF(ET79&lt;0,ES81+ET79,ES81+ES82)</f>
        <v>0</v>
      </c>
      <c r="EU81" s="7">
        <f t="shared" ref="EU81" si="644">IF(EU79&lt;0,ET81+EU79,ET81+ET82)</f>
        <v>0</v>
      </c>
      <c r="EV81" s="7">
        <f t="shared" ref="EV81" si="645">IF(EV79&lt;0,EU81+EV79,EU81+EU82)</f>
        <v>0</v>
      </c>
      <c r="EW81" s="7">
        <f t="shared" ref="EW81" si="646">IF(EW79&lt;0,EV81+EW79,EV81+EV82)</f>
        <v>0</v>
      </c>
      <c r="EX81" s="7">
        <f t="shared" ref="EX81" si="647">IF(EX79&lt;0,EW81+EX79,EW81+EW82)</f>
        <v>0</v>
      </c>
      <c r="EY81" s="7">
        <f t="shared" ref="EY81" si="648">IF(EY79&lt;0,EX81+EY79,EX81+EX82)</f>
        <v>0</v>
      </c>
      <c r="EZ81" s="7">
        <f t="shared" ref="EZ81" si="649">IF(EZ79&lt;0,EY81+EZ79,EY81+EY82)</f>
        <v>0</v>
      </c>
      <c r="FA81" s="7">
        <f t="shared" ref="FA81" si="650">IF(FA79&lt;0,EZ81+FA79,EZ81+EZ82)</f>
        <v>0</v>
      </c>
      <c r="FB81" s="7">
        <f t="shared" ref="FB81" si="651">IF(FB79&lt;0,FA81+FB79,FA81+FA82)</f>
        <v>0</v>
      </c>
      <c r="FC81" s="7">
        <f t="shared" ref="FC81" si="652">IF(FC79&lt;0,FB81+FC79,FB81+FB82)</f>
        <v>0</v>
      </c>
      <c r="FD81" s="7">
        <f t="shared" ref="FD81" si="653">IF(FD79&lt;0,FC81+FD79,FC81+FC82)</f>
        <v>0</v>
      </c>
      <c r="FE81" s="7">
        <f t="shared" ref="FE81" si="654">IF(FE79&lt;0,FD81+FE79,FD81+FD82)</f>
        <v>0</v>
      </c>
      <c r="FF81" s="7">
        <f t="shared" ref="FF81" si="655">IF(FF79&lt;0,FE81+FF79,FE81+FE82)</f>
        <v>0</v>
      </c>
      <c r="FG81" s="7">
        <f t="shared" ref="FG81" si="656">IF(FG79&lt;0,FF81+FG79,FF81+FF82)</f>
        <v>0</v>
      </c>
      <c r="FH81" s="7">
        <f t="shared" ref="FH81" si="657">IF(FH79&lt;0,FG81+FH79,FG81+FG82)</f>
        <v>0</v>
      </c>
      <c r="FI81" s="7">
        <f t="shared" ref="FI81" si="658">IF(FI79&lt;0,FH81+FI79,FH81+FH82)</f>
        <v>0</v>
      </c>
      <c r="FJ81" s="7">
        <f t="shared" ref="FJ81" si="659">IF(FJ79&lt;0,FI81+FJ79,FI81+FI82)</f>
        <v>0</v>
      </c>
      <c r="FK81" s="7">
        <f t="shared" ref="FK81" si="660">IF(FK79&lt;0,FJ81+FK79,FJ81+FJ82)</f>
        <v>0</v>
      </c>
      <c r="FL81" s="7">
        <f t="shared" ref="FL81" si="661">IF(FL79&lt;0,FK81+FL79,FK81+FK82)</f>
        <v>0</v>
      </c>
      <c r="FM81" s="7">
        <f t="shared" ref="FM81" si="662">IF(FM79&lt;0,FL81+FM79,FL81+FL82)</f>
        <v>0</v>
      </c>
      <c r="FN81" s="7">
        <f t="shared" ref="FN81" si="663">IF(FN79&lt;0,FM81+FN79,FM81+FM82)</f>
        <v>0</v>
      </c>
      <c r="FO81" s="7">
        <f t="shared" ref="FO81" si="664">IF(FO79&lt;0,FN81+FO79,FN81+FN82)</f>
        <v>0</v>
      </c>
      <c r="FP81" s="7">
        <f t="shared" ref="FP81" si="665">IF(FP79&lt;0,FO81+FP79,FO81+FO82)</f>
        <v>0</v>
      </c>
      <c r="FQ81" s="7">
        <f t="shared" ref="FQ81" si="666">IF(FQ79&lt;0,FP81+FQ79,FP81+FP82)</f>
        <v>0</v>
      </c>
      <c r="FR81" s="7">
        <f t="shared" ref="FR81" si="667">IF(FR79&lt;0,FQ81+FR79,FQ81+FQ82)</f>
        <v>0</v>
      </c>
      <c r="FS81" s="7">
        <f t="shared" ref="FS81" si="668">IF(FS79&lt;0,FR81+FS79,FR81+FR82)</f>
        <v>0</v>
      </c>
      <c r="FT81" s="7">
        <f t="shared" ref="FT81" si="669">IF(FT79&lt;0,FS81+FT79,FS81+FS82)</f>
        <v>0</v>
      </c>
      <c r="FU81" s="7">
        <f t="shared" ref="FU81" si="670">IF(FU79&lt;0,FT81+FU79,FT81+FT82)</f>
        <v>0</v>
      </c>
      <c r="FV81" s="7">
        <f t="shared" ref="FV81" si="671">IF(FV79&lt;0,FU81+FV79,FU81+FU82)</f>
        <v>0</v>
      </c>
      <c r="FW81" s="7">
        <f t="shared" ref="FW81" si="672">IF(FW79&lt;0,FV81+FW79,FV81+FV82)</f>
        <v>0</v>
      </c>
      <c r="FX81" s="7">
        <f t="shared" ref="FX81" si="673">IF(FX79&lt;0,FW81+FX79,FW81+FW82)</f>
        <v>0</v>
      </c>
      <c r="FY81" s="7">
        <f t="shared" ref="FY81" si="674">IF(FY79&lt;0,FX81+FY79,FX81+FX82)</f>
        <v>0</v>
      </c>
      <c r="FZ81" s="7">
        <f t="shared" ref="FZ81" si="675">IF(FZ79&lt;0,FY81+FZ79,FY81+FY82)</f>
        <v>0</v>
      </c>
      <c r="GA81" s="7">
        <f t="shared" ref="GA81" si="676">IF(GA79&lt;0,FZ81+GA79,FZ81+FZ82)</f>
        <v>0</v>
      </c>
      <c r="GB81" s="7">
        <f t="shared" ref="GB81" si="677">IF(GB79&lt;0,GA81+GB79,GA81+GA82)</f>
        <v>0</v>
      </c>
      <c r="GC81" s="7">
        <f t="shared" ref="GC81" si="678">IF(GC79&lt;0,GB81+GC79,GB81+GB82)</f>
        <v>0</v>
      </c>
      <c r="GD81" s="7">
        <f t="shared" ref="GD81" si="679">IF(GD79&lt;0,GC81+GD79,GC81+GC82)</f>
        <v>0</v>
      </c>
      <c r="GE81" s="7">
        <f t="shared" ref="GE81" si="680">IF(GE79&lt;0,GD81+GE79,GD81+GD82)</f>
        <v>0</v>
      </c>
      <c r="GF81" s="7">
        <f t="shared" ref="GF81" si="681">IF(GF79&lt;0,GE81+GF79,GE81+GE82)</f>
        <v>0</v>
      </c>
      <c r="GG81" s="7">
        <f t="shared" ref="GG81" si="682">IF(GG79&lt;0,GF81+GG79,GF81+GF82)</f>
        <v>0</v>
      </c>
      <c r="GH81" s="7">
        <f t="shared" ref="GH81" si="683">IF(GH79&lt;0,GG81+GH79,GG81+GG82)</f>
        <v>0</v>
      </c>
      <c r="GI81" s="7">
        <f t="shared" ref="GI81" si="684">IF(GI79&lt;0,GH81+GI79,GH81+GH82)</f>
        <v>0</v>
      </c>
      <c r="GJ81" s="7">
        <f t="shared" ref="GJ81" si="685">IF(GJ79&lt;0,GI81+GJ79,GI81+GI82)</f>
        <v>0</v>
      </c>
      <c r="GK81" s="7">
        <f t="shared" ref="GK81" si="686">IF(GK79&lt;0,GJ81+GK79,GJ81+GJ82)</f>
        <v>0</v>
      </c>
      <c r="GL81" s="7">
        <f t="shared" ref="GL81" si="687">IF(GL79&lt;0,GK81+GL79,GK81+GK82)</f>
        <v>0</v>
      </c>
      <c r="GM81" s="7">
        <f t="shared" ref="GM81" si="688">IF(GM79&lt;0,GL81+GM79,GL81+GL82)</f>
        <v>0</v>
      </c>
      <c r="GN81" s="7">
        <f t="shared" ref="GN81" si="689">IF(GN79&lt;0,GM81+GN79,GM81+GM82)</f>
        <v>0</v>
      </c>
      <c r="GO81" s="7">
        <f t="shared" ref="GO81" si="690">IF(GO79&lt;0,GN81+GO79,GN81+GN82)</f>
        <v>0</v>
      </c>
      <c r="GP81" s="7">
        <f t="shared" ref="GP81" si="691">IF(GP79&lt;0,GO81+GP79,GO81+GO82)</f>
        <v>0</v>
      </c>
      <c r="GQ81" s="7">
        <f t="shared" ref="GQ81" si="692">IF(GQ79&lt;0,GP81+GQ79,GP81+GP82)</f>
        <v>0</v>
      </c>
      <c r="GR81" s="7">
        <f t="shared" ref="GR81" si="693">IF(GR79&lt;0,GQ81+GR79,GQ81+GQ82)</f>
        <v>0</v>
      </c>
      <c r="GS81" s="7">
        <f t="shared" ref="GS81" si="694">IF(GS79&lt;0,GR81+GS79,GR81+GR82)</f>
        <v>0</v>
      </c>
      <c r="GT81" s="7">
        <f t="shared" ref="GT81" si="695">IF(GT79&lt;0,GS81+GT79,GS81+GS82)</f>
        <v>0</v>
      </c>
      <c r="GU81" s="7">
        <f t="shared" ref="GU81" si="696">IF(GU79&lt;0,GT81+GU79,GT81+GT82)</f>
        <v>0</v>
      </c>
      <c r="GV81" s="7">
        <f t="shared" ref="GV81" si="697">IF(GV79&lt;0,GU81+GV79,GU81+GU82)</f>
        <v>0</v>
      </c>
      <c r="GW81" s="7">
        <f t="shared" ref="GW81" si="698">IF(GW79&lt;0,GV81+GW79,GV81+GV82)</f>
        <v>0</v>
      </c>
      <c r="GX81" s="7">
        <f t="shared" ref="GX81" si="699">IF(GX79&lt;0,GW81+GX79,GW81+GW82)</f>
        <v>0</v>
      </c>
      <c r="GY81" s="7">
        <f t="shared" ref="GY81" si="700">IF(GY79&lt;0,GX81+GY79,GX81+GX82)</f>
        <v>0</v>
      </c>
      <c r="GZ81" s="7">
        <f t="shared" ref="GZ81" si="701">IF(GZ79&lt;0,GY81+GZ79,GY81+GY82)</f>
        <v>0</v>
      </c>
      <c r="HA81" s="7">
        <f t="shared" ref="HA81" si="702">IF(HA79&lt;0,GZ81+HA79,GZ81+GZ82)</f>
        <v>0</v>
      </c>
      <c r="HB81" s="7">
        <f t="shared" ref="HB81" si="703">IF(HB79&lt;0,HA81+HB79,HA81+HA82)</f>
        <v>0</v>
      </c>
      <c r="HC81" s="7">
        <f t="shared" ref="HC81" si="704">IF(HC79&lt;0,HB81+HC79,HB81+HB82)</f>
        <v>0</v>
      </c>
      <c r="HD81" s="7">
        <f t="shared" ref="HD81" si="705">IF(HD79&lt;0,HC81+HD79,HC81+HC82)</f>
        <v>0</v>
      </c>
      <c r="HE81" s="7">
        <f t="shared" ref="HE81" si="706">IF(HE79&lt;0,HD81+HE79,HD81+HD82)</f>
        <v>0</v>
      </c>
      <c r="HF81" s="7">
        <f t="shared" ref="HF81" si="707">IF(HF79&lt;0,HE81+HF79,HE81+HE82)</f>
        <v>0</v>
      </c>
      <c r="HG81" s="7">
        <f t="shared" ref="HG81" si="708">IF(HG79&lt;0,HF81+HG79,HF81+HF82)</f>
        <v>0</v>
      </c>
      <c r="HH81" s="7">
        <f t="shared" ref="HH81" si="709">IF(HH79&lt;0,HG81+HH79,HG81+HG82)</f>
        <v>0</v>
      </c>
      <c r="HI81" s="7">
        <f t="shared" ref="HI81" si="710">IF(HI79&lt;0,HH81+HI79,HH81+HH82)</f>
        <v>0</v>
      </c>
      <c r="HJ81" s="7">
        <f t="shared" ref="HJ81" si="711">IF(HJ79&lt;0,HI81+HJ79,HI81+HI82)</f>
        <v>0</v>
      </c>
      <c r="HK81" s="7">
        <f t="shared" ref="HK81" si="712">IF(HK79&lt;0,HJ81+HK79,HJ81+HJ82)</f>
        <v>0</v>
      </c>
      <c r="HL81" s="7">
        <f t="shared" ref="HL81" si="713">IF(HL79&lt;0,HK81+HL79,HK81+HK82)</f>
        <v>0</v>
      </c>
      <c r="HM81" s="7">
        <f t="shared" ref="HM81" si="714">IF(HM79&lt;0,HL81+HM79,HL81+HL82)</f>
        <v>0</v>
      </c>
      <c r="HN81" s="7">
        <f t="shared" ref="HN81" si="715">IF(HN79&lt;0,HM81+HN79,HM81+HM82)</f>
        <v>0</v>
      </c>
      <c r="HO81" s="7">
        <f t="shared" ref="HO81" si="716">IF(HO79&lt;0,HN81+HO79,HN81+HN82)</f>
        <v>0</v>
      </c>
      <c r="HP81" s="7">
        <f t="shared" ref="HP81" si="717">IF(HP79&lt;0,HO81+HP79,HO81+HO82)</f>
        <v>0</v>
      </c>
      <c r="HQ81" s="7">
        <f t="shared" ref="HQ81" si="718">IF(HQ79&lt;0,HP81+HQ79,HP81+HP82)</f>
        <v>0</v>
      </c>
      <c r="HR81" s="7">
        <f t="shared" ref="HR81" si="719">IF(HR79&lt;0,HQ81+HR79,HQ81+HQ82)</f>
        <v>0</v>
      </c>
      <c r="HS81" s="7">
        <f t="shared" ref="HS81" si="720">IF(HS79&lt;0,HR81+HS79,HR81+HR82)</f>
        <v>0</v>
      </c>
      <c r="HT81" s="7">
        <f t="shared" ref="HT81" si="721">IF(HT79&lt;0,HS81+HT79,HS81+HS82)</f>
        <v>0</v>
      </c>
      <c r="HU81" s="7">
        <f t="shared" ref="HU81" si="722">IF(HU79&lt;0,HT81+HU79,HT81+HT82)</f>
        <v>0</v>
      </c>
      <c r="HV81" s="7">
        <f t="shared" ref="HV81" si="723">IF(HV79&lt;0,HU81+HV79,HU81+HU82)</f>
        <v>0</v>
      </c>
      <c r="HW81" s="7">
        <f t="shared" ref="HW81" si="724">IF(HW79&lt;0,HV81+HW79,HV81+HV82)</f>
        <v>0</v>
      </c>
      <c r="HX81" s="7">
        <f t="shared" ref="HX81" si="725">IF(HX79&lt;0,HW81+HX79,HW81+HW82)</f>
        <v>0</v>
      </c>
      <c r="HY81" s="7">
        <f t="shared" ref="HY81" si="726">IF(HY79&lt;0,HX81+HY79,HX81+HX82)</f>
        <v>0</v>
      </c>
      <c r="HZ81" s="7">
        <f t="shared" ref="HZ81" si="727">IF(HZ79&lt;0,HY81+HZ79,HY81+HY82)</f>
        <v>0</v>
      </c>
      <c r="IA81" s="7">
        <f t="shared" ref="IA81" si="728">IF(IA79&lt;0,HZ81+IA79,HZ81+HZ82)</f>
        <v>0</v>
      </c>
      <c r="IB81" s="7">
        <f t="shared" ref="IB81" si="729">IF(IB79&lt;0,IA81+IB79,IA81+IA82)</f>
        <v>0</v>
      </c>
      <c r="IC81" s="7">
        <f t="shared" ref="IC81" si="730">IF(IC79&lt;0,IB81+IC79,IB81+IB82)</f>
        <v>0</v>
      </c>
      <c r="ID81" s="7">
        <f t="shared" ref="ID81" si="731">IF(ID79&lt;0,IC81+ID79,IC81+IC82)</f>
        <v>0</v>
      </c>
      <c r="IE81" s="7">
        <f t="shared" ref="IE81" si="732">IF(IE79&lt;0,ID81+IE79,ID81+ID82)</f>
        <v>0</v>
      </c>
      <c r="IF81" s="7">
        <f t="shared" ref="IF81" si="733">IF(IF79&lt;0,IE81+IF79,IE81+IE82)</f>
        <v>0</v>
      </c>
      <c r="IG81" s="7">
        <f t="shared" ref="IG81" si="734">IF(IG79&lt;0,IF81+IG79,IF81+IF82)</f>
        <v>0</v>
      </c>
      <c r="IH81" s="7">
        <f t="shared" ref="IH81" si="735">IF(IH79&lt;0,IG81+IH79,IG81+IG82)</f>
        <v>0</v>
      </c>
      <c r="II81" s="7">
        <f t="shared" ref="II81" si="736">IF(II79&lt;0,IH81+II79,IH81+IH82)</f>
        <v>0</v>
      </c>
      <c r="IJ81" s="7">
        <f t="shared" ref="IJ81" si="737">IF(IJ79&lt;0,II81+IJ79,II81+II82)</f>
        <v>0</v>
      </c>
      <c r="IK81" s="7">
        <f t="shared" ref="IK81" si="738">IF(IK79&lt;0,IJ81+IK79,IJ81+IJ82)</f>
        <v>0</v>
      </c>
      <c r="IL81" s="7">
        <f t="shared" ref="IL81" si="739">IF(IL79&lt;0,IK81+IL79,IK81+IK82)</f>
        <v>0</v>
      </c>
      <c r="IM81" s="7">
        <f t="shared" ref="IM81" si="740">IF(IM79&lt;0,IL81+IM79,IL81+IL82)</f>
        <v>0</v>
      </c>
      <c r="IN81" s="7">
        <f t="shared" ref="IN81" si="741">IF(IN79&lt;0,IM81+IN79,IM81+IM82)</f>
        <v>0</v>
      </c>
      <c r="IO81" s="7">
        <f t="shared" ref="IO81" si="742">IF(IO79&lt;0,IN81+IO79,IN81+IN82)</f>
        <v>0</v>
      </c>
      <c r="IP81" s="7">
        <f t="shared" ref="IP81" si="743">IF(IP79&lt;0,IO81+IP79,IO81+IO82)</f>
        <v>0</v>
      </c>
      <c r="IQ81" s="7">
        <f t="shared" ref="IQ81" si="744">IF(IQ79&lt;0,IP81+IQ79,IP81+IP82)</f>
        <v>0</v>
      </c>
      <c r="IR81" s="7">
        <f t="shared" ref="IR81" si="745">IF(IR79&lt;0,IQ81+IR79,IQ81+IQ82)</f>
        <v>0</v>
      </c>
      <c r="IS81" s="7">
        <f t="shared" ref="IS81" si="746">IF(IS79&lt;0,IR81+IS79,IR81+IR82)</f>
        <v>0</v>
      </c>
      <c r="IT81" s="7">
        <f t="shared" ref="IT81" si="747">IF(IT79&lt;0,IS81+IT79,IS81+IS82)</f>
        <v>0</v>
      </c>
      <c r="IU81" s="7">
        <f t="shared" ref="IU81" si="748">IF(IU79&lt;0,IT81+IU79,IT81+IT82)</f>
        <v>0</v>
      </c>
      <c r="IV81" s="7">
        <f t="shared" ref="IV81" si="749">IF(IV79&lt;0,IU81+IV79,IU81+IU82)</f>
        <v>0</v>
      </c>
      <c r="IW81" s="7">
        <f t="shared" ref="IW81" si="750">IF(IW79&lt;0,IV81+IW79,IV81+IV82)</f>
        <v>0</v>
      </c>
      <c r="IX81" s="7">
        <f t="shared" ref="IX81" si="751">IF(IX79&lt;0,IW81+IX79,IW81+IW82)</f>
        <v>0</v>
      </c>
      <c r="IY81" s="7">
        <f t="shared" ref="IY81" si="752">IF(IY79&lt;0,IX81+IY79,IX81+IX82)</f>
        <v>0</v>
      </c>
      <c r="IZ81" s="7">
        <f t="shared" ref="IZ81" si="753">IF(IZ79&lt;0,IY81+IZ79,IY81+IY82)</f>
        <v>0</v>
      </c>
      <c r="JA81" s="7">
        <f t="shared" ref="JA81" si="754">IF(JA79&lt;0,IZ81+JA79,IZ81+IZ82)</f>
        <v>0</v>
      </c>
      <c r="JB81" s="7">
        <f t="shared" ref="JB81" si="755">IF(JB79&lt;0,JA81+JB79,JA81+JA82)</f>
        <v>0</v>
      </c>
      <c r="JC81" s="7">
        <f t="shared" ref="JC81" si="756">IF(JC79&lt;0,JB81+JC79,JB81+JB82)</f>
        <v>0</v>
      </c>
      <c r="JD81" s="7">
        <f t="shared" ref="JD81" si="757">IF(JD79&lt;0,JC81+JD79,JC81+JC82)</f>
        <v>0</v>
      </c>
      <c r="JE81" s="7">
        <f t="shared" ref="JE81" si="758">IF(JE79&lt;0,JD81+JE79,JD81+JD82)</f>
        <v>0</v>
      </c>
      <c r="JF81" s="7">
        <f t="shared" ref="JF81" si="759">IF(JF79&lt;0,JE81+JF79,JE81+JE82)</f>
        <v>0</v>
      </c>
      <c r="JG81" s="7">
        <f t="shared" ref="JG81" si="760">IF(JG79&lt;0,JF81+JG79,JF81+JF82)</f>
        <v>0</v>
      </c>
      <c r="JH81" s="7">
        <f t="shared" ref="JH81" si="761">IF(JH79&lt;0,JG81+JH79,JG81+JG82)</f>
        <v>0</v>
      </c>
      <c r="JI81" s="7">
        <f t="shared" ref="JI81" si="762">IF(JI79&lt;0,JH81+JI79,JH81+JH82)</f>
        <v>0</v>
      </c>
      <c r="JJ81" s="7">
        <f t="shared" ref="JJ81" si="763">IF(JJ79&lt;0,JI81+JJ79,JI81+JI82)</f>
        <v>0</v>
      </c>
      <c r="JK81" s="7">
        <f t="shared" ref="JK81" si="764">IF(JK79&lt;0,JJ81+JK79,JJ81+JJ82)</f>
        <v>0</v>
      </c>
      <c r="JL81" s="7">
        <f t="shared" ref="JL81" si="765">IF(JL79&lt;0,JK81+JL79,JK81+JK82)</f>
        <v>0</v>
      </c>
      <c r="JM81" s="7">
        <f t="shared" ref="JM81" si="766">IF(JM79&lt;0,JL81+JM79,JL81+JL82)</f>
        <v>0</v>
      </c>
      <c r="JN81" s="7">
        <f t="shared" ref="JN81" si="767">IF(JN79&lt;0,JM81+JN79,JM81+JM82)</f>
        <v>0</v>
      </c>
      <c r="JO81" s="7">
        <f t="shared" ref="JO81" si="768">IF(JO79&lt;0,JN81+JO79,JN81+JN82)</f>
        <v>0</v>
      </c>
      <c r="JP81" s="7">
        <f t="shared" ref="JP81" si="769">IF(JP79&lt;0,JO81+JP79,JO81+JO82)</f>
        <v>0</v>
      </c>
      <c r="JQ81" s="7">
        <f t="shared" ref="JQ81" si="770">IF(JQ79&lt;0,JP81+JQ79,JP81+JP82)</f>
        <v>0</v>
      </c>
      <c r="JR81" s="7">
        <f t="shared" ref="JR81" si="771">IF(JR79&lt;0,JQ81+JR79,JQ81+JQ82)</f>
        <v>0</v>
      </c>
    </row>
    <row r="82" spans="2:278" x14ac:dyDescent="0.2">
      <c r="B82" s="1" t="s">
        <v>135</v>
      </c>
      <c r="C82" s="7">
        <f>IF(C72&lt;0,0,IF(C81&lt;0,IF((C72*0.8)&gt;-C81,-C81,C72*0.8),0))</f>
        <v>0</v>
      </c>
      <c r="D82" s="7">
        <f>IF(D79&lt;0,0,IF(D81&lt;0,IF((D79*0.8)&gt;-D81,-D81,D79*0.8),0))</f>
        <v>0</v>
      </c>
      <c r="E82" s="7">
        <f t="shared" ref="E82:BP82" si="772">IF(E79&lt;0,0,IF(E81&lt;0,IF((E79*0.8)&gt;-E81,-E81,E79*0.8),0))</f>
        <v>0</v>
      </c>
      <c r="F82" s="7">
        <f t="shared" si="772"/>
        <v>0</v>
      </c>
      <c r="G82" s="7">
        <f t="shared" si="772"/>
        <v>0</v>
      </c>
      <c r="H82" s="7">
        <f t="shared" si="772"/>
        <v>0</v>
      </c>
      <c r="I82" s="7">
        <f t="shared" si="772"/>
        <v>0</v>
      </c>
      <c r="J82" s="7">
        <f t="shared" si="772"/>
        <v>0</v>
      </c>
      <c r="K82" s="7">
        <f t="shared" si="772"/>
        <v>0</v>
      </c>
      <c r="L82" s="7">
        <f t="shared" si="772"/>
        <v>0</v>
      </c>
      <c r="M82" s="7">
        <f t="shared" si="772"/>
        <v>0</v>
      </c>
      <c r="N82" s="7">
        <f t="shared" si="772"/>
        <v>0</v>
      </c>
      <c r="O82" s="7">
        <f t="shared" si="772"/>
        <v>0</v>
      </c>
      <c r="P82" s="7">
        <f t="shared" si="772"/>
        <v>0</v>
      </c>
      <c r="Q82" s="7">
        <f t="shared" si="772"/>
        <v>0</v>
      </c>
      <c r="R82" s="7">
        <f t="shared" si="772"/>
        <v>0</v>
      </c>
      <c r="S82" s="7">
        <f t="shared" si="772"/>
        <v>0</v>
      </c>
      <c r="T82" s="7">
        <f t="shared" si="772"/>
        <v>0</v>
      </c>
      <c r="U82" s="7">
        <f t="shared" si="772"/>
        <v>0</v>
      </c>
      <c r="V82" s="7">
        <f t="shared" si="772"/>
        <v>0</v>
      </c>
      <c r="W82" s="7">
        <f t="shared" si="772"/>
        <v>0</v>
      </c>
      <c r="X82" s="7">
        <f t="shared" si="772"/>
        <v>0</v>
      </c>
      <c r="Y82" s="7">
        <f t="shared" si="772"/>
        <v>0</v>
      </c>
      <c r="Z82" s="7">
        <f t="shared" si="772"/>
        <v>0</v>
      </c>
      <c r="AA82" s="7">
        <f t="shared" si="772"/>
        <v>0</v>
      </c>
      <c r="AB82" s="7">
        <f t="shared" si="772"/>
        <v>0</v>
      </c>
      <c r="AC82" s="7">
        <f t="shared" si="772"/>
        <v>0</v>
      </c>
      <c r="AD82" s="7">
        <f t="shared" si="772"/>
        <v>750783.34634097165</v>
      </c>
      <c r="AE82" s="7">
        <f t="shared" si="772"/>
        <v>932752.79169601726</v>
      </c>
      <c r="AF82" s="7">
        <f t="shared" si="772"/>
        <v>770736.36704682489</v>
      </c>
      <c r="AG82" s="7">
        <f t="shared" si="772"/>
        <v>953201.08045946213</v>
      </c>
      <c r="AH82" s="7">
        <f t="shared" si="772"/>
        <v>963478.77072168852</v>
      </c>
      <c r="AI82" s="7">
        <f t="shared" si="772"/>
        <v>800930.55806917965</v>
      </c>
      <c r="AJ82" s="7">
        <f t="shared" si="772"/>
        <v>984142.08026165748</v>
      </c>
      <c r="AK82" s="7">
        <f t="shared" si="772"/>
        <v>821238.40545253747</v>
      </c>
      <c r="AL82" s="7">
        <f t="shared" si="772"/>
        <v>1004950.4221048974</v>
      </c>
      <c r="AM82" s="7">
        <f t="shared" si="772"/>
        <v>1041397.7948163012</v>
      </c>
      <c r="AN82" s="7">
        <f t="shared" si="772"/>
        <v>530091.48377488449</v>
      </c>
      <c r="AO82" s="7">
        <f t="shared" si="772"/>
        <v>1062426.2495028828</v>
      </c>
      <c r="AP82" s="7">
        <f t="shared" si="772"/>
        <v>1048502.4205520665</v>
      </c>
      <c r="AQ82" s="7">
        <f t="shared" si="772"/>
        <v>1216349.5457786657</v>
      </c>
      <c r="AR82" s="7">
        <f t="shared" si="772"/>
        <v>1052417.1364989567</v>
      </c>
      <c r="AS82" s="7">
        <f t="shared" si="772"/>
        <v>1238119.2061684818</v>
      </c>
      <c r="AT82" s="7">
        <f t="shared" si="772"/>
        <v>1249061.2360373405</v>
      </c>
      <c r="AU82" s="7">
        <f t="shared" si="772"/>
        <v>1084591.4594369717</v>
      </c>
      <c r="AV82" s="7">
        <f t="shared" si="772"/>
        <v>1271060.5916379981</v>
      </c>
      <c r="AW82" s="7">
        <f t="shared" si="772"/>
        <v>1106231.6569444158</v>
      </c>
      <c r="AX82" s="7">
        <f t="shared" si="772"/>
        <v>1293214.8817811562</v>
      </c>
      <c r="AY82" s="7">
        <f t="shared" si="772"/>
        <v>1332217.6748606716</v>
      </c>
      <c r="AZ82" s="7">
        <f t="shared" si="772"/>
        <v>990304.62177647429</v>
      </c>
      <c r="BA82" s="7">
        <f t="shared" si="772"/>
        <v>1354607.1127669965</v>
      </c>
      <c r="BB82" s="7">
        <f t="shared" si="772"/>
        <v>1188877.1086459721</v>
      </c>
      <c r="BC82" s="7">
        <f t="shared" si="772"/>
        <v>1377155.1697626896</v>
      </c>
      <c r="BD82" s="7">
        <f t="shared" si="772"/>
        <v>1211063.4764231052</v>
      </c>
      <c r="BE82" s="7">
        <f t="shared" si="772"/>
        <v>1399863.3478437394</v>
      </c>
      <c r="BF82" s="7">
        <f t="shared" si="772"/>
        <v>1411277.9561383445</v>
      </c>
      <c r="BG82" s="7">
        <f t="shared" si="772"/>
        <v>1244642.3875725006</v>
      </c>
      <c r="BH82" s="7">
        <f t="shared" si="772"/>
        <v>1434229.1679686436</v>
      </c>
      <c r="BI82" s="7">
        <f t="shared" si="772"/>
        <v>719798.79391087708</v>
      </c>
      <c r="BJ82" s="7">
        <f t="shared" si="772"/>
        <v>0</v>
      </c>
      <c r="BK82" s="7">
        <f t="shared" si="772"/>
        <v>0</v>
      </c>
      <c r="BL82" s="7">
        <f t="shared" si="772"/>
        <v>0</v>
      </c>
      <c r="BM82" s="7">
        <f t="shared" si="772"/>
        <v>0</v>
      </c>
      <c r="BN82" s="7">
        <f t="shared" si="772"/>
        <v>0</v>
      </c>
      <c r="BO82" s="7">
        <f t="shared" si="772"/>
        <v>0</v>
      </c>
      <c r="BP82" s="7">
        <f t="shared" si="772"/>
        <v>0</v>
      </c>
      <c r="BQ82" s="7">
        <f t="shared" ref="BQ82:CT82" si="773">IF(BQ79&lt;0,0,IF(BQ81&lt;0,IF((BQ79*0.8)&gt;-BQ81,-BQ81,BQ79*0.8),0))</f>
        <v>0</v>
      </c>
      <c r="BR82" s="7">
        <f t="shared" si="773"/>
        <v>0</v>
      </c>
      <c r="BS82" s="7">
        <f t="shared" si="773"/>
        <v>0</v>
      </c>
      <c r="BT82" s="7">
        <f t="shared" si="773"/>
        <v>0</v>
      </c>
      <c r="BU82" s="7">
        <f t="shared" si="773"/>
        <v>0</v>
      </c>
      <c r="BV82" s="7">
        <f t="shared" si="773"/>
        <v>0</v>
      </c>
      <c r="BW82" s="7">
        <f t="shared" si="773"/>
        <v>0</v>
      </c>
      <c r="BX82" s="7">
        <f t="shared" si="773"/>
        <v>0</v>
      </c>
      <c r="BY82" s="7">
        <f t="shared" si="773"/>
        <v>0</v>
      </c>
      <c r="BZ82" s="7">
        <f t="shared" si="773"/>
        <v>0</v>
      </c>
      <c r="CA82" s="7">
        <f t="shared" si="773"/>
        <v>0</v>
      </c>
      <c r="CB82" s="7">
        <f t="shared" si="773"/>
        <v>0</v>
      </c>
      <c r="CC82" s="7">
        <f t="shared" si="773"/>
        <v>0</v>
      </c>
      <c r="CD82" s="7">
        <f t="shared" si="773"/>
        <v>0</v>
      </c>
      <c r="CE82" s="7">
        <f t="shared" si="773"/>
        <v>0</v>
      </c>
      <c r="CF82" s="7">
        <f t="shared" si="773"/>
        <v>0</v>
      </c>
      <c r="CG82" s="7">
        <f t="shared" si="773"/>
        <v>0</v>
      </c>
      <c r="CH82" s="7">
        <f t="shared" si="773"/>
        <v>0</v>
      </c>
      <c r="CI82" s="7">
        <f t="shared" si="773"/>
        <v>0</v>
      </c>
      <c r="CJ82" s="7">
        <f t="shared" si="773"/>
        <v>0</v>
      </c>
      <c r="CK82" s="7">
        <f t="shared" si="773"/>
        <v>0</v>
      </c>
      <c r="CL82" s="7">
        <f t="shared" si="773"/>
        <v>0</v>
      </c>
      <c r="CM82" s="7">
        <f t="shared" si="773"/>
        <v>0</v>
      </c>
      <c r="CN82" s="7">
        <f t="shared" si="773"/>
        <v>0</v>
      </c>
      <c r="CO82" s="7">
        <f t="shared" si="773"/>
        <v>0</v>
      </c>
      <c r="CP82" s="7">
        <f t="shared" si="773"/>
        <v>0</v>
      </c>
      <c r="CQ82" s="7">
        <f t="shared" si="773"/>
        <v>0</v>
      </c>
      <c r="CR82" s="7">
        <f t="shared" si="773"/>
        <v>0</v>
      </c>
      <c r="CS82" s="7">
        <f t="shared" si="773"/>
        <v>0</v>
      </c>
      <c r="CT82" s="7">
        <f t="shared" si="773"/>
        <v>0</v>
      </c>
      <c r="CU82" s="7">
        <f t="shared" ref="CU82:DF82" si="774">IF(CU79&lt;0,0,IF(CU81&lt;0,IF((CU79*0.8)&gt;-CU81,-CU81,CU79*0.8),0))</f>
        <v>0</v>
      </c>
      <c r="CV82" s="7">
        <f t="shared" si="774"/>
        <v>0</v>
      </c>
      <c r="CW82" s="7">
        <f t="shared" si="774"/>
        <v>0</v>
      </c>
      <c r="CX82" s="7">
        <f t="shared" si="774"/>
        <v>0</v>
      </c>
      <c r="CY82" s="7">
        <f t="shared" si="774"/>
        <v>0</v>
      </c>
      <c r="CZ82" s="7">
        <f t="shared" si="774"/>
        <v>0</v>
      </c>
      <c r="DA82" s="7">
        <f t="shared" si="774"/>
        <v>0</v>
      </c>
      <c r="DB82" s="7">
        <f t="shared" si="774"/>
        <v>0</v>
      </c>
      <c r="DC82" s="7">
        <f t="shared" si="774"/>
        <v>0</v>
      </c>
      <c r="DD82" s="7">
        <f t="shared" si="774"/>
        <v>0</v>
      </c>
      <c r="DE82" s="7">
        <f t="shared" si="774"/>
        <v>0</v>
      </c>
      <c r="DF82" s="7">
        <f t="shared" si="774"/>
        <v>0</v>
      </c>
      <c r="DG82" s="7">
        <f t="shared" ref="DG82:DR82" si="775">IF(DG79&lt;0,0,IF(DG81&lt;0,IF((DG79*0.8)&gt;-DG81,-DG81,DG79*0.8),0))</f>
        <v>0</v>
      </c>
      <c r="DH82" s="7">
        <f t="shared" si="775"/>
        <v>0</v>
      </c>
      <c r="DI82" s="7">
        <f t="shared" si="775"/>
        <v>0</v>
      </c>
      <c r="DJ82" s="7">
        <f t="shared" si="775"/>
        <v>0</v>
      </c>
      <c r="DK82" s="7">
        <f t="shared" si="775"/>
        <v>0</v>
      </c>
      <c r="DL82" s="7">
        <f t="shared" si="775"/>
        <v>0</v>
      </c>
      <c r="DM82" s="7">
        <f t="shared" si="775"/>
        <v>0</v>
      </c>
      <c r="DN82" s="7">
        <f t="shared" si="775"/>
        <v>0</v>
      </c>
      <c r="DO82" s="7">
        <f t="shared" si="775"/>
        <v>0</v>
      </c>
      <c r="DP82" s="7">
        <f t="shared" si="775"/>
        <v>0</v>
      </c>
      <c r="DQ82" s="7">
        <f t="shared" si="775"/>
        <v>0</v>
      </c>
      <c r="DR82" s="7">
        <f t="shared" si="775"/>
        <v>0</v>
      </c>
      <c r="DS82" s="7">
        <f t="shared" ref="DS82:ED82" si="776">IF(DS79&lt;0,0,IF(DS81&lt;0,IF((DS79*0.8)&gt;-DS81,-DS81,DS79*0.8),0))</f>
        <v>0</v>
      </c>
      <c r="DT82" s="7">
        <f t="shared" si="776"/>
        <v>0</v>
      </c>
      <c r="DU82" s="7">
        <f t="shared" si="776"/>
        <v>0</v>
      </c>
      <c r="DV82" s="7">
        <f t="shared" si="776"/>
        <v>0</v>
      </c>
      <c r="DW82" s="7">
        <f t="shared" si="776"/>
        <v>0</v>
      </c>
      <c r="DX82" s="7">
        <f t="shared" si="776"/>
        <v>0</v>
      </c>
      <c r="DY82" s="7">
        <f t="shared" si="776"/>
        <v>0</v>
      </c>
      <c r="DZ82" s="7">
        <f t="shared" si="776"/>
        <v>0</v>
      </c>
      <c r="EA82" s="7">
        <f t="shared" si="776"/>
        <v>0</v>
      </c>
      <c r="EB82" s="7">
        <f t="shared" si="776"/>
        <v>0</v>
      </c>
      <c r="EC82" s="7">
        <f t="shared" si="776"/>
        <v>0</v>
      </c>
      <c r="ED82" s="7">
        <f t="shared" si="776"/>
        <v>0</v>
      </c>
      <c r="EE82" s="7">
        <f t="shared" ref="EE82:EP82" si="777">IF(EE79&lt;0,0,IF(EE81&lt;0,IF((EE79*0.8)&gt;-EE81,-EE81,EE79*0.8),0))</f>
        <v>0</v>
      </c>
      <c r="EF82" s="7">
        <f t="shared" si="777"/>
        <v>0</v>
      </c>
      <c r="EG82" s="7">
        <f t="shared" si="777"/>
        <v>0</v>
      </c>
      <c r="EH82" s="7">
        <f t="shared" si="777"/>
        <v>0</v>
      </c>
      <c r="EI82" s="7">
        <f t="shared" si="777"/>
        <v>0</v>
      </c>
      <c r="EJ82" s="7">
        <f t="shared" si="777"/>
        <v>0</v>
      </c>
      <c r="EK82" s="7">
        <f t="shared" si="777"/>
        <v>0</v>
      </c>
      <c r="EL82" s="7">
        <f t="shared" si="777"/>
        <v>0</v>
      </c>
      <c r="EM82" s="7">
        <f t="shared" si="777"/>
        <v>0</v>
      </c>
      <c r="EN82" s="7">
        <f t="shared" si="777"/>
        <v>0</v>
      </c>
      <c r="EO82" s="7">
        <f t="shared" si="777"/>
        <v>0</v>
      </c>
      <c r="EP82" s="7">
        <f t="shared" si="777"/>
        <v>0</v>
      </c>
      <c r="EQ82" s="7">
        <f t="shared" ref="EQ82:FB82" si="778">IF(EQ79&lt;0,0,IF(EQ81&lt;0,IF((EQ79*0.8)&gt;-EQ81,-EQ81,EQ79*0.8),0))</f>
        <v>0</v>
      </c>
      <c r="ER82" s="7">
        <f t="shared" si="778"/>
        <v>0</v>
      </c>
      <c r="ES82" s="7">
        <f t="shared" si="778"/>
        <v>0</v>
      </c>
      <c r="ET82" s="7">
        <f t="shared" si="778"/>
        <v>0</v>
      </c>
      <c r="EU82" s="7">
        <f t="shared" si="778"/>
        <v>0</v>
      </c>
      <c r="EV82" s="7">
        <f t="shared" si="778"/>
        <v>0</v>
      </c>
      <c r="EW82" s="7">
        <f t="shared" si="778"/>
        <v>0</v>
      </c>
      <c r="EX82" s="7">
        <f t="shared" si="778"/>
        <v>0</v>
      </c>
      <c r="EY82" s="7">
        <f t="shared" si="778"/>
        <v>0</v>
      </c>
      <c r="EZ82" s="7">
        <f t="shared" si="778"/>
        <v>0</v>
      </c>
      <c r="FA82" s="7">
        <f t="shared" si="778"/>
        <v>0</v>
      </c>
      <c r="FB82" s="7">
        <f t="shared" si="778"/>
        <v>0</v>
      </c>
      <c r="FC82" s="7">
        <f t="shared" ref="FC82:FN82" si="779">IF(FC79&lt;0,0,IF(FC81&lt;0,IF((FC79*0.8)&gt;-FC81,-FC81,FC79*0.8),0))</f>
        <v>0</v>
      </c>
      <c r="FD82" s="7">
        <f t="shared" si="779"/>
        <v>0</v>
      </c>
      <c r="FE82" s="7">
        <f t="shared" si="779"/>
        <v>0</v>
      </c>
      <c r="FF82" s="7">
        <f t="shared" si="779"/>
        <v>0</v>
      </c>
      <c r="FG82" s="7">
        <f t="shared" si="779"/>
        <v>0</v>
      </c>
      <c r="FH82" s="7">
        <f t="shared" si="779"/>
        <v>0</v>
      </c>
      <c r="FI82" s="7">
        <f t="shared" si="779"/>
        <v>0</v>
      </c>
      <c r="FJ82" s="7">
        <f t="shared" si="779"/>
        <v>0</v>
      </c>
      <c r="FK82" s="7">
        <f t="shared" si="779"/>
        <v>0</v>
      </c>
      <c r="FL82" s="7">
        <f t="shared" si="779"/>
        <v>0</v>
      </c>
      <c r="FM82" s="7">
        <f t="shared" si="779"/>
        <v>0</v>
      </c>
      <c r="FN82" s="7">
        <f t="shared" si="779"/>
        <v>0</v>
      </c>
      <c r="FO82" s="7">
        <f t="shared" ref="FO82:FZ82" si="780">IF(FO79&lt;0,0,IF(FO81&lt;0,IF((FO79*0.8)&gt;-FO81,-FO81,FO79*0.8),0))</f>
        <v>0</v>
      </c>
      <c r="FP82" s="7">
        <f t="shared" si="780"/>
        <v>0</v>
      </c>
      <c r="FQ82" s="7">
        <f t="shared" si="780"/>
        <v>0</v>
      </c>
      <c r="FR82" s="7">
        <f t="shared" si="780"/>
        <v>0</v>
      </c>
      <c r="FS82" s="7">
        <f t="shared" si="780"/>
        <v>0</v>
      </c>
      <c r="FT82" s="7">
        <f t="shared" si="780"/>
        <v>0</v>
      </c>
      <c r="FU82" s="7">
        <f t="shared" si="780"/>
        <v>0</v>
      </c>
      <c r="FV82" s="7">
        <f t="shared" si="780"/>
        <v>0</v>
      </c>
      <c r="FW82" s="7">
        <f t="shared" si="780"/>
        <v>0</v>
      </c>
      <c r="FX82" s="7">
        <f t="shared" si="780"/>
        <v>0</v>
      </c>
      <c r="FY82" s="7">
        <f t="shared" si="780"/>
        <v>0</v>
      </c>
      <c r="FZ82" s="7">
        <f t="shared" si="780"/>
        <v>0</v>
      </c>
      <c r="GA82" s="7">
        <f t="shared" ref="GA82:GL82" si="781">IF(GA79&lt;0,0,IF(GA81&lt;0,IF((GA79*0.8)&gt;-GA81,-GA81,GA79*0.8),0))</f>
        <v>0</v>
      </c>
      <c r="GB82" s="7">
        <f t="shared" si="781"/>
        <v>0</v>
      </c>
      <c r="GC82" s="7">
        <f t="shared" si="781"/>
        <v>0</v>
      </c>
      <c r="GD82" s="7">
        <f t="shared" si="781"/>
        <v>0</v>
      </c>
      <c r="GE82" s="7">
        <f t="shared" si="781"/>
        <v>0</v>
      </c>
      <c r="GF82" s="7">
        <f t="shared" si="781"/>
        <v>0</v>
      </c>
      <c r="GG82" s="7">
        <f t="shared" si="781"/>
        <v>0</v>
      </c>
      <c r="GH82" s="7">
        <f t="shared" si="781"/>
        <v>0</v>
      </c>
      <c r="GI82" s="7">
        <f t="shared" si="781"/>
        <v>0</v>
      </c>
      <c r="GJ82" s="7">
        <f t="shared" si="781"/>
        <v>0</v>
      </c>
      <c r="GK82" s="7">
        <f t="shared" si="781"/>
        <v>0</v>
      </c>
      <c r="GL82" s="7">
        <f t="shared" si="781"/>
        <v>0</v>
      </c>
      <c r="GM82" s="7">
        <f t="shared" ref="GM82:GX82" si="782">IF(GM79&lt;0,0,IF(GM81&lt;0,IF((GM79*0.8)&gt;-GM81,-GM81,GM79*0.8),0))</f>
        <v>0</v>
      </c>
      <c r="GN82" s="7">
        <f t="shared" si="782"/>
        <v>0</v>
      </c>
      <c r="GO82" s="7">
        <f t="shared" si="782"/>
        <v>0</v>
      </c>
      <c r="GP82" s="7">
        <f t="shared" si="782"/>
        <v>0</v>
      </c>
      <c r="GQ82" s="7">
        <f t="shared" si="782"/>
        <v>0</v>
      </c>
      <c r="GR82" s="7">
        <f t="shared" si="782"/>
        <v>0</v>
      </c>
      <c r="GS82" s="7">
        <f t="shared" si="782"/>
        <v>0</v>
      </c>
      <c r="GT82" s="7">
        <f t="shared" si="782"/>
        <v>0</v>
      </c>
      <c r="GU82" s="7">
        <f t="shared" si="782"/>
        <v>0</v>
      </c>
      <c r="GV82" s="7">
        <f t="shared" si="782"/>
        <v>0</v>
      </c>
      <c r="GW82" s="7">
        <f t="shared" si="782"/>
        <v>0</v>
      </c>
      <c r="GX82" s="7">
        <f t="shared" si="782"/>
        <v>0</v>
      </c>
      <c r="GY82" s="7">
        <f t="shared" ref="GY82:HJ82" si="783">IF(GY79&lt;0,0,IF(GY81&lt;0,IF((GY79*0.8)&gt;-GY81,-GY81,GY79*0.8),0))</f>
        <v>0</v>
      </c>
      <c r="GZ82" s="7">
        <f t="shared" si="783"/>
        <v>0</v>
      </c>
      <c r="HA82" s="7">
        <f t="shared" si="783"/>
        <v>0</v>
      </c>
      <c r="HB82" s="7">
        <f t="shared" si="783"/>
        <v>0</v>
      </c>
      <c r="HC82" s="7">
        <f t="shared" si="783"/>
        <v>0</v>
      </c>
      <c r="HD82" s="7">
        <f t="shared" si="783"/>
        <v>0</v>
      </c>
      <c r="HE82" s="7">
        <f t="shared" si="783"/>
        <v>0</v>
      </c>
      <c r="HF82" s="7">
        <f t="shared" si="783"/>
        <v>0</v>
      </c>
      <c r="HG82" s="7">
        <f t="shared" si="783"/>
        <v>0</v>
      </c>
      <c r="HH82" s="7">
        <f t="shared" si="783"/>
        <v>0</v>
      </c>
      <c r="HI82" s="7">
        <f t="shared" si="783"/>
        <v>0</v>
      </c>
      <c r="HJ82" s="7">
        <f t="shared" si="783"/>
        <v>0</v>
      </c>
      <c r="HK82" s="7">
        <f t="shared" ref="HK82:HV82" si="784">IF(HK79&lt;0,0,IF(HK81&lt;0,IF((HK79*0.8)&gt;-HK81,-HK81,HK79*0.8),0))</f>
        <v>0</v>
      </c>
      <c r="HL82" s="7">
        <f t="shared" si="784"/>
        <v>0</v>
      </c>
      <c r="HM82" s="7">
        <f t="shared" si="784"/>
        <v>0</v>
      </c>
      <c r="HN82" s="7">
        <f t="shared" si="784"/>
        <v>0</v>
      </c>
      <c r="HO82" s="7">
        <f t="shared" si="784"/>
        <v>0</v>
      </c>
      <c r="HP82" s="7">
        <f t="shared" si="784"/>
        <v>0</v>
      </c>
      <c r="HQ82" s="7">
        <f t="shared" si="784"/>
        <v>0</v>
      </c>
      <c r="HR82" s="7">
        <f t="shared" si="784"/>
        <v>0</v>
      </c>
      <c r="HS82" s="7">
        <f t="shared" si="784"/>
        <v>0</v>
      </c>
      <c r="HT82" s="7">
        <f t="shared" si="784"/>
        <v>0</v>
      </c>
      <c r="HU82" s="7">
        <f t="shared" si="784"/>
        <v>0</v>
      </c>
      <c r="HV82" s="7">
        <f t="shared" si="784"/>
        <v>0</v>
      </c>
      <c r="HW82" s="7">
        <f t="shared" ref="HW82:IH82" si="785">IF(HW79&lt;0,0,IF(HW81&lt;0,IF((HW79*0.8)&gt;-HW81,-HW81,HW79*0.8),0))</f>
        <v>0</v>
      </c>
      <c r="HX82" s="7">
        <f t="shared" si="785"/>
        <v>0</v>
      </c>
      <c r="HY82" s="7">
        <f t="shared" si="785"/>
        <v>0</v>
      </c>
      <c r="HZ82" s="7">
        <f t="shared" si="785"/>
        <v>0</v>
      </c>
      <c r="IA82" s="7">
        <f t="shared" si="785"/>
        <v>0</v>
      </c>
      <c r="IB82" s="7">
        <f t="shared" si="785"/>
        <v>0</v>
      </c>
      <c r="IC82" s="7">
        <f t="shared" si="785"/>
        <v>0</v>
      </c>
      <c r="ID82" s="7">
        <f t="shared" si="785"/>
        <v>0</v>
      </c>
      <c r="IE82" s="7">
        <f t="shared" si="785"/>
        <v>0</v>
      </c>
      <c r="IF82" s="7">
        <f t="shared" si="785"/>
        <v>0</v>
      </c>
      <c r="IG82" s="7">
        <f t="shared" si="785"/>
        <v>0</v>
      </c>
      <c r="IH82" s="7">
        <f t="shared" si="785"/>
        <v>0</v>
      </c>
      <c r="II82" s="7">
        <f t="shared" ref="II82:IT82" si="786">IF(II79&lt;0,0,IF(II81&lt;0,IF((II79*0.8)&gt;-II81,-II81,II79*0.8),0))</f>
        <v>0</v>
      </c>
      <c r="IJ82" s="7">
        <f t="shared" si="786"/>
        <v>0</v>
      </c>
      <c r="IK82" s="7">
        <f t="shared" si="786"/>
        <v>0</v>
      </c>
      <c r="IL82" s="7">
        <f t="shared" si="786"/>
        <v>0</v>
      </c>
      <c r="IM82" s="7">
        <f t="shared" si="786"/>
        <v>0</v>
      </c>
      <c r="IN82" s="7">
        <f t="shared" si="786"/>
        <v>0</v>
      </c>
      <c r="IO82" s="7">
        <f t="shared" si="786"/>
        <v>0</v>
      </c>
      <c r="IP82" s="7">
        <f t="shared" si="786"/>
        <v>0</v>
      </c>
      <c r="IQ82" s="7">
        <f t="shared" si="786"/>
        <v>0</v>
      </c>
      <c r="IR82" s="7">
        <f t="shared" si="786"/>
        <v>0</v>
      </c>
      <c r="IS82" s="7">
        <f t="shared" si="786"/>
        <v>0</v>
      </c>
      <c r="IT82" s="7">
        <f t="shared" si="786"/>
        <v>0</v>
      </c>
      <c r="IU82" s="7">
        <f t="shared" ref="IU82:JF82" si="787">IF(IU79&lt;0,0,IF(IU81&lt;0,IF((IU79*0.8)&gt;-IU81,-IU81,IU79*0.8),0))</f>
        <v>0</v>
      </c>
      <c r="IV82" s="7">
        <f t="shared" si="787"/>
        <v>0</v>
      </c>
      <c r="IW82" s="7">
        <f t="shared" si="787"/>
        <v>0</v>
      </c>
      <c r="IX82" s="7">
        <f t="shared" si="787"/>
        <v>0</v>
      </c>
      <c r="IY82" s="7">
        <f t="shared" si="787"/>
        <v>0</v>
      </c>
      <c r="IZ82" s="7">
        <f t="shared" si="787"/>
        <v>0</v>
      </c>
      <c r="JA82" s="7">
        <f t="shared" si="787"/>
        <v>0</v>
      </c>
      <c r="JB82" s="7">
        <f t="shared" si="787"/>
        <v>0</v>
      </c>
      <c r="JC82" s="7">
        <f t="shared" si="787"/>
        <v>0</v>
      </c>
      <c r="JD82" s="7">
        <f t="shared" si="787"/>
        <v>0</v>
      </c>
      <c r="JE82" s="7">
        <f t="shared" si="787"/>
        <v>0</v>
      </c>
      <c r="JF82" s="7">
        <f t="shared" si="787"/>
        <v>0</v>
      </c>
      <c r="JG82" s="7">
        <f t="shared" ref="JG82:JR82" si="788">IF(JG79&lt;0,0,IF(JG81&lt;0,IF((JG79*0.8)&gt;-JG81,-JG81,JG79*0.8),0))</f>
        <v>0</v>
      </c>
      <c r="JH82" s="7">
        <f t="shared" si="788"/>
        <v>0</v>
      </c>
      <c r="JI82" s="7">
        <f t="shared" si="788"/>
        <v>0</v>
      </c>
      <c r="JJ82" s="7">
        <f t="shared" si="788"/>
        <v>0</v>
      </c>
      <c r="JK82" s="7">
        <f t="shared" si="788"/>
        <v>0</v>
      </c>
      <c r="JL82" s="7">
        <f t="shared" si="788"/>
        <v>0</v>
      </c>
      <c r="JM82" s="7">
        <f t="shared" si="788"/>
        <v>0</v>
      </c>
      <c r="JN82" s="7">
        <f t="shared" si="788"/>
        <v>0</v>
      </c>
      <c r="JO82" s="7">
        <f t="shared" si="788"/>
        <v>0</v>
      </c>
      <c r="JP82" s="7">
        <f t="shared" si="788"/>
        <v>0</v>
      </c>
      <c r="JQ82" s="7">
        <f t="shared" si="788"/>
        <v>0</v>
      </c>
      <c r="JR82" s="7">
        <f t="shared" si="788"/>
        <v>0</v>
      </c>
    </row>
    <row r="83" spans="2:278" x14ac:dyDescent="0.2">
      <c r="B83" s="43" t="s">
        <v>138</v>
      </c>
      <c r="C83" s="44">
        <f t="shared" ref="C83:AH83" si="789">IF((C72+C82)&lt;0,0,C72-C82)</f>
        <v>0</v>
      </c>
      <c r="D83" s="44">
        <f t="shared" si="789"/>
        <v>0</v>
      </c>
      <c r="E83" s="44">
        <f t="shared" si="789"/>
        <v>0</v>
      </c>
      <c r="F83" s="44">
        <f t="shared" si="789"/>
        <v>0</v>
      </c>
      <c r="G83" s="44">
        <f t="shared" si="789"/>
        <v>0</v>
      </c>
      <c r="H83" s="44">
        <f t="shared" si="789"/>
        <v>0</v>
      </c>
      <c r="I83" s="44">
        <f t="shared" si="789"/>
        <v>0</v>
      </c>
      <c r="J83" s="44">
        <f t="shared" si="789"/>
        <v>0</v>
      </c>
      <c r="K83" s="44">
        <f t="shared" si="789"/>
        <v>0</v>
      </c>
      <c r="L83" s="44">
        <f t="shared" si="789"/>
        <v>0</v>
      </c>
      <c r="M83" s="44">
        <f t="shared" si="789"/>
        <v>0</v>
      </c>
      <c r="N83" s="44">
        <f t="shared" si="789"/>
        <v>0</v>
      </c>
      <c r="O83" s="44">
        <f t="shared" si="789"/>
        <v>0</v>
      </c>
      <c r="P83" s="44">
        <f t="shared" si="789"/>
        <v>0</v>
      </c>
      <c r="Q83" s="44">
        <f t="shared" si="789"/>
        <v>0</v>
      </c>
      <c r="R83" s="44">
        <f t="shared" si="789"/>
        <v>0</v>
      </c>
      <c r="S83" s="44">
        <f t="shared" si="789"/>
        <v>0</v>
      </c>
      <c r="T83" s="44">
        <f t="shared" si="789"/>
        <v>0</v>
      </c>
      <c r="U83" s="44">
        <f t="shared" si="789"/>
        <v>0</v>
      </c>
      <c r="V83" s="44">
        <f t="shared" si="789"/>
        <v>0</v>
      </c>
      <c r="W83" s="44">
        <f t="shared" si="789"/>
        <v>0</v>
      </c>
      <c r="X83" s="44">
        <f t="shared" si="789"/>
        <v>0</v>
      </c>
      <c r="Y83" s="44">
        <f t="shared" si="789"/>
        <v>0</v>
      </c>
      <c r="Z83" s="44">
        <f t="shared" si="789"/>
        <v>0</v>
      </c>
      <c r="AA83" s="44">
        <f t="shared" si="789"/>
        <v>0</v>
      </c>
      <c r="AB83" s="44">
        <f t="shared" si="789"/>
        <v>0</v>
      </c>
      <c r="AC83" s="44">
        <f t="shared" si="789"/>
        <v>0</v>
      </c>
      <c r="AD83" s="44">
        <f t="shared" si="789"/>
        <v>187695.83658524288</v>
      </c>
      <c r="AE83" s="44">
        <f t="shared" si="789"/>
        <v>233188.19792400429</v>
      </c>
      <c r="AF83" s="44">
        <f t="shared" si="789"/>
        <v>192684.09176170616</v>
      </c>
      <c r="AG83" s="44">
        <f t="shared" si="789"/>
        <v>238300.2701148655</v>
      </c>
      <c r="AH83" s="44">
        <f t="shared" si="789"/>
        <v>240869.6926804221</v>
      </c>
      <c r="AI83" s="44">
        <f t="shared" ref="AI83:BN83" si="790">IF((AI72+AI82)&lt;0,0,AI72-AI82)</f>
        <v>200232.63951729483</v>
      </c>
      <c r="AJ83" s="44">
        <f t="shared" si="790"/>
        <v>246035.52006541425</v>
      </c>
      <c r="AK83" s="44">
        <f t="shared" si="790"/>
        <v>205309.60136313434</v>
      </c>
      <c r="AL83" s="44">
        <f t="shared" si="790"/>
        <v>251237.60552622424</v>
      </c>
      <c r="AM83" s="44">
        <f t="shared" si="790"/>
        <v>260349.4487040753</v>
      </c>
      <c r="AN83" s="44">
        <f t="shared" si="790"/>
        <v>132522.87094372103</v>
      </c>
      <c r="AO83" s="44">
        <f t="shared" si="790"/>
        <v>265606.56237572059</v>
      </c>
      <c r="AP83" s="44">
        <f t="shared" si="790"/>
        <v>262125.60513801663</v>
      </c>
      <c r="AQ83" s="44">
        <f t="shared" si="790"/>
        <v>304087.38644466642</v>
      </c>
      <c r="AR83" s="44">
        <f t="shared" si="790"/>
        <v>263104.284124739</v>
      </c>
      <c r="AS83" s="44">
        <f t="shared" si="790"/>
        <v>309529.80154212052</v>
      </c>
      <c r="AT83" s="44">
        <f t="shared" si="790"/>
        <v>312265.309009335</v>
      </c>
      <c r="AU83" s="44">
        <f t="shared" si="790"/>
        <v>271147.86485924292</v>
      </c>
      <c r="AV83" s="44">
        <f t="shared" si="790"/>
        <v>317765.14790949947</v>
      </c>
      <c r="AW83" s="44">
        <f t="shared" si="790"/>
        <v>276557.91423610388</v>
      </c>
      <c r="AX83" s="44">
        <f t="shared" si="790"/>
        <v>323303.72044528881</v>
      </c>
      <c r="AY83" s="44">
        <f t="shared" si="790"/>
        <v>333054.41871516779</v>
      </c>
      <c r="AZ83" s="44">
        <f t="shared" si="790"/>
        <v>247576.15544411854</v>
      </c>
      <c r="BA83" s="44">
        <f t="shared" si="790"/>
        <v>338651.77819174901</v>
      </c>
      <c r="BB83" s="44">
        <f t="shared" si="790"/>
        <v>297219.27716149297</v>
      </c>
      <c r="BC83" s="44">
        <f t="shared" si="790"/>
        <v>344288.79244067217</v>
      </c>
      <c r="BD83" s="44">
        <f t="shared" si="790"/>
        <v>302765.86910577631</v>
      </c>
      <c r="BE83" s="44">
        <f t="shared" si="790"/>
        <v>349965.8369609348</v>
      </c>
      <c r="BF83" s="44">
        <f t="shared" si="790"/>
        <v>352819.48903458589</v>
      </c>
      <c r="BG83" s="44">
        <f t="shared" si="790"/>
        <v>311160.59689312521</v>
      </c>
      <c r="BH83" s="44">
        <f t="shared" si="790"/>
        <v>358557.29199216072</v>
      </c>
      <c r="BI83" s="44">
        <f t="shared" si="790"/>
        <v>864238.86428853776</v>
      </c>
      <c r="BJ83" s="44">
        <f t="shared" si="790"/>
        <v>1821680.4099253369</v>
      </c>
      <c r="BK83" s="44">
        <f t="shared" si="790"/>
        <v>1873556.8512392507</v>
      </c>
      <c r="BL83" s="44">
        <f t="shared" si="790"/>
        <v>1216108.1389359247</v>
      </c>
      <c r="BM83" s="44">
        <f t="shared" si="790"/>
        <v>1902761.8672085293</v>
      </c>
      <c r="BN83" s="44">
        <f t="shared" si="790"/>
        <v>1692873.3536097626</v>
      </c>
      <c r="BO83" s="44">
        <f t="shared" ref="BO83:CT83" si="791">IF((BO72+BO82)&lt;0,0,BO72-BO82)</f>
        <v>1932176.7338338315</v>
      </c>
      <c r="BP83" s="44">
        <f t="shared" si="791"/>
        <v>1721830.8036424727</v>
      </c>
      <c r="BQ83" s="44">
        <f t="shared" si="791"/>
        <v>1961803.4550201742</v>
      </c>
      <c r="BR83" s="44">
        <f t="shared" si="791"/>
        <v>1976696.8932813774</v>
      </c>
      <c r="BS83" s="44">
        <f t="shared" si="791"/>
        <v>1765663.2114805386</v>
      </c>
      <c r="BT83" s="44">
        <f t="shared" si="791"/>
        <v>2006645.2016532624</v>
      </c>
      <c r="BU83" s="44">
        <f t="shared" si="791"/>
        <v>1795151.9413198542</v>
      </c>
      <c r="BV83" s="44">
        <f t="shared" si="791"/>
        <v>2036810.4708062534</v>
      </c>
      <c r="BW83" s="44">
        <f t="shared" si="791"/>
        <v>2092027.3019770924</v>
      </c>
      <c r="BX83" s="44">
        <f t="shared" si="791"/>
        <v>1425035.2718235306</v>
      </c>
      <c r="BY83" s="44">
        <f t="shared" si="791"/>
        <v>2122521.9226772506</v>
      </c>
      <c r="BZ83" s="44">
        <f t="shared" si="791"/>
        <v>1909875.9811751938</v>
      </c>
      <c r="CA83" s="44">
        <f t="shared" si="791"/>
        <v>2153238.7513585724</v>
      </c>
      <c r="CB83" s="44">
        <f t="shared" si="791"/>
        <v>1940130.2569398684</v>
      </c>
      <c r="CC83" s="44">
        <f t="shared" si="791"/>
        <v>2184179.9272850943</v>
      </c>
      <c r="CD83" s="44">
        <f t="shared" si="791"/>
        <v>2199735.3203967405</v>
      </c>
      <c r="CE83" s="44">
        <f t="shared" si="791"/>
        <v>1985931.4269816272</v>
      </c>
      <c r="CF83" s="44">
        <f t="shared" si="791"/>
        <v>2231017.079734901</v>
      </c>
      <c r="CG83" s="44">
        <f>IF((CG72+CG82)&lt;0,0,CG72-CG82)</f>
        <v>2016748.5485561753</v>
      </c>
      <c r="CH83" s="44">
        <f t="shared" si="791"/>
        <v>2262528.637768981</v>
      </c>
      <c r="CI83" s="44">
        <f t="shared" si="791"/>
        <v>2309414.0854648054</v>
      </c>
      <c r="CJ83" s="44">
        <f t="shared" si="791"/>
        <v>1632711.1267784862</v>
      </c>
      <c r="CK83" s="44">
        <f t="shared" si="791"/>
        <v>2341274.5165603613</v>
      </c>
      <c r="CL83" s="44">
        <f t="shared" si="791"/>
        <v>2125840.7976293182</v>
      </c>
      <c r="CM83" s="44">
        <f t="shared" si="791"/>
        <v>2373370.3487729314</v>
      </c>
      <c r="CN83" s="44">
        <f t="shared" si="791"/>
        <v>2157469.1326883133</v>
      </c>
      <c r="CO83" s="44">
        <f t="shared" si="791"/>
        <v>2405703.866317654</v>
      </c>
      <c r="CP83" s="44">
        <f t="shared" si="791"/>
        <v>2421960.4777728133</v>
      </c>
      <c r="CQ83" s="44">
        <f t="shared" si="791"/>
        <v>2205356.5110882176</v>
      </c>
      <c r="CR83" s="44">
        <f t="shared" si="791"/>
        <v>2454654.8612891156</v>
      </c>
      <c r="CS83" s="44">
        <f t="shared" si="791"/>
        <v>2237581.3999791532</v>
      </c>
      <c r="CT83" s="44">
        <f t="shared" si="791"/>
        <v>2487592.7512902832</v>
      </c>
      <c r="CU83" s="44">
        <f t="shared" ref="CU83:DF83" si="792">IF((CU72+CU82)&lt;0,0,CU72-CU82)</f>
        <v>2538301.2352300137</v>
      </c>
      <c r="CV83" s="44">
        <f t="shared" si="792"/>
        <v>1851718.1603652509</v>
      </c>
      <c r="CW83" s="44">
        <f t="shared" si="792"/>
        <v>2571608.8433827669</v>
      </c>
      <c r="CX83" s="44">
        <f t="shared" si="792"/>
        <v>5385835.4116570335</v>
      </c>
      <c r="CY83" s="44">
        <f t="shared" si="792"/>
        <v>5637643.1403174708</v>
      </c>
      <c r="CZ83" s="44">
        <f t="shared" si="792"/>
        <v>5418920.2850769321</v>
      </c>
      <c r="DA83" s="44">
        <f t="shared" si="792"/>
        <v>5671452.1665509939</v>
      </c>
      <c r="DB83" s="44">
        <f t="shared" si="792"/>
        <v>5688451.9226350896</v>
      </c>
      <c r="DC83" s="44">
        <f t="shared" si="792"/>
        <v>5469019.2994797882</v>
      </c>
      <c r="DD83" s="44">
        <f t="shared" si="792"/>
        <v>5722643.4749580324</v>
      </c>
      <c r="DE83" s="44">
        <f t="shared" si="792"/>
        <v>5502736.7287772857</v>
      </c>
      <c r="DF83" s="44">
        <f t="shared" si="792"/>
        <v>5757093.173130529</v>
      </c>
      <c r="DG83" s="44">
        <f t="shared" ref="DG83:DR83" si="793">IF((DG72+DG82)&lt;0,0,DG72-DG82)</f>
        <v>5811892.2218660815</v>
      </c>
      <c r="DH83" s="44">
        <f t="shared" si="793"/>
        <v>5115258.3649288053</v>
      </c>
      <c r="DI83" s="44">
        <f t="shared" si="793"/>
        <v>5846733.9007575568</v>
      </c>
      <c r="DJ83" s="44">
        <f t="shared" si="793"/>
        <v>5625638.5937595386</v>
      </c>
      <c r="DK83" s="44">
        <f t="shared" si="793"/>
        <v>5881840.1157412166</v>
      </c>
      <c r="DL83" s="44">
        <f t="shared" si="793"/>
        <v>5660268.1024483871</v>
      </c>
      <c r="DM83" s="44">
        <f t="shared" si="793"/>
        <v>5917213.4725184217</v>
      </c>
      <c r="DN83" s="44">
        <f t="shared" si="793"/>
        <v>5935001.1512368666</v>
      </c>
      <c r="DO83" s="44">
        <f t="shared" si="793"/>
        <v>5712712.7286378313</v>
      </c>
      <c r="DP83" s="44">
        <f t="shared" si="793"/>
        <v>5970780.1695621591</v>
      </c>
      <c r="DQ83" s="44">
        <f t="shared" si="793"/>
        <v>5748013.2522092173</v>
      </c>
      <c r="DR83" s="44">
        <f t="shared" si="793"/>
        <v>6006832.9708155263</v>
      </c>
      <c r="DS83" s="44">
        <f t="shared" ref="DS83:ED83" si="794">IF((DS72+DS82)&lt;0,0,DS72-DS82)</f>
        <v>6066009.2719179019</v>
      </c>
      <c r="DT83" s="44">
        <f t="shared" si="794"/>
        <v>5359152.5989098288</v>
      </c>
      <c r="DU83" s="44">
        <f t="shared" si="794"/>
        <v>6102477.8345885212</v>
      </c>
      <c r="DV83" s="44">
        <f t="shared" si="794"/>
        <v>5878511.6288195886</v>
      </c>
      <c r="DW83" s="44">
        <f t="shared" si="794"/>
        <v>6139227.0067831352</v>
      </c>
      <c r="DX83" s="44">
        <f t="shared" si="794"/>
        <v>5914779.8866414931</v>
      </c>
      <c r="DY83" s="44">
        <f t="shared" si="794"/>
        <v>6176259.5722701391</v>
      </c>
      <c r="DZ83" s="44">
        <f t="shared" si="794"/>
        <v>6194883.0058613745</v>
      </c>
      <c r="EA83" s="44">
        <f t="shared" si="794"/>
        <v>5969713.2559422776</v>
      </c>
      <c r="EB83" s="44">
        <f t="shared" si="794"/>
        <v>6232345.9485111516</v>
      </c>
      <c r="EC83" s="44">
        <f t="shared" si="794"/>
        <v>6006693.6192665547</v>
      </c>
      <c r="ED83" s="44">
        <f t="shared" si="794"/>
        <v>6270099.3797761714</v>
      </c>
      <c r="EE83" s="44">
        <f t="shared" ref="EE83:EP83" si="795">IF((EE72+EE82)&lt;0,0,EE72-EE82)</f>
        <v>6308870.6414134642</v>
      </c>
      <c r="EF83" s="44">
        <f t="shared" si="795"/>
        <v>5591617.8727184907</v>
      </c>
      <c r="EG83" s="44">
        <f t="shared" si="795"/>
        <v>6347065.2408179669</v>
      </c>
      <c r="EH83" s="44">
        <f t="shared" si="795"/>
        <v>6120203.6368491706</v>
      </c>
      <c r="EI83" s="44">
        <f t="shared" si="795"/>
        <v>6378836.0520902053</v>
      </c>
      <c r="EJ83" s="44">
        <f t="shared" si="795"/>
        <v>6144728.8518448118</v>
      </c>
      <c r="EK83" s="44">
        <f t="shared" si="795"/>
        <v>6404068.1935211886</v>
      </c>
      <c r="EL83" s="44">
        <f t="shared" si="795"/>
        <v>6416738.5998326475</v>
      </c>
      <c r="EM83" s="44">
        <f t="shared" si="795"/>
        <v>6181784.0137152057</v>
      </c>
      <c r="EN83" s="44">
        <f t="shared" si="795"/>
        <v>6442188.8220497062</v>
      </c>
      <c r="EO83" s="44">
        <f t="shared" si="795"/>
        <v>6206667.3938592849</v>
      </c>
      <c r="EP83" s="44">
        <f t="shared" si="795"/>
        <v>6467785.9170744242</v>
      </c>
      <c r="EQ83" s="44">
        <f t="shared" ref="EQ83:FB83" si="796">IF((EQ72+EQ82)&lt;0,0,EQ72-EQ82)</f>
        <v>6489726.0608864455</v>
      </c>
      <c r="ER83" s="44">
        <f t="shared" si="796"/>
        <v>5754820.0069127902</v>
      </c>
      <c r="ES83" s="44">
        <f t="shared" si="796"/>
        <v>6515545.7240338158</v>
      </c>
      <c r="ET83" s="44">
        <f t="shared" si="796"/>
        <v>6278600.4697465664</v>
      </c>
      <c r="EU83" s="44">
        <f t="shared" si="796"/>
        <v>6541515.2899035234</v>
      </c>
      <c r="EV83" s="44">
        <f t="shared" si="796"/>
        <v>6303997.8143388415</v>
      </c>
      <c r="EW83" s="44">
        <f t="shared" si="796"/>
        <v>6567635.9922835222</v>
      </c>
      <c r="EX83" s="44">
        <f t="shared" si="796"/>
        <v>6580753.4086869517</v>
      </c>
      <c r="EY83" s="44">
        <f t="shared" si="796"/>
        <v>6342374.715436154</v>
      </c>
      <c r="EZ83" s="44">
        <f t="shared" si="796"/>
        <v>6607103.156961468</v>
      </c>
      <c r="FA83" s="44">
        <f t="shared" si="796"/>
        <v>6368148.3935694555</v>
      </c>
      <c r="FB83" s="44">
        <f t="shared" si="796"/>
        <v>6633607.1820037905</v>
      </c>
      <c r="FC83" s="44">
        <f t="shared" ref="FC83:FN83" si="797">IF((FC72+FC82)&lt;0,0,FC72-FC82)</f>
        <v>6657521.0253146365</v>
      </c>
      <c r="FD83" s="44">
        <f t="shared" si="797"/>
        <v>5911357.1209849613</v>
      </c>
      <c r="FE83" s="44">
        <f t="shared" si="797"/>
        <v>6684258.867364726</v>
      </c>
      <c r="FF83" s="44">
        <f t="shared" si="797"/>
        <v>6443857.1857350068</v>
      </c>
      <c r="FG83" s="44">
        <f t="shared" si="797"/>
        <v>6711154.2079409715</v>
      </c>
      <c r="FH83" s="44">
        <f t="shared" si="797"/>
        <v>6470171.060139616</v>
      </c>
      <c r="FI83" s="44">
        <f t="shared" si="797"/>
        <v>6738208.3590823887</v>
      </c>
      <c r="FJ83" s="44">
        <f t="shared" si="797"/>
        <v>6751795.4023308987</v>
      </c>
      <c r="FK83" s="44">
        <f t="shared" si="797"/>
        <v>6509937.1618044376</v>
      </c>
      <c r="FL83" s="44">
        <f t="shared" si="797"/>
        <v>6779090.2590975529</v>
      </c>
      <c r="FM83" s="44">
        <f t="shared" si="797"/>
        <v>6536646.6937087839</v>
      </c>
      <c r="FN83" s="44">
        <f t="shared" si="797"/>
        <v>6806547.2661865847</v>
      </c>
      <c r="FO83" s="44">
        <f t="shared" ref="FO83:FZ83" si="798">IF((FO72+FO82)&lt;0,0,FO72-FO82)</f>
        <v>6844472.4701065505</v>
      </c>
      <c r="FP83" s="44">
        <f t="shared" si="798"/>
        <v>6086837.5587506937</v>
      </c>
      <c r="FQ83" s="44">
        <f t="shared" si="798"/>
        <v>6872175.257400373</v>
      </c>
      <c r="FR83" s="44">
        <f t="shared" si="798"/>
        <v>6628261.6227730345</v>
      </c>
      <c r="FS83" s="44">
        <f t="shared" si="798"/>
        <v>6900043.6219349522</v>
      </c>
      <c r="FT83" s="44">
        <f t="shared" si="798"/>
        <v>6655539.2558796313</v>
      </c>
      <c r="FU83" s="44">
        <f t="shared" si="798"/>
        <v>6928078.9594350345</v>
      </c>
      <c r="FV83" s="44">
        <f t="shared" si="798"/>
        <v>6942159.6831722949</v>
      </c>
      <c r="FW83" s="44">
        <f t="shared" si="798"/>
        <v>6696766.3223073119</v>
      </c>
      <c r="FX83" s="44">
        <f t="shared" si="798"/>
        <v>6970448.128874233</v>
      </c>
      <c r="FY83" s="44">
        <f t="shared" si="798"/>
        <v>6724460.1727693332</v>
      </c>
      <c r="FZ83" s="44">
        <f t="shared" si="798"/>
        <v>6998907.1006618906</v>
      </c>
      <c r="GA83" s="44">
        <f t="shared" ref="GA83:GL83" si="799">IF((GA72+GA82)&lt;0,0,GA72-GA82)</f>
        <v>7039081.2100438718</v>
      </c>
      <c r="GB83" s="44">
        <f t="shared" si="799"/>
        <v>6269758.847753928</v>
      </c>
      <c r="GC83" s="44">
        <f t="shared" si="799"/>
        <v>7067798.6891755555</v>
      </c>
      <c r="GD83" s="44">
        <f t="shared" si="799"/>
        <v>6820317.4822128322</v>
      </c>
      <c r="GE83" s="44">
        <f t="shared" si="799"/>
        <v>7096690.3407391896</v>
      </c>
      <c r="GF83" s="44">
        <f t="shared" si="799"/>
        <v>6848609.128332587</v>
      </c>
      <c r="GG83" s="44">
        <f t="shared" si="799"/>
        <v>7125757.6499683056</v>
      </c>
      <c r="GH83" s="44">
        <f t="shared" si="799"/>
        <v>7140357.6445799759</v>
      </c>
      <c r="GI83" s="44">
        <f t="shared" si="799"/>
        <v>6891373.5259721363</v>
      </c>
      <c r="GJ83" s="44">
        <f t="shared" si="799"/>
        <v>7169691.2591028837</v>
      </c>
      <c r="GK83" s="44">
        <f t="shared" si="799"/>
        <v>6920103.271273057</v>
      </c>
      <c r="GL83" s="44">
        <f t="shared" si="799"/>
        <v>7199204.3126286929</v>
      </c>
      <c r="GM83" s="44">
        <f t="shared" ref="GM83:GX83" si="800">IF((GM72+GM82)&lt;0,0,GM72-GM82)</f>
        <v>7223064.6180540258</v>
      </c>
      <c r="GN83" s="44">
        <f t="shared" si="800"/>
        <v>6441835.0806983104</v>
      </c>
      <c r="GO83" s="44">
        <f t="shared" si="800"/>
        <v>7252849.7231827443</v>
      </c>
      <c r="GP83" s="44">
        <f t="shared" si="800"/>
        <v>7001745.3031964516</v>
      </c>
      <c r="GQ83" s="44">
        <f t="shared" si="800"/>
        <v>7277804.3072309811</v>
      </c>
      <c r="GR83" s="44">
        <f t="shared" si="800"/>
        <v>7021047.52317857</v>
      </c>
      <c r="GS83" s="44">
        <f t="shared" si="800"/>
        <v>7297842.0383505393</v>
      </c>
      <c r="GT83" s="44">
        <f t="shared" si="800"/>
        <v>7307886.4417623505</v>
      </c>
      <c r="GU83" s="44">
        <f t="shared" si="800"/>
        <v>7050124.0803624503</v>
      </c>
      <c r="GV83" s="44">
        <f t="shared" si="800"/>
        <v>7328026.4675902678</v>
      </c>
      <c r="GW83" s="44">
        <f t="shared" si="800"/>
        <v>7069590.9262639526</v>
      </c>
      <c r="GX83" s="44">
        <f t="shared" si="800"/>
        <v>7348234.9770511435</v>
      </c>
      <c r="GY83" s="44">
        <f t="shared" ref="GY83:HJ83" si="801">IF((GY72+GY82)&lt;0,0,GY72-GY82)</f>
        <v>7358364.9851847216</v>
      </c>
      <c r="GZ83" s="44">
        <f t="shared" si="801"/>
        <v>6559721.9867711766</v>
      </c>
      <c r="HA83" s="44">
        <f t="shared" si="801"/>
        <v>7378676.6527621662</v>
      </c>
      <c r="HB83" s="44">
        <f t="shared" si="801"/>
        <v>7118548.3245659219</v>
      </c>
      <c r="HC83" s="44">
        <f t="shared" si="801"/>
        <v>7399057.3819903005</v>
      </c>
      <c r="HD83" s="44">
        <f t="shared" si="801"/>
        <v>7138247.9845223464</v>
      </c>
      <c r="HE83" s="44">
        <f t="shared" si="801"/>
        <v>7419507.4054334853</v>
      </c>
      <c r="HF83" s="44">
        <f t="shared" si="801"/>
        <v>7429758.4753751494</v>
      </c>
      <c r="HG83" s="44">
        <f t="shared" si="801"/>
        <v>7167923.2134374855</v>
      </c>
      <c r="HH83" s="44">
        <f t="shared" si="801"/>
        <v>7450312.8779048976</v>
      </c>
      <c r="HI83" s="44">
        <f t="shared" si="801"/>
        <v>7187790.8548904601</v>
      </c>
      <c r="HJ83" s="44">
        <f t="shared" si="801"/>
        <v>7470937.1594765028</v>
      </c>
      <c r="HK83" s="44">
        <f t="shared" ref="HK83:HV83" si="802">IF((HK72+HK82)&lt;0,0,HK72-HK82)</f>
        <v>7481275.5784047041</v>
      </c>
      <c r="HL83" s="44">
        <f t="shared" si="802"/>
        <v>6669894.2420069268</v>
      </c>
      <c r="HM83" s="44">
        <f t="shared" si="802"/>
        <v>7502005.1199803259</v>
      </c>
      <c r="HN83" s="44">
        <f t="shared" si="802"/>
        <v>7237756.1587133063</v>
      </c>
      <c r="HO83" s="44">
        <f t="shared" si="802"/>
        <v>7522805.1303371647</v>
      </c>
      <c r="HP83" s="44">
        <f t="shared" si="802"/>
        <v>7257861.3594450494</v>
      </c>
      <c r="HQ83" s="44">
        <f t="shared" si="802"/>
        <v>7543675.8467556974</v>
      </c>
      <c r="HR83" s="44">
        <f t="shared" si="802"/>
        <v>7554137.7941056304</v>
      </c>
      <c r="HS83" s="44">
        <f t="shared" si="802"/>
        <v>7288147.4622376263</v>
      </c>
      <c r="HT83" s="44">
        <f t="shared" si="802"/>
        <v>7575115.0162579166</v>
      </c>
      <c r="HU83" s="44">
        <f t="shared" si="802"/>
        <v>7308424.0681018438</v>
      </c>
      <c r="HV83" s="44">
        <f t="shared" si="802"/>
        <v>7596163.5411580987</v>
      </c>
      <c r="HW83" s="44">
        <f t="shared" ref="HW83:IH83" si="803">IF((HW72+HW82)&lt;0,0,HW72-HW82)</f>
        <v>7606714.6171308383</v>
      </c>
      <c r="HX83" s="44">
        <f t="shared" si="803"/>
        <v>6782337.8672494721</v>
      </c>
      <c r="HY83" s="44">
        <f t="shared" si="803"/>
        <v>7627870.5465457058</v>
      </c>
      <c r="HZ83" s="44">
        <f t="shared" si="803"/>
        <v>7359417.8195957979</v>
      </c>
      <c r="IA83" s="44">
        <f t="shared" si="803"/>
        <v>7649098.3804066097</v>
      </c>
      <c r="IB83" s="44">
        <f t="shared" si="803"/>
        <v>7379936.826204245</v>
      </c>
      <c r="IC83" s="44">
        <f t="shared" si="803"/>
        <v>7670398.3608055497</v>
      </c>
      <c r="ID83" s="44">
        <f t="shared" si="803"/>
        <v>7681075.4818323068</v>
      </c>
      <c r="IE83" s="44">
        <f t="shared" si="803"/>
        <v>7410846.2525017699</v>
      </c>
      <c r="IF83" s="44">
        <f t="shared" si="803"/>
        <v>7702484.1377363289</v>
      </c>
      <c r="IG83" s="44">
        <f t="shared" si="803"/>
        <v>7431540.1573143965</v>
      </c>
      <c r="IH83" s="44">
        <f t="shared" si="803"/>
        <v>7723965.5489639044</v>
      </c>
      <c r="II83" s="44">
        <f t="shared" ref="II83:IT83" si="804">IF((II72+II82)&lt;0,0,II72-II82)</f>
        <v>7734733.6143368483</v>
      </c>
      <c r="IJ83" s="44">
        <f t="shared" si="804"/>
        <v>6897099.186967507</v>
      </c>
      <c r="IK83" s="44">
        <f t="shared" si="804"/>
        <v>7756324.6180753186</v>
      </c>
      <c r="IL83" s="44">
        <f t="shared" si="804"/>
        <v>7483583.3152511269</v>
      </c>
      <c r="IM83" s="44">
        <f t="shared" si="804"/>
        <v>7777988.9910361962</v>
      </c>
      <c r="IN83" s="44">
        <f t="shared" si="804"/>
        <v>7504524.560462296</v>
      </c>
      <c r="IO83" s="44">
        <f t="shared" si="804"/>
        <v>7799726.9802203504</v>
      </c>
      <c r="IP83" s="44">
        <f t="shared" si="804"/>
        <v>7810623.6583101898</v>
      </c>
      <c r="IQ83" s="44">
        <f t="shared" si="804"/>
        <v>7536070.0123807909</v>
      </c>
      <c r="IR83" s="44">
        <f t="shared" si="804"/>
        <v>7832472.5367673282</v>
      </c>
      <c r="IS83" s="44">
        <f t="shared" si="804"/>
        <v>7557189.7197084744</v>
      </c>
      <c r="IT83" s="44">
        <f t="shared" si="804"/>
        <v>7854395.6525773546</v>
      </c>
      <c r="IU83" s="44">
        <f t="shared" ref="IU83:JF83" si="805">IF((IU72+IU82)&lt;0,0,IU72-IU82)</f>
        <v>7865385.1275539286</v>
      </c>
      <c r="IV83" s="44">
        <f t="shared" si="805"/>
        <v>7014225.4654645454</v>
      </c>
      <c r="IW83" s="44">
        <f t="shared" si="805"/>
        <v>7887420.0682363296</v>
      </c>
      <c r="IX83" s="44">
        <f t="shared" si="805"/>
        <v>7610303.6679103477</v>
      </c>
      <c r="IY83" s="44">
        <f t="shared" si="805"/>
        <v>7909529.8726180103</v>
      </c>
      <c r="IZ83" s="44">
        <f t="shared" si="805"/>
        <v>7631675.7554662926</v>
      </c>
      <c r="JA83" s="44">
        <f t="shared" si="805"/>
        <v>7931714.792708016</v>
      </c>
      <c r="JB83" s="44">
        <f t="shared" si="805"/>
        <v>7942835.5001273016</v>
      </c>
      <c r="JC83" s="44">
        <f t="shared" si="805"/>
        <v>7663870.1927186893</v>
      </c>
      <c r="JD83" s="44">
        <f t="shared" si="805"/>
        <v>7965133.5681448299</v>
      </c>
      <c r="JE83" s="44">
        <f t="shared" si="805"/>
        <v>7685424.3785773544</v>
      </c>
      <c r="JF83" s="44">
        <f t="shared" si="805"/>
        <v>7987507.3855941128</v>
      </c>
      <c r="JG83" s="44">
        <f t="shared" ref="JG83:JR83" si="806">IF((JG72+JG82)&lt;0,0,JG72-JG82)</f>
        <v>7998722.7800026676</v>
      </c>
      <c r="JH83" s="44">
        <f t="shared" si="806"/>
        <v>7133764.9258971615</v>
      </c>
      <c r="JI83" s="44">
        <f t="shared" si="806"/>
        <v>8021210.6999485828</v>
      </c>
      <c r="JJ83" s="44">
        <f t="shared" si="806"/>
        <v>7739630.9345169878</v>
      </c>
      <c r="JK83" s="44">
        <f t="shared" si="806"/>
        <v>8043775.008371993</v>
      </c>
      <c r="JL83" s="44">
        <f t="shared" si="806"/>
        <v>7761442.6426357664</v>
      </c>
      <c r="JM83" s="44">
        <f t="shared" si="806"/>
        <v>8066415.9623914277</v>
      </c>
      <c r="JN83" s="44">
        <f t="shared" si="806"/>
        <v>8077765.2620846983</v>
      </c>
      <c r="JO83" s="44">
        <f t="shared" si="806"/>
        <v>7794299.2877435125</v>
      </c>
      <c r="JP83" s="44">
        <f t="shared" si="806"/>
        <v>8100521.6684808834</v>
      </c>
      <c r="JQ83" s="44">
        <f t="shared" si="806"/>
        <v>7816296.8040872868</v>
      </c>
      <c r="JR83" s="44">
        <f t="shared" si="806"/>
        <v>8123355.3670451017</v>
      </c>
    </row>
    <row r="85" spans="2:278" x14ac:dyDescent="0.2">
      <c r="B85" s="3" t="s">
        <v>131</v>
      </c>
    </row>
    <row r="86" spans="2:278" x14ac:dyDescent="0.2">
      <c r="B86" s="1" t="s">
        <v>132</v>
      </c>
      <c r="C86" s="7">
        <f>C83*Inputs!$G$22</f>
        <v>0</v>
      </c>
      <c r="D86" s="7">
        <f>D83*Inputs!$G$22</f>
        <v>0</v>
      </c>
      <c r="E86" s="7">
        <f>E83*Inputs!$G$22</f>
        <v>0</v>
      </c>
      <c r="F86" s="7">
        <f>F83*Inputs!$G$22</f>
        <v>0</v>
      </c>
      <c r="G86" s="7">
        <f>G83*Inputs!$G$22</f>
        <v>0</v>
      </c>
      <c r="H86" s="7">
        <f>H83*Inputs!$G$22</f>
        <v>0</v>
      </c>
      <c r="I86" s="7">
        <f>I83*Inputs!$G$22</f>
        <v>0</v>
      </c>
      <c r="J86" s="7">
        <f>J83*Inputs!$G$22</f>
        <v>0</v>
      </c>
      <c r="K86" s="7">
        <f>K83*Inputs!$G$22</f>
        <v>0</v>
      </c>
      <c r="L86" s="7">
        <f>L83*Inputs!$G$22</f>
        <v>0</v>
      </c>
      <c r="M86" s="7">
        <f>M83*Inputs!$G$22</f>
        <v>0</v>
      </c>
      <c r="N86" s="7">
        <f>N83*Inputs!$G$22</f>
        <v>0</v>
      </c>
      <c r="O86" s="7">
        <f>O83*Inputs!$G$22</f>
        <v>0</v>
      </c>
      <c r="P86" s="7">
        <f>P83*Inputs!$G$22</f>
        <v>0</v>
      </c>
      <c r="Q86" s="7">
        <f>Q83*Inputs!$G$22</f>
        <v>0</v>
      </c>
      <c r="R86" s="7">
        <f>R83*Inputs!$G$22</f>
        <v>0</v>
      </c>
      <c r="S86" s="7">
        <f>S83*Inputs!$G$22</f>
        <v>0</v>
      </c>
      <c r="T86" s="7">
        <f>T83*Inputs!$G$22</f>
        <v>0</v>
      </c>
      <c r="U86" s="7">
        <f>U83*Inputs!$G$22</f>
        <v>0</v>
      </c>
      <c r="V86" s="7">
        <f>V83*Inputs!$G$22</f>
        <v>0</v>
      </c>
      <c r="W86" s="7">
        <f>W83*Inputs!$G$22</f>
        <v>0</v>
      </c>
      <c r="X86" s="7">
        <f>X83*Inputs!$G$22</f>
        <v>0</v>
      </c>
      <c r="Y86" s="7">
        <f>Y83*Inputs!$G$22</f>
        <v>0</v>
      </c>
      <c r="Z86" s="7">
        <f>Z83*Inputs!$G$22</f>
        <v>0</v>
      </c>
      <c r="AA86" s="7">
        <f>AA83*Inputs!$G$22</f>
        <v>0</v>
      </c>
      <c r="AB86" s="7">
        <f>AB83*Inputs!$G$22</f>
        <v>0</v>
      </c>
      <c r="AC86" s="7">
        <f>AC83*Inputs!$G$22</f>
        <v>0</v>
      </c>
      <c r="AD86" s="7">
        <f>AD83*Inputs!$G$22</f>
        <v>37539.167317048581</v>
      </c>
      <c r="AE86" s="7">
        <f>AE83*Inputs!$G$22</f>
        <v>46637.639584800861</v>
      </c>
      <c r="AF86" s="7">
        <f>AF83*Inputs!$G$22</f>
        <v>38536.818352341237</v>
      </c>
      <c r="AG86" s="7">
        <f>AG83*Inputs!$G$22</f>
        <v>47660.054022973105</v>
      </c>
      <c r="AH86" s="7">
        <f>AH83*Inputs!$G$22</f>
        <v>48173.938536084424</v>
      </c>
      <c r="AI86" s="7">
        <f>AI83*Inputs!$G$22</f>
        <v>40046.527903458969</v>
      </c>
      <c r="AJ86" s="7">
        <f>AJ83*Inputs!$G$22</f>
        <v>49207.104013082855</v>
      </c>
      <c r="AK86" s="7">
        <f>AK83*Inputs!$G$22</f>
        <v>41061.92027262687</v>
      </c>
      <c r="AL86" s="7">
        <f>AL83*Inputs!$G$22</f>
        <v>50247.52110524485</v>
      </c>
      <c r="AM86" s="7">
        <f>AM83*Inputs!$G$22</f>
        <v>52069.889740815066</v>
      </c>
      <c r="AN86" s="7">
        <f>AN83*Inputs!$G$22</f>
        <v>26504.574188744209</v>
      </c>
      <c r="AO86" s="7">
        <f>AO83*Inputs!$G$22</f>
        <v>53121.312475144121</v>
      </c>
      <c r="AP86" s="7">
        <f>AP83*Inputs!$G$22</f>
        <v>52425.121027603331</v>
      </c>
      <c r="AQ86" s="7">
        <f>AQ83*Inputs!$G$22</f>
        <v>60817.477288933289</v>
      </c>
      <c r="AR86" s="7">
        <f>AR83*Inputs!$G$22</f>
        <v>52620.856824947805</v>
      </c>
      <c r="AS86" s="7">
        <f>AS83*Inputs!$G$22</f>
        <v>61905.96030842411</v>
      </c>
      <c r="AT86" s="7">
        <f>AT83*Inputs!$G$22</f>
        <v>62453.061801867007</v>
      </c>
      <c r="AU86" s="7">
        <f>AU83*Inputs!$G$22</f>
        <v>54229.572971848589</v>
      </c>
      <c r="AV86" s="7">
        <f>AV83*Inputs!$G$22</f>
        <v>63553.0295818999</v>
      </c>
      <c r="AW86" s="7">
        <f>AW83*Inputs!$G$22</f>
        <v>55311.58284722078</v>
      </c>
      <c r="AX86" s="7">
        <f>AX83*Inputs!$G$22</f>
        <v>64660.744089057764</v>
      </c>
      <c r="AY86" s="7">
        <f>AY83*Inputs!$G$22</f>
        <v>66610.883743033555</v>
      </c>
      <c r="AZ86" s="7">
        <f>AZ83*Inputs!$G$22</f>
        <v>49515.231088823712</v>
      </c>
      <c r="BA86" s="7">
        <f>BA83*Inputs!$G$22</f>
        <v>67730.355638349807</v>
      </c>
      <c r="BB86" s="7">
        <f>BB83*Inputs!$G$22</f>
        <v>59443.855432298595</v>
      </c>
      <c r="BC86" s="7">
        <f>BC83*Inputs!$G$22</f>
        <v>68857.758488134437</v>
      </c>
      <c r="BD86" s="7">
        <f>BD83*Inputs!$G$22</f>
        <v>60553.173821155266</v>
      </c>
      <c r="BE86" s="7">
        <f>BE83*Inputs!$G$22</f>
        <v>69993.167392186966</v>
      </c>
      <c r="BF86" s="7">
        <f>BF83*Inputs!$G$22</f>
        <v>70563.897806917186</v>
      </c>
      <c r="BG86" s="7">
        <f>BG83*Inputs!$G$22</f>
        <v>62232.119378625044</v>
      </c>
      <c r="BH86" s="7">
        <f>BH83*Inputs!$G$22</f>
        <v>71711.458398432151</v>
      </c>
      <c r="BI86" s="7">
        <f>BI83*Inputs!$G$22</f>
        <v>172847.77285770758</v>
      </c>
      <c r="BJ86" s="7">
        <f>BJ83*Inputs!$G$22</f>
        <v>364336.0819850674</v>
      </c>
      <c r="BK86" s="7">
        <f>BK83*Inputs!$G$22</f>
        <v>374711.37024785019</v>
      </c>
      <c r="BL86" s="7">
        <f>BL83*Inputs!$G$22</f>
        <v>243221.62778718496</v>
      </c>
      <c r="BM86" s="7">
        <f>BM83*Inputs!$G$22</f>
        <v>380552.37344170589</v>
      </c>
      <c r="BN86" s="7">
        <f>BN83*Inputs!$G$22</f>
        <v>338574.67072195257</v>
      </c>
      <c r="BO86" s="7">
        <f>BO83*Inputs!$G$22</f>
        <v>386435.34676676634</v>
      </c>
      <c r="BP86" s="7">
        <f>BP83*Inputs!$G$22</f>
        <v>344366.16072849458</v>
      </c>
      <c r="BQ86" s="7">
        <f>BQ83*Inputs!$G$22</f>
        <v>392360.69100403483</v>
      </c>
      <c r="BR86" s="7">
        <f>BR83*Inputs!$G$22</f>
        <v>395339.37865627551</v>
      </c>
      <c r="BS86" s="7">
        <f>BS83*Inputs!$G$22</f>
        <v>353132.64229610772</v>
      </c>
      <c r="BT86" s="7">
        <f>BT83*Inputs!$G$22</f>
        <v>401329.0403306525</v>
      </c>
      <c r="BU86" s="7">
        <f>BU83*Inputs!$G$22</f>
        <v>359030.38826397085</v>
      </c>
      <c r="BV86" s="7">
        <f>BV83*Inputs!$G$22</f>
        <v>407362.09416125069</v>
      </c>
      <c r="BW86" s="7">
        <f>BW83*Inputs!$G$22</f>
        <v>418405.46039541851</v>
      </c>
      <c r="BX86" s="7">
        <f>BX83*Inputs!$G$22</f>
        <v>285007.0543647061</v>
      </c>
      <c r="BY86" s="7">
        <f>BY83*Inputs!$G$22</f>
        <v>424504.38453545014</v>
      </c>
      <c r="BZ86" s="7">
        <f>BZ83*Inputs!$G$22</f>
        <v>381975.19623503881</v>
      </c>
      <c r="CA86" s="7">
        <f>CA83*Inputs!$G$22</f>
        <v>430647.75027171453</v>
      </c>
      <c r="CB86" s="7">
        <f>CB83*Inputs!$G$22</f>
        <v>388026.05138797371</v>
      </c>
      <c r="CC86" s="7">
        <f>CC83*Inputs!$G$22</f>
        <v>436835.98545701889</v>
      </c>
      <c r="CD86" s="7">
        <f>CD83*Inputs!$G$22</f>
        <v>439947.06407934811</v>
      </c>
      <c r="CE86" s="7">
        <f>CE83*Inputs!$G$22</f>
        <v>397186.28539632546</v>
      </c>
      <c r="CF86" s="7">
        <f>CF83*Inputs!$G$22</f>
        <v>446203.41594698024</v>
      </c>
      <c r="CG86" s="7">
        <f>CG83*Inputs!$G$22</f>
        <v>403349.70971123507</v>
      </c>
      <c r="CH86" s="7">
        <f>CH83*Inputs!$G$22</f>
        <v>452505.72755379626</v>
      </c>
      <c r="CI86" s="7">
        <f>CI83*Inputs!$G$22</f>
        <v>461882.81709296111</v>
      </c>
      <c r="CJ86" s="7">
        <f>CJ83*Inputs!$G$22</f>
        <v>326542.22535569727</v>
      </c>
      <c r="CK86" s="7">
        <f>CK83*Inputs!$G$22</f>
        <v>468254.90331207227</v>
      </c>
      <c r="CL86" s="7">
        <f>CL83*Inputs!$G$22</f>
        <v>425168.15952586365</v>
      </c>
      <c r="CM86" s="7">
        <f>CM83*Inputs!$G$22</f>
        <v>474674.06975458632</v>
      </c>
      <c r="CN86" s="7">
        <f>CN83*Inputs!$G$22</f>
        <v>431493.82653766265</v>
      </c>
      <c r="CO86" s="7">
        <f>CO83*Inputs!$G$22</f>
        <v>481140.77326353081</v>
      </c>
      <c r="CP86" s="7">
        <f>CP83*Inputs!$G$22</f>
        <v>484392.09555456269</v>
      </c>
      <c r="CQ86" s="7">
        <f>CQ83*Inputs!$G$22</f>
        <v>441071.30221764353</v>
      </c>
      <c r="CR86" s="7">
        <f>CR83*Inputs!$G$22</f>
        <v>490930.97225782316</v>
      </c>
      <c r="CS86" s="7">
        <f>CS83*Inputs!$G$22</f>
        <v>447516.27999583067</v>
      </c>
      <c r="CT86" s="7">
        <f>CT83*Inputs!$G$22</f>
        <v>497518.55025805667</v>
      </c>
      <c r="CU86" s="7">
        <f>CU83*Inputs!$G$22</f>
        <v>507660.24704600277</v>
      </c>
      <c r="CV86" s="7">
        <f>CV83*Inputs!$G$22</f>
        <v>370343.63207305019</v>
      </c>
      <c r="CW86" s="7">
        <f>CW83*Inputs!$G$22</f>
        <v>514321.76867655339</v>
      </c>
      <c r="CX86" s="7">
        <f>CX83*Inputs!$G$22</f>
        <v>1077167.0823314067</v>
      </c>
      <c r="CY86" s="7">
        <f>CY83*Inputs!$G$22</f>
        <v>1127528.6280634941</v>
      </c>
      <c r="CZ86" s="7">
        <f>CZ83*Inputs!$G$22</f>
        <v>1083784.0570153864</v>
      </c>
      <c r="DA86" s="7">
        <f>DA83*Inputs!$G$22</f>
        <v>1134290.4333101988</v>
      </c>
      <c r="DB86" s="7">
        <f>DB83*Inputs!$G$22</f>
        <v>1137690.3845270181</v>
      </c>
      <c r="DC86" s="7">
        <f>DC83*Inputs!$G$22</f>
        <v>1093803.8598959576</v>
      </c>
      <c r="DD86" s="7">
        <f>DD83*Inputs!$G$22</f>
        <v>1144528.6949916065</v>
      </c>
      <c r="DE86" s="7">
        <f>DE83*Inputs!$G$22</f>
        <v>1100547.3457554572</v>
      </c>
      <c r="DF86" s="7">
        <f>DF83*Inputs!$G$22</f>
        <v>1151418.6346261059</v>
      </c>
      <c r="DG86" s="7">
        <f>DG83*Inputs!$G$22</f>
        <v>1162378.4443732162</v>
      </c>
      <c r="DH86" s="7">
        <f>DH83*Inputs!$G$22</f>
        <v>1023051.6729857611</v>
      </c>
      <c r="DI86" s="7">
        <f>DI83*Inputs!$G$22</f>
        <v>1169346.7801515113</v>
      </c>
      <c r="DJ86" s="7">
        <f>DJ83*Inputs!$G$22</f>
        <v>1125127.7187519078</v>
      </c>
      <c r="DK86" s="7">
        <f>DK83*Inputs!$G$22</f>
        <v>1176368.0231482433</v>
      </c>
      <c r="DL86" s="7">
        <f>DL83*Inputs!$G$22</f>
        <v>1132053.6204896774</v>
      </c>
      <c r="DM86" s="7">
        <f>DM83*Inputs!$G$22</f>
        <v>1183442.6945036843</v>
      </c>
      <c r="DN86" s="7">
        <f>DN83*Inputs!$G$22</f>
        <v>1187000.2302473735</v>
      </c>
      <c r="DO86" s="7">
        <f>DO83*Inputs!$G$22</f>
        <v>1142542.5457275664</v>
      </c>
      <c r="DP86" s="7">
        <f>DP83*Inputs!$G$22</f>
        <v>1194156.0339124319</v>
      </c>
      <c r="DQ86" s="7">
        <f>DQ83*Inputs!$G$22</f>
        <v>1149602.6504418436</v>
      </c>
      <c r="DR86" s="7">
        <f>DR83*Inputs!$G$22</f>
        <v>1201366.5941631054</v>
      </c>
      <c r="DS86" s="7">
        <f>DS83*Inputs!$G$22</f>
        <v>1213201.8543835804</v>
      </c>
      <c r="DT86" s="7">
        <f>DT83*Inputs!$G$22</f>
        <v>1071830.5197819658</v>
      </c>
      <c r="DU86" s="7">
        <f>DU83*Inputs!$G$22</f>
        <v>1220495.5669177042</v>
      </c>
      <c r="DV86" s="7">
        <f>DV83*Inputs!$G$22</f>
        <v>1175702.3257639178</v>
      </c>
      <c r="DW86" s="7">
        <f>DW83*Inputs!$G$22</f>
        <v>1227845.401356627</v>
      </c>
      <c r="DX86" s="7">
        <f>DX83*Inputs!$G$22</f>
        <v>1182955.9773282986</v>
      </c>
      <c r="DY86" s="7">
        <f>DY83*Inputs!$G$22</f>
        <v>1235251.9144540278</v>
      </c>
      <c r="DZ86" s="7">
        <f>DZ83*Inputs!$G$22</f>
        <v>1238976.6011722749</v>
      </c>
      <c r="EA86" s="7">
        <f>EA83*Inputs!$G$22</f>
        <v>1193942.6511884555</v>
      </c>
      <c r="EB86" s="7">
        <f>EB83*Inputs!$G$22</f>
        <v>1246469.1897022303</v>
      </c>
      <c r="EC86" s="7">
        <f>EC83*Inputs!$G$22</f>
        <v>1201338.723853311</v>
      </c>
      <c r="ED86" s="7">
        <f>ED83*Inputs!$G$22</f>
        <v>1254019.8759552343</v>
      </c>
      <c r="EE86" s="7">
        <f>EE83*Inputs!$G$22</f>
        <v>1261774.128282693</v>
      </c>
      <c r="EF86" s="7">
        <f>EF83*Inputs!$G$22</f>
        <v>1118323.5745436982</v>
      </c>
      <c r="EG86" s="7">
        <f>EG83*Inputs!$G$22</f>
        <v>1269413.0481635935</v>
      </c>
      <c r="EH86" s="7">
        <f>EH83*Inputs!$G$22</f>
        <v>1224040.7273698342</v>
      </c>
      <c r="EI86" s="7">
        <f>EI83*Inputs!$G$22</f>
        <v>1275767.2104180411</v>
      </c>
      <c r="EJ86" s="7">
        <f>EJ83*Inputs!$G$22</f>
        <v>1228945.7703689623</v>
      </c>
      <c r="EK86" s="7">
        <f>EK83*Inputs!$G$22</f>
        <v>1280813.6387042378</v>
      </c>
      <c r="EL86" s="7">
        <f>EL83*Inputs!$G$22</f>
        <v>1283347.7199665296</v>
      </c>
      <c r="EM86" s="7">
        <f>EM83*Inputs!$G$22</f>
        <v>1236356.8027430412</v>
      </c>
      <c r="EN86" s="7">
        <f>EN83*Inputs!$G$22</f>
        <v>1288437.7644099414</v>
      </c>
      <c r="EO86" s="7">
        <f>EO83*Inputs!$G$22</f>
        <v>1241333.478771857</v>
      </c>
      <c r="EP86" s="7">
        <f>EP83*Inputs!$G$22</f>
        <v>1293557.1834148848</v>
      </c>
      <c r="EQ86" s="7">
        <f>EQ83*Inputs!$G$22</f>
        <v>1297945.2121772892</v>
      </c>
      <c r="ER86" s="7">
        <f>ER83*Inputs!$G$22</f>
        <v>1150964.0013825581</v>
      </c>
      <c r="ES86" s="7">
        <f>ES83*Inputs!$G$22</f>
        <v>1303109.1448067632</v>
      </c>
      <c r="ET86" s="7">
        <f>ET83*Inputs!$G$22</f>
        <v>1255720.0939493133</v>
      </c>
      <c r="EU86" s="7">
        <f>EU83*Inputs!$G$22</f>
        <v>1308303.0579807048</v>
      </c>
      <c r="EV86" s="7">
        <f>EV83*Inputs!$G$22</f>
        <v>1260799.5628677683</v>
      </c>
      <c r="EW86" s="7">
        <f>EW83*Inputs!$G$22</f>
        <v>1313527.1984567046</v>
      </c>
      <c r="EX86" s="7">
        <f>EX83*Inputs!$G$22</f>
        <v>1316150.6817373903</v>
      </c>
      <c r="EY86" s="7">
        <f>EY83*Inputs!$G$22</f>
        <v>1268474.9430872309</v>
      </c>
      <c r="EZ86" s="7">
        <f>EZ83*Inputs!$G$22</f>
        <v>1321420.6313922936</v>
      </c>
      <c r="FA86" s="7">
        <f>FA83*Inputs!$G$22</f>
        <v>1273629.6787138912</v>
      </c>
      <c r="FB86" s="7">
        <f>FB83*Inputs!$G$22</f>
        <v>1326721.4364007581</v>
      </c>
      <c r="FC86" s="7">
        <f>FC83*Inputs!$G$22</f>
        <v>1331504.2050629274</v>
      </c>
      <c r="FD86" s="7">
        <f>FD83*Inputs!$G$22</f>
        <v>1182271.4241969923</v>
      </c>
      <c r="FE86" s="7">
        <f>FE83*Inputs!$G$22</f>
        <v>1336851.7734729452</v>
      </c>
      <c r="FF86" s="7">
        <f>FF83*Inputs!$G$22</f>
        <v>1288771.4371470015</v>
      </c>
      <c r="FG86" s="7">
        <f>FG83*Inputs!$G$22</f>
        <v>1342230.8415881945</v>
      </c>
      <c r="FH86" s="7">
        <f>FH83*Inputs!$G$22</f>
        <v>1294034.2120279232</v>
      </c>
      <c r="FI86" s="7">
        <f>FI83*Inputs!$G$22</f>
        <v>1347641.6718164778</v>
      </c>
      <c r="FJ86" s="7">
        <f>FJ83*Inputs!$G$22</f>
        <v>1350359.0804661799</v>
      </c>
      <c r="FK86" s="7">
        <f>FK83*Inputs!$G$22</f>
        <v>1301987.4323608875</v>
      </c>
      <c r="FL86" s="7">
        <f>FL83*Inputs!$G$22</f>
        <v>1355818.0518195108</v>
      </c>
      <c r="FM86" s="7">
        <f>FM83*Inputs!$G$22</f>
        <v>1307329.338741757</v>
      </c>
      <c r="FN86" s="7">
        <f>FN83*Inputs!$G$22</f>
        <v>1361309.453237317</v>
      </c>
      <c r="FO86" s="7">
        <f>FO83*Inputs!$G$22</f>
        <v>1368894.4940213102</v>
      </c>
      <c r="FP86" s="7">
        <f>FP83*Inputs!$G$22</f>
        <v>1217367.5117501388</v>
      </c>
      <c r="FQ86" s="7">
        <f>FQ83*Inputs!$G$22</f>
        <v>1374435.0514800746</v>
      </c>
      <c r="FR86" s="7">
        <f>FR83*Inputs!$G$22</f>
        <v>1325652.324554607</v>
      </c>
      <c r="FS86" s="7">
        <f>FS83*Inputs!$G$22</f>
        <v>1380008.7243869905</v>
      </c>
      <c r="FT86" s="7">
        <f>FT83*Inputs!$G$22</f>
        <v>1331107.8511759264</v>
      </c>
      <c r="FU86" s="7">
        <f>FU83*Inputs!$G$22</f>
        <v>1385615.791887007</v>
      </c>
      <c r="FV86" s="7">
        <f>FV83*Inputs!$G$22</f>
        <v>1388431.9366344591</v>
      </c>
      <c r="FW86" s="7">
        <f>FW83*Inputs!$G$22</f>
        <v>1339353.2644614624</v>
      </c>
      <c r="FX86" s="7">
        <f>FX83*Inputs!$G$22</f>
        <v>1394089.6257748466</v>
      </c>
      <c r="FY86" s="7">
        <f>FY83*Inputs!$G$22</f>
        <v>1344892.0345538668</v>
      </c>
      <c r="FZ86" s="7">
        <f>FZ83*Inputs!$G$22</f>
        <v>1399781.4201323781</v>
      </c>
      <c r="GA86" s="7">
        <f>GA83*Inputs!$G$22</f>
        <v>1407816.2420087745</v>
      </c>
      <c r="GB86" s="7">
        <f>GB83*Inputs!$G$22</f>
        <v>1253951.7695507857</v>
      </c>
      <c r="GC86" s="7">
        <f>GC83*Inputs!$G$22</f>
        <v>1413559.7378351111</v>
      </c>
      <c r="GD86" s="7">
        <f>GD83*Inputs!$G$22</f>
        <v>1364063.4964425666</v>
      </c>
      <c r="GE86" s="7">
        <f>GE83*Inputs!$G$22</f>
        <v>1419338.0681478381</v>
      </c>
      <c r="GF86" s="7">
        <f>GF83*Inputs!$G$22</f>
        <v>1369721.8256665175</v>
      </c>
      <c r="GG86" s="7">
        <f>GG83*Inputs!$G$22</f>
        <v>1425151.5299936612</v>
      </c>
      <c r="GH86" s="7">
        <f>GH83*Inputs!$G$22</f>
        <v>1428071.5289159953</v>
      </c>
      <c r="GI86" s="7">
        <f>GI83*Inputs!$G$22</f>
        <v>1378274.7051944274</v>
      </c>
      <c r="GJ86" s="7">
        <f>GJ83*Inputs!$G$22</f>
        <v>1433938.2518205768</v>
      </c>
      <c r="GK86" s="7">
        <f>GK83*Inputs!$G$22</f>
        <v>1384020.6542546116</v>
      </c>
      <c r="GL86" s="7">
        <f>GL83*Inputs!$G$22</f>
        <v>1439840.8625257388</v>
      </c>
      <c r="GM86" s="7">
        <f>GM83*Inputs!$G$22</f>
        <v>1444612.9236108053</v>
      </c>
      <c r="GN86" s="7">
        <f>GN83*Inputs!$G$22</f>
        <v>1288367.0161396621</v>
      </c>
      <c r="GO86" s="7">
        <f>GO83*Inputs!$G$22</f>
        <v>1450569.9446365489</v>
      </c>
      <c r="GP86" s="7">
        <f>GP83*Inputs!$G$22</f>
        <v>1400349.0606392904</v>
      </c>
      <c r="GQ86" s="7">
        <f>GQ83*Inputs!$G$22</f>
        <v>1455560.8614461962</v>
      </c>
      <c r="GR86" s="7">
        <f>GR83*Inputs!$G$22</f>
        <v>1404209.504635714</v>
      </c>
      <c r="GS86" s="7">
        <f>GS83*Inputs!$G$22</f>
        <v>1459568.4076701079</v>
      </c>
      <c r="GT86" s="7">
        <f>GT83*Inputs!$G$22</f>
        <v>1461577.2883524701</v>
      </c>
      <c r="GU86" s="7">
        <f>GU83*Inputs!$G$22</f>
        <v>1410024.8160724901</v>
      </c>
      <c r="GV86" s="7">
        <f>GV83*Inputs!$G$22</f>
        <v>1465605.2935180536</v>
      </c>
      <c r="GW86" s="7">
        <f>GW83*Inputs!$G$22</f>
        <v>1413918.1852527906</v>
      </c>
      <c r="GX86" s="7">
        <f>GX83*Inputs!$G$22</f>
        <v>1469646.9954102288</v>
      </c>
      <c r="GY86" s="7">
        <f>GY83*Inputs!$G$22</f>
        <v>1471672.9970369444</v>
      </c>
      <c r="GZ86" s="7">
        <f>GZ83*Inputs!$G$22</f>
        <v>1311944.3973542354</v>
      </c>
      <c r="HA86" s="7">
        <f>HA83*Inputs!$G$22</f>
        <v>1475735.3305524334</v>
      </c>
      <c r="HB86" s="7">
        <f>HB83*Inputs!$G$22</f>
        <v>1423709.6649131845</v>
      </c>
      <c r="HC86" s="7">
        <f>HC83*Inputs!$G$22</f>
        <v>1479811.4763980601</v>
      </c>
      <c r="HD86" s="7">
        <f>HD83*Inputs!$G$22</f>
        <v>1427649.5969044694</v>
      </c>
      <c r="HE86" s="7">
        <f>HE83*Inputs!$G$22</f>
        <v>1483901.4810866972</v>
      </c>
      <c r="HF86" s="7">
        <f>HF83*Inputs!$G$22</f>
        <v>1485951.69507503</v>
      </c>
      <c r="HG86" s="7">
        <f>HG83*Inputs!$G$22</f>
        <v>1433584.6426874972</v>
      </c>
      <c r="HH86" s="7">
        <f>HH83*Inputs!$G$22</f>
        <v>1490062.5755809797</v>
      </c>
      <c r="HI86" s="7">
        <f>HI83*Inputs!$G$22</f>
        <v>1437558.1709780921</v>
      </c>
      <c r="HJ86" s="7">
        <f>HJ83*Inputs!$G$22</f>
        <v>1494187.4318953007</v>
      </c>
      <c r="HK86" s="7">
        <f>HK83*Inputs!$G$22</f>
        <v>1496255.1156809409</v>
      </c>
      <c r="HL86" s="7">
        <f>HL83*Inputs!$G$22</f>
        <v>1333978.8484013854</v>
      </c>
      <c r="HM86" s="7">
        <f>HM83*Inputs!$G$22</f>
        <v>1500401.0239960654</v>
      </c>
      <c r="HN86" s="7">
        <f>HN83*Inputs!$G$22</f>
        <v>1447551.2317426614</v>
      </c>
      <c r="HO86" s="7">
        <f>HO83*Inputs!$G$22</f>
        <v>1504561.0260674329</v>
      </c>
      <c r="HP86" s="7">
        <f>HP83*Inputs!$G$22</f>
        <v>1451572.27188901</v>
      </c>
      <c r="HQ86" s="7">
        <f>HQ83*Inputs!$G$22</f>
        <v>1508735.1693511396</v>
      </c>
      <c r="HR86" s="7">
        <f>HR83*Inputs!$G$22</f>
        <v>1510827.5588211261</v>
      </c>
      <c r="HS86" s="7">
        <f>HS83*Inputs!$G$22</f>
        <v>1457629.4924475253</v>
      </c>
      <c r="HT86" s="7">
        <f>HT83*Inputs!$G$22</f>
        <v>1515023.0032515833</v>
      </c>
      <c r="HU86" s="7">
        <f>HU83*Inputs!$G$22</f>
        <v>1461684.813620369</v>
      </c>
      <c r="HV86" s="7">
        <f>HV83*Inputs!$G$22</f>
        <v>1519232.7082316198</v>
      </c>
      <c r="HW86" s="7">
        <f>HW83*Inputs!$G$22</f>
        <v>1521342.9234261678</v>
      </c>
      <c r="HX86" s="7">
        <f>HX83*Inputs!$G$22</f>
        <v>1356467.5734498946</v>
      </c>
      <c r="HY86" s="7">
        <f>HY83*Inputs!$G$22</f>
        <v>1525574.1093091413</v>
      </c>
      <c r="HZ86" s="7">
        <f>HZ83*Inputs!$G$22</f>
        <v>1471883.5639191596</v>
      </c>
      <c r="IA86" s="7">
        <f>IA83*Inputs!$G$22</f>
        <v>1529819.6760813221</v>
      </c>
      <c r="IB86" s="7">
        <f>IB83*Inputs!$G$22</f>
        <v>1475987.3652408491</v>
      </c>
      <c r="IC86" s="7">
        <f>IC83*Inputs!$G$22</f>
        <v>1534079.67216111</v>
      </c>
      <c r="ID86" s="7">
        <f>ID83*Inputs!$G$22</f>
        <v>1536215.0963664614</v>
      </c>
      <c r="IE86" s="7">
        <f>IE83*Inputs!$G$22</f>
        <v>1482169.250500354</v>
      </c>
      <c r="IF86" s="7">
        <f>IF83*Inputs!$G$22</f>
        <v>1540496.8275472659</v>
      </c>
      <c r="IG86" s="7">
        <f>IG83*Inputs!$G$22</f>
        <v>1486308.0314628794</v>
      </c>
      <c r="IH86" s="7">
        <f>IH83*Inputs!$G$22</f>
        <v>1544793.1097927811</v>
      </c>
      <c r="II86" s="7">
        <f>II83*Inputs!$G$22</f>
        <v>1546946.7228673697</v>
      </c>
      <c r="IJ86" s="7">
        <f>IJ83*Inputs!$G$22</f>
        <v>1379419.8373935015</v>
      </c>
      <c r="IK86" s="7">
        <f>IK83*Inputs!$G$22</f>
        <v>1551264.9236150638</v>
      </c>
      <c r="IL86" s="7">
        <f>IL83*Inputs!$G$22</f>
        <v>1496716.6630502255</v>
      </c>
      <c r="IM86" s="7">
        <f>IM83*Inputs!$G$22</f>
        <v>1555597.7982072392</v>
      </c>
      <c r="IN86" s="7">
        <f>IN83*Inputs!$G$22</f>
        <v>1500904.9120924594</v>
      </c>
      <c r="IO86" s="7">
        <f>IO83*Inputs!$G$22</f>
        <v>1559945.3960440701</v>
      </c>
      <c r="IP86" s="7">
        <f>IP83*Inputs!$G$22</f>
        <v>1562124.731662038</v>
      </c>
      <c r="IQ86" s="7">
        <f>IQ83*Inputs!$G$22</f>
        <v>1507214.0024761583</v>
      </c>
      <c r="IR86" s="7">
        <f>IR83*Inputs!$G$22</f>
        <v>1566494.5073534658</v>
      </c>
      <c r="IS86" s="7">
        <f>IS83*Inputs!$G$22</f>
        <v>1511437.9439416949</v>
      </c>
      <c r="IT86" s="7">
        <f>IT83*Inputs!$G$22</f>
        <v>1570879.1305154711</v>
      </c>
      <c r="IU86" s="7">
        <f>IU83*Inputs!$G$22</f>
        <v>1573077.0255107859</v>
      </c>
      <c r="IV86" s="7">
        <f>IV83*Inputs!$G$22</f>
        <v>1402845.0930929091</v>
      </c>
      <c r="IW86" s="7">
        <f>IW83*Inputs!$G$22</f>
        <v>1577484.013647266</v>
      </c>
      <c r="IX86" s="7">
        <f>IX83*Inputs!$G$22</f>
        <v>1522060.7335820696</v>
      </c>
      <c r="IY86" s="7">
        <f>IY83*Inputs!$G$22</f>
        <v>1581905.9745236021</v>
      </c>
      <c r="IZ86" s="7">
        <f>IZ83*Inputs!$G$22</f>
        <v>1526335.1510932585</v>
      </c>
      <c r="JA86" s="7">
        <f>JA83*Inputs!$G$22</f>
        <v>1586342.9585416033</v>
      </c>
      <c r="JB86" s="7">
        <f>JB83*Inputs!$G$22</f>
        <v>1588567.1000254604</v>
      </c>
      <c r="JC86" s="7">
        <f>JC83*Inputs!$G$22</f>
        <v>1532774.038543738</v>
      </c>
      <c r="JD86" s="7">
        <f>JD83*Inputs!$G$22</f>
        <v>1593026.7136289661</v>
      </c>
      <c r="JE86" s="7">
        <f>JE83*Inputs!$G$22</f>
        <v>1537084.8757154709</v>
      </c>
      <c r="JF86" s="7">
        <f>JF83*Inputs!$G$22</f>
        <v>1597501.4771188227</v>
      </c>
      <c r="JG86" s="7">
        <f>JG83*Inputs!$G$22</f>
        <v>1599744.5560005335</v>
      </c>
      <c r="JH86" s="7">
        <f>JH83*Inputs!$G$22</f>
        <v>1426752.9851794324</v>
      </c>
      <c r="JI86" s="7">
        <f>JI83*Inputs!$G$22</f>
        <v>1604242.1399897167</v>
      </c>
      <c r="JJ86" s="7">
        <f>JJ83*Inputs!$G$22</f>
        <v>1547926.1869033976</v>
      </c>
      <c r="JK86" s="7">
        <f>JK83*Inputs!$G$22</f>
        <v>1608755.0016743988</v>
      </c>
      <c r="JL86" s="7">
        <f>JL83*Inputs!$G$22</f>
        <v>1552288.5285271534</v>
      </c>
      <c r="JM86" s="7">
        <f>JM83*Inputs!$G$22</f>
        <v>1613283.1924782856</v>
      </c>
      <c r="JN86" s="7">
        <f>JN83*Inputs!$G$22</f>
        <v>1615553.0524169398</v>
      </c>
      <c r="JO86" s="7">
        <f>JO83*Inputs!$G$22</f>
        <v>1558859.8575487025</v>
      </c>
      <c r="JP86" s="7">
        <f>JP83*Inputs!$G$22</f>
        <v>1620104.3336961768</v>
      </c>
      <c r="JQ86" s="7">
        <f>JQ83*Inputs!$G$22</f>
        <v>1563259.3608174575</v>
      </c>
      <c r="JR86" s="7">
        <f>JR83*Inputs!$G$22</f>
        <v>1624671.0734090204</v>
      </c>
    </row>
    <row r="87" spans="2:278" x14ac:dyDescent="0.2">
      <c r="B87" s="43" t="s">
        <v>134</v>
      </c>
      <c r="C87" s="44">
        <f t="shared" ref="C87:AH87" si="807">SUM(C86:C86)</f>
        <v>0</v>
      </c>
      <c r="D87" s="44">
        <f t="shared" si="807"/>
        <v>0</v>
      </c>
      <c r="E87" s="44">
        <f t="shared" si="807"/>
        <v>0</v>
      </c>
      <c r="F87" s="44">
        <f t="shared" si="807"/>
        <v>0</v>
      </c>
      <c r="G87" s="44">
        <f t="shared" si="807"/>
        <v>0</v>
      </c>
      <c r="H87" s="44">
        <f t="shared" si="807"/>
        <v>0</v>
      </c>
      <c r="I87" s="44">
        <f t="shared" si="807"/>
        <v>0</v>
      </c>
      <c r="J87" s="44">
        <f t="shared" si="807"/>
        <v>0</v>
      </c>
      <c r="K87" s="44">
        <f t="shared" si="807"/>
        <v>0</v>
      </c>
      <c r="L87" s="44">
        <f t="shared" si="807"/>
        <v>0</v>
      </c>
      <c r="M87" s="44">
        <f t="shared" si="807"/>
        <v>0</v>
      </c>
      <c r="N87" s="44">
        <f t="shared" si="807"/>
        <v>0</v>
      </c>
      <c r="O87" s="44">
        <f t="shared" si="807"/>
        <v>0</v>
      </c>
      <c r="P87" s="44">
        <f t="shared" si="807"/>
        <v>0</v>
      </c>
      <c r="Q87" s="44">
        <f t="shared" si="807"/>
        <v>0</v>
      </c>
      <c r="R87" s="44">
        <f t="shared" si="807"/>
        <v>0</v>
      </c>
      <c r="S87" s="44">
        <f t="shared" si="807"/>
        <v>0</v>
      </c>
      <c r="T87" s="44">
        <f t="shared" si="807"/>
        <v>0</v>
      </c>
      <c r="U87" s="44">
        <f t="shared" si="807"/>
        <v>0</v>
      </c>
      <c r="V87" s="44">
        <f t="shared" si="807"/>
        <v>0</v>
      </c>
      <c r="W87" s="44">
        <f t="shared" si="807"/>
        <v>0</v>
      </c>
      <c r="X87" s="44">
        <f t="shared" si="807"/>
        <v>0</v>
      </c>
      <c r="Y87" s="44">
        <f t="shared" si="807"/>
        <v>0</v>
      </c>
      <c r="Z87" s="44">
        <f t="shared" si="807"/>
        <v>0</v>
      </c>
      <c r="AA87" s="44">
        <f t="shared" si="807"/>
        <v>0</v>
      </c>
      <c r="AB87" s="44">
        <f t="shared" si="807"/>
        <v>0</v>
      </c>
      <c r="AC87" s="44">
        <f t="shared" si="807"/>
        <v>0</v>
      </c>
      <c r="AD87" s="44">
        <f t="shared" si="807"/>
        <v>37539.167317048581</v>
      </c>
      <c r="AE87" s="44">
        <f t="shared" si="807"/>
        <v>46637.639584800861</v>
      </c>
      <c r="AF87" s="44">
        <f t="shared" si="807"/>
        <v>38536.818352341237</v>
      </c>
      <c r="AG87" s="44">
        <f t="shared" si="807"/>
        <v>47660.054022973105</v>
      </c>
      <c r="AH87" s="44">
        <f t="shared" si="807"/>
        <v>48173.938536084424</v>
      </c>
      <c r="AI87" s="44">
        <f t="shared" ref="AI87:BN87" si="808">SUM(AI86:AI86)</f>
        <v>40046.527903458969</v>
      </c>
      <c r="AJ87" s="44">
        <f t="shared" si="808"/>
        <v>49207.104013082855</v>
      </c>
      <c r="AK87" s="44">
        <f t="shared" si="808"/>
        <v>41061.92027262687</v>
      </c>
      <c r="AL87" s="44">
        <f t="shared" si="808"/>
        <v>50247.52110524485</v>
      </c>
      <c r="AM87" s="44">
        <f t="shared" si="808"/>
        <v>52069.889740815066</v>
      </c>
      <c r="AN87" s="44">
        <f t="shared" si="808"/>
        <v>26504.574188744209</v>
      </c>
      <c r="AO87" s="44">
        <f t="shared" si="808"/>
        <v>53121.312475144121</v>
      </c>
      <c r="AP87" s="44">
        <f t="shared" si="808"/>
        <v>52425.121027603331</v>
      </c>
      <c r="AQ87" s="44">
        <f t="shared" si="808"/>
        <v>60817.477288933289</v>
      </c>
      <c r="AR87" s="44">
        <f t="shared" si="808"/>
        <v>52620.856824947805</v>
      </c>
      <c r="AS87" s="44">
        <f t="shared" si="808"/>
        <v>61905.96030842411</v>
      </c>
      <c r="AT87" s="44">
        <f t="shared" si="808"/>
        <v>62453.061801867007</v>
      </c>
      <c r="AU87" s="44">
        <f t="shared" si="808"/>
        <v>54229.572971848589</v>
      </c>
      <c r="AV87" s="44">
        <f t="shared" si="808"/>
        <v>63553.0295818999</v>
      </c>
      <c r="AW87" s="44">
        <f t="shared" si="808"/>
        <v>55311.58284722078</v>
      </c>
      <c r="AX87" s="44">
        <f t="shared" si="808"/>
        <v>64660.744089057764</v>
      </c>
      <c r="AY87" s="44">
        <f t="shared" si="808"/>
        <v>66610.883743033555</v>
      </c>
      <c r="AZ87" s="44">
        <f t="shared" si="808"/>
        <v>49515.231088823712</v>
      </c>
      <c r="BA87" s="44">
        <f t="shared" si="808"/>
        <v>67730.355638349807</v>
      </c>
      <c r="BB87" s="44">
        <f t="shared" si="808"/>
        <v>59443.855432298595</v>
      </c>
      <c r="BC87" s="44">
        <f t="shared" si="808"/>
        <v>68857.758488134437</v>
      </c>
      <c r="BD87" s="44">
        <f t="shared" si="808"/>
        <v>60553.173821155266</v>
      </c>
      <c r="BE87" s="44">
        <f t="shared" si="808"/>
        <v>69993.167392186966</v>
      </c>
      <c r="BF87" s="44">
        <f t="shared" si="808"/>
        <v>70563.897806917186</v>
      </c>
      <c r="BG87" s="44">
        <f t="shared" si="808"/>
        <v>62232.119378625044</v>
      </c>
      <c r="BH87" s="44">
        <f t="shared" si="808"/>
        <v>71711.458398432151</v>
      </c>
      <c r="BI87" s="44">
        <f t="shared" si="808"/>
        <v>172847.77285770758</v>
      </c>
      <c r="BJ87" s="44">
        <f t="shared" si="808"/>
        <v>364336.0819850674</v>
      </c>
      <c r="BK87" s="44">
        <f t="shared" si="808"/>
        <v>374711.37024785019</v>
      </c>
      <c r="BL87" s="44">
        <f t="shared" si="808"/>
        <v>243221.62778718496</v>
      </c>
      <c r="BM87" s="44">
        <f t="shared" si="808"/>
        <v>380552.37344170589</v>
      </c>
      <c r="BN87" s="44">
        <f t="shared" si="808"/>
        <v>338574.67072195257</v>
      </c>
      <c r="BO87" s="44">
        <f t="shared" ref="BO87:CT87" si="809">SUM(BO86:BO86)</f>
        <v>386435.34676676634</v>
      </c>
      <c r="BP87" s="44">
        <f t="shared" si="809"/>
        <v>344366.16072849458</v>
      </c>
      <c r="BQ87" s="44">
        <f t="shared" si="809"/>
        <v>392360.69100403483</v>
      </c>
      <c r="BR87" s="44">
        <f t="shared" si="809"/>
        <v>395339.37865627551</v>
      </c>
      <c r="BS87" s="44">
        <f t="shared" si="809"/>
        <v>353132.64229610772</v>
      </c>
      <c r="BT87" s="44">
        <f t="shared" si="809"/>
        <v>401329.0403306525</v>
      </c>
      <c r="BU87" s="44">
        <f t="shared" si="809"/>
        <v>359030.38826397085</v>
      </c>
      <c r="BV87" s="44">
        <f t="shared" si="809"/>
        <v>407362.09416125069</v>
      </c>
      <c r="BW87" s="44">
        <f t="shared" si="809"/>
        <v>418405.46039541851</v>
      </c>
      <c r="BX87" s="44">
        <f t="shared" si="809"/>
        <v>285007.0543647061</v>
      </c>
      <c r="BY87" s="44">
        <f t="shared" si="809"/>
        <v>424504.38453545014</v>
      </c>
      <c r="BZ87" s="44">
        <f t="shared" si="809"/>
        <v>381975.19623503881</v>
      </c>
      <c r="CA87" s="44">
        <f t="shared" si="809"/>
        <v>430647.75027171453</v>
      </c>
      <c r="CB87" s="44">
        <f t="shared" si="809"/>
        <v>388026.05138797371</v>
      </c>
      <c r="CC87" s="44">
        <f t="shared" si="809"/>
        <v>436835.98545701889</v>
      </c>
      <c r="CD87" s="44">
        <f t="shared" si="809"/>
        <v>439947.06407934811</v>
      </c>
      <c r="CE87" s="44">
        <f t="shared" si="809"/>
        <v>397186.28539632546</v>
      </c>
      <c r="CF87" s="44">
        <f t="shared" si="809"/>
        <v>446203.41594698024</v>
      </c>
      <c r="CG87" s="44">
        <f t="shared" si="809"/>
        <v>403349.70971123507</v>
      </c>
      <c r="CH87" s="44">
        <f t="shared" si="809"/>
        <v>452505.72755379626</v>
      </c>
      <c r="CI87" s="44">
        <f t="shared" si="809"/>
        <v>461882.81709296111</v>
      </c>
      <c r="CJ87" s="44">
        <f t="shared" si="809"/>
        <v>326542.22535569727</v>
      </c>
      <c r="CK87" s="44">
        <f t="shared" si="809"/>
        <v>468254.90331207227</v>
      </c>
      <c r="CL87" s="44">
        <f t="shared" si="809"/>
        <v>425168.15952586365</v>
      </c>
      <c r="CM87" s="44">
        <f t="shared" si="809"/>
        <v>474674.06975458632</v>
      </c>
      <c r="CN87" s="44">
        <f t="shared" si="809"/>
        <v>431493.82653766265</v>
      </c>
      <c r="CO87" s="44">
        <f t="shared" si="809"/>
        <v>481140.77326353081</v>
      </c>
      <c r="CP87" s="44">
        <f t="shared" si="809"/>
        <v>484392.09555456269</v>
      </c>
      <c r="CQ87" s="44">
        <f t="shared" si="809"/>
        <v>441071.30221764353</v>
      </c>
      <c r="CR87" s="44">
        <f t="shared" si="809"/>
        <v>490930.97225782316</v>
      </c>
      <c r="CS87" s="44">
        <f t="shared" si="809"/>
        <v>447516.27999583067</v>
      </c>
      <c r="CT87" s="44">
        <f t="shared" si="809"/>
        <v>497518.55025805667</v>
      </c>
      <c r="CU87" s="44">
        <f t="shared" ref="CU87" si="810">SUM(CU86:CU86)</f>
        <v>507660.24704600277</v>
      </c>
      <c r="CV87" s="44">
        <f t="shared" ref="CV87" si="811">SUM(CV86:CV86)</f>
        <v>370343.63207305019</v>
      </c>
      <c r="CW87" s="44">
        <f t="shared" ref="CW87" si="812">SUM(CW86:CW86)</f>
        <v>514321.76867655339</v>
      </c>
      <c r="CX87" s="44">
        <f t="shared" ref="CX87" si="813">SUM(CX86:CX86)</f>
        <v>1077167.0823314067</v>
      </c>
      <c r="CY87" s="44">
        <f t="shared" ref="CY87" si="814">SUM(CY86:CY86)</f>
        <v>1127528.6280634941</v>
      </c>
      <c r="CZ87" s="44">
        <f t="shared" ref="CZ87" si="815">SUM(CZ86:CZ86)</f>
        <v>1083784.0570153864</v>
      </c>
      <c r="DA87" s="44">
        <f t="shared" ref="DA87" si="816">SUM(DA86:DA86)</f>
        <v>1134290.4333101988</v>
      </c>
      <c r="DB87" s="44">
        <f t="shared" ref="DB87" si="817">SUM(DB86:DB86)</f>
        <v>1137690.3845270181</v>
      </c>
      <c r="DC87" s="44">
        <f t="shared" ref="DC87" si="818">SUM(DC86:DC86)</f>
        <v>1093803.8598959576</v>
      </c>
      <c r="DD87" s="44">
        <f t="shared" ref="DD87" si="819">SUM(DD86:DD86)</f>
        <v>1144528.6949916065</v>
      </c>
      <c r="DE87" s="44">
        <f t="shared" ref="DE87" si="820">SUM(DE86:DE86)</f>
        <v>1100547.3457554572</v>
      </c>
      <c r="DF87" s="44">
        <f t="shared" ref="DF87" si="821">SUM(DF86:DF86)</f>
        <v>1151418.6346261059</v>
      </c>
      <c r="DG87" s="44">
        <f t="shared" ref="DG87" si="822">SUM(DG86:DG86)</f>
        <v>1162378.4443732162</v>
      </c>
      <c r="DH87" s="44">
        <f t="shared" ref="DH87" si="823">SUM(DH86:DH86)</f>
        <v>1023051.6729857611</v>
      </c>
      <c r="DI87" s="44">
        <f t="shared" ref="DI87" si="824">SUM(DI86:DI86)</f>
        <v>1169346.7801515113</v>
      </c>
      <c r="DJ87" s="44">
        <f t="shared" ref="DJ87" si="825">SUM(DJ86:DJ86)</f>
        <v>1125127.7187519078</v>
      </c>
      <c r="DK87" s="44">
        <f t="shared" ref="DK87" si="826">SUM(DK86:DK86)</f>
        <v>1176368.0231482433</v>
      </c>
      <c r="DL87" s="44">
        <f t="shared" ref="DL87" si="827">SUM(DL86:DL86)</f>
        <v>1132053.6204896774</v>
      </c>
      <c r="DM87" s="44">
        <f t="shared" ref="DM87" si="828">SUM(DM86:DM86)</f>
        <v>1183442.6945036843</v>
      </c>
      <c r="DN87" s="44">
        <f t="shared" ref="DN87" si="829">SUM(DN86:DN86)</f>
        <v>1187000.2302473735</v>
      </c>
      <c r="DO87" s="44">
        <f t="shared" ref="DO87" si="830">SUM(DO86:DO86)</f>
        <v>1142542.5457275664</v>
      </c>
      <c r="DP87" s="44">
        <f t="shared" ref="DP87" si="831">SUM(DP86:DP86)</f>
        <v>1194156.0339124319</v>
      </c>
      <c r="DQ87" s="44">
        <f t="shared" ref="DQ87" si="832">SUM(DQ86:DQ86)</f>
        <v>1149602.6504418436</v>
      </c>
      <c r="DR87" s="44">
        <f t="shared" ref="DR87" si="833">SUM(DR86:DR86)</f>
        <v>1201366.5941631054</v>
      </c>
      <c r="DS87" s="44">
        <f t="shared" ref="DS87" si="834">SUM(DS86:DS86)</f>
        <v>1213201.8543835804</v>
      </c>
      <c r="DT87" s="44">
        <f t="shared" ref="DT87" si="835">SUM(DT86:DT86)</f>
        <v>1071830.5197819658</v>
      </c>
      <c r="DU87" s="44">
        <f t="shared" ref="DU87" si="836">SUM(DU86:DU86)</f>
        <v>1220495.5669177042</v>
      </c>
      <c r="DV87" s="44">
        <f t="shared" ref="DV87" si="837">SUM(DV86:DV86)</f>
        <v>1175702.3257639178</v>
      </c>
      <c r="DW87" s="44">
        <f t="shared" ref="DW87" si="838">SUM(DW86:DW86)</f>
        <v>1227845.401356627</v>
      </c>
      <c r="DX87" s="44">
        <f t="shared" ref="DX87" si="839">SUM(DX86:DX86)</f>
        <v>1182955.9773282986</v>
      </c>
      <c r="DY87" s="44">
        <f t="shared" ref="DY87" si="840">SUM(DY86:DY86)</f>
        <v>1235251.9144540278</v>
      </c>
      <c r="DZ87" s="44">
        <f t="shared" ref="DZ87" si="841">SUM(DZ86:DZ86)</f>
        <v>1238976.6011722749</v>
      </c>
      <c r="EA87" s="44">
        <f t="shared" ref="EA87" si="842">SUM(EA86:EA86)</f>
        <v>1193942.6511884555</v>
      </c>
      <c r="EB87" s="44">
        <f t="shared" ref="EB87" si="843">SUM(EB86:EB86)</f>
        <v>1246469.1897022303</v>
      </c>
      <c r="EC87" s="44">
        <f t="shared" ref="EC87" si="844">SUM(EC86:EC86)</f>
        <v>1201338.723853311</v>
      </c>
      <c r="ED87" s="44">
        <f t="shared" ref="ED87" si="845">SUM(ED86:ED86)</f>
        <v>1254019.8759552343</v>
      </c>
      <c r="EE87" s="44">
        <f t="shared" ref="EE87" si="846">SUM(EE86:EE86)</f>
        <v>1261774.128282693</v>
      </c>
      <c r="EF87" s="44">
        <f t="shared" ref="EF87" si="847">SUM(EF86:EF86)</f>
        <v>1118323.5745436982</v>
      </c>
      <c r="EG87" s="44">
        <f t="shared" ref="EG87" si="848">SUM(EG86:EG86)</f>
        <v>1269413.0481635935</v>
      </c>
      <c r="EH87" s="44">
        <f t="shared" ref="EH87" si="849">SUM(EH86:EH86)</f>
        <v>1224040.7273698342</v>
      </c>
      <c r="EI87" s="44">
        <f t="shared" ref="EI87" si="850">SUM(EI86:EI86)</f>
        <v>1275767.2104180411</v>
      </c>
      <c r="EJ87" s="44">
        <f t="shared" ref="EJ87" si="851">SUM(EJ86:EJ86)</f>
        <v>1228945.7703689623</v>
      </c>
      <c r="EK87" s="44">
        <f t="shared" ref="EK87" si="852">SUM(EK86:EK86)</f>
        <v>1280813.6387042378</v>
      </c>
      <c r="EL87" s="44">
        <f t="shared" ref="EL87" si="853">SUM(EL86:EL86)</f>
        <v>1283347.7199665296</v>
      </c>
      <c r="EM87" s="44">
        <f t="shared" ref="EM87" si="854">SUM(EM86:EM86)</f>
        <v>1236356.8027430412</v>
      </c>
      <c r="EN87" s="44">
        <f t="shared" ref="EN87" si="855">SUM(EN86:EN86)</f>
        <v>1288437.7644099414</v>
      </c>
      <c r="EO87" s="44">
        <f t="shared" ref="EO87" si="856">SUM(EO86:EO86)</f>
        <v>1241333.478771857</v>
      </c>
      <c r="EP87" s="44">
        <f t="shared" ref="EP87" si="857">SUM(EP86:EP86)</f>
        <v>1293557.1834148848</v>
      </c>
      <c r="EQ87" s="44">
        <f t="shared" ref="EQ87" si="858">SUM(EQ86:EQ86)</f>
        <v>1297945.2121772892</v>
      </c>
      <c r="ER87" s="44">
        <f t="shared" ref="ER87" si="859">SUM(ER86:ER86)</f>
        <v>1150964.0013825581</v>
      </c>
      <c r="ES87" s="44">
        <f t="shared" ref="ES87" si="860">SUM(ES86:ES86)</f>
        <v>1303109.1448067632</v>
      </c>
      <c r="ET87" s="44">
        <f t="shared" ref="ET87" si="861">SUM(ET86:ET86)</f>
        <v>1255720.0939493133</v>
      </c>
      <c r="EU87" s="44">
        <f t="shared" ref="EU87" si="862">SUM(EU86:EU86)</f>
        <v>1308303.0579807048</v>
      </c>
      <c r="EV87" s="44">
        <f t="shared" ref="EV87" si="863">SUM(EV86:EV86)</f>
        <v>1260799.5628677683</v>
      </c>
      <c r="EW87" s="44">
        <f t="shared" ref="EW87" si="864">SUM(EW86:EW86)</f>
        <v>1313527.1984567046</v>
      </c>
      <c r="EX87" s="44">
        <f t="shared" ref="EX87" si="865">SUM(EX86:EX86)</f>
        <v>1316150.6817373903</v>
      </c>
      <c r="EY87" s="44">
        <f t="shared" ref="EY87" si="866">SUM(EY86:EY86)</f>
        <v>1268474.9430872309</v>
      </c>
      <c r="EZ87" s="44">
        <f t="shared" ref="EZ87" si="867">SUM(EZ86:EZ86)</f>
        <v>1321420.6313922936</v>
      </c>
      <c r="FA87" s="44">
        <f t="shared" ref="FA87" si="868">SUM(FA86:FA86)</f>
        <v>1273629.6787138912</v>
      </c>
      <c r="FB87" s="44">
        <f t="shared" ref="FB87" si="869">SUM(FB86:FB86)</f>
        <v>1326721.4364007581</v>
      </c>
      <c r="FC87" s="44">
        <f t="shared" ref="FC87" si="870">SUM(FC86:FC86)</f>
        <v>1331504.2050629274</v>
      </c>
      <c r="FD87" s="44">
        <f t="shared" ref="FD87" si="871">SUM(FD86:FD86)</f>
        <v>1182271.4241969923</v>
      </c>
      <c r="FE87" s="44">
        <f t="shared" ref="FE87" si="872">SUM(FE86:FE86)</f>
        <v>1336851.7734729452</v>
      </c>
      <c r="FF87" s="44">
        <f t="shared" ref="FF87" si="873">SUM(FF86:FF86)</f>
        <v>1288771.4371470015</v>
      </c>
      <c r="FG87" s="44">
        <f t="shared" ref="FG87" si="874">SUM(FG86:FG86)</f>
        <v>1342230.8415881945</v>
      </c>
      <c r="FH87" s="44">
        <f t="shared" ref="FH87" si="875">SUM(FH86:FH86)</f>
        <v>1294034.2120279232</v>
      </c>
      <c r="FI87" s="44">
        <f t="shared" ref="FI87" si="876">SUM(FI86:FI86)</f>
        <v>1347641.6718164778</v>
      </c>
      <c r="FJ87" s="44">
        <f t="shared" ref="FJ87" si="877">SUM(FJ86:FJ86)</f>
        <v>1350359.0804661799</v>
      </c>
      <c r="FK87" s="44">
        <f t="shared" ref="FK87" si="878">SUM(FK86:FK86)</f>
        <v>1301987.4323608875</v>
      </c>
      <c r="FL87" s="44">
        <f t="shared" ref="FL87" si="879">SUM(FL86:FL86)</f>
        <v>1355818.0518195108</v>
      </c>
      <c r="FM87" s="44">
        <f t="shared" ref="FM87" si="880">SUM(FM86:FM86)</f>
        <v>1307329.338741757</v>
      </c>
      <c r="FN87" s="44">
        <f t="shared" ref="FN87" si="881">SUM(FN86:FN86)</f>
        <v>1361309.453237317</v>
      </c>
      <c r="FO87" s="44">
        <f t="shared" ref="FO87" si="882">SUM(FO86:FO86)</f>
        <v>1368894.4940213102</v>
      </c>
      <c r="FP87" s="44">
        <f t="shared" ref="FP87" si="883">SUM(FP86:FP86)</f>
        <v>1217367.5117501388</v>
      </c>
      <c r="FQ87" s="44">
        <f t="shared" ref="FQ87" si="884">SUM(FQ86:FQ86)</f>
        <v>1374435.0514800746</v>
      </c>
      <c r="FR87" s="44">
        <f t="shared" ref="FR87" si="885">SUM(FR86:FR86)</f>
        <v>1325652.324554607</v>
      </c>
      <c r="FS87" s="44">
        <f t="shared" ref="FS87" si="886">SUM(FS86:FS86)</f>
        <v>1380008.7243869905</v>
      </c>
      <c r="FT87" s="44">
        <f t="shared" ref="FT87" si="887">SUM(FT86:FT86)</f>
        <v>1331107.8511759264</v>
      </c>
      <c r="FU87" s="44">
        <f t="shared" ref="FU87" si="888">SUM(FU86:FU86)</f>
        <v>1385615.791887007</v>
      </c>
      <c r="FV87" s="44">
        <f t="shared" ref="FV87" si="889">SUM(FV86:FV86)</f>
        <v>1388431.9366344591</v>
      </c>
      <c r="FW87" s="44">
        <f t="shared" ref="FW87" si="890">SUM(FW86:FW86)</f>
        <v>1339353.2644614624</v>
      </c>
      <c r="FX87" s="44">
        <f t="shared" ref="FX87" si="891">SUM(FX86:FX86)</f>
        <v>1394089.6257748466</v>
      </c>
      <c r="FY87" s="44">
        <f t="shared" ref="FY87" si="892">SUM(FY86:FY86)</f>
        <v>1344892.0345538668</v>
      </c>
      <c r="FZ87" s="44">
        <f t="shared" ref="FZ87" si="893">SUM(FZ86:FZ86)</f>
        <v>1399781.4201323781</v>
      </c>
      <c r="GA87" s="44">
        <f t="shared" ref="GA87" si="894">SUM(GA86:GA86)</f>
        <v>1407816.2420087745</v>
      </c>
      <c r="GB87" s="44">
        <f t="shared" ref="GB87" si="895">SUM(GB86:GB86)</f>
        <v>1253951.7695507857</v>
      </c>
      <c r="GC87" s="44">
        <f t="shared" ref="GC87" si="896">SUM(GC86:GC86)</f>
        <v>1413559.7378351111</v>
      </c>
      <c r="GD87" s="44">
        <f t="shared" ref="GD87" si="897">SUM(GD86:GD86)</f>
        <v>1364063.4964425666</v>
      </c>
      <c r="GE87" s="44">
        <f t="shared" ref="GE87" si="898">SUM(GE86:GE86)</f>
        <v>1419338.0681478381</v>
      </c>
      <c r="GF87" s="44">
        <f t="shared" ref="GF87" si="899">SUM(GF86:GF86)</f>
        <v>1369721.8256665175</v>
      </c>
      <c r="GG87" s="44">
        <f t="shared" ref="GG87" si="900">SUM(GG86:GG86)</f>
        <v>1425151.5299936612</v>
      </c>
      <c r="GH87" s="44">
        <f t="shared" ref="GH87" si="901">SUM(GH86:GH86)</f>
        <v>1428071.5289159953</v>
      </c>
      <c r="GI87" s="44">
        <f t="shared" ref="GI87" si="902">SUM(GI86:GI86)</f>
        <v>1378274.7051944274</v>
      </c>
      <c r="GJ87" s="44">
        <f t="shared" ref="GJ87" si="903">SUM(GJ86:GJ86)</f>
        <v>1433938.2518205768</v>
      </c>
      <c r="GK87" s="44">
        <f t="shared" ref="GK87" si="904">SUM(GK86:GK86)</f>
        <v>1384020.6542546116</v>
      </c>
      <c r="GL87" s="44">
        <f t="shared" ref="GL87" si="905">SUM(GL86:GL86)</f>
        <v>1439840.8625257388</v>
      </c>
      <c r="GM87" s="44">
        <f t="shared" ref="GM87" si="906">SUM(GM86:GM86)</f>
        <v>1444612.9236108053</v>
      </c>
      <c r="GN87" s="44">
        <f t="shared" ref="GN87" si="907">SUM(GN86:GN86)</f>
        <v>1288367.0161396621</v>
      </c>
      <c r="GO87" s="44">
        <f t="shared" ref="GO87" si="908">SUM(GO86:GO86)</f>
        <v>1450569.9446365489</v>
      </c>
      <c r="GP87" s="44">
        <f t="shared" ref="GP87" si="909">SUM(GP86:GP86)</f>
        <v>1400349.0606392904</v>
      </c>
      <c r="GQ87" s="44">
        <f t="shared" ref="GQ87" si="910">SUM(GQ86:GQ86)</f>
        <v>1455560.8614461962</v>
      </c>
      <c r="GR87" s="44">
        <f t="shared" ref="GR87" si="911">SUM(GR86:GR86)</f>
        <v>1404209.504635714</v>
      </c>
      <c r="GS87" s="44">
        <f t="shared" ref="GS87" si="912">SUM(GS86:GS86)</f>
        <v>1459568.4076701079</v>
      </c>
      <c r="GT87" s="44">
        <f t="shared" ref="GT87" si="913">SUM(GT86:GT86)</f>
        <v>1461577.2883524701</v>
      </c>
      <c r="GU87" s="44">
        <f t="shared" ref="GU87" si="914">SUM(GU86:GU86)</f>
        <v>1410024.8160724901</v>
      </c>
      <c r="GV87" s="44">
        <f t="shared" ref="GV87" si="915">SUM(GV86:GV86)</f>
        <v>1465605.2935180536</v>
      </c>
      <c r="GW87" s="44">
        <f t="shared" ref="GW87" si="916">SUM(GW86:GW86)</f>
        <v>1413918.1852527906</v>
      </c>
      <c r="GX87" s="44">
        <f t="shared" ref="GX87" si="917">SUM(GX86:GX86)</f>
        <v>1469646.9954102288</v>
      </c>
      <c r="GY87" s="44">
        <f t="shared" ref="GY87" si="918">SUM(GY86:GY86)</f>
        <v>1471672.9970369444</v>
      </c>
      <c r="GZ87" s="44">
        <f t="shared" ref="GZ87" si="919">SUM(GZ86:GZ86)</f>
        <v>1311944.3973542354</v>
      </c>
      <c r="HA87" s="44">
        <f t="shared" ref="HA87" si="920">SUM(HA86:HA86)</f>
        <v>1475735.3305524334</v>
      </c>
      <c r="HB87" s="44">
        <f t="shared" ref="HB87" si="921">SUM(HB86:HB86)</f>
        <v>1423709.6649131845</v>
      </c>
      <c r="HC87" s="44">
        <f t="shared" ref="HC87" si="922">SUM(HC86:HC86)</f>
        <v>1479811.4763980601</v>
      </c>
      <c r="HD87" s="44">
        <f t="shared" ref="HD87" si="923">SUM(HD86:HD86)</f>
        <v>1427649.5969044694</v>
      </c>
      <c r="HE87" s="44">
        <f t="shared" ref="HE87" si="924">SUM(HE86:HE86)</f>
        <v>1483901.4810866972</v>
      </c>
      <c r="HF87" s="44">
        <f t="shared" ref="HF87" si="925">SUM(HF86:HF86)</f>
        <v>1485951.69507503</v>
      </c>
      <c r="HG87" s="44">
        <f t="shared" ref="HG87" si="926">SUM(HG86:HG86)</f>
        <v>1433584.6426874972</v>
      </c>
      <c r="HH87" s="44">
        <f t="shared" ref="HH87" si="927">SUM(HH86:HH86)</f>
        <v>1490062.5755809797</v>
      </c>
      <c r="HI87" s="44">
        <f t="shared" ref="HI87" si="928">SUM(HI86:HI86)</f>
        <v>1437558.1709780921</v>
      </c>
      <c r="HJ87" s="44">
        <f t="shared" ref="HJ87" si="929">SUM(HJ86:HJ86)</f>
        <v>1494187.4318953007</v>
      </c>
      <c r="HK87" s="44">
        <f t="shared" ref="HK87" si="930">SUM(HK86:HK86)</f>
        <v>1496255.1156809409</v>
      </c>
      <c r="HL87" s="44">
        <f t="shared" ref="HL87" si="931">SUM(HL86:HL86)</f>
        <v>1333978.8484013854</v>
      </c>
      <c r="HM87" s="44">
        <f t="shared" ref="HM87" si="932">SUM(HM86:HM86)</f>
        <v>1500401.0239960654</v>
      </c>
      <c r="HN87" s="44">
        <f t="shared" ref="HN87" si="933">SUM(HN86:HN86)</f>
        <v>1447551.2317426614</v>
      </c>
      <c r="HO87" s="44">
        <f t="shared" ref="HO87" si="934">SUM(HO86:HO86)</f>
        <v>1504561.0260674329</v>
      </c>
      <c r="HP87" s="44">
        <f t="shared" ref="HP87" si="935">SUM(HP86:HP86)</f>
        <v>1451572.27188901</v>
      </c>
      <c r="HQ87" s="44">
        <f t="shared" ref="HQ87" si="936">SUM(HQ86:HQ86)</f>
        <v>1508735.1693511396</v>
      </c>
      <c r="HR87" s="44">
        <f t="shared" ref="HR87" si="937">SUM(HR86:HR86)</f>
        <v>1510827.5588211261</v>
      </c>
      <c r="HS87" s="44">
        <f t="shared" ref="HS87" si="938">SUM(HS86:HS86)</f>
        <v>1457629.4924475253</v>
      </c>
      <c r="HT87" s="44">
        <f t="shared" ref="HT87" si="939">SUM(HT86:HT86)</f>
        <v>1515023.0032515833</v>
      </c>
      <c r="HU87" s="44">
        <f t="shared" ref="HU87" si="940">SUM(HU86:HU86)</f>
        <v>1461684.813620369</v>
      </c>
      <c r="HV87" s="44">
        <f t="shared" ref="HV87" si="941">SUM(HV86:HV86)</f>
        <v>1519232.7082316198</v>
      </c>
      <c r="HW87" s="44">
        <f t="shared" ref="HW87" si="942">SUM(HW86:HW86)</f>
        <v>1521342.9234261678</v>
      </c>
      <c r="HX87" s="44">
        <f t="shared" ref="HX87" si="943">SUM(HX86:HX86)</f>
        <v>1356467.5734498946</v>
      </c>
      <c r="HY87" s="44">
        <f t="shared" ref="HY87" si="944">SUM(HY86:HY86)</f>
        <v>1525574.1093091413</v>
      </c>
      <c r="HZ87" s="44">
        <f t="shared" ref="HZ87" si="945">SUM(HZ86:HZ86)</f>
        <v>1471883.5639191596</v>
      </c>
      <c r="IA87" s="44">
        <f t="shared" ref="IA87" si="946">SUM(IA86:IA86)</f>
        <v>1529819.6760813221</v>
      </c>
      <c r="IB87" s="44">
        <f t="shared" ref="IB87" si="947">SUM(IB86:IB86)</f>
        <v>1475987.3652408491</v>
      </c>
      <c r="IC87" s="44">
        <f t="shared" ref="IC87" si="948">SUM(IC86:IC86)</f>
        <v>1534079.67216111</v>
      </c>
      <c r="ID87" s="44">
        <f t="shared" ref="ID87" si="949">SUM(ID86:ID86)</f>
        <v>1536215.0963664614</v>
      </c>
      <c r="IE87" s="44">
        <f t="shared" ref="IE87" si="950">SUM(IE86:IE86)</f>
        <v>1482169.250500354</v>
      </c>
      <c r="IF87" s="44">
        <f t="shared" ref="IF87" si="951">SUM(IF86:IF86)</f>
        <v>1540496.8275472659</v>
      </c>
      <c r="IG87" s="44">
        <f t="shared" ref="IG87" si="952">SUM(IG86:IG86)</f>
        <v>1486308.0314628794</v>
      </c>
      <c r="IH87" s="44">
        <f t="shared" ref="IH87" si="953">SUM(IH86:IH86)</f>
        <v>1544793.1097927811</v>
      </c>
      <c r="II87" s="44">
        <f t="shared" ref="II87" si="954">SUM(II86:II86)</f>
        <v>1546946.7228673697</v>
      </c>
      <c r="IJ87" s="44">
        <f t="shared" ref="IJ87" si="955">SUM(IJ86:IJ86)</f>
        <v>1379419.8373935015</v>
      </c>
      <c r="IK87" s="44">
        <f t="shared" ref="IK87" si="956">SUM(IK86:IK86)</f>
        <v>1551264.9236150638</v>
      </c>
      <c r="IL87" s="44">
        <f t="shared" ref="IL87" si="957">SUM(IL86:IL86)</f>
        <v>1496716.6630502255</v>
      </c>
      <c r="IM87" s="44">
        <f t="shared" ref="IM87" si="958">SUM(IM86:IM86)</f>
        <v>1555597.7982072392</v>
      </c>
      <c r="IN87" s="44">
        <f t="shared" ref="IN87" si="959">SUM(IN86:IN86)</f>
        <v>1500904.9120924594</v>
      </c>
      <c r="IO87" s="44">
        <f t="shared" ref="IO87" si="960">SUM(IO86:IO86)</f>
        <v>1559945.3960440701</v>
      </c>
      <c r="IP87" s="44">
        <f t="shared" ref="IP87" si="961">SUM(IP86:IP86)</f>
        <v>1562124.731662038</v>
      </c>
      <c r="IQ87" s="44">
        <f t="shared" ref="IQ87" si="962">SUM(IQ86:IQ86)</f>
        <v>1507214.0024761583</v>
      </c>
      <c r="IR87" s="44">
        <f t="shared" ref="IR87" si="963">SUM(IR86:IR86)</f>
        <v>1566494.5073534658</v>
      </c>
      <c r="IS87" s="44">
        <f t="shared" ref="IS87" si="964">SUM(IS86:IS86)</f>
        <v>1511437.9439416949</v>
      </c>
      <c r="IT87" s="44">
        <f t="shared" ref="IT87" si="965">SUM(IT86:IT86)</f>
        <v>1570879.1305154711</v>
      </c>
      <c r="IU87" s="44">
        <f t="shared" ref="IU87" si="966">SUM(IU86:IU86)</f>
        <v>1573077.0255107859</v>
      </c>
      <c r="IV87" s="44">
        <f t="shared" ref="IV87" si="967">SUM(IV86:IV86)</f>
        <v>1402845.0930929091</v>
      </c>
      <c r="IW87" s="44">
        <f t="shared" ref="IW87" si="968">SUM(IW86:IW86)</f>
        <v>1577484.013647266</v>
      </c>
      <c r="IX87" s="44">
        <f t="shared" ref="IX87" si="969">SUM(IX86:IX86)</f>
        <v>1522060.7335820696</v>
      </c>
      <c r="IY87" s="44">
        <f t="shared" ref="IY87" si="970">SUM(IY86:IY86)</f>
        <v>1581905.9745236021</v>
      </c>
      <c r="IZ87" s="44">
        <f t="shared" ref="IZ87" si="971">SUM(IZ86:IZ86)</f>
        <v>1526335.1510932585</v>
      </c>
      <c r="JA87" s="44">
        <f t="shared" ref="JA87" si="972">SUM(JA86:JA86)</f>
        <v>1586342.9585416033</v>
      </c>
      <c r="JB87" s="44">
        <f t="shared" ref="JB87" si="973">SUM(JB86:JB86)</f>
        <v>1588567.1000254604</v>
      </c>
      <c r="JC87" s="44">
        <f t="shared" ref="JC87" si="974">SUM(JC86:JC86)</f>
        <v>1532774.038543738</v>
      </c>
      <c r="JD87" s="44">
        <f t="shared" ref="JD87" si="975">SUM(JD86:JD86)</f>
        <v>1593026.7136289661</v>
      </c>
      <c r="JE87" s="44">
        <f t="shared" ref="JE87" si="976">SUM(JE86:JE86)</f>
        <v>1537084.8757154709</v>
      </c>
      <c r="JF87" s="44">
        <f t="shared" ref="JF87" si="977">SUM(JF86:JF86)</f>
        <v>1597501.4771188227</v>
      </c>
      <c r="JG87" s="44">
        <f t="shared" ref="JG87" si="978">SUM(JG86:JG86)</f>
        <v>1599744.5560005335</v>
      </c>
      <c r="JH87" s="44">
        <f t="shared" ref="JH87" si="979">SUM(JH86:JH86)</f>
        <v>1426752.9851794324</v>
      </c>
      <c r="JI87" s="44">
        <f t="shared" ref="JI87" si="980">SUM(JI86:JI86)</f>
        <v>1604242.1399897167</v>
      </c>
      <c r="JJ87" s="44">
        <f t="shared" ref="JJ87" si="981">SUM(JJ86:JJ86)</f>
        <v>1547926.1869033976</v>
      </c>
      <c r="JK87" s="44">
        <f t="shared" ref="JK87" si="982">SUM(JK86:JK86)</f>
        <v>1608755.0016743988</v>
      </c>
      <c r="JL87" s="44">
        <f t="shared" ref="JL87" si="983">SUM(JL86:JL86)</f>
        <v>1552288.5285271534</v>
      </c>
      <c r="JM87" s="44">
        <f t="shared" ref="JM87" si="984">SUM(JM86:JM86)</f>
        <v>1613283.1924782856</v>
      </c>
      <c r="JN87" s="44">
        <f t="shared" ref="JN87" si="985">SUM(JN86:JN86)</f>
        <v>1615553.0524169398</v>
      </c>
      <c r="JO87" s="44">
        <f t="shared" ref="JO87" si="986">SUM(JO86:JO86)</f>
        <v>1558859.8575487025</v>
      </c>
      <c r="JP87" s="44">
        <f t="shared" ref="JP87" si="987">SUM(JP86:JP86)</f>
        <v>1620104.3336961768</v>
      </c>
      <c r="JQ87" s="44">
        <f t="shared" ref="JQ87" si="988">SUM(JQ86:JQ86)</f>
        <v>1563259.3608174575</v>
      </c>
      <c r="JR87" s="44">
        <f t="shared" ref="JR87" si="989">SUM(JR86:JR86)</f>
        <v>1624671.0734090204</v>
      </c>
    </row>
    <row r="88" spans="2:278" x14ac:dyDescent="0.2">
      <c r="B88" s="3"/>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42"/>
      <c r="CU88" s="42"/>
      <c r="CV88" s="42"/>
      <c r="CW88" s="42"/>
      <c r="CX88" s="42"/>
      <c r="CY88" s="42"/>
      <c r="CZ88" s="42"/>
      <c r="DA88" s="42"/>
      <c r="DB88" s="42"/>
      <c r="DC88" s="42"/>
      <c r="DD88" s="42"/>
      <c r="DE88" s="42"/>
      <c r="DF88" s="42"/>
      <c r="DG88" s="42"/>
      <c r="DH88" s="42"/>
      <c r="DI88" s="42"/>
      <c r="DJ88" s="42"/>
      <c r="DK88" s="42"/>
      <c r="DL88" s="42"/>
      <c r="DM88" s="42"/>
      <c r="DN88" s="42"/>
      <c r="DO88" s="42"/>
      <c r="DP88" s="42"/>
      <c r="DQ88" s="42"/>
      <c r="DR88" s="42"/>
      <c r="DS88" s="42"/>
      <c r="DT88" s="42"/>
      <c r="DU88" s="42"/>
      <c r="DV88" s="42"/>
      <c r="DW88" s="42"/>
      <c r="DX88" s="42"/>
      <c r="DY88" s="42"/>
      <c r="DZ88" s="42"/>
      <c r="EA88" s="42"/>
      <c r="EB88" s="42"/>
      <c r="EC88" s="42"/>
      <c r="ED88" s="42"/>
      <c r="EE88" s="42"/>
      <c r="EF88" s="42"/>
      <c r="EG88" s="42"/>
      <c r="EH88" s="42"/>
      <c r="EI88" s="42"/>
      <c r="EJ88" s="42"/>
      <c r="EK88" s="42"/>
      <c r="EL88" s="42"/>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row>
    <row r="89" spans="2:278" x14ac:dyDescent="0.2">
      <c r="B89" s="1" t="s">
        <v>151</v>
      </c>
      <c r="C89" s="7">
        <f>IF(C1&lt;Inputs!$H$25,0,C77+C87)</f>
        <v>0</v>
      </c>
      <c r="D89" s="7">
        <f>IF(D1&lt;Inputs!$H$25,0,D77+D87)</f>
        <v>0</v>
      </c>
      <c r="E89" s="7">
        <f>IF(E1&lt;Inputs!$H$25,0,E77+E87)</f>
        <v>0</v>
      </c>
      <c r="F89" s="7">
        <f>IF(F1&lt;Inputs!$H$25,0,F77+F87)</f>
        <v>0</v>
      </c>
      <c r="G89" s="7">
        <f>IF(G1&lt;Inputs!$H$25,0,G77+G87)</f>
        <v>0</v>
      </c>
      <c r="H89" s="7">
        <f>IF(H1&lt;Inputs!$H$25,0,H77+H87)</f>
        <v>0</v>
      </c>
      <c r="I89" s="7">
        <f>IF(I1&lt;Inputs!$H$25,0,I77+I87)</f>
        <v>0</v>
      </c>
      <c r="J89" s="7">
        <f>IF(J1&lt;Inputs!$H$25,0,J77+J87)</f>
        <v>0</v>
      </c>
      <c r="K89" s="7">
        <f>IF(K1&lt;Inputs!$H$25,0,K77+K87)</f>
        <v>0</v>
      </c>
      <c r="L89" s="7">
        <f>IF(L1&lt;Inputs!$H$25,0,L77+L87)</f>
        <v>0</v>
      </c>
      <c r="M89" s="7">
        <f>IF(M1&lt;Inputs!$H$25,0,M77+M87)</f>
        <v>0</v>
      </c>
      <c r="N89" s="7">
        <f>IF(N1&lt;Inputs!$H$25,0,N77+N87)</f>
        <v>0</v>
      </c>
      <c r="O89" s="7">
        <f>IF(O1&lt;Inputs!$H$25,0,O77+O87)</f>
        <v>0</v>
      </c>
      <c r="P89" s="7">
        <f>IF(P1&lt;Inputs!$H$25,0,P77+P87)</f>
        <v>0</v>
      </c>
      <c r="Q89" s="7">
        <f>IF(Q1&lt;Inputs!$H$25,0,Q77+Q87)</f>
        <v>0</v>
      </c>
      <c r="R89" s="7">
        <f>IF(R1&lt;Inputs!$H$25,0,R77+R87)</f>
        <v>0</v>
      </c>
      <c r="S89" s="7">
        <f>IF(S1&lt;Inputs!$H$25,0,S77+S87)</f>
        <v>0</v>
      </c>
      <c r="T89" s="7">
        <f>IF(T1&lt;Inputs!$H$25,0,T77+T87)</f>
        <v>0</v>
      </c>
      <c r="U89" s="7">
        <f>IF(U1&lt;Inputs!$H$25,0,U77+U87)</f>
        <v>0</v>
      </c>
      <c r="V89" s="7">
        <f>IF(V1&lt;Inputs!$H$25,0,V77+V87)</f>
        <v>0</v>
      </c>
      <c r="W89" s="7">
        <f>IF(W1&lt;Inputs!$H$25,0,W77+W87)</f>
        <v>0</v>
      </c>
      <c r="X89" s="7">
        <f>IF(X1&lt;Inputs!$H$25,0,X77+X87)</f>
        <v>0</v>
      </c>
      <c r="Y89" s="7">
        <f>IF(Y1&lt;Inputs!$H$25,0,Y77+Y87)</f>
        <v>0</v>
      </c>
      <c r="Z89" s="7">
        <f>IF(Z1&lt;Inputs!$H$25,0,Z77+Z87)</f>
        <v>0</v>
      </c>
      <c r="AA89" s="7">
        <f>IF(AA1&lt;Inputs!$H$25,0,AA77+AA87)</f>
        <v>0</v>
      </c>
      <c r="AB89" s="7">
        <f>IF(AB1&lt;Inputs!$H$25,0,AB77+AB87)</f>
        <v>0</v>
      </c>
      <c r="AC89" s="7">
        <f>IF(AC1&lt;Inputs!$H$25,0,AC77+AC87)</f>
        <v>0</v>
      </c>
      <c r="AD89" s="7">
        <f>IF(AD1&lt;Inputs!$H$25,0,AD77+AD87)</f>
        <v>0</v>
      </c>
      <c r="AE89" s="7">
        <f>IF(AE1&lt;Inputs!$H$25,0,AE77+AE87)</f>
        <v>0</v>
      </c>
      <c r="AF89" s="7">
        <f>IF(AF1&lt;Inputs!$H$25,0,AF77+AF87)</f>
        <v>0</v>
      </c>
      <c r="AG89" s="7">
        <f>IF(AG1&lt;Inputs!$H$25,0,AG77+AG87)</f>
        <v>0</v>
      </c>
      <c r="AH89" s="7">
        <f>IF(AH1&lt;Inputs!$H$25,0,AH77+AH87)</f>
        <v>0</v>
      </c>
      <c r="AI89" s="7">
        <f>IF(AI1&lt;Inputs!$H$25,0,AI77+AI87)</f>
        <v>0</v>
      </c>
      <c r="AJ89" s="7">
        <f>IF(AJ1&lt;Inputs!$H$25,0,AJ77+AJ87)</f>
        <v>0</v>
      </c>
      <c r="AK89" s="7">
        <f>IF(AK1&lt;Inputs!$H$25,0,AK77+AK87)</f>
        <v>0</v>
      </c>
      <c r="AL89" s="7">
        <f>IF(AL1&lt;Inputs!$H$25,0,AL77+AL87)</f>
        <v>0</v>
      </c>
      <c r="AM89" s="7">
        <f>IF(AM1&lt;Inputs!$H$25,0,AM77+AM87)</f>
        <v>0</v>
      </c>
      <c r="AN89" s="7">
        <f>IF(AN1&lt;Inputs!$H$25,0,AN77+AN87)</f>
        <v>0</v>
      </c>
      <c r="AO89" s="7">
        <f>IF(AO1&lt;Inputs!$H$25,0,AO77+AO87)</f>
        <v>0</v>
      </c>
      <c r="AP89" s="7">
        <f>IF(AP1&lt;Inputs!$H$25,0,AP77+AP87)</f>
        <v>0</v>
      </c>
      <c r="AQ89" s="7">
        <f>IF(AQ1&lt;Inputs!$H$25,0,AQ77+AQ87)</f>
        <v>0</v>
      </c>
      <c r="AR89" s="7">
        <f>IF(AR1&lt;Inputs!$H$25,0,AR77+AR87)</f>
        <v>0</v>
      </c>
      <c r="AS89" s="7">
        <f>IF(AS1&lt;Inputs!$H$25,0,AS77+AS87)</f>
        <v>0</v>
      </c>
      <c r="AT89" s="7">
        <f>IF(AT1&lt;Inputs!$H$25,0,AT77+AT87)</f>
        <v>0</v>
      </c>
      <c r="AU89" s="7">
        <f>IF(AU1&lt;Inputs!$H$25,0,AU77+AU87)</f>
        <v>0</v>
      </c>
      <c r="AV89" s="7">
        <f>IF(AV1&lt;Inputs!$H$25,0,AV77+AV87)</f>
        <v>0</v>
      </c>
      <c r="AW89" s="7">
        <f>IF(AW1&lt;Inputs!$H$25,0,AW77+AW87)</f>
        <v>0</v>
      </c>
      <c r="AX89" s="7">
        <f>IF(AX1&lt;Inputs!$H$25,0,AX77+AX87)</f>
        <v>0</v>
      </c>
      <c r="AY89" s="7">
        <f>IF(AY1&lt;Inputs!$H$25,0,AY77+AY87)</f>
        <v>0</v>
      </c>
      <c r="AZ89" s="7">
        <f>IF(AZ1&lt;Inputs!$H$25,0,AZ77+AZ87)</f>
        <v>0</v>
      </c>
      <c r="BA89" s="7">
        <f>IF(BA1&lt;Inputs!$H$25,0,BA77+BA87)</f>
        <v>0</v>
      </c>
      <c r="BB89" s="7">
        <f>IF(BB1&lt;Inputs!$H$25,0,BB77+BB87)</f>
        <v>0</v>
      </c>
      <c r="BC89" s="7">
        <f>IF(BC1&lt;Inputs!$H$25,0,BC77+BC87)</f>
        <v>0</v>
      </c>
      <c r="BD89" s="7">
        <f>IF(BD1&lt;Inputs!$H$25,0,BD77+BD87)</f>
        <v>0</v>
      </c>
      <c r="BE89" s="7">
        <f>IF(BE1&lt;Inputs!$H$25,0,BE77+BE87)</f>
        <v>0</v>
      </c>
      <c r="BF89" s="7">
        <f>IF(BF1&lt;Inputs!$H$25,0,BF77+BF87)</f>
        <v>0</v>
      </c>
      <c r="BG89" s="7">
        <f>IF(BG1&lt;Inputs!$H$25,0,BG77+BG87)</f>
        <v>0</v>
      </c>
      <c r="BH89" s="7">
        <f>IF(BH1&lt;Inputs!$H$25,0,BH77+BH87)</f>
        <v>0</v>
      </c>
      <c r="BI89" s="7">
        <f>IF(BI1&lt;Inputs!$H$25,0,BI77+BI87)</f>
        <v>0</v>
      </c>
      <c r="BJ89" s="7">
        <f>IF(BJ1&lt;Inputs!$H$25,0,BJ77+BJ87)</f>
        <v>0</v>
      </c>
      <c r="BK89" s="7">
        <f>IF(BK1&lt;Inputs!$H$25,0,BK77+BK87)</f>
        <v>0</v>
      </c>
      <c r="BL89" s="7">
        <f>IF(BL1&lt;Inputs!$H$25,0,BL77+BL87)</f>
        <v>0</v>
      </c>
      <c r="BM89" s="7">
        <f>IF(BM1&lt;Inputs!$H$25,0,BM77+BM87)</f>
        <v>0</v>
      </c>
      <c r="BN89" s="7">
        <f>IF(BN1&lt;Inputs!$H$25,0,BN77+BN87)</f>
        <v>0</v>
      </c>
      <c r="BO89" s="7">
        <f>IF(BO1&lt;Inputs!$H$25,0,BO77+BO87)</f>
        <v>0</v>
      </c>
      <c r="BP89" s="7">
        <f>IF(BP1&lt;Inputs!$H$25,0,BP77+BP87)</f>
        <v>0</v>
      </c>
      <c r="BQ89" s="7">
        <f>IF(BQ1&lt;Inputs!$H$25,0,BQ77+BQ87)</f>
        <v>0</v>
      </c>
      <c r="BR89" s="7">
        <f>IF(BR1&lt;Inputs!$H$25,0,BR77+BR87)</f>
        <v>0</v>
      </c>
      <c r="BS89" s="7">
        <f>IF(BS1&lt;Inputs!$H$25,0,BS77+BS87)</f>
        <v>0</v>
      </c>
      <c r="BT89" s="7">
        <f>IF(BT1&lt;Inputs!$H$25,0,BT77+BT87)</f>
        <v>0</v>
      </c>
      <c r="BU89" s="7">
        <f>IF(BU1&lt;Inputs!$H$25,0,BU77+BU87)</f>
        <v>0</v>
      </c>
      <c r="BV89" s="7">
        <f>IF(BV1&lt;Inputs!$H$25,0,BV77+BV87)</f>
        <v>0</v>
      </c>
      <c r="BW89" s="7">
        <f>IF(BW1&lt;Inputs!$H$25,0,BW77+BW87)</f>
        <v>0</v>
      </c>
      <c r="BX89" s="7">
        <f>IF(BX1&lt;Inputs!$H$25,0,BX77+BX87)</f>
        <v>0</v>
      </c>
      <c r="BY89" s="7">
        <f>IF(BY1&lt;Inputs!$H$25,0,BY77+BY87)</f>
        <v>0</v>
      </c>
      <c r="BZ89" s="7">
        <f>IF(BZ1&lt;Inputs!$H$25,0,BZ77+BZ87)</f>
        <v>0</v>
      </c>
      <c r="CA89" s="7">
        <f>IF(CA1&lt;Inputs!$H$25,0,CA77+CA87)</f>
        <v>0</v>
      </c>
      <c r="CB89" s="7">
        <f>IF(CB1&lt;Inputs!$H$25,0,CB77+CB87)</f>
        <v>0</v>
      </c>
      <c r="CC89" s="7">
        <f>IF(CC1&lt;Inputs!$H$25,0,CC77+CC87)</f>
        <v>0</v>
      </c>
      <c r="CD89" s="7">
        <f>IF(CD1&lt;Inputs!$H$25,0,CD77+CD87)</f>
        <v>0</v>
      </c>
      <c r="CE89" s="7">
        <f>IF(CE1&lt;Inputs!$H$25,0,CE77+CE87)</f>
        <v>0</v>
      </c>
      <c r="CF89" s="7">
        <f>IF(CF1&lt;Inputs!$H$25,0,CF77+CF87)</f>
        <v>0</v>
      </c>
      <c r="CG89" s="7">
        <f>IF(CG1&lt;Inputs!$H$25,0,CG77+CG87)</f>
        <v>0</v>
      </c>
      <c r="CH89" s="7">
        <f>IF(CH1&lt;Inputs!$H$25,0,CH77+CH87)</f>
        <v>0</v>
      </c>
      <c r="CI89" s="7">
        <f>IF(CI1&lt;Inputs!$H$25,0,CI77+CI87)</f>
        <v>0</v>
      </c>
      <c r="CJ89" s="7">
        <f>IF(CJ1&lt;Inputs!$H$25,0,CJ77+CJ87)</f>
        <v>0</v>
      </c>
      <c r="CK89" s="7">
        <f>IF(CK1&lt;Inputs!$H$25,0,CK77+CK87)</f>
        <v>0</v>
      </c>
      <c r="CL89" s="7">
        <f>IF(CL1&lt;Inputs!$H$25,0,CL77+CL87)</f>
        <v>0</v>
      </c>
      <c r="CM89" s="7">
        <f>IF(CM1&lt;Inputs!$H$25,0,CM77+CM87)</f>
        <v>0</v>
      </c>
      <c r="CN89" s="7">
        <f>IF(CN1&lt;Inputs!$H$25,0,CN77+CN87)</f>
        <v>0</v>
      </c>
      <c r="CO89" s="7">
        <f>IF(CO1&lt;Inputs!$H$25,0,CO77+CO87)</f>
        <v>0</v>
      </c>
      <c r="CP89" s="7">
        <f>IF(CP1&lt;Inputs!$H$25,0,CP77+CP87)</f>
        <v>0</v>
      </c>
      <c r="CQ89" s="7">
        <f>IF(CQ1&lt;Inputs!$H$25,0,CQ77+CQ87)</f>
        <v>0</v>
      </c>
      <c r="CR89" s="7">
        <f>IF(CR1&lt;Inputs!$H$25,0,CR77+CR87)</f>
        <v>0</v>
      </c>
      <c r="CS89" s="7">
        <f>IF(CS1&lt;Inputs!$H$25,0,CS77+CS87)</f>
        <v>0</v>
      </c>
      <c r="CT89" s="7">
        <f>IF(CT1&lt;Inputs!$H$25,0,CT77+CT87)</f>
        <v>0</v>
      </c>
      <c r="CU89" s="7">
        <f>IF(CU1&lt;Inputs!$H$25,0,CU77+CU87)</f>
        <v>0</v>
      </c>
      <c r="CV89" s="7">
        <f>IF(CV1&lt;Inputs!$H$25,0,CV77+CV87)</f>
        <v>0</v>
      </c>
      <c r="CW89" s="7">
        <f>IF(CW1&lt;Inputs!$H$25,0,CW77+CW87)</f>
        <v>0</v>
      </c>
      <c r="CX89" s="7">
        <f>IF(CX1&lt;Inputs!$H$25,0,CX77+CX87)</f>
        <v>0</v>
      </c>
      <c r="CY89" s="7">
        <f>IF(CY1&lt;Inputs!$H$25,0,CY77+CY87)</f>
        <v>0</v>
      </c>
      <c r="CZ89" s="7">
        <f>IF(CZ1&lt;Inputs!$H$25,0,CZ77+CZ87)</f>
        <v>0</v>
      </c>
      <c r="DA89" s="7">
        <f>IF(DA1&lt;Inputs!$H$25,0,DA77+DA87)</f>
        <v>0</v>
      </c>
      <c r="DB89" s="7">
        <f>IF(DB1&lt;Inputs!$H$25,0,DB77+DB87)</f>
        <v>0</v>
      </c>
      <c r="DC89" s="7">
        <f>IF(DC1&lt;Inputs!$H$25,0,DC77+DC87)</f>
        <v>0</v>
      </c>
      <c r="DD89" s="7">
        <f>IF(DD1&lt;Inputs!$H$25,0,DD77+DD87)</f>
        <v>0</v>
      </c>
      <c r="DE89" s="7">
        <f>IF(DE1&lt;Inputs!$H$25,0,DE77+DE87)</f>
        <v>0</v>
      </c>
      <c r="DF89" s="7">
        <f>IF(DF1&lt;Inputs!$H$25,0,DF77+DF87)</f>
        <v>0</v>
      </c>
      <c r="DG89" s="7">
        <f>IF(DG1&lt;Inputs!$H$25,0,DG77+DG87)</f>
        <v>0</v>
      </c>
      <c r="DH89" s="7">
        <f>IF(DH1&lt;Inputs!$H$25,0,DH77+DH87)</f>
        <v>0</v>
      </c>
      <c r="DI89" s="7">
        <f>IF(DI1&lt;Inputs!$H$25,0,DI77+DI87)</f>
        <v>0</v>
      </c>
      <c r="DJ89" s="7">
        <f>IF(DJ1&lt;Inputs!$H$25,0,DJ77+DJ87)</f>
        <v>0</v>
      </c>
      <c r="DK89" s="7">
        <f>IF(DK1&lt;Inputs!$H$25,0,DK77+DK87)</f>
        <v>0</v>
      </c>
      <c r="DL89" s="7">
        <f>IF(DL1&lt;Inputs!$H$25,0,DL77+DL87)</f>
        <v>0</v>
      </c>
      <c r="DM89" s="7">
        <f>IF(DM1&lt;Inputs!$H$25,0,DM77+DM87)</f>
        <v>0</v>
      </c>
      <c r="DN89" s="7">
        <f>IF(DN1&lt;Inputs!$H$25,0,DN77+DN87)</f>
        <v>0</v>
      </c>
      <c r="DO89" s="7">
        <f>IF(DO1&lt;Inputs!$H$25,0,DO77+DO87)</f>
        <v>0</v>
      </c>
      <c r="DP89" s="7">
        <f>IF(DP1&lt;Inputs!$H$25,0,DP77+DP87)</f>
        <v>0</v>
      </c>
      <c r="DQ89" s="7">
        <f>IF(DQ1&lt;Inputs!$H$25,0,DQ77+DQ87)</f>
        <v>0</v>
      </c>
      <c r="DR89" s="7">
        <f>IF(DR1&lt;Inputs!$H$25,0,DR77+DR87)</f>
        <v>1201366.5941631054</v>
      </c>
      <c r="DS89" s="7">
        <f>IF(DS1&lt;Inputs!$H$25,0,DS77+DS87)</f>
        <v>1213201.8543835804</v>
      </c>
      <c r="DT89" s="7">
        <f>IF(DT1&lt;Inputs!$H$25,0,DT77+DT87)</f>
        <v>1071830.5197819658</v>
      </c>
      <c r="DU89" s="7">
        <f>IF(DU1&lt;Inputs!$H$25,0,DU77+DU87)</f>
        <v>1220495.5669177042</v>
      </c>
      <c r="DV89" s="7">
        <f>IF(DV1&lt;Inputs!$H$25,0,DV77+DV87)</f>
        <v>1175702.3257639178</v>
      </c>
      <c r="DW89" s="7">
        <f>IF(DW1&lt;Inputs!$H$25,0,DW77+DW87)</f>
        <v>1227845.401356627</v>
      </c>
      <c r="DX89" s="7">
        <f>IF(DX1&lt;Inputs!$H$25,0,DX77+DX87)</f>
        <v>1182955.9773282986</v>
      </c>
      <c r="DY89" s="7">
        <f>IF(DY1&lt;Inputs!$H$25,0,DY77+DY87)</f>
        <v>1235251.9144540278</v>
      </c>
      <c r="DZ89" s="7">
        <f>IF(DZ1&lt;Inputs!$H$25,0,DZ77+DZ87)</f>
        <v>1238976.6011722749</v>
      </c>
      <c r="EA89" s="7">
        <f>IF(EA1&lt;Inputs!$H$25,0,EA77+EA87)</f>
        <v>1193942.6511884555</v>
      </c>
      <c r="EB89" s="7">
        <f>IF(EB1&lt;Inputs!$H$25,0,EB77+EB87)</f>
        <v>1246469.1897022303</v>
      </c>
      <c r="EC89" s="7">
        <f>IF(EC1&lt;Inputs!$H$25,0,EC77+EC87)</f>
        <v>1201338.723853311</v>
      </c>
      <c r="ED89" s="7">
        <f>IF(ED1&lt;Inputs!$H$25,0,ED77+ED87)</f>
        <v>1254019.8759552343</v>
      </c>
      <c r="EE89" s="7">
        <f>IF(EE1&lt;Inputs!$H$25,0,EE77+EE87)</f>
        <v>1261774.128282693</v>
      </c>
      <c r="EF89" s="7">
        <f>IF(EF1&lt;Inputs!$H$25,0,EF77+EF87)</f>
        <v>1118323.5745436982</v>
      </c>
      <c r="EG89" s="7">
        <f>IF(EG1&lt;Inputs!$H$25,0,EG77+EG87)</f>
        <v>1269413.0481635935</v>
      </c>
      <c r="EH89" s="7">
        <f>IF(EH1&lt;Inputs!$H$25,0,EH77+EH87)</f>
        <v>1224040.7273698342</v>
      </c>
      <c r="EI89" s="7">
        <f>IF(EI1&lt;Inputs!$H$25,0,EI77+EI87)</f>
        <v>1275767.2104180411</v>
      </c>
      <c r="EJ89" s="7">
        <f>IF(EJ1&lt;Inputs!$H$25,0,EJ77+EJ87)</f>
        <v>1228945.7703689623</v>
      </c>
      <c r="EK89" s="7">
        <f>IF(EK1&lt;Inputs!$H$25,0,EK77+EK87)</f>
        <v>1280813.6387042378</v>
      </c>
      <c r="EL89" s="7">
        <f>IF(EL1&lt;Inputs!$H$25,0,EL77+EL87)</f>
        <v>1283347.7199665296</v>
      </c>
      <c r="EM89" s="7">
        <f>IF(EM1&lt;Inputs!$H$25,0,EM77+EM87)</f>
        <v>1236356.8027430412</v>
      </c>
      <c r="EN89" s="7">
        <f>IF(EN1&lt;Inputs!$H$25,0,EN77+EN87)</f>
        <v>1288437.7644099414</v>
      </c>
      <c r="EO89" s="7">
        <f>IF(EO1&lt;Inputs!$H$25,0,EO77+EO87)</f>
        <v>1241333.478771857</v>
      </c>
      <c r="EP89" s="7">
        <f>IF(EP1&lt;Inputs!$H$25,0,EP77+EP87)</f>
        <v>1293557.1834148848</v>
      </c>
      <c r="EQ89" s="7">
        <f>IF(EQ1&lt;Inputs!$H$25,0,EQ77+EQ87)</f>
        <v>1297945.2121772892</v>
      </c>
      <c r="ER89" s="7">
        <f>IF(ER1&lt;Inputs!$H$25,0,ER77+ER87)</f>
        <v>1150964.0013825581</v>
      </c>
      <c r="ES89" s="7">
        <f>IF(ES1&lt;Inputs!$H$25,0,ES77+ES87)</f>
        <v>1303109.1448067632</v>
      </c>
      <c r="ET89" s="7">
        <f>IF(ET1&lt;Inputs!$H$25,0,ET77+ET87)</f>
        <v>1255720.0939493133</v>
      </c>
      <c r="EU89" s="7">
        <f>IF(EU1&lt;Inputs!$H$25,0,EU77+EU87)</f>
        <v>1308303.0579807048</v>
      </c>
      <c r="EV89" s="7">
        <f>IF(EV1&lt;Inputs!$H$25,0,EV77+EV87)</f>
        <v>1260799.5628677683</v>
      </c>
      <c r="EW89" s="7">
        <f>IF(EW1&lt;Inputs!$H$25,0,EW77+EW87)</f>
        <v>1313527.1984567046</v>
      </c>
      <c r="EX89" s="7">
        <f>IF(EX1&lt;Inputs!$H$25,0,EX77+EX87)</f>
        <v>1316150.6817373903</v>
      </c>
      <c r="EY89" s="7">
        <f>IF(EY1&lt;Inputs!$H$25,0,EY77+EY87)</f>
        <v>1268474.9430872309</v>
      </c>
      <c r="EZ89" s="7">
        <f>IF(EZ1&lt;Inputs!$H$25,0,EZ77+EZ87)</f>
        <v>1321420.6313922936</v>
      </c>
      <c r="FA89" s="7">
        <f>IF(FA1&lt;Inputs!$H$25,0,FA77+FA87)</f>
        <v>1273629.6787138912</v>
      </c>
      <c r="FB89" s="7">
        <f>IF(FB1&lt;Inputs!$H$25,0,FB77+FB87)</f>
        <v>1326721.4364007581</v>
      </c>
      <c r="FC89" s="7">
        <f>IF(FC1&lt;Inputs!$H$25,0,FC77+FC87)</f>
        <v>1331504.2050629274</v>
      </c>
      <c r="FD89" s="7">
        <f>IF(FD1&lt;Inputs!$H$25,0,FD77+FD87)</f>
        <v>1182271.4241969923</v>
      </c>
      <c r="FE89" s="7">
        <f>IF(FE1&lt;Inputs!$H$25,0,FE77+FE87)</f>
        <v>1336851.7734729452</v>
      </c>
      <c r="FF89" s="7">
        <f>IF(FF1&lt;Inputs!$H$25,0,FF77+FF87)</f>
        <v>1288771.4371470015</v>
      </c>
      <c r="FG89" s="7">
        <f>IF(FG1&lt;Inputs!$H$25,0,FG77+FG87)</f>
        <v>1342230.8415881945</v>
      </c>
      <c r="FH89" s="7">
        <f>IF(FH1&lt;Inputs!$H$25,0,FH77+FH87)</f>
        <v>1294034.2120279232</v>
      </c>
      <c r="FI89" s="7">
        <f>IF(FI1&lt;Inputs!$H$25,0,FI77+FI87)</f>
        <v>1347641.6718164778</v>
      </c>
      <c r="FJ89" s="7">
        <f>IF(FJ1&lt;Inputs!$H$25,0,FJ77+FJ87)</f>
        <v>1350359.0804661799</v>
      </c>
      <c r="FK89" s="7">
        <f>IF(FK1&lt;Inputs!$H$25,0,FK77+FK87)</f>
        <v>1301987.4323608875</v>
      </c>
      <c r="FL89" s="7">
        <f>IF(FL1&lt;Inputs!$H$25,0,FL77+FL87)</f>
        <v>1355818.0518195108</v>
      </c>
      <c r="FM89" s="7">
        <f>IF(FM1&lt;Inputs!$H$25,0,FM77+FM87)</f>
        <v>1307329.338741757</v>
      </c>
      <c r="FN89" s="7">
        <f>IF(FN1&lt;Inputs!$H$25,0,FN77+FN87)</f>
        <v>1361309.453237317</v>
      </c>
      <c r="FO89" s="7">
        <f>IF(FO1&lt;Inputs!$H$25,0,FO77+FO87)</f>
        <v>1368894.4940213102</v>
      </c>
      <c r="FP89" s="7">
        <f>IF(FP1&lt;Inputs!$H$25,0,FP77+FP87)</f>
        <v>1217367.5117501388</v>
      </c>
      <c r="FQ89" s="7">
        <f>IF(FQ1&lt;Inputs!$H$25,0,FQ77+FQ87)</f>
        <v>1374435.0514800746</v>
      </c>
      <c r="FR89" s="7">
        <f>IF(FR1&lt;Inputs!$H$25,0,FR77+FR87)</f>
        <v>1325652.324554607</v>
      </c>
      <c r="FS89" s="7">
        <f>IF(FS1&lt;Inputs!$H$25,0,FS77+FS87)</f>
        <v>1380008.7243869905</v>
      </c>
      <c r="FT89" s="7">
        <f>IF(FT1&lt;Inputs!$H$25,0,FT77+FT87)</f>
        <v>1331107.8511759264</v>
      </c>
      <c r="FU89" s="7">
        <f>IF(FU1&lt;Inputs!$H$25,0,FU77+FU87)</f>
        <v>1385615.791887007</v>
      </c>
      <c r="FV89" s="7">
        <f>IF(FV1&lt;Inputs!$H$25,0,FV77+FV87)</f>
        <v>1388431.9366344591</v>
      </c>
      <c r="FW89" s="7">
        <f>IF(FW1&lt;Inputs!$H$25,0,FW77+FW87)</f>
        <v>1339353.2644614624</v>
      </c>
      <c r="FX89" s="7">
        <f>IF(FX1&lt;Inputs!$H$25,0,FX77+FX87)</f>
        <v>1394089.6257748466</v>
      </c>
      <c r="FY89" s="7">
        <f>IF(FY1&lt;Inputs!$H$25,0,FY77+FY87)</f>
        <v>1344892.0345538668</v>
      </c>
      <c r="FZ89" s="7">
        <f>IF(FZ1&lt;Inputs!$H$25,0,FZ77+FZ87)</f>
        <v>1399781.4201323781</v>
      </c>
      <c r="GA89" s="7">
        <f>IF(GA1&lt;Inputs!$H$25,0,GA77+GA87)</f>
        <v>1407816.2420087745</v>
      </c>
      <c r="GB89" s="7">
        <f>IF(GB1&lt;Inputs!$H$25,0,GB77+GB87)</f>
        <v>1253951.7695507857</v>
      </c>
      <c r="GC89" s="7">
        <f>IF(GC1&lt;Inputs!$H$25,0,GC77+GC87)</f>
        <v>1413559.7378351111</v>
      </c>
      <c r="GD89" s="7">
        <f>IF(GD1&lt;Inputs!$H$25,0,GD77+GD87)</f>
        <v>1364063.4964425666</v>
      </c>
      <c r="GE89" s="7">
        <f>IF(GE1&lt;Inputs!$H$25,0,GE77+GE87)</f>
        <v>1419338.0681478381</v>
      </c>
      <c r="GF89" s="7">
        <f>IF(GF1&lt;Inputs!$H$25,0,GF77+GF87)</f>
        <v>1369721.8256665175</v>
      </c>
      <c r="GG89" s="7">
        <f>IF(GG1&lt;Inputs!$H$25,0,GG77+GG87)</f>
        <v>1425151.5299936612</v>
      </c>
      <c r="GH89" s="7">
        <f>IF(GH1&lt;Inputs!$H$25,0,GH77+GH87)</f>
        <v>1428071.5289159953</v>
      </c>
      <c r="GI89" s="7">
        <f>IF(GI1&lt;Inputs!$H$25,0,GI77+GI87)</f>
        <v>1378274.7051944274</v>
      </c>
      <c r="GJ89" s="7">
        <f>IF(GJ1&lt;Inputs!$H$25,0,GJ77+GJ87)</f>
        <v>1433938.2518205768</v>
      </c>
      <c r="GK89" s="7">
        <f>IF(GK1&lt;Inputs!$H$25,0,GK77+GK87)</f>
        <v>1384020.6542546116</v>
      </c>
      <c r="GL89" s="7">
        <f>IF(GL1&lt;Inputs!$H$25,0,GL77+GL87)</f>
        <v>1439840.8625257388</v>
      </c>
      <c r="GM89" s="7">
        <f>IF(GM1&lt;Inputs!$H$25,0,GM77+GM87)</f>
        <v>1444612.9236108053</v>
      </c>
      <c r="GN89" s="7">
        <f>IF(GN1&lt;Inputs!$H$25,0,GN77+GN87)</f>
        <v>1288367.0161396621</v>
      </c>
      <c r="GO89" s="7">
        <f>IF(GO1&lt;Inputs!$H$25,0,GO77+GO87)</f>
        <v>1450569.9446365489</v>
      </c>
      <c r="GP89" s="7">
        <f>IF(GP1&lt;Inputs!$H$25,0,GP77+GP87)</f>
        <v>1400349.0606392904</v>
      </c>
      <c r="GQ89" s="7">
        <f>IF(GQ1&lt;Inputs!$H$25,0,GQ77+GQ87)</f>
        <v>1455560.8614461962</v>
      </c>
      <c r="GR89" s="7">
        <f>IF(GR1&lt;Inputs!$H$25,0,GR77+GR87)</f>
        <v>1404209.504635714</v>
      </c>
      <c r="GS89" s="7">
        <f>IF(GS1&lt;Inputs!$H$25,0,GS77+GS87)</f>
        <v>1459568.4076701079</v>
      </c>
      <c r="GT89" s="7">
        <f>IF(GT1&lt;Inputs!$H$25,0,GT77+GT87)</f>
        <v>1461577.2883524701</v>
      </c>
      <c r="GU89" s="7">
        <f>IF(GU1&lt;Inputs!$H$25,0,GU77+GU87)</f>
        <v>1410024.8160724901</v>
      </c>
      <c r="GV89" s="7">
        <f>IF(GV1&lt;Inputs!$H$25,0,GV77+GV87)</f>
        <v>1465605.2935180536</v>
      </c>
      <c r="GW89" s="7">
        <f>IF(GW1&lt;Inputs!$H$25,0,GW77+GW87)</f>
        <v>1413918.1852527906</v>
      </c>
      <c r="GX89" s="7">
        <f>IF(GX1&lt;Inputs!$H$25,0,GX77+GX87)</f>
        <v>1469646.9954102288</v>
      </c>
      <c r="GY89" s="7">
        <f>IF(GY1&lt;Inputs!$H$25,0,GY77+GY87)</f>
        <v>1471672.9970369444</v>
      </c>
      <c r="GZ89" s="7">
        <f>IF(GZ1&lt;Inputs!$H$25,0,GZ77+GZ87)</f>
        <v>1311944.3973542354</v>
      </c>
      <c r="HA89" s="7">
        <f>IF(HA1&lt;Inputs!$H$25,0,HA77+HA87)</f>
        <v>1475735.3305524334</v>
      </c>
      <c r="HB89" s="7">
        <f>IF(HB1&lt;Inputs!$H$25,0,HB77+HB87)</f>
        <v>1423709.6649131845</v>
      </c>
      <c r="HC89" s="7">
        <f>IF(HC1&lt;Inputs!$H$25,0,HC77+HC87)</f>
        <v>1479811.4763980601</v>
      </c>
      <c r="HD89" s="7">
        <f>IF(HD1&lt;Inputs!$H$25,0,HD77+HD87)</f>
        <v>1427649.5969044694</v>
      </c>
      <c r="HE89" s="7">
        <f>IF(HE1&lt;Inputs!$H$25,0,HE77+HE87)</f>
        <v>1483901.4810866972</v>
      </c>
      <c r="HF89" s="7">
        <f>IF(HF1&lt;Inputs!$H$25,0,HF77+HF87)</f>
        <v>1485951.69507503</v>
      </c>
      <c r="HG89" s="7">
        <f>IF(HG1&lt;Inputs!$H$25,0,HG77+HG87)</f>
        <v>1433584.6426874972</v>
      </c>
      <c r="HH89" s="7">
        <f>IF(HH1&lt;Inputs!$H$25,0,HH77+HH87)</f>
        <v>1490062.5755809797</v>
      </c>
      <c r="HI89" s="7">
        <f>IF(HI1&lt;Inputs!$H$25,0,HI77+HI87)</f>
        <v>1437558.1709780921</v>
      </c>
      <c r="HJ89" s="7">
        <f>IF(HJ1&lt;Inputs!$H$25,0,HJ77+HJ87)</f>
        <v>1494187.4318953007</v>
      </c>
      <c r="HK89" s="7">
        <f>IF(HK1&lt;Inputs!$H$25,0,HK77+HK87)</f>
        <v>1496255.1156809409</v>
      </c>
      <c r="HL89" s="7">
        <f>IF(HL1&lt;Inputs!$H$25,0,HL77+HL87)</f>
        <v>1333978.8484013854</v>
      </c>
      <c r="HM89" s="7">
        <f>IF(HM1&lt;Inputs!$H$25,0,HM77+HM87)</f>
        <v>1500401.0239960654</v>
      </c>
      <c r="HN89" s="7">
        <f>IF(HN1&lt;Inputs!$H$25,0,HN77+HN87)</f>
        <v>1447551.2317426614</v>
      </c>
      <c r="HO89" s="7">
        <f>IF(HO1&lt;Inputs!$H$25,0,HO77+HO87)</f>
        <v>1504561.0260674329</v>
      </c>
      <c r="HP89" s="7">
        <f>IF(HP1&lt;Inputs!$H$25,0,HP77+HP87)</f>
        <v>1451572.27188901</v>
      </c>
      <c r="HQ89" s="7">
        <f>IF(HQ1&lt;Inputs!$H$25,0,HQ77+HQ87)</f>
        <v>1508735.1693511396</v>
      </c>
      <c r="HR89" s="7">
        <f>IF(HR1&lt;Inputs!$H$25,0,HR77+HR87)</f>
        <v>1510827.5588211261</v>
      </c>
      <c r="HS89" s="7">
        <f>IF(HS1&lt;Inputs!$H$25,0,HS77+HS87)</f>
        <v>1457629.4924475253</v>
      </c>
      <c r="HT89" s="7">
        <f>IF(HT1&lt;Inputs!$H$25,0,HT77+HT87)</f>
        <v>1515023.0032515833</v>
      </c>
      <c r="HU89" s="7">
        <f>IF(HU1&lt;Inputs!$H$25,0,HU77+HU87)</f>
        <v>1461684.813620369</v>
      </c>
      <c r="HV89" s="7">
        <f>IF(HV1&lt;Inputs!$H$25,0,HV77+HV87)</f>
        <v>1519232.7082316198</v>
      </c>
      <c r="HW89" s="7">
        <f>IF(HW1&lt;Inputs!$H$25,0,HW77+HW87)</f>
        <v>1521342.9234261678</v>
      </c>
      <c r="HX89" s="7">
        <f>IF(HX1&lt;Inputs!$H$25,0,HX77+HX87)</f>
        <v>1356467.5734498946</v>
      </c>
      <c r="HY89" s="7">
        <f>IF(HY1&lt;Inputs!$H$25,0,HY77+HY87)</f>
        <v>1525574.1093091413</v>
      </c>
      <c r="HZ89" s="7">
        <f>IF(HZ1&lt;Inputs!$H$25,0,HZ77+HZ87)</f>
        <v>1471883.5639191596</v>
      </c>
      <c r="IA89" s="7">
        <f>IF(IA1&lt;Inputs!$H$25,0,IA77+IA87)</f>
        <v>1529819.6760813221</v>
      </c>
      <c r="IB89" s="7">
        <f>IF(IB1&lt;Inputs!$H$25,0,IB77+IB87)</f>
        <v>1475987.3652408491</v>
      </c>
      <c r="IC89" s="7">
        <f>IF(IC1&lt;Inputs!$H$25,0,IC77+IC87)</f>
        <v>1534079.67216111</v>
      </c>
      <c r="ID89" s="7">
        <f>IF(ID1&lt;Inputs!$H$25,0,ID77+ID87)</f>
        <v>1536215.0963664614</v>
      </c>
      <c r="IE89" s="7">
        <f>IF(IE1&lt;Inputs!$H$25,0,IE77+IE87)</f>
        <v>1482169.250500354</v>
      </c>
      <c r="IF89" s="7">
        <f>IF(IF1&lt;Inputs!$H$25,0,IF77+IF87)</f>
        <v>1540496.8275472659</v>
      </c>
      <c r="IG89" s="7">
        <f>IF(IG1&lt;Inputs!$H$25,0,IG77+IG87)</f>
        <v>1486308.0314628794</v>
      </c>
      <c r="IH89" s="7">
        <f>IF(IH1&lt;Inputs!$H$25,0,IH77+IH87)</f>
        <v>1544793.1097927811</v>
      </c>
      <c r="II89" s="7">
        <f>IF(II1&lt;Inputs!$H$25,0,II77+II87)</f>
        <v>1546946.7228673697</v>
      </c>
      <c r="IJ89" s="7">
        <f>IF(IJ1&lt;Inputs!$H$25,0,IJ77+IJ87)</f>
        <v>1379419.8373935015</v>
      </c>
      <c r="IK89" s="7">
        <f>IF(IK1&lt;Inputs!$H$25,0,IK77+IK87)</f>
        <v>1551264.9236150638</v>
      </c>
      <c r="IL89" s="7">
        <f>IF(IL1&lt;Inputs!$H$25,0,IL77+IL87)</f>
        <v>1496716.6630502255</v>
      </c>
      <c r="IM89" s="7">
        <f>IF(IM1&lt;Inputs!$H$25,0,IM77+IM87)</f>
        <v>1555597.7982072392</v>
      </c>
      <c r="IN89" s="7">
        <f>IF(IN1&lt;Inputs!$H$25,0,IN77+IN87)</f>
        <v>1500904.9120924594</v>
      </c>
      <c r="IO89" s="7">
        <f>IF(IO1&lt;Inputs!$H$25,0,IO77+IO87)</f>
        <v>1559945.3960440701</v>
      </c>
      <c r="IP89" s="7">
        <f>IF(IP1&lt;Inputs!$H$25,0,IP77+IP87)</f>
        <v>1562124.731662038</v>
      </c>
      <c r="IQ89" s="7">
        <f>IF(IQ1&lt;Inputs!$H$25,0,IQ77+IQ87)</f>
        <v>1507214.0024761583</v>
      </c>
      <c r="IR89" s="7">
        <f>IF(IR1&lt;Inputs!$H$25,0,IR77+IR87)</f>
        <v>1566494.5073534658</v>
      </c>
      <c r="IS89" s="7">
        <f>IF(IS1&lt;Inputs!$H$25,0,IS77+IS87)</f>
        <v>1511437.9439416949</v>
      </c>
      <c r="IT89" s="7">
        <f>IF(IT1&lt;Inputs!$H$25,0,IT77+IT87)</f>
        <v>1570879.1305154711</v>
      </c>
      <c r="IU89" s="7">
        <f>IF(IU1&lt;Inputs!$H$25,0,IU77+IU87)</f>
        <v>1573077.0255107859</v>
      </c>
      <c r="IV89" s="7">
        <f>IF(IV1&lt;Inputs!$H$25,0,IV77+IV87)</f>
        <v>1402845.0930929091</v>
      </c>
      <c r="IW89" s="7">
        <f>IF(IW1&lt;Inputs!$H$25,0,IW77+IW87)</f>
        <v>1577484.013647266</v>
      </c>
      <c r="IX89" s="7">
        <f>IF(IX1&lt;Inputs!$H$25,0,IX77+IX87)</f>
        <v>1522060.7335820696</v>
      </c>
      <c r="IY89" s="7">
        <f>IF(IY1&lt;Inputs!$H$25,0,IY77+IY87)</f>
        <v>1581905.9745236021</v>
      </c>
      <c r="IZ89" s="7">
        <f>IF(IZ1&lt;Inputs!$H$25,0,IZ77+IZ87)</f>
        <v>1526335.1510932585</v>
      </c>
      <c r="JA89" s="7">
        <f>IF(JA1&lt;Inputs!$H$25,0,JA77+JA87)</f>
        <v>1586342.9585416033</v>
      </c>
      <c r="JB89" s="7">
        <f>IF(JB1&lt;Inputs!$H$25,0,JB77+JB87)</f>
        <v>1588567.1000254604</v>
      </c>
      <c r="JC89" s="7">
        <f>IF(JC1&lt;Inputs!$H$25,0,JC77+JC87)</f>
        <v>1532774.038543738</v>
      </c>
      <c r="JD89" s="7">
        <f>IF(JD1&lt;Inputs!$H$25,0,JD77+JD87)</f>
        <v>1593026.7136289661</v>
      </c>
      <c r="JE89" s="7">
        <f>IF(JE1&lt;Inputs!$H$25,0,JE77+JE87)</f>
        <v>1537084.8757154709</v>
      </c>
      <c r="JF89" s="7">
        <f>IF(JF1&lt;Inputs!$H$25,0,JF77+JF87)</f>
        <v>1597501.4771188227</v>
      </c>
      <c r="JG89" s="7">
        <f>IF(JG1&lt;Inputs!$H$25,0,JG77+JG87)</f>
        <v>1599744.5560005335</v>
      </c>
      <c r="JH89" s="7">
        <f>IF(JH1&lt;Inputs!$H$25,0,JH77+JH87)</f>
        <v>1426752.9851794324</v>
      </c>
      <c r="JI89" s="7">
        <f>IF(JI1&lt;Inputs!$H$25,0,JI77+JI87)</f>
        <v>1604242.1399897167</v>
      </c>
      <c r="JJ89" s="7">
        <f>IF(JJ1&lt;Inputs!$H$25,0,JJ77+JJ87)</f>
        <v>1547926.1869033976</v>
      </c>
      <c r="JK89" s="7">
        <f>IF(JK1&lt;Inputs!$H$25,0,JK77+JK87)</f>
        <v>1608755.0016743988</v>
      </c>
      <c r="JL89" s="7">
        <f>IF(JL1&lt;Inputs!$H$25,0,JL77+JL87)</f>
        <v>1552288.5285271534</v>
      </c>
      <c r="JM89" s="7">
        <f>IF(JM1&lt;Inputs!$H$25,0,JM77+JM87)</f>
        <v>1613283.1924782856</v>
      </c>
      <c r="JN89" s="7">
        <f>IF(JN1&lt;Inputs!$H$25,0,JN77+JN87)</f>
        <v>1615553.0524169398</v>
      </c>
      <c r="JO89" s="7">
        <f>IF(JO1&lt;Inputs!$H$25,0,JO77+JO87)</f>
        <v>1558859.8575487025</v>
      </c>
      <c r="JP89" s="7">
        <f>IF(JP1&lt;Inputs!$H$25,0,JP77+JP87)</f>
        <v>1620104.3336961768</v>
      </c>
      <c r="JQ89" s="7">
        <f>IF(JQ1&lt;Inputs!$H$25,0,JQ77+JQ87)</f>
        <v>1563259.3608174575</v>
      </c>
      <c r="JR89" s="7">
        <f>IF(JR1&lt;Inputs!$H$25,0,JR77+JR87)</f>
        <v>1624671.0734090204</v>
      </c>
    </row>
    <row r="91" spans="2:278" x14ac:dyDescent="0.2">
      <c r="B91" s="60" t="s">
        <v>123</v>
      </c>
      <c r="C91" s="61">
        <f t="shared" ref="C91:Z91" si="990">C72-C89</f>
        <v>-751857.530441407</v>
      </c>
      <c r="D91" s="61">
        <f t="shared" si="990"/>
        <v>-948893.02905530925</v>
      </c>
      <c r="E91" s="61">
        <f t="shared" si="990"/>
        <v>-1034068.0691139193</v>
      </c>
      <c r="F91" s="61">
        <f t="shared" si="990"/>
        <v>-1096340.0237771731</v>
      </c>
      <c r="G91" s="61">
        <f t="shared" si="990"/>
        <v>-1178117.2898574094</v>
      </c>
      <c r="H91" s="61">
        <f t="shared" si="990"/>
        <v>-1307033.0668461528</v>
      </c>
      <c r="I91" s="61">
        <f t="shared" si="990"/>
        <v>-1440964.8925732085</v>
      </c>
      <c r="J91" s="61">
        <f t="shared" si="990"/>
        <v>-1557122.7496823799</v>
      </c>
      <c r="K91" s="61">
        <f t="shared" si="990"/>
        <v>-1660025.9329952977</v>
      </c>
      <c r="L91" s="61">
        <f t="shared" si="990"/>
        <v>-1749555.0092197431</v>
      </c>
      <c r="M91" s="61">
        <f t="shared" si="990"/>
        <v>-1828908.9067456364</v>
      </c>
      <c r="N91" s="61">
        <f t="shared" si="990"/>
        <v>-1925152.6477794694</v>
      </c>
      <c r="O91" s="61">
        <f t="shared" si="990"/>
        <v>-2006259.1657289483</v>
      </c>
      <c r="P91" s="61">
        <f t="shared" si="990"/>
        <v>-2006259.1657289483</v>
      </c>
      <c r="Q91" s="61">
        <f t="shared" si="990"/>
        <v>-2006259.1657289483</v>
      </c>
      <c r="R91" s="61">
        <f t="shared" si="990"/>
        <v>-1213635.2408353915</v>
      </c>
      <c r="S91" s="61">
        <f t="shared" si="990"/>
        <v>-1049466.7655459703</v>
      </c>
      <c r="T91" s="61">
        <f t="shared" si="990"/>
        <v>-1189716.9864817988</v>
      </c>
      <c r="U91" s="61">
        <f t="shared" si="990"/>
        <v>-1018244.6751644639</v>
      </c>
      <c r="V91" s="61">
        <f t="shared" si="990"/>
        <v>-1012620.412861164</v>
      </c>
      <c r="W91" s="61">
        <f t="shared" si="990"/>
        <v>-1153526.841194018</v>
      </c>
      <c r="X91" s="61">
        <f t="shared" si="990"/>
        <v>-987844.19512373232</v>
      </c>
      <c r="Y91" s="61">
        <f t="shared" si="990"/>
        <v>-1129189.287975044</v>
      </c>
      <c r="Z91" s="61">
        <f t="shared" si="990"/>
        <v>-962896.54775641905</v>
      </c>
      <c r="AA91" s="61">
        <f>AA72-AA89</f>
        <v>-733261.91640031477</v>
      </c>
      <c r="AB91" s="61">
        <f t="shared" ref="AB91:CM91" si="991">AB72-AB89</f>
        <v>-1184440.6679162164</v>
      </c>
      <c r="AC91" s="61">
        <f t="shared" si="991"/>
        <v>-708054.12022488611</v>
      </c>
      <c r="AD91" s="61">
        <f t="shared" si="991"/>
        <v>938479.18292621453</v>
      </c>
      <c r="AE91" s="61">
        <f t="shared" si="991"/>
        <v>1165940.9896200215</v>
      </c>
      <c r="AF91" s="61">
        <f t="shared" si="991"/>
        <v>963420.45880853105</v>
      </c>
      <c r="AG91" s="61">
        <f t="shared" si="991"/>
        <v>1191501.3505743276</v>
      </c>
      <c r="AH91" s="61">
        <f t="shared" si="991"/>
        <v>1204348.4634021106</v>
      </c>
      <c r="AI91" s="61">
        <f t="shared" si="991"/>
        <v>1001163.1975864745</v>
      </c>
      <c r="AJ91" s="61">
        <f t="shared" si="991"/>
        <v>1230177.6003270717</v>
      </c>
      <c r="AK91" s="61">
        <f t="shared" si="991"/>
        <v>1026548.0068156718</v>
      </c>
      <c r="AL91" s="61">
        <f t="shared" si="991"/>
        <v>1256188.0276311217</v>
      </c>
      <c r="AM91" s="61">
        <f t="shared" si="991"/>
        <v>1301747.2435203765</v>
      </c>
      <c r="AN91" s="61">
        <f t="shared" si="991"/>
        <v>662614.35471860552</v>
      </c>
      <c r="AO91" s="61">
        <f t="shared" si="991"/>
        <v>1328032.8118786034</v>
      </c>
      <c r="AP91" s="61">
        <f t="shared" si="991"/>
        <v>1310628.0256900832</v>
      </c>
      <c r="AQ91" s="61">
        <f t="shared" si="991"/>
        <v>1520436.9322233321</v>
      </c>
      <c r="AR91" s="61">
        <f t="shared" si="991"/>
        <v>1315521.4206236957</v>
      </c>
      <c r="AS91" s="61">
        <f t="shared" si="991"/>
        <v>1547649.0077106024</v>
      </c>
      <c r="AT91" s="61">
        <f t="shared" si="991"/>
        <v>1561326.5450466755</v>
      </c>
      <c r="AU91" s="61">
        <f t="shared" si="991"/>
        <v>1355739.3242962146</v>
      </c>
      <c r="AV91" s="61">
        <f t="shared" si="991"/>
        <v>1588825.7395474976</v>
      </c>
      <c r="AW91" s="61">
        <f t="shared" si="991"/>
        <v>1382789.5711805196</v>
      </c>
      <c r="AX91" s="61">
        <f t="shared" si="991"/>
        <v>1616518.602226445</v>
      </c>
      <c r="AY91" s="61">
        <f t="shared" si="991"/>
        <v>1665272.0935758394</v>
      </c>
      <c r="AZ91" s="61">
        <f t="shared" si="991"/>
        <v>1237880.7772205928</v>
      </c>
      <c r="BA91" s="61">
        <f t="shared" si="991"/>
        <v>1693258.8909587455</v>
      </c>
      <c r="BB91" s="61">
        <f t="shared" si="991"/>
        <v>1486096.3858074651</v>
      </c>
      <c r="BC91" s="61">
        <f t="shared" si="991"/>
        <v>1721443.9622033618</v>
      </c>
      <c r="BD91" s="61">
        <f t="shared" si="991"/>
        <v>1513829.3455288815</v>
      </c>
      <c r="BE91" s="61">
        <f t="shared" si="991"/>
        <v>1749829.1848046742</v>
      </c>
      <c r="BF91" s="61">
        <f t="shared" si="991"/>
        <v>1764097.4451729304</v>
      </c>
      <c r="BG91" s="61">
        <f t="shared" si="991"/>
        <v>1555802.9844656258</v>
      </c>
      <c r="BH91" s="61">
        <f t="shared" si="991"/>
        <v>1792786.4599608043</v>
      </c>
      <c r="BI91" s="61">
        <f t="shared" si="991"/>
        <v>1584037.6581994148</v>
      </c>
      <c r="BJ91" s="61">
        <f t="shared" si="991"/>
        <v>1821680.4099253369</v>
      </c>
      <c r="BK91" s="61">
        <f t="shared" si="991"/>
        <v>1873556.8512392507</v>
      </c>
      <c r="BL91" s="61">
        <f t="shared" si="991"/>
        <v>1216108.1389359247</v>
      </c>
      <c r="BM91" s="61">
        <f t="shared" si="991"/>
        <v>1902761.8672085293</v>
      </c>
      <c r="BN91" s="61">
        <f t="shared" si="991"/>
        <v>1692873.3536097626</v>
      </c>
      <c r="BO91" s="61">
        <f t="shared" si="991"/>
        <v>1932176.7338338315</v>
      </c>
      <c r="BP91" s="61">
        <f t="shared" si="991"/>
        <v>1721830.8036424727</v>
      </c>
      <c r="BQ91" s="61">
        <f t="shared" si="991"/>
        <v>1961803.4550201742</v>
      </c>
      <c r="BR91" s="61">
        <f t="shared" si="991"/>
        <v>1976696.8932813774</v>
      </c>
      <c r="BS91" s="61">
        <f t="shared" si="991"/>
        <v>1765663.2114805386</v>
      </c>
      <c r="BT91" s="61">
        <f t="shared" si="991"/>
        <v>2006645.2016532624</v>
      </c>
      <c r="BU91" s="61">
        <f t="shared" si="991"/>
        <v>1795151.9413198542</v>
      </c>
      <c r="BV91" s="61">
        <f t="shared" si="991"/>
        <v>2036810.4708062534</v>
      </c>
      <c r="BW91" s="61">
        <f t="shared" si="991"/>
        <v>2092027.3019770924</v>
      </c>
      <c r="BX91" s="61">
        <f t="shared" si="991"/>
        <v>1425035.2718235306</v>
      </c>
      <c r="BY91" s="61">
        <f t="shared" si="991"/>
        <v>2122521.9226772506</v>
      </c>
      <c r="BZ91" s="61">
        <f t="shared" si="991"/>
        <v>1909875.9811751938</v>
      </c>
      <c r="CA91" s="61">
        <f t="shared" si="991"/>
        <v>2153238.7513585724</v>
      </c>
      <c r="CB91" s="61">
        <f t="shared" si="991"/>
        <v>1940130.2569398684</v>
      </c>
      <c r="CC91" s="61">
        <f t="shared" si="991"/>
        <v>2184179.9272850943</v>
      </c>
      <c r="CD91" s="61">
        <f t="shared" si="991"/>
        <v>2199735.3203967405</v>
      </c>
      <c r="CE91" s="61">
        <f t="shared" si="991"/>
        <v>1985931.4269816272</v>
      </c>
      <c r="CF91" s="61">
        <f t="shared" si="991"/>
        <v>2231017.079734901</v>
      </c>
      <c r="CG91" s="61">
        <f t="shared" si="991"/>
        <v>2016748.5485561753</v>
      </c>
      <c r="CH91" s="61">
        <f t="shared" si="991"/>
        <v>2262528.637768981</v>
      </c>
      <c r="CI91" s="61">
        <f t="shared" si="991"/>
        <v>2309414.0854648054</v>
      </c>
      <c r="CJ91" s="61">
        <f t="shared" si="991"/>
        <v>1632711.1267784862</v>
      </c>
      <c r="CK91" s="61">
        <f t="shared" si="991"/>
        <v>2341274.5165603613</v>
      </c>
      <c r="CL91" s="61">
        <f t="shared" si="991"/>
        <v>2125840.7976293182</v>
      </c>
      <c r="CM91" s="61">
        <f t="shared" si="991"/>
        <v>2373370.3487729314</v>
      </c>
      <c r="CN91" s="61">
        <f t="shared" ref="CN91:EY91" si="992">CN72-CN89</f>
        <v>2157469.1326883133</v>
      </c>
      <c r="CO91" s="61">
        <f t="shared" si="992"/>
        <v>2405703.866317654</v>
      </c>
      <c r="CP91" s="61">
        <f t="shared" si="992"/>
        <v>2421960.4777728133</v>
      </c>
      <c r="CQ91" s="61">
        <f t="shared" si="992"/>
        <v>2205356.5110882176</v>
      </c>
      <c r="CR91" s="61">
        <f t="shared" si="992"/>
        <v>2454654.8612891156</v>
      </c>
      <c r="CS91" s="61">
        <f t="shared" si="992"/>
        <v>2237581.3999791532</v>
      </c>
      <c r="CT91" s="61">
        <f t="shared" si="992"/>
        <v>2487592.7512902832</v>
      </c>
      <c r="CU91" s="61">
        <f t="shared" si="992"/>
        <v>2538301.2352300137</v>
      </c>
      <c r="CV91" s="61">
        <f t="shared" si="992"/>
        <v>1851718.1603652509</v>
      </c>
      <c r="CW91" s="61">
        <f t="shared" si="992"/>
        <v>2571608.8433827669</v>
      </c>
      <c r="CX91" s="61">
        <f t="shared" si="992"/>
        <v>5385835.4116570335</v>
      </c>
      <c r="CY91" s="61">
        <f t="shared" si="992"/>
        <v>5637643.1403174708</v>
      </c>
      <c r="CZ91" s="61">
        <f t="shared" si="992"/>
        <v>5418920.2850769321</v>
      </c>
      <c r="DA91" s="61">
        <f t="shared" si="992"/>
        <v>5671452.1665509939</v>
      </c>
      <c r="DB91" s="61">
        <f t="shared" si="992"/>
        <v>5688451.9226350896</v>
      </c>
      <c r="DC91" s="61">
        <f t="shared" si="992"/>
        <v>5469019.2994797882</v>
      </c>
      <c r="DD91" s="61">
        <f t="shared" si="992"/>
        <v>5722643.4749580324</v>
      </c>
      <c r="DE91" s="61">
        <f t="shared" si="992"/>
        <v>5502736.7287772857</v>
      </c>
      <c r="DF91" s="61">
        <f t="shared" si="992"/>
        <v>5757093.173130529</v>
      </c>
      <c r="DG91" s="61">
        <f t="shared" si="992"/>
        <v>5811892.2218660815</v>
      </c>
      <c r="DH91" s="61">
        <f t="shared" si="992"/>
        <v>5115258.3649288053</v>
      </c>
      <c r="DI91" s="61">
        <f t="shared" si="992"/>
        <v>5846733.9007575568</v>
      </c>
      <c r="DJ91" s="61">
        <f t="shared" si="992"/>
        <v>5625638.5937595386</v>
      </c>
      <c r="DK91" s="61">
        <f t="shared" si="992"/>
        <v>5881840.1157412166</v>
      </c>
      <c r="DL91" s="61">
        <f t="shared" si="992"/>
        <v>5660268.1024483871</v>
      </c>
      <c r="DM91" s="61">
        <f t="shared" si="992"/>
        <v>5917213.4725184217</v>
      </c>
      <c r="DN91" s="61">
        <f t="shared" si="992"/>
        <v>5935001.1512368666</v>
      </c>
      <c r="DO91" s="61">
        <f t="shared" si="992"/>
        <v>5712712.7286378313</v>
      </c>
      <c r="DP91" s="61">
        <f t="shared" si="992"/>
        <v>5970780.1695621591</v>
      </c>
      <c r="DQ91" s="61">
        <f t="shared" si="992"/>
        <v>5748013.2522092173</v>
      </c>
      <c r="DR91" s="61">
        <f t="shared" si="992"/>
        <v>4805466.3766524214</v>
      </c>
      <c r="DS91" s="61">
        <f t="shared" si="992"/>
        <v>4852807.4175343215</v>
      </c>
      <c r="DT91" s="61">
        <f t="shared" si="992"/>
        <v>4287322.079127863</v>
      </c>
      <c r="DU91" s="61">
        <f t="shared" si="992"/>
        <v>4881982.2676708167</v>
      </c>
      <c r="DV91" s="61">
        <f t="shared" si="992"/>
        <v>4702809.303055671</v>
      </c>
      <c r="DW91" s="61">
        <f t="shared" si="992"/>
        <v>4911381.605426508</v>
      </c>
      <c r="DX91" s="61">
        <f t="shared" si="992"/>
        <v>4731823.9093131945</v>
      </c>
      <c r="DY91" s="61">
        <f t="shared" si="992"/>
        <v>4941007.6578161111</v>
      </c>
      <c r="DZ91" s="61">
        <f t="shared" si="992"/>
        <v>4955906.4046890996</v>
      </c>
      <c r="EA91" s="61">
        <f t="shared" si="992"/>
        <v>4775770.6047538221</v>
      </c>
      <c r="EB91" s="61">
        <f t="shared" si="992"/>
        <v>4985876.7588089211</v>
      </c>
      <c r="EC91" s="61">
        <f t="shared" si="992"/>
        <v>4805354.8954132441</v>
      </c>
      <c r="ED91" s="61">
        <f t="shared" si="992"/>
        <v>5016079.5038209371</v>
      </c>
      <c r="EE91" s="61">
        <f t="shared" si="992"/>
        <v>5047096.513130771</v>
      </c>
      <c r="EF91" s="61">
        <f t="shared" si="992"/>
        <v>4473294.2981747929</v>
      </c>
      <c r="EG91" s="61">
        <f t="shared" si="992"/>
        <v>5077652.1926543731</v>
      </c>
      <c r="EH91" s="61">
        <f t="shared" si="992"/>
        <v>4896162.9094793368</v>
      </c>
      <c r="EI91" s="61">
        <f t="shared" si="992"/>
        <v>5103068.8416721644</v>
      </c>
      <c r="EJ91" s="61">
        <f t="shared" si="992"/>
        <v>4915783.0814758493</v>
      </c>
      <c r="EK91" s="61">
        <f t="shared" si="992"/>
        <v>5123254.554816951</v>
      </c>
      <c r="EL91" s="61">
        <f t="shared" si="992"/>
        <v>5133390.8798661176</v>
      </c>
      <c r="EM91" s="61">
        <f t="shared" si="992"/>
        <v>4945427.2109721648</v>
      </c>
      <c r="EN91" s="61">
        <f t="shared" si="992"/>
        <v>5153751.0576397646</v>
      </c>
      <c r="EO91" s="61">
        <f t="shared" si="992"/>
        <v>4965333.9150874279</v>
      </c>
      <c r="EP91" s="61">
        <f t="shared" si="992"/>
        <v>5174228.7336595394</v>
      </c>
      <c r="EQ91" s="61">
        <f t="shared" si="992"/>
        <v>5191780.8487091567</v>
      </c>
      <c r="ER91" s="61">
        <f t="shared" si="992"/>
        <v>4603856.0055302326</v>
      </c>
      <c r="ES91" s="61">
        <f t="shared" si="992"/>
        <v>5212436.5792270526</v>
      </c>
      <c r="ET91" s="61">
        <f t="shared" si="992"/>
        <v>5022880.3757972531</v>
      </c>
      <c r="EU91" s="61">
        <f t="shared" si="992"/>
        <v>5233212.2319228183</v>
      </c>
      <c r="EV91" s="61">
        <f t="shared" si="992"/>
        <v>5043198.2514710734</v>
      </c>
      <c r="EW91" s="61">
        <f t="shared" si="992"/>
        <v>5254108.7938268175</v>
      </c>
      <c r="EX91" s="61">
        <f t="shared" si="992"/>
        <v>5264602.7269495614</v>
      </c>
      <c r="EY91" s="61">
        <f t="shared" si="992"/>
        <v>5073899.7723489236</v>
      </c>
      <c r="EZ91" s="61">
        <f t="shared" ref="EZ91:HK91" si="993">EZ72-EZ89</f>
        <v>5285682.5255691744</v>
      </c>
      <c r="FA91" s="61">
        <f t="shared" si="993"/>
        <v>5094518.7148555648</v>
      </c>
      <c r="FB91" s="61">
        <f t="shared" si="993"/>
        <v>5306885.7456030324</v>
      </c>
      <c r="FC91" s="61">
        <f t="shared" si="993"/>
        <v>5326016.8202517089</v>
      </c>
      <c r="FD91" s="61">
        <f t="shared" si="993"/>
        <v>4729085.6967879692</v>
      </c>
      <c r="FE91" s="61">
        <f t="shared" si="993"/>
        <v>5347407.0938917808</v>
      </c>
      <c r="FF91" s="61">
        <f t="shared" si="993"/>
        <v>5155085.7485880051</v>
      </c>
      <c r="FG91" s="61">
        <f t="shared" si="993"/>
        <v>5368923.366352777</v>
      </c>
      <c r="FH91" s="61">
        <f t="shared" si="993"/>
        <v>5176136.8481116928</v>
      </c>
      <c r="FI91" s="61">
        <f t="shared" si="993"/>
        <v>5390566.6872659111</v>
      </c>
      <c r="FJ91" s="61">
        <f t="shared" si="993"/>
        <v>5401436.3218647186</v>
      </c>
      <c r="FK91" s="61">
        <f t="shared" si="993"/>
        <v>5207949.7294435501</v>
      </c>
      <c r="FL91" s="61">
        <f t="shared" si="993"/>
        <v>5423272.2072780421</v>
      </c>
      <c r="FM91" s="61">
        <f t="shared" si="993"/>
        <v>5229317.354967027</v>
      </c>
      <c r="FN91" s="61">
        <f t="shared" si="993"/>
        <v>5445237.8129492681</v>
      </c>
      <c r="FO91" s="61">
        <f t="shared" si="993"/>
        <v>5475577.97608524</v>
      </c>
      <c r="FP91" s="61">
        <f t="shared" si="993"/>
        <v>4869470.0470005553</v>
      </c>
      <c r="FQ91" s="61">
        <f t="shared" si="993"/>
        <v>5497740.2059202986</v>
      </c>
      <c r="FR91" s="61">
        <f t="shared" si="993"/>
        <v>5302609.2982184272</v>
      </c>
      <c r="FS91" s="61">
        <f t="shared" si="993"/>
        <v>5520034.8975479621</v>
      </c>
      <c r="FT91" s="61">
        <f t="shared" si="993"/>
        <v>5324431.4047037046</v>
      </c>
      <c r="FU91" s="61">
        <f t="shared" si="993"/>
        <v>5542463.1675480278</v>
      </c>
      <c r="FV91" s="61">
        <f t="shared" si="993"/>
        <v>5553727.7465378363</v>
      </c>
      <c r="FW91" s="61">
        <f t="shared" si="993"/>
        <v>5357413.0578458495</v>
      </c>
      <c r="FX91" s="61">
        <f t="shared" si="993"/>
        <v>5576358.5030993866</v>
      </c>
      <c r="FY91" s="61">
        <f t="shared" si="993"/>
        <v>5379568.1382154664</v>
      </c>
      <c r="FZ91" s="61">
        <f t="shared" si="993"/>
        <v>5599125.6805295125</v>
      </c>
      <c r="GA91" s="61">
        <f t="shared" si="993"/>
        <v>5631264.9680350972</v>
      </c>
      <c r="GB91" s="61">
        <f t="shared" si="993"/>
        <v>5015807.0782031426</v>
      </c>
      <c r="GC91" s="61">
        <f t="shared" si="993"/>
        <v>5654238.9513404444</v>
      </c>
      <c r="GD91" s="61">
        <f t="shared" si="993"/>
        <v>5456253.9857702656</v>
      </c>
      <c r="GE91" s="61">
        <f t="shared" si="993"/>
        <v>5677352.2725913515</v>
      </c>
      <c r="GF91" s="61">
        <f t="shared" si="993"/>
        <v>5478887.3026660699</v>
      </c>
      <c r="GG91" s="61">
        <f t="shared" si="993"/>
        <v>5700606.1199746449</v>
      </c>
      <c r="GH91" s="61">
        <f t="shared" si="993"/>
        <v>5712286.1156639811</v>
      </c>
      <c r="GI91" s="61">
        <f t="shared" si="993"/>
        <v>5513098.8207777087</v>
      </c>
      <c r="GJ91" s="61">
        <f t="shared" si="993"/>
        <v>5735753.0072823074</v>
      </c>
      <c r="GK91" s="61">
        <f t="shared" si="993"/>
        <v>5536082.6170184454</v>
      </c>
      <c r="GL91" s="61">
        <f t="shared" si="993"/>
        <v>5759363.4501029542</v>
      </c>
      <c r="GM91" s="61">
        <f t="shared" si="993"/>
        <v>5778451.6944432203</v>
      </c>
      <c r="GN91" s="61">
        <f t="shared" si="993"/>
        <v>5153468.0645586485</v>
      </c>
      <c r="GO91" s="61">
        <f t="shared" si="993"/>
        <v>5802279.7785461955</v>
      </c>
      <c r="GP91" s="61">
        <f t="shared" si="993"/>
        <v>5601396.2425571615</v>
      </c>
      <c r="GQ91" s="61">
        <f t="shared" si="993"/>
        <v>5822243.4457847849</v>
      </c>
      <c r="GR91" s="61">
        <f t="shared" si="993"/>
        <v>5616838.018542856</v>
      </c>
      <c r="GS91" s="61">
        <f t="shared" si="993"/>
        <v>5838273.6306804316</v>
      </c>
      <c r="GT91" s="61">
        <f t="shared" si="993"/>
        <v>5846309.1534098806</v>
      </c>
      <c r="GU91" s="61">
        <f t="shared" si="993"/>
        <v>5640099.2642899603</v>
      </c>
      <c r="GV91" s="61">
        <f t="shared" si="993"/>
        <v>5862421.1740722144</v>
      </c>
      <c r="GW91" s="61">
        <f t="shared" si="993"/>
        <v>5655672.7410111623</v>
      </c>
      <c r="GX91" s="61">
        <f t="shared" si="993"/>
        <v>5878587.9816409145</v>
      </c>
      <c r="GY91" s="61">
        <f t="shared" si="993"/>
        <v>5886691.9881477775</v>
      </c>
      <c r="GZ91" s="61">
        <f t="shared" si="993"/>
        <v>5247777.5894169416</v>
      </c>
      <c r="HA91" s="61">
        <f t="shared" si="993"/>
        <v>5902941.3222097326</v>
      </c>
      <c r="HB91" s="61">
        <f t="shared" si="993"/>
        <v>5694838.6596527379</v>
      </c>
      <c r="HC91" s="61">
        <f t="shared" si="993"/>
        <v>5919245.9055922404</v>
      </c>
      <c r="HD91" s="61">
        <f t="shared" si="993"/>
        <v>5710598.3876178768</v>
      </c>
      <c r="HE91" s="61">
        <f t="shared" si="993"/>
        <v>5935605.9243467879</v>
      </c>
      <c r="HF91" s="61">
        <f t="shared" si="993"/>
        <v>5943806.7803001199</v>
      </c>
      <c r="HG91" s="61">
        <f t="shared" si="993"/>
        <v>5734338.5707499888</v>
      </c>
      <c r="HH91" s="61">
        <f t="shared" si="993"/>
        <v>5960250.3023239179</v>
      </c>
      <c r="HI91" s="61">
        <f t="shared" si="993"/>
        <v>5750232.6839123685</v>
      </c>
      <c r="HJ91" s="61">
        <f t="shared" si="993"/>
        <v>5976749.7275812021</v>
      </c>
      <c r="HK91" s="61">
        <f t="shared" si="993"/>
        <v>5985020.4627237637</v>
      </c>
      <c r="HL91" s="61">
        <f t="shared" ref="HL91:JR91" si="994">HL72-HL89</f>
        <v>5335915.3936055414</v>
      </c>
      <c r="HM91" s="61">
        <f t="shared" si="994"/>
        <v>6001604.0959842606</v>
      </c>
      <c r="HN91" s="61">
        <f t="shared" si="994"/>
        <v>5790204.9269706449</v>
      </c>
      <c r="HO91" s="61">
        <f t="shared" si="994"/>
        <v>6018244.1042697318</v>
      </c>
      <c r="HP91" s="61">
        <f t="shared" si="994"/>
        <v>5806289.0875560399</v>
      </c>
      <c r="HQ91" s="61">
        <f t="shared" si="994"/>
        <v>6034940.6774045583</v>
      </c>
      <c r="HR91" s="61">
        <f t="shared" si="994"/>
        <v>6043310.2352845045</v>
      </c>
      <c r="HS91" s="61">
        <f t="shared" si="994"/>
        <v>5830517.9697901011</v>
      </c>
      <c r="HT91" s="61">
        <f t="shared" si="994"/>
        <v>6060092.0130063333</v>
      </c>
      <c r="HU91" s="61">
        <f t="shared" si="994"/>
        <v>5846739.2544814749</v>
      </c>
      <c r="HV91" s="61">
        <f t="shared" si="994"/>
        <v>6076930.8329264792</v>
      </c>
      <c r="HW91" s="61">
        <f t="shared" si="994"/>
        <v>6085371.6937046703</v>
      </c>
      <c r="HX91" s="61">
        <f t="shared" si="994"/>
        <v>5425870.2937995773</v>
      </c>
      <c r="HY91" s="61">
        <f t="shared" si="994"/>
        <v>6102296.4372365642</v>
      </c>
      <c r="HZ91" s="61">
        <f t="shared" si="994"/>
        <v>5887534.2556766383</v>
      </c>
      <c r="IA91" s="61">
        <f t="shared" si="994"/>
        <v>6119278.7043252876</v>
      </c>
      <c r="IB91" s="61">
        <f t="shared" si="994"/>
        <v>5903949.4609633964</v>
      </c>
      <c r="IC91" s="61">
        <f t="shared" si="994"/>
        <v>6136318.6886444399</v>
      </c>
      <c r="ID91" s="61">
        <f t="shared" si="994"/>
        <v>6144860.3854658455</v>
      </c>
      <c r="IE91" s="61">
        <f t="shared" si="994"/>
        <v>5928677.0020014159</v>
      </c>
      <c r="IF91" s="61">
        <f t="shared" si="994"/>
        <v>6161987.3101890627</v>
      </c>
      <c r="IG91" s="61">
        <f t="shared" si="994"/>
        <v>5945232.1258515175</v>
      </c>
      <c r="IH91" s="61">
        <f t="shared" si="994"/>
        <v>6179172.4391711233</v>
      </c>
      <c r="II91" s="61">
        <f t="shared" si="994"/>
        <v>6187786.8914694786</v>
      </c>
      <c r="IJ91" s="61">
        <f t="shared" si="994"/>
        <v>5517679.3495740052</v>
      </c>
      <c r="IK91" s="61">
        <f t="shared" si="994"/>
        <v>6205059.6944602551</v>
      </c>
      <c r="IL91" s="61">
        <f t="shared" si="994"/>
        <v>5986866.6522009019</v>
      </c>
      <c r="IM91" s="61">
        <f t="shared" si="994"/>
        <v>6222391.192828957</v>
      </c>
      <c r="IN91" s="61">
        <f t="shared" si="994"/>
        <v>6003619.6483698366</v>
      </c>
      <c r="IO91" s="61">
        <f t="shared" si="994"/>
        <v>6239781.5841762805</v>
      </c>
      <c r="IP91" s="61">
        <f t="shared" si="994"/>
        <v>6248498.9266481521</v>
      </c>
      <c r="IQ91" s="61">
        <f t="shared" si="994"/>
        <v>6028856.0099046323</v>
      </c>
      <c r="IR91" s="61">
        <f t="shared" si="994"/>
        <v>6265978.0294138622</v>
      </c>
      <c r="IS91" s="61">
        <f t="shared" si="994"/>
        <v>6045751.7757667797</v>
      </c>
      <c r="IT91" s="61">
        <f t="shared" si="994"/>
        <v>6283516.5220618835</v>
      </c>
      <c r="IU91" s="61">
        <f t="shared" si="994"/>
        <v>6292308.1020431425</v>
      </c>
      <c r="IV91" s="61">
        <f t="shared" si="994"/>
        <v>5611380.3723716363</v>
      </c>
      <c r="IW91" s="61">
        <f t="shared" si="994"/>
        <v>6309936.0545890639</v>
      </c>
      <c r="IX91" s="61">
        <f t="shared" si="994"/>
        <v>6088242.9343282785</v>
      </c>
      <c r="IY91" s="61">
        <f t="shared" si="994"/>
        <v>6327623.8980944082</v>
      </c>
      <c r="IZ91" s="61">
        <f t="shared" si="994"/>
        <v>6105340.6043730341</v>
      </c>
      <c r="JA91" s="61">
        <f t="shared" si="994"/>
        <v>6345371.8341664132</v>
      </c>
      <c r="JB91" s="61">
        <f t="shared" si="994"/>
        <v>6354268.4001018414</v>
      </c>
      <c r="JC91" s="61">
        <f t="shared" si="994"/>
        <v>6131096.1541749518</v>
      </c>
      <c r="JD91" s="61">
        <f t="shared" si="994"/>
        <v>6372106.8545158636</v>
      </c>
      <c r="JE91" s="61">
        <f t="shared" si="994"/>
        <v>6148339.5028618835</v>
      </c>
      <c r="JF91" s="61">
        <f t="shared" si="994"/>
        <v>6390005.9084752901</v>
      </c>
      <c r="JG91" s="61">
        <f t="shared" si="994"/>
        <v>6398978.2240021341</v>
      </c>
      <c r="JH91" s="61">
        <f t="shared" si="994"/>
        <v>5707011.9407177288</v>
      </c>
      <c r="JI91" s="61">
        <f t="shared" si="994"/>
        <v>6416968.5599588659</v>
      </c>
      <c r="JJ91" s="61">
        <f t="shared" si="994"/>
        <v>6191704.7476135902</v>
      </c>
      <c r="JK91" s="61">
        <f t="shared" si="994"/>
        <v>6435020.0066975942</v>
      </c>
      <c r="JL91" s="61">
        <f t="shared" si="994"/>
        <v>6209154.1141086128</v>
      </c>
      <c r="JM91" s="61">
        <f t="shared" si="994"/>
        <v>6453132.7699131425</v>
      </c>
      <c r="JN91" s="61">
        <f t="shared" si="994"/>
        <v>6462212.209667759</v>
      </c>
      <c r="JO91" s="61">
        <f t="shared" si="994"/>
        <v>6235439.43019481</v>
      </c>
      <c r="JP91" s="61">
        <f t="shared" si="994"/>
        <v>6480417.3347847071</v>
      </c>
      <c r="JQ91" s="61">
        <f t="shared" si="994"/>
        <v>6253037.4432698293</v>
      </c>
      <c r="JR91" s="61">
        <f t="shared" si="994"/>
        <v>6498684.2936360817</v>
      </c>
    </row>
    <row r="94" spans="2:278" x14ac:dyDescent="0.2">
      <c r="B94" s="3" t="s">
        <v>140</v>
      </c>
    </row>
    <row r="95" spans="2:278" x14ac:dyDescent="0.2">
      <c r="B95" s="1" t="s">
        <v>123</v>
      </c>
      <c r="C95" s="18">
        <f>C91</f>
        <v>-751857.530441407</v>
      </c>
      <c r="D95" s="18">
        <f t="shared" ref="D95:BO95" si="995">D91</f>
        <v>-948893.02905530925</v>
      </c>
      <c r="E95" s="18">
        <f t="shared" si="995"/>
        <v>-1034068.0691139193</v>
      </c>
      <c r="F95" s="18">
        <f t="shared" si="995"/>
        <v>-1096340.0237771731</v>
      </c>
      <c r="G95" s="18">
        <f t="shared" si="995"/>
        <v>-1178117.2898574094</v>
      </c>
      <c r="H95" s="18">
        <f t="shared" si="995"/>
        <v>-1307033.0668461528</v>
      </c>
      <c r="I95" s="18">
        <f t="shared" si="995"/>
        <v>-1440964.8925732085</v>
      </c>
      <c r="J95" s="18">
        <f t="shared" si="995"/>
        <v>-1557122.7496823799</v>
      </c>
      <c r="K95" s="18">
        <f t="shared" si="995"/>
        <v>-1660025.9329952977</v>
      </c>
      <c r="L95" s="18">
        <f t="shared" si="995"/>
        <v>-1749555.0092197431</v>
      </c>
      <c r="M95" s="18">
        <f t="shared" si="995"/>
        <v>-1828908.9067456364</v>
      </c>
      <c r="N95" s="18">
        <f t="shared" si="995"/>
        <v>-1925152.6477794694</v>
      </c>
      <c r="O95" s="18">
        <f t="shared" si="995"/>
        <v>-2006259.1657289483</v>
      </c>
      <c r="P95" s="18">
        <f t="shared" si="995"/>
        <v>-2006259.1657289483</v>
      </c>
      <c r="Q95" s="18">
        <f t="shared" si="995"/>
        <v>-2006259.1657289483</v>
      </c>
      <c r="R95" s="18">
        <f t="shared" si="995"/>
        <v>-1213635.2408353915</v>
      </c>
      <c r="S95" s="18">
        <f t="shared" si="995"/>
        <v>-1049466.7655459703</v>
      </c>
      <c r="T95" s="18">
        <f t="shared" si="995"/>
        <v>-1189716.9864817988</v>
      </c>
      <c r="U95" s="18">
        <f t="shared" si="995"/>
        <v>-1018244.6751644639</v>
      </c>
      <c r="V95" s="18">
        <f t="shared" si="995"/>
        <v>-1012620.412861164</v>
      </c>
      <c r="W95" s="18">
        <f t="shared" si="995"/>
        <v>-1153526.841194018</v>
      </c>
      <c r="X95" s="18">
        <f t="shared" si="995"/>
        <v>-987844.19512373232</v>
      </c>
      <c r="Y95" s="18">
        <f t="shared" si="995"/>
        <v>-1129189.287975044</v>
      </c>
      <c r="Z95" s="18">
        <f t="shared" si="995"/>
        <v>-962896.54775641905</v>
      </c>
      <c r="AA95" s="18">
        <f t="shared" si="995"/>
        <v>-733261.91640031477</v>
      </c>
      <c r="AB95" s="18">
        <f t="shared" si="995"/>
        <v>-1184440.6679162164</v>
      </c>
      <c r="AC95" s="18">
        <f t="shared" si="995"/>
        <v>-708054.12022488611</v>
      </c>
      <c r="AD95" s="18">
        <f t="shared" si="995"/>
        <v>938479.18292621453</v>
      </c>
      <c r="AE95" s="18">
        <f t="shared" si="995"/>
        <v>1165940.9896200215</v>
      </c>
      <c r="AF95" s="18">
        <f t="shared" si="995"/>
        <v>963420.45880853105</v>
      </c>
      <c r="AG95" s="18">
        <f t="shared" si="995"/>
        <v>1191501.3505743276</v>
      </c>
      <c r="AH95" s="18">
        <f t="shared" si="995"/>
        <v>1204348.4634021106</v>
      </c>
      <c r="AI95" s="18">
        <f t="shared" si="995"/>
        <v>1001163.1975864745</v>
      </c>
      <c r="AJ95" s="18">
        <f t="shared" si="995"/>
        <v>1230177.6003270717</v>
      </c>
      <c r="AK95" s="18">
        <f t="shared" si="995"/>
        <v>1026548.0068156718</v>
      </c>
      <c r="AL95" s="18">
        <f t="shared" si="995"/>
        <v>1256188.0276311217</v>
      </c>
      <c r="AM95" s="18">
        <f t="shared" si="995"/>
        <v>1301747.2435203765</v>
      </c>
      <c r="AN95" s="18">
        <f t="shared" si="995"/>
        <v>662614.35471860552</v>
      </c>
      <c r="AO95" s="18">
        <f t="shared" si="995"/>
        <v>1328032.8118786034</v>
      </c>
      <c r="AP95" s="18">
        <f t="shared" si="995"/>
        <v>1310628.0256900832</v>
      </c>
      <c r="AQ95" s="18">
        <f t="shared" si="995"/>
        <v>1520436.9322233321</v>
      </c>
      <c r="AR95" s="18">
        <f t="shared" si="995"/>
        <v>1315521.4206236957</v>
      </c>
      <c r="AS95" s="18">
        <f t="shared" si="995"/>
        <v>1547649.0077106024</v>
      </c>
      <c r="AT95" s="18">
        <f t="shared" si="995"/>
        <v>1561326.5450466755</v>
      </c>
      <c r="AU95" s="18">
        <f t="shared" si="995"/>
        <v>1355739.3242962146</v>
      </c>
      <c r="AV95" s="18">
        <f t="shared" si="995"/>
        <v>1588825.7395474976</v>
      </c>
      <c r="AW95" s="18">
        <f t="shared" si="995"/>
        <v>1382789.5711805196</v>
      </c>
      <c r="AX95" s="18">
        <f t="shared" si="995"/>
        <v>1616518.602226445</v>
      </c>
      <c r="AY95" s="18">
        <f t="shared" si="995"/>
        <v>1665272.0935758394</v>
      </c>
      <c r="AZ95" s="18">
        <f t="shared" si="995"/>
        <v>1237880.7772205928</v>
      </c>
      <c r="BA95" s="18">
        <f t="shared" si="995"/>
        <v>1693258.8909587455</v>
      </c>
      <c r="BB95" s="18">
        <f t="shared" si="995"/>
        <v>1486096.3858074651</v>
      </c>
      <c r="BC95" s="18">
        <f t="shared" si="995"/>
        <v>1721443.9622033618</v>
      </c>
      <c r="BD95" s="18">
        <f t="shared" si="995"/>
        <v>1513829.3455288815</v>
      </c>
      <c r="BE95" s="18">
        <f t="shared" si="995"/>
        <v>1749829.1848046742</v>
      </c>
      <c r="BF95" s="18">
        <f t="shared" si="995"/>
        <v>1764097.4451729304</v>
      </c>
      <c r="BG95" s="18">
        <f t="shared" si="995"/>
        <v>1555802.9844656258</v>
      </c>
      <c r="BH95" s="18">
        <f t="shared" si="995"/>
        <v>1792786.4599608043</v>
      </c>
      <c r="BI95" s="18">
        <f t="shared" si="995"/>
        <v>1584037.6581994148</v>
      </c>
      <c r="BJ95" s="18">
        <f t="shared" si="995"/>
        <v>1821680.4099253369</v>
      </c>
      <c r="BK95" s="18">
        <f t="shared" si="995"/>
        <v>1873556.8512392507</v>
      </c>
      <c r="BL95" s="18">
        <f t="shared" si="995"/>
        <v>1216108.1389359247</v>
      </c>
      <c r="BM95" s="18">
        <f t="shared" si="995"/>
        <v>1902761.8672085293</v>
      </c>
      <c r="BN95" s="18">
        <f t="shared" si="995"/>
        <v>1692873.3536097626</v>
      </c>
      <c r="BO95" s="18">
        <f t="shared" si="995"/>
        <v>1932176.7338338315</v>
      </c>
      <c r="BP95" s="18">
        <f t="shared" ref="BP95:CT95" si="996">BP91</f>
        <v>1721830.8036424727</v>
      </c>
      <c r="BQ95" s="18">
        <f t="shared" si="996"/>
        <v>1961803.4550201742</v>
      </c>
      <c r="BR95" s="18">
        <f t="shared" si="996"/>
        <v>1976696.8932813774</v>
      </c>
      <c r="BS95" s="18">
        <f t="shared" si="996"/>
        <v>1765663.2114805386</v>
      </c>
      <c r="BT95" s="18">
        <f t="shared" si="996"/>
        <v>2006645.2016532624</v>
      </c>
      <c r="BU95" s="18">
        <f t="shared" si="996"/>
        <v>1795151.9413198542</v>
      </c>
      <c r="BV95" s="18">
        <f t="shared" si="996"/>
        <v>2036810.4708062534</v>
      </c>
      <c r="BW95" s="18">
        <f t="shared" si="996"/>
        <v>2092027.3019770924</v>
      </c>
      <c r="BX95" s="18">
        <f t="shared" si="996"/>
        <v>1425035.2718235306</v>
      </c>
      <c r="BY95" s="18">
        <f t="shared" si="996"/>
        <v>2122521.9226772506</v>
      </c>
      <c r="BZ95" s="18">
        <f t="shared" si="996"/>
        <v>1909875.9811751938</v>
      </c>
      <c r="CA95" s="18">
        <f t="shared" si="996"/>
        <v>2153238.7513585724</v>
      </c>
      <c r="CB95" s="18">
        <f t="shared" si="996"/>
        <v>1940130.2569398684</v>
      </c>
      <c r="CC95" s="18">
        <f t="shared" si="996"/>
        <v>2184179.9272850943</v>
      </c>
      <c r="CD95" s="18">
        <f t="shared" si="996"/>
        <v>2199735.3203967405</v>
      </c>
      <c r="CE95" s="18">
        <f t="shared" si="996"/>
        <v>1985931.4269816272</v>
      </c>
      <c r="CF95" s="18">
        <f t="shared" si="996"/>
        <v>2231017.079734901</v>
      </c>
      <c r="CG95" s="18">
        <f t="shared" si="996"/>
        <v>2016748.5485561753</v>
      </c>
      <c r="CH95" s="18">
        <f t="shared" si="996"/>
        <v>2262528.637768981</v>
      </c>
      <c r="CI95" s="18">
        <f t="shared" si="996"/>
        <v>2309414.0854648054</v>
      </c>
      <c r="CJ95" s="18">
        <f t="shared" si="996"/>
        <v>1632711.1267784862</v>
      </c>
      <c r="CK95" s="18">
        <f t="shared" si="996"/>
        <v>2341274.5165603613</v>
      </c>
      <c r="CL95" s="18">
        <f t="shared" si="996"/>
        <v>2125840.7976293182</v>
      </c>
      <c r="CM95" s="18">
        <f t="shared" si="996"/>
        <v>2373370.3487729314</v>
      </c>
      <c r="CN95" s="18">
        <f t="shared" si="996"/>
        <v>2157469.1326883133</v>
      </c>
      <c r="CO95" s="18">
        <f t="shared" si="996"/>
        <v>2405703.866317654</v>
      </c>
      <c r="CP95" s="18">
        <f t="shared" si="996"/>
        <v>2421960.4777728133</v>
      </c>
      <c r="CQ95" s="18">
        <f t="shared" si="996"/>
        <v>2205356.5110882176</v>
      </c>
      <c r="CR95" s="18">
        <f t="shared" si="996"/>
        <v>2454654.8612891156</v>
      </c>
      <c r="CS95" s="18">
        <f t="shared" si="996"/>
        <v>2237581.3999791532</v>
      </c>
      <c r="CT95" s="18">
        <f t="shared" si="996"/>
        <v>2487592.7512902832</v>
      </c>
      <c r="CU95" s="18">
        <f t="shared" ref="CU95:DF95" si="997">CU91</f>
        <v>2538301.2352300137</v>
      </c>
      <c r="CV95" s="18">
        <f t="shared" si="997"/>
        <v>1851718.1603652509</v>
      </c>
      <c r="CW95" s="18">
        <f t="shared" si="997"/>
        <v>2571608.8433827669</v>
      </c>
      <c r="CX95" s="18">
        <f t="shared" si="997"/>
        <v>5385835.4116570335</v>
      </c>
      <c r="CY95" s="18">
        <f t="shared" si="997"/>
        <v>5637643.1403174708</v>
      </c>
      <c r="CZ95" s="18">
        <f t="shared" si="997"/>
        <v>5418920.2850769321</v>
      </c>
      <c r="DA95" s="18">
        <f t="shared" si="997"/>
        <v>5671452.1665509939</v>
      </c>
      <c r="DB95" s="18">
        <f t="shared" si="997"/>
        <v>5688451.9226350896</v>
      </c>
      <c r="DC95" s="18">
        <f t="shared" si="997"/>
        <v>5469019.2994797882</v>
      </c>
      <c r="DD95" s="18">
        <f t="shared" si="997"/>
        <v>5722643.4749580324</v>
      </c>
      <c r="DE95" s="18">
        <f t="shared" si="997"/>
        <v>5502736.7287772857</v>
      </c>
      <c r="DF95" s="18">
        <f t="shared" si="997"/>
        <v>5757093.173130529</v>
      </c>
      <c r="DG95" s="18">
        <f t="shared" ref="DG95:DR95" si="998">DG91</f>
        <v>5811892.2218660815</v>
      </c>
      <c r="DH95" s="18">
        <f t="shared" si="998"/>
        <v>5115258.3649288053</v>
      </c>
      <c r="DI95" s="18">
        <f t="shared" si="998"/>
        <v>5846733.9007575568</v>
      </c>
      <c r="DJ95" s="18">
        <f t="shared" si="998"/>
        <v>5625638.5937595386</v>
      </c>
      <c r="DK95" s="18">
        <f t="shared" si="998"/>
        <v>5881840.1157412166</v>
      </c>
      <c r="DL95" s="18">
        <f t="shared" si="998"/>
        <v>5660268.1024483871</v>
      </c>
      <c r="DM95" s="18">
        <f t="shared" si="998"/>
        <v>5917213.4725184217</v>
      </c>
      <c r="DN95" s="18">
        <f t="shared" si="998"/>
        <v>5935001.1512368666</v>
      </c>
      <c r="DO95" s="18">
        <f t="shared" si="998"/>
        <v>5712712.7286378313</v>
      </c>
      <c r="DP95" s="18">
        <f t="shared" si="998"/>
        <v>5970780.1695621591</v>
      </c>
      <c r="DQ95" s="18">
        <f t="shared" si="998"/>
        <v>5748013.2522092173</v>
      </c>
      <c r="DR95" s="18">
        <f t="shared" si="998"/>
        <v>4805466.3766524214</v>
      </c>
      <c r="DS95" s="18">
        <f t="shared" ref="DS95:ED95" si="999">DS91</f>
        <v>4852807.4175343215</v>
      </c>
      <c r="DT95" s="18">
        <f t="shared" si="999"/>
        <v>4287322.079127863</v>
      </c>
      <c r="DU95" s="18">
        <f t="shared" si="999"/>
        <v>4881982.2676708167</v>
      </c>
      <c r="DV95" s="18">
        <f t="shared" si="999"/>
        <v>4702809.303055671</v>
      </c>
      <c r="DW95" s="18">
        <f t="shared" si="999"/>
        <v>4911381.605426508</v>
      </c>
      <c r="DX95" s="18">
        <f t="shared" si="999"/>
        <v>4731823.9093131945</v>
      </c>
      <c r="DY95" s="18">
        <f t="shared" si="999"/>
        <v>4941007.6578161111</v>
      </c>
      <c r="DZ95" s="18">
        <f t="shared" si="999"/>
        <v>4955906.4046890996</v>
      </c>
      <c r="EA95" s="18">
        <f t="shared" si="999"/>
        <v>4775770.6047538221</v>
      </c>
      <c r="EB95" s="18">
        <f t="shared" si="999"/>
        <v>4985876.7588089211</v>
      </c>
      <c r="EC95" s="18">
        <f t="shared" si="999"/>
        <v>4805354.8954132441</v>
      </c>
      <c r="ED95" s="18">
        <f t="shared" si="999"/>
        <v>5016079.5038209371</v>
      </c>
      <c r="EE95" s="18">
        <f t="shared" ref="EE95:EP95" si="1000">EE91</f>
        <v>5047096.513130771</v>
      </c>
      <c r="EF95" s="18">
        <f t="shared" si="1000"/>
        <v>4473294.2981747929</v>
      </c>
      <c r="EG95" s="18">
        <f t="shared" si="1000"/>
        <v>5077652.1926543731</v>
      </c>
      <c r="EH95" s="18">
        <f t="shared" si="1000"/>
        <v>4896162.9094793368</v>
      </c>
      <c r="EI95" s="18">
        <f t="shared" si="1000"/>
        <v>5103068.8416721644</v>
      </c>
      <c r="EJ95" s="18">
        <f t="shared" si="1000"/>
        <v>4915783.0814758493</v>
      </c>
      <c r="EK95" s="18">
        <f t="shared" si="1000"/>
        <v>5123254.554816951</v>
      </c>
      <c r="EL95" s="18">
        <f t="shared" si="1000"/>
        <v>5133390.8798661176</v>
      </c>
      <c r="EM95" s="18">
        <f t="shared" si="1000"/>
        <v>4945427.2109721648</v>
      </c>
      <c r="EN95" s="18">
        <f t="shared" si="1000"/>
        <v>5153751.0576397646</v>
      </c>
      <c r="EO95" s="18">
        <f t="shared" si="1000"/>
        <v>4965333.9150874279</v>
      </c>
      <c r="EP95" s="18">
        <f t="shared" si="1000"/>
        <v>5174228.7336595394</v>
      </c>
      <c r="EQ95" s="18">
        <f t="shared" ref="EQ95:FB95" si="1001">EQ91</f>
        <v>5191780.8487091567</v>
      </c>
      <c r="ER95" s="18">
        <f t="shared" si="1001"/>
        <v>4603856.0055302326</v>
      </c>
      <c r="ES95" s="18">
        <f t="shared" si="1001"/>
        <v>5212436.5792270526</v>
      </c>
      <c r="ET95" s="18">
        <f t="shared" si="1001"/>
        <v>5022880.3757972531</v>
      </c>
      <c r="EU95" s="18">
        <f t="shared" si="1001"/>
        <v>5233212.2319228183</v>
      </c>
      <c r="EV95" s="18">
        <f t="shared" si="1001"/>
        <v>5043198.2514710734</v>
      </c>
      <c r="EW95" s="18">
        <f t="shared" si="1001"/>
        <v>5254108.7938268175</v>
      </c>
      <c r="EX95" s="18">
        <f t="shared" si="1001"/>
        <v>5264602.7269495614</v>
      </c>
      <c r="EY95" s="18">
        <f t="shared" si="1001"/>
        <v>5073899.7723489236</v>
      </c>
      <c r="EZ95" s="18">
        <f t="shared" si="1001"/>
        <v>5285682.5255691744</v>
      </c>
      <c r="FA95" s="18">
        <f t="shared" si="1001"/>
        <v>5094518.7148555648</v>
      </c>
      <c r="FB95" s="18">
        <f t="shared" si="1001"/>
        <v>5306885.7456030324</v>
      </c>
      <c r="FC95" s="18">
        <f t="shared" ref="FC95:FN95" si="1002">FC91</f>
        <v>5326016.8202517089</v>
      </c>
      <c r="FD95" s="18">
        <f t="shared" si="1002"/>
        <v>4729085.6967879692</v>
      </c>
      <c r="FE95" s="18">
        <f t="shared" si="1002"/>
        <v>5347407.0938917808</v>
      </c>
      <c r="FF95" s="18">
        <f t="shared" si="1002"/>
        <v>5155085.7485880051</v>
      </c>
      <c r="FG95" s="18">
        <f t="shared" si="1002"/>
        <v>5368923.366352777</v>
      </c>
      <c r="FH95" s="18">
        <f t="shared" si="1002"/>
        <v>5176136.8481116928</v>
      </c>
      <c r="FI95" s="18">
        <f t="shared" si="1002"/>
        <v>5390566.6872659111</v>
      </c>
      <c r="FJ95" s="18">
        <f t="shared" si="1002"/>
        <v>5401436.3218647186</v>
      </c>
      <c r="FK95" s="18">
        <f t="shared" si="1002"/>
        <v>5207949.7294435501</v>
      </c>
      <c r="FL95" s="18">
        <f t="shared" si="1002"/>
        <v>5423272.2072780421</v>
      </c>
      <c r="FM95" s="18">
        <f t="shared" si="1002"/>
        <v>5229317.354967027</v>
      </c>
      <c r="FN95" s="18">
        <f t="shared" si="1002"/>
        <v>5445237.8129492681</v>
      </c>
      <c r="FO95" s="18">
        <f t="shared" ref="FO95:FZ95" si="1003">FO91</f>
        <v>5475577.97608524</v>
      </c>
      <c r="FP95" s="18">
        <f t="shared" si="1003"/>
        <v>4869470.0470005553</v>
      </c>
      <c r="FQ95" s="18">
        <f t="shared" si="1003"/>
        <v>5497740.2059202986</v>
      </c>
      <c r="FR95" s="18">
        <f t="shared" si="1003"/>
        <v>5302609.2982184272</v>
      </c>
      <c r="FS95" s="18">
        <f t="shared" si="1003"/>
        <v>5520034.8975479621</v>
      </c>
      <c r="FT95" s="18">
        <f t="shared" si="1003"/>
        <v>5324431.4047037046</v>
      </c>
      <c r="FU95" s="18">
        <f t="shared" si="1003"/>
        <v>5542463.1675480278</v>
      </c>
      <c r="FV95" s="18">
        <f t="shared" si="1003"/>
        <v>5553727.7465378363</v>
      </c>
      <c r="FW95" s="18">
        <f t="shared" si="1003"/>
        <v>5357413.0578458495</v>
      </c>
      <c r="FX95" s="18">
        <f t="shared" si="1003"/>
        <v>5576358.5030993866</v>
      </c>
      <c r="FY95" s="18">
        <f t="shared" si="1003"/>
        <v>5379568.1382154664</v>
      </c>
      <c r="FZ95" s="18">
        <f t="shared" si="1003"/>
        <v>5599125.6805295125</v>
      </c>
      <c r="GA95" s="18">
        <f t="shared" ref="GA95:GL95" si="1004">GA91</f>
        <v>5631264.9680350972</v>
      </c>
      <c r="GB95" s="18">
        <f t="shared" si="1004"/>
        <v>5015807.0782031426</v>
      </c>
      <c r="GC95" s="18">
        <f t="shared" si="1004"/>
        <v>5654238.9513404444</v>
      </c>
      <c r="GD95" s="18">
        <f t="shared" si="1004"/>
        <v>5456253.9857702656</v>
      </c>
      <c r="GE95" s="18">
        <f t="shared" si="1004"/>
        <v>5677352.2725913515</v>
      </c>
      <c r="GF95" s="18">
        <f t="shared" si="1004"/>
        <v>5478887.3026660699</v>
      </c>
      <c r="GG95" s="18">
        <f t="shared" si="1004"/>
        <v>5700606.1199746449</v>
      </c>
      <c r="GH95" s="18">
        <f t="shared" si="1004"/>
        <v>5712286.1156639811</v>
      </c>
      <c r="GI95" s="18">
        <f t="shared" si="1004"/>
        <v>5513098.8207777087</v>
      </c>
      <c r="GJ95" s="18">
        <f t="shared" si="1004"/>
        <v>5735753.0072823074</v>
      </c>
      <c r="GK95" s="18">
        <f t="shared" si="1004"/>
        <v>5536082.6170184454</v>
      </c>
      <c r="GL95" s="18">
        <f t="shared" si="1004"/>
        <v>5759363.4501029542</v>
      </c>
      <c r="GM95" s="18">
        <f t="shared" ref="GM95:GX95" si="1005">GM91</f>
        <v>5778451.6944432203</v>
      </c>
      <c r="GN95" s="18">
        <f t="shared" si="1005"/>
        <v>5153468.0645586485</v>
      </c>
      <c r="GO95" s="18">
        <f t="shared" si="1005"/>
        <v>5802279.7785461955</v>
      </c>
      <c r="GP95" s="18">
        <f t="shared" si="1005"/>
        <v>5601396.2425571615</v>
      </c>
      <c r="GQ95" s="18">
        <f t="shared" si="1005"/>
        <v>5822243.4457847849</v>
      </c>
      <c r="GR95" s="18">
        <f t="shared" si="1005"/>
        <v>5616838.018542856</v>
      </c>
      <c r="GS95" s="18">
        <f t="shared" si="1005"/>
        <v>5838273.6306804316</v>
      </c>
      <c r="GT95" s="18">
        <f t="shared" si="1005"/>
        <v>5846309.1534098806</v>
      </c>
      <c r="GU95" s="18">
        <f t="shared" si="1005"/>
        <v>5640099.2642899603</v>
      </c>
      <c r="GV95" s="18">
        <f t="shared" si="1005"/>
        <v>5862421.1740722144</v>
      </c>
      <c r="GW95" s="18">
        <f t="shared" si="1005"/>
        <v>5655672.7410111623</v>
      </c>
      <c r="GX95" s="18">
        <f t="shared" si="1005"/>
        <v>5878587.9816409145</v>
      </c>
      <c r="GY95" s="18">
        <f t="shared" ref="GY95:HJ95" si="1006">GY91</f>
        <v>5886691.9881477775</v>
      </c>
      <c r="GZ95" s="18">
        <f t="shared" si="1006"/>
        <v>5247777.5894169416</v>
      </c>
      <c r="HA95" s="18">
        <f t="shared" si="1006"/>
        <v>5902941.3222097326</v>
      </c>
      <c r="HB95" s="18">
        <f t="shared" si="1006"/>
        <v>5694838.6596527379</v>
      </c>
      <c r="HC95" s="18">
        <f t="shared" si="1006"/>
        <v>5919245.9055922404</v>
      </c>
      <c r="HD95" s="18">
        <f t="shared" si="1006"/>
        <v>5710598.3876178768</v>
      </c>
      <c r="HE95" s="18">
        <f t="shared" si="1006"/>
        <v>5935605.9243467879</v>
      </c>
      <c r="HF95" s="18">
        <f t="shared" si="1006"/>
        <v>5943806.7803001199</v>
      </c>
      <c r="HG95" s="18">
        <f t="shared" si="1006"/>
        <v>5734338.5707499888</v>
      </c>
      <c r="HH95" s="18">
        <f t="shared" si="1006"/>
        <v>5960250.3023239179</v>
      </c>
      <c r="HI95" s="18">
        <f t="shared" si="1006"/>
        <v>5750232.6839123685</v>
      </c>
      <c r="HJ95" s="18">
        <f t="shared" si="1006"/>
        <v>5976749.7275812021</v>
      </c>
      <c r="HK95" s="18">
        <f t="shared" ref="HK95:HV95" si="1007">HK91</f>
        <v>5985020.4627237637</v>
      </c>
      <c r="HL95" s="18">
        <f t="shared" si="1007"/>
        <v>5335915.3936055414</v>
      </c>
      <c r="HM95" s="18">
        <f t="shared" si="1007"/>
        <v>6001604.0959842606</v>
      </c>
      <c r="HN95" s="18">
        <f t="shared" si="1007"/>
        <v>5790204.9269706449</v>
      </c>
      <c r="HO95" s="18">
        <f t="shared" si="1007"/>
        <v>6018244.1042697318</v>
      </c>
      <c r="HP95" s="18">
        <f t="shared" si="1007"/>
        <v>5806289.0875560399</v>
      </c>
      <c r="HQ95" s="18">
        <f t="shared" si="1007"/>
        <v>6034940.6774045583</v>
      </c>
      <c r="HR95" s="18">
        <f t="shared" si="1007"/>
        <v>6043310.2352845045</v>
      </c>
      <c r="HS95" s="18">
        <f t="shared" si="1007"/>
        <v>5830517.9697901011</v>
      </c>
      <c r="HT95" s="18">
        <f t="shared" si="1007"/>
        <v>6060092.0130063333</v>
      </c>
      <c r="HU95" s="18">
        <f t="shared" si="1007"/>
        <v>5846739.2544814749</v>
      </c>
      <c r="HV95" s="18">
        <f t="shared" si="1007"/>
        <v>6076930.8329264792</v>
      </c>
      <c r="HW95" s="18">
        <f t="shared" ref="HW95:IH95" si="1008">HW91</f>
        <v>6085371.6937046703</v>
      </c>
      <c r="HX95" s="18">
        <f t="shared" si="1008"/>
        <v>5425870.2937995773</v>
      </c>
      <c r="HY95" s="18">
        <f t="shared" si="1008"/>
        <v>6102296.4372365642</v>
      </c>
      <c r="HZ95" s="18">
        <f t="shared" si="1008"/>
        <v>5887534.2556766383</v>
      </c>
      <c r="IA95" s="18">
        <f t="shared" si="1008"/>
        <v>6119278.7043252876</v>
      </c>
      <c r="IB95" s="18">
        <f t="shared" si="1008"/>
        <v>5903949.4609633964</v>
      </c>
      <c r="IC95" s="18">
        <f t="shared" si="1008"/>
        <v>6136318.6886444399</v>
      </c>
      <c r="ID95" s="18">
        <f t="shared" si="1008"/>
        <v>6144860.3854658455</v>
      </c>
      <c r="IE95" s="18">
        <f t="shared" si="1008"/>
        <v>5928677.0020014159</v>
      </c>
      <c r="IF95" s="18">
        <f t="shared" si="1008"/>
        <v>6161987.3101890627</v>
      </c>
      <c r="IG95" s="18">
        <f t="shared" si="1008"/>
        <v>5945232.1258515175</v>
      </c>
      <c r="IH95" s="18">
        <f t="shared" si="1008"/>
        <v>6179172.4391711233</v>
      </c>
      <c r="II95" s="18">
        <f t="shared" ref="II95:IT95" si="1009">II91</f>
        <v>6187786.8914694786</v>
      </c>
      <c r="IJ95" s="18">
        <f t="shared" si="1009"/>
        <v>5517679.3495740052</v>
      </c>
      <c r="IK95" s="18">
        <f t="shared" si="1009"/>
        <v>6205059.6944602551</v>
      </c>
      <c r="IL95" s="18">
        <f t="shared" si="1009"/>
        <v>5986866.6522009019</v>
      </c>
      <c r="IM95" s="18">
        <f t="shared" si="1009"/>
        <v>6222391.192828957</v>
      </c>
      <c r="IN95" s="18">
        <f t="shared" si="1009"/>
        <v>6003619.6483698366</v>
      </c>
      <c r="IO95" s="18">
        <f t="shared" si="1009"/>
        <v>6239781.5841762805</v>
      </c>
      <c r="IP95" s="18">
        <f t="shared" si="1009"/>
        <v>6248498.9266481521</v>
      </c>
      <c r="IQ95" s="18">
        <f t="shared" si="1009"/>
        <v>6028856.0099046323</v>
      </c>
      <c r="IR95" s="18">
        <f t="shared" si="1009"/>
        <v>6265978.0294138622</v>
      </c>
      <c r="IS95" s="18">
        <f t="shared" si="1009"/>
        <v>6045751.7757667797</v>
      </c>
      <c r="IT95" s="18">
        <f t="shared" si="1009"/>
        <v>6283516.5220618835</v>
      </c>
      <c r="IU95" s="18">
        <f t="shared" ref="IU95:JF95" si="1010">IU91</f>
        <v>6292308.1020431425</v>
      </c>
      <c r="IV95" s="18">
        <f t="shared" si="1010"/>
        <v>5611380.3723716363</v>
      </c>
      <c r="IW95" s="18">
        <f t="shared" si="1010"/>
        <v>6309936.0545890639</v>
      </c>
      <c r="IX95" s="18">
        <f t="shared" si="1010"/>
        <v>6088242.9343282785</v>
      </c>
      <c r="IY95" s="18">
        <f t="shared" si="1010"/>
        <v>6327623.8980944082</v>
      </c>
      <c r="IZ95" s="18">
        <f t="shared" si="1010"/>
        <v>6105340.6043730341</v>
      </c>
      <c r="JA95" s="18">
        <f t="shared" si="1010"/>
        <v>6345371.8341664132</v>
      </c>
      <c r="JB95" s="18">
        <f t="shared" si="1010"/>
        <v>6354268.4001018414</v>
      </c>
      <c r="JC95" s="18">
        <f t="shared" si="1010"/>
        <v>6131096.1541749518</v>
      </c>
      <c r="JD95" s="18">
        <f t="shared" si="1010"/>
        <v>6372106.8545158636</v>
      </c>
      <c r="JE95" s="18">
        <f t="shared" si="1010"/>
        <v>6148339.5028618835</v>
      </c>
      <c r="JF95" s="18">
        <f t="shared" si="1010"/>
        <v>6390005.9084752901</v>
      </c>
      <c r="JG95" s="18">
        <f t="shared" ref="JG95:JR95" si="1011">JG91</f>
        <v>6398978.2240021341</v>
      </c>
      <c r="JH95" s="18">
        <f t="shared" si="1011"/>
        <v>5707011.9407177288</v>
      </c>
      <c r="JI95" s="18">
        <f t="shared" si="1011"/>
        <v>6416968.5599588659</v>
      </c>
      <c r="JJ95" s="18">
        <f t="shared" si="1011"/>
        <v>6191704.7476135902</v>
      </c>
      <c r="JK95" s="18">
        <f t="shared" si="1011"/>
        <v>6435020.0066975942</v>
      </c>
      <c r="JL95" s="18">
        <f t="shared" si="1011"/>
        <v>6209154.1141086128</v>
      </c>
      <c r="JM95" s="18">
        <f t="shared" si="1011"/>
        <v>6453132.7699131425</v>
      </c>
      <c r="JN95" s="18">
        <f t="shared" si="1011"/>
        <v>6462212.209667759</v>
      </c>
      <c r="JO95" s="18">
        <f t="shared" si="1011"/>
        <v>6235439.43019481</v>
      </c>
      <c r="JP95" s="18">
        <f t="shared" si="1011"/>
        <v>6480417.3347847071</v>
      </c>
      <c r="JQ95" s="18">
        <f t="shared" si="1011"/>
        <v>6253037.4432698293</v>
      </c>
      <c r="JR95" s="18">
        <f t="shared" si="1011"/>
        <v>6498684.2936360817</v>
      </c>
    </row>
    <row r="96" spans="2:278" x14ac:dyDescent="0.2">
      <c r="B96" s="1" t="s">
        <v>118</v>
      </c>
      <c r="C96" s="18">
        <f>SUM(C63:C64)</f>
        <v>0</v>
      </c>
      <c r="D96" s="18">
        <f t="shared" ref="D96:BO96" si="1012">SUM(D63:D64)</f>
        <v>0</v>
      </c>
      <c r="E96" s="18">
        <f t="shared" si="1012"/>
        <v>0</v>
      </c>
      <c r="F96" s="18">
        <f t="shared" si="1012"/>
        <v>0</v>
      </c>
      <c r="G96" s="18">
        <f t="shared" si="1012"/>
        <v>0</v>
      </c>
      <c r="H96" s="18">
        <f t="shared" si="1012"/>
        <v>0</v>
      </c>
      <c r="I96" s="18">
        <f t="shared" si="1012"/>
        <v>0</v>
      </c>
      <c r="J96" s="18">
        <f t="shared" si="1012"/>
        <v>0</v>
      </c>
      <c r="K96" s="18">
        <f t="shared" si="1012"/>
        <v>0</v>
      </c>
      <c r="L96" s="18">
        <f t="shared" si="1012"/>
        <v>0</v>
      </c>
      <c r="M96" s="18">
        <f t="shared" si="1012"/>
        <v>0</v>
      </c>
      <c r="N96" s="18">
        <f t="shared" si="1012"/>
        <v>0</v>
      </c>
      <c r="O96" s="18">
        <f t="shared" si="1012"/>
        <v>0</v>
      </c>
      <c r="P96" s="18">
        <f t="shared" si="1012"/>
        <v>0</v>
      </c>
      <c r="Q96" s="18">
        <f t="shared" si="1012"/>
        <v>0</v>
      </c>
      <c r="R96" s="18">
        <f t="shared" si="1012"/>
        <v>3032477.199465476</v>
      </c>
      <c r="S96" s="18">
        <f t="shared" si="1012"/>
        <v>3032477.199465476</v>
      </c>
      <c r="T96" s="18">
        <f t="shared" si="1012"/>
        <v>3032477.199465476</v>
      </c>
      <c r="U96" s="18">
        <f t="shared" si="1012"/>
        <v>3032477.199465476</v>
      </c>
      <c r="V96" s="18">
        <f t="shared" si="1012"/>
        <v>3032477.199465476</v>
      </c>
      <c r="W96" s="18">
        <f t="shared" si="1012"/>
        <v>3032477.199465476</v>
      </c>
      <c r="X96" s="18">
        <f t="shared" si="1012"/>
        <v>3032477.199465476</v>
      </c>
      <c r="Y96" s="18">
        <f t="shared" si="1012"/>
        <v>3032477.199465476</v>
      </c>
      <c r="Z96" s="18">
        <f t="shared" si="1012"/>
        <v>3032477.199465476</v>
      </c>
      <c r="AA96" s="18">
        <f t="shared" si="1012"/>
        <v>3032477.199465476</v>
      </c>
      <c r="AB96" s="18">
        <f t="shared" si="1012"/>
        <v>3032477.199465476</v>
      </c>
      <c r="AC96" s="18">
        <f t="shared" si="1012"/>
        <v>3032477.199465476</v>
      </c>
      <c r="AD96" s="18">
        <f t="shared" si="1012"/>
        <v>3032477.199465476</v>
      </c>
      <c r="AE96" s="18">
        <f t="shared" si="1012"/>
        <v>3032477.199465476</v>
      </c>
      <c r="AF96" s="18">
        <f t="shared" si="1012"/>
        <v>3032477.199465476</v>
      </c>
      <c r="AG96" s="18">
        <f t="shared" si="1012"/>
        <v>3032477.199465476</v>
      </c>
      <c r="AH96" s="18">
        <f t="shared" si="1012"/>
        <v>3032477.199465476</v>
      </c>
      <c r="AI96" s="18">
        <f t="shared" si="1012"/>
        <v>3032477.199465476</v>
      </c>
      <c r="AJ96" s="18">
        <f t="shared" si="1012"/>
        <v>3032477.199465476</v>
      </c>
      <c r="AK96" s="18">
        <f t="shared" si="1012"/>
        <v>3032477.199465476</v>
      </c>
      <c r="AL96" s="18">
        <f t="shared" si="1012"/>
        <v>3032477.199465476</v>
      </c>
      <c r="AM96" s="18">
        <f t="shared" si="1012"/>
        <v>3032477.199465476</v>
      </c>
      <c r="AN96" s="18">
        <f t="shared" si="1012"/>
        <v>3032477.199465476</v>
      </c>
      <c r="AO96" s="18">
        <f t="shared" si="1012"/>
        <v>3032477.199465476</v>
      </c>
      <c r="AP96" s="18">
        <f t="shared" si="1012"/>
        <v>3032477.199465476</v>
      </c>
      <c r="AQ96" s="18">
        <f t="shared" si="1012"/>
        <v>3032477.199465476</v>
      </c>
      <c r="AR96" s="18">
        <f t="shared" si="1012"/>
        <v>3032477.199465476</v>
      </c>
      <c r="AS96" s="18">
        <f t="shared" si="1012"/>
        <v>3032477.199465476</v>
      </c>
      <c r="AT96" s="18">
        <f t="shared" si="1012"/>
        <v>3032477.199465476</v>
      </c>
      <c r="AU96" s="18">
        <f t="shared" si="1012"/>
        <v>3032477.199465476</v>
      </c>
      <c r="AV96" s="18">
        <f t="shared" si="1012"/>
        <v>3032477.199465476</v>
      </c>
      <c r="AW96" s="18">
        <f t="shared" si="1012"/>
        <v>3032477.199465476</v>
      </c>
      <c r="AX96" s="18">
        <f t="shared" si="1012"/>
        <v>3032477.199465476</v>
      </c>
      <c r="AY96" s="18">
        <f t="shared" si="1012"/>
        <v>3032477.199465476</v>
      </c>
      <c r="AZ96" s="18">
        <f t="shared" si="1012"/>
        <v>3032477.199465476</v>
      </c>
      <c r="BA96" s="18">
        <f t="shared" si="1012"/>
        <v>3032477.199465476</v>
      </c>
      <c r="BB96" s="18">
        <f t="shared" si="1012"/>
        <v>3032477.199465476</v>
      </c>
      <c r="BC96" s="18">
        <f t="shared" si="1012"/>
        <v>3032477.199465476</v>
      </c>
      <c r="BD96" s="18">
        <f t="shared" si="1012"/>
        <v>3032477.199465476</v>
      </c>
      <c r="BE96" s="18">
        <f t="shared" si="1012"/>
        <v>3032477.199465476</v>
      </c>
      <c r="BF96" s="18">
        <f t="shared" si="1012"/>
        <v>3032477.199465476</v>
      </c>
      <c r="BG96" s="18">
        <f t="shared" si="1012"/>
        <v>3032477.199465476</v>
      </c>
      <c r="BH96" s="18">
        <f t="shared" si="1012"/>
        <v>3032477.199465476</v>
      </c>
      <c r="BI96" s="18">
        <f t="shared" si="1012"/>
        <v>3032477.199465476</v>
      </c>
      <c r="BJ96" s="18">
        <f t="shared" si="1012"/>
        <v>3032477.199465476</v>
      </c>
      <c r="BK96" s="18">
        <f t="shared" si="1012"/>
        <v>3032477.199465476</v>
      </c>
      <c r="BL96" s="18">
        <f t="shared" si="1012"/>
        <v>3032477.199465476</v>
      </c>
      <c r="BM96" s="18">
        <f t="shared" si="1012"/>
        <v>3032477.199465476</v>
      </c>
      <c r="BN96" s="18">
        <f t="shared" si="1012"/>
        <v>3032477.199465476</v>
      </c>
      <c r="BO96" s="18">
        <f t="shared" si="1012"/>
        <v>3032477.199465476</v>
      </c>
      <c r="BP96" s="18">
        <f t="shared" ref="BP96:EA96" si="1013">SUM(BP63:BP64)</f>
        <v>3032477.199465476</v>
      </c>
      <c r="BQ96" s="18">
        <f t="shared" si="1013"/>
        <v>3032477.199465476</v>
      </c>
      <c r="BR96" s="18">
        <f t="shared" si="1013"/>
        <v>3032477.199465476</v>
      </c>
      <c r="BS96" s="18">
        <f t="shared" si="1013"/>
        <v>3032477.199465476</v>
      </c>
      <c r="BT96" s="18">
        <f t="shared" si="1013"/>
        <v>3032477.199465476</v>
      </c>
      <c r="BU96" s="18">
        <f t="shared" si="1013"/>
        <v>3032477.199465476</v>
      </c>
      <c r="BV96" s="18">
        <f t="shared" si="1013"/>
        <v>3032477.199465476</v>
      </c>
      <c r="BW96" s="18">
        <f t="shared" si="1013"/>
        <v>3032477.199465476</v>
      </c>
      <c r="BX96" s="18">
        <f t="shared" si="1013"/>
        <v>3032477.199465476</v>
      </c>
      <c r="BY96" s="18">
        <f t="shared" si="1013"/>
        <v>3032477.199465476</v>
      </c>
      <c r="BZ96" s="18">
        <f t="shared" si="1013"/>
        <v>3032477.199465476</v>
      </c>
      <c r="CA96" s="18">
        <f t="shared" si="1013"/>
        <v>3032477.199465476</v>
      </c>
      <c r="CB96" s="18">
        <f t="shared" si="1013"/>
        <v>3032477.199465476</v>
      </c>
      <c r="CC96" s="18">
        <f t="shared" si="1013"/>
        <v>3032477.199465476</v>
      </c>
      <c r="CD96" s="18">
        <f t="shared" si="1013"/>
        <v>3032477.199465476</v>
      </c>
      <c r="CE96" s="18">
        <f t="shared" si="1013"/>
        <v>3032477.199465476</v>
      </c>
      <c r="CF96" s="18">
        <f t="shared" si="1013"/>
        <v>3032477.199465476</v>
      </c>
      <c r="CG96" s="18">
        <f t="shared" si="1013"/>
        <v>3032477.199465476</v>
      </c>
      <c r="CH96" s="18">
        <f t="shared" si="1013"/>
        <v>3032477.199465476</v>
      </c>
      <c r="CI96" s="18">
        <f t="shared" si="1013"/>
        <v>3044381.9613702381</v>
      </c>
      <c r="CJ96" s="18">
        <f t="shared" si="1013"/>
        <v>3044381.9613702381</v>
      </c>
      <c r="CK96" s="18">
        <f t="shared" si="1013"/>
        <v>3044381.9613702381</v>
      </c>
      <c r="CL96" s="18">
        <f t="shared" si="1013"/>
        <v>3044381.9613702381</v>
      </c>
      <c r="CM96" s="18">
        <f t="shared" si="1013"/>
        <v>3044381.9613702381</v>
      </c>
      <c r="CN96" s="18">
        <f t="shared" si="1013"/>
        <v>3044381.9613702381</v>
      </c>
      <c r="CO96" s="18">
        <f t="shared" si="1013"/>
        <v>3044381.9613702381</v>
      </c>
      <c r="CP96" s="18">
        <f t="shared" si="1013"/>
        <v>3044381.9613702381</v>
      </c>
      <c r="CQ96" s="18">
        <f t="shared" si="1013"/>
        <v>3044381.9613702381</v>
      </c>
      <c r="CR96" s="18">
        <f t="shared" si="1013"/>
        <v>3044381.9613702381</v>
      </c>
      <c r="CS96" s="18">
        <f t="shared" si="1013"/>
        <v>3044381.9613702381</v>
      </c>
      <c r="CT96" s="18">
        <f t="shared" si="1013"/>
        <v>3044381.9613702381</v>
      </c>
      <c r="CU96" s="18">
        <f t="shared" si="1013"/>
        <v>3056286.7232749998</v>
      </c>
      <c r="CV96" s="18">
        <f t="shared" si="1013"/>
        <v>3056286.7232749998</v>
      </c>
      <c r="CW96" s="18">
        <f t="shared" si="1013"/>
        <v>3056286.7232749998</v>
      </c>
      <c r="CX96" s="18">
        <f t="shared" si="1013"/>
        <v>23809.523809523813</v>
      </c>
      <c r="CY96" s="18">
        <f t="shared" si="1013"/>
        <v>23809.523809523813</v>
      </c>
      <c r="CZ96" s="18">
        <f t="shared" si="1013"/>
        <v>23809.523809523813</v>
      </c>
      <c r="DA96" s="18">
        <f t="shared" si="1013"/>
        <v>23809.523809523813</v>
      </c>
      <c r="DB96" s="18">
        <f t="shared" si="1013"/>
        <v>23809.523809523813</v>
      </c>
      <c r="DC96" s="18">
        <f t="shared" si="1013"/>
        <v>23809.523809523813</v>
      </c>
      <c r="DD96" s="18">
        <f t="shared" si="1013"/>
        <v>23809.523809523813</v>
      </c>
      <c r="DE96" s="18">
        <f t="shared" si="1013"/>
        <v>23809.523809523813</v>
      </c>
      <c r="DF96" s="18">
        <f t="shared" si="1013"/>
        <v>23809.523809523813</v>
      </c>
      <c r="DG96" s="18">
        <f t="shared" si="1013"/>
        <v>35714.285714285717</v>
      </c>
      <c r="DH96" s="18">
        <f t="shared" si="1013"/>
        <v>35714.285714285717</v>
      </c>
      <c r="DI96" s="18">
        <f t="shared" si="1013"/>
        <v>35714.285714285717</v>
      </c>
      <c r="DJ96" s="18">
        <f t="shared" si="1013"/>
        <v>35714.285714285717</v>
      </c>
      <c r="DK96" s="18">
        <f t="shared" si="1013"/>
        <v>35714.285714285717</v>
      </c>
      <c r="DL96" s="18">
        <f t="shared" si="1013"/>
        <v>35714.285714285717</v>
      </c>
      <c r="DM96" s="18">
        <f t="shared" si="1013"/>
        <v>35714.285714285717</v>
      </c>
      <c r="DN96" s="18">
        <f t="shared" si="1013"/>
        <v>35714.285714285717</v>
      </c>
      <c r="DO96" s="18">
        <f t="shared" si="1013"/>
        <v>35714.285714285717</v>
      </c>
      <c r="DP96" s="18">
        <f t="shared" si="1013"/>
        <v>35714.285714285717</v>
      </c>
      <c r="DQ96" s="18">
        <f t="shared" si="1013"/>
        <v>35714.285714285717</v>
      </c>
      <c r="DR96" s="18">
        <f t="shared" si="1013"/>
        <v>35714.285714285717</v>
      </c>
      <c r="DS96" s="18">
        <f t="shared" si="1013"/>
        <v>47619.047619047626</v>
      </c>
      <c r="DT96" s="18">
        <f t="shared" si="1013"/>
        <v>47619.047619047626</v>
      </c>
      <c r="DU96" s="18">
        <f t="shared" si="1013"/>
        <v>47619.047619047626</v>
      </c>
      <c r="DV96" s="18">
        <f t="shared" si="1013"/>
        <v>47619.047619047626</v>
      </c>
      <c r="DW96" s="18">
        <f t="shared" si="1013"/>
        <v>47619.047619047626</v>
      </c>
      <c r="DX96" s="18">
        <f t="shared" si="1013"/>
        <v>47619.047619047626</v>
      </c>
      <c r="DY96" s="18">
        <f t="shared" si="1013"/>
        <v>47619.047619047626</v>
      </c>
      <c r="DZ96" s="18">
        <f t="shared" si="1013"/>
        <v>47619.047619047626</v>
      </c>
      <c r="EA96" s="18">
        <f t="shared" si="1013"/>
        <v>47619.047619047626</v>
      </c>
      <c r="EB96" s="18">
        <f t="shared" ref="EB96:GM96" si="1014">SUM(EB63:EB64)</f>
        <v>47619.047619047626</v>
      </c>
      <c r="EC96" s="18">
        <f t="shared" si="1014"/>
        <v>47619.047619047626</v>
      </c>
      <c r="ED96" s="18">
        <f t="shared" si="1014"/>
        <v>47619.047619047626</v>
      </c>
      <c r="EE96" s="18">
        <f t="shared" si="1014"/>
        <v>59523.809523809527</v>
      </c>
      <c r="EF96" s="18">
        <f t="shared" si="1014"/>
        <v>59523.809523809527</v>
      </c>
      <c r="EG96" s="18">
        <f t="shared" si="1014"/>
        <v>59523.809523809527</v>
      </c>
      <c r="EH96" s="18">
        <f t="shared" si="1014"/>
        <v>59523.809523809527</v>
      </c>
      <c r="EI96" s="18">
        <f t="shared" si="1014"/>
        <v>59523.809523809527</v>
      </c>
      <c r="EJ96" s="18">
        <f t="shared" si="1014"/>
        <v>59523.809523809527</v>
      </c>
      <c r="EK96" s="18">
        <f t="shared" si="1014"/>
        <v>59523.809523809527</v>
      </c>
      <c r="EL96" s="18">
        <f t="shared" si="1014"/>
        <v>59523.809523809527</v>
      </c>
      <c r="EM96" s="18">
        <f t="shared" si="1014"/>
        <v>59523.809523809527</v>
      </c>
      <c r="EN96" s="18">
        <f t="shared" si="1014"/>
        <v>59523.809523809527</v>
      </c>
      <c r="EO96" s="18">
        <f t="shared" si="1014"/>
        <v>59523.809523809527</v>
      </c>
      <c r="EP96" s="18">
        <f t="shared" si="1014"/>
        <v>59523.809523809527</v>
      </c>
      <c r="EQ96" s="18">
        <f t="shared" si="1014"/>
        <v>71428.571428571435</v>
      </c>
      <c r="ER96" s="18">
        <f t="shared" si="1014"/>
        <v>71428.571428571435</v>
      </c>
      <c r="ES96" s="18">
        <f t="shared" si="1014"/>
        <v>71428.571428571435</v>
      </c>
      <c r="ET96" s="18">
        <f t="shared" si="1014"/>
        <v>71428.571428571435</v>
      </c>
      <c r="EU96" s="18">
        <f t="shared" si="1014"/>
        <v>71428.571428571435</v>
      </c>
      <c r="EV96" s="18">
        <f t="shared" si="1014"/>
        <v>71428.571428571435</v>
      </c>
      <c r="EW96" s="18">
        <f t="shared" si="1014"/>
        <v>71428.571428571435</v>
      </c>
      <c r="EX96" s="18">
        <f t="shared" si="1014"/>
        <v>71428.571428571435</v>
      </c>
      <c r="EY96" s="18">
        <f t="shared" si="1014"/>
        <v>71428.571428571435</v>
      </c>
      <c r="EZ96" s="18">
        <f t="shared" si="1014"/>
        <v>71428.571428571435</v>
      </c>
      <c r="FA96" s="18">
        <f t="shared" si="1014"/>
        <v>71428.571428571435</v>
      </c>
      <c r="FB96" s="18">
        <f t="shared" si="1014"/>
        <v>71428.571428571435</v>
      </c>
      <c r="FC96" s="18">
        <f t="shared" si="1014"/>
        <v>83333.333333333328</v>
      </c>
      <c r="FD96" s="18">
        <f t="shared" si="1014"/>
        <v>83333.333333333328</v>
      </c>
      <c r="FE96" s="18">
        <f t="shared" si="1014"/>
        <v>83333.333333333328</v>
      </c>
      <c r="FF96" s="18">
        <f t="shared" si="1014"/>
        <v>83333.333333333328</v>
      </c>
      <c r="FG96" s="18">
        <f t="shared" si="1014"/>
        <v>83333.333333333328</v>
      </c>
      <c r="FH96" s="18">
        <f t="shared" si="1014"/>
        <v>83333.333333333328</v>
      </c>
      <c r="FI96" s="18">
        <f t="shared" si="1014"/>
        <v>83333.333333333328</v>
      </c>
      <c r="FJ96" s="18">
        <f t="shared" si="1014"/>
        <v>83333.333333333328</v>
      </c>
      <c r="FK96" s="18">
        <f t="shared" si="1014"/>
        <v>83333.333333333328</v>
      </c>
      <c r="FL96" s="18">
        <f t="shared" si="1014"/>
        <v>83333.333333333328</v>
      </c>
      <c r="FM96" s="18">
        <f t="shared" si="1014"/>
        <v>83333.333333333328</v>
      </c>
      <c r="FN96" s="18">
        <f t="shared" si="1014"/>
        <v>83333.333333333328</v>
      </c>
      <c r="FO96" s="18">
        <f t="shared" si="1014"/>
        <v>83333.333333333328</v>
      </c>
      <c r="FP96" s="18">
        <f t="shared" si="1014"/>
        <v>83333.333333333328</v>
      </c>
      <c r="FQ96" s="18">
        <f t="shared" si="1014"/>
        <v>83333.333333333328</v>
      </c>
      <c r="FR96" s="18">
        <f t="shared" si="1014"/>
        <v>83333.333333333328</v>
      </c>
      <c r="FS96" s="18">
        <f t="shared" si="1014"/>
        <v>83333.333333333328</v>
      </c>
      <c r="FT96" s="18">
        <f t="shared" si="1014"/>
        <v>83333.333333333328</v>
      </c>
      <c r="FU96" s="18">
        <f t="shared" si="1014"/>
        <v>83333.333333333328</v>
      </c>
      <c r="FV96" s="18">
        <f t="shared" si="1014"/>
        <v>83333.333333333328</v>
      </c>
      <c r="FW96" s="18">
        <f t="shared" si="1014"/>
        <v>83333.333333333328</v>
      </c>
      <c r="FX96" s="18">
        <f t="shared" si="1014"/>
        <v>83333.333333333328</v>
      </c>
      <c r="FY96" s="18">
        <f t="shared" si="1014"/>
        <v>83333.333333333328</v>
      </c>
      <c r="FZ96" s="18">
        <f t="shared" si="1014"/>
        <v>83333.333333333328</v>
      </c>
      <c r="GA96" s="18">
        <f t="shared" si="1014"/>
        <v>83333.333333333328</v>
      </c>
      <c r="GB96" s="18">
        <f t="shared" si="1014"/>
        <v>83333.333333333328</v>
      </c>
      <c r="GC96" s="18">
        <f t="shared" si="1014"/>
        <v>83333.333333333328</v>
      </c>
      <c r="GD96" s="18">
        <f t="shared" si="1014"/>
        <v>83333.333333333328</v>
      </c>
      <c r="GE96" s="18">
        <f t="shared" si="1014"/>
        <v>83333.333333333328</v>
      </c>
      <c r="GF96" s="18">
        <f t="shared" si="1014"/>
        <v>83333.333333333328</v>
      </c>
      <c r="GG96" s="18">
        <f t="shared" si="1014"/>
        <v>83333.333333333328</v>
      </c>
      <c r="GH96" s="18">
        <f t="shared" si="1014"/>
        <v>83333.333333333328</v>
      </c>
      <c r="GI96" s="18">
        <f t="shared" si="1014"/>
        <v>83333.333333333328</v>
      </c>
      <c r="GJ96" s="18">
        <f t="shared" si="1014"/>
        <v>83333.333333333328</v>
      </c>
      <c r="GK96" s="18">
        <f t="shared" si="1014"/>
        <v>83333.333333333328</v>
      </c>
      <c r="GL96" s="18">
        <f t="shared" si="1014"/>
        <v>83333.333333333328</v>
      </c>
      <c r="GM96" s="18">
        <f t="shared" si="1014"/>
        <v>83333.333333333328</v>
      </c>
      <c r="GN96" s="18">
        <f t="shared" ref="GN96:IY96" si="1015">SUM(GN63:GN64)</f>
        <v>83333.333333333328</v>
      </c>
      <c r="GO96" s="18">
        <f t="shared" si="1015"/>
        <v>83333.333333333328</v>
      </c>
      <c r="GP96" s="18">
        <f t="shared" si="1015"/>
        <v>83333.333333333328</v>
      </c>
      <c r="GQ96" s="18">
        <f t="shared" si="1015"/>
        <v>83333.333333333328</v>
      </c>
      <c r="GR96" s="18">
        <f t="shared" si="1015"/>
        <v>83333.333333333328</v>
      </c>
      <c r="GS96" s="18">
        <f t="shared" si="1015"/>
        <v>83333.333333333328</v>
      </c>
      <c r="GT96" s="18">
        <f t="shared" si="1015"/>
        <v>83333.333333333328</v>
      </c>
      <c r="GU96" s="18">
        <f t="shared" si="1015"/>
        <v>83333.333333333328</v>
      </c>
      <c r="GV96" s="18">
        <f t="shared" si="1015"/>
        <v>83333.333333333328</v>
      </c>
      <c r="GW96" s="18">
        <f t="shared" si="1015"/>
        <v>83333.333333333328</v>
      </c>
      <c r="GX96" s="18">
        <f t="shared" si="1015"/>
        <v>83333.333333333328</v>
      </c>
      <c r="GY96" s="18">
        <f t="shared" si="1015"/>
        <v>83333.333333333328</v>
      </c>
      <c r="GZ96" s="18">
        <f t="shared" si="1015"/>
        <v>83333.333333333328</v>
      </c>
      <c r="HA96" s="18">
        <f t="shared" si="1015"/>
        <v>83333.333333333328</v>
      </c>
      <c r="HB96" s="18">
        <f t="shared" si="1015"/>
        <v>83333.333333333328</v>
      </c>
      <c r="HC96" s="18">
        <f t="shared" si="1015"/>
        <v>83333.333333333328</v>
      </c>
      <c r="HD96" s="18">
        <f t="shared" si="1015"/>
        <v>83333.333333333328</v>
      </c>
      <c r="HE96" s="18">
        <f t="shared" si="1015"/>
        <v>83333.333333333328</v>
      </c>
      <c r="HF96" s="18">
        <f t="shared" si="1015"/>
        <v>83333.333333333328</v>
      </c>
      <c r="HG96" s="18">
        <f t="shared" si="1015"/>
        <v>83333.333333333328</v>
      </c>
      <c r="HH96" s="18">
        <f t="shared" si="1015"/>
        <v>83333.333333333328</v>
      </c>
      <c r="HI96" s="18">
        <f t="shared" si="1015"/>
        <v>83333.333333333328</v>
      </c>
      <c r="HJ96" s="18">
        <f t="shared" si="1015"/>
        <v>83333.333333333328</v>
      </c>
      <c r="HK96" s="18">
        <f t="shared" si="1015"/>
        <v>83333.333333333328</v>
      </c>
      <c r="HL96" s="18">
        <f t="shared" si="1015"/>
        <v>83333.333333333328</v>
      </c>
      <c r="HM96" s="18">
        <f t="shared" si="1015"/>
        <v>83333.333333333328</v>
      </c>
      <c r="HN96" s="18">
        <f t="shared" si="1015"/>
        <v>83333.333333333328</v>
      </c>
      <c r="HO96" s="18">
        <f t="shared" si="1015"/>
        <v>83333.333333333328</v>
      </c>
      <c r="HP96" s="18">
        <f t="shared" si="1015"/>
        <v>83333.333333333328</v>
      </c>
      <c r="HQ96" s="18">
        <f t="shared" si="1015"/>
        <v>83333.333333333328</v>
      </c>
      <c r="HR96" s="18">
        <f t="shared" si="1015"/>
        <v>83333.333333333328</v>
      </c>
      <c r="HS96" s="18">
        <f t="shared" si="1015"/>
        <v>83333.333333333328</v>
      </c>
      <c r="HT96" s="18">
        <f t="shared" si="1015"/>
        <v>83333.333333333328</v>
      </c>
      <c r="HU96" s="18">
        <f t="shared" si="1015"/>
        <v>83333.333333333328</v>
      </c>
      <c r="HV96" s="18">
        <f t="shared" si="1015"/>
        <v>83333.333333333328</v>
      </c>
      <c r="HW96" s="18">
        <f t="shared" si="1015"/>
        <v>83333.333333333328</v>
      </c>
      <c r="HX96" s="18">
        <f t="shared" si="1015"/>
        <v>83333.333333333328</v>
      </c>
      <c r="HY96" s="18">
        <f t="shared" si="1015"/>
        <v>83333.333333333328</v>
      </c>
      <c r="HZ96" s="18">
        <f t="shared" si="1015"/>
        <v>83333.333333333328</v>
      </c>
      <c r="IA96" s="18">
        <f t="shared" si="1015"/>
        <v>83333.333333333328</v>
      </c>
      <c r="IB96" s="18">
        <f t="shared" si="1015"/>
        <v>83333.333333333328</v>
      </c>
      <c r="IC96" s="18">
        <f t="shared" si="1015"/>
        <v>83333.333333333328</v>
      </c>
      <c r="ID96" s="18">
        <f t="shared" si="1015"/>
        <v>83333.333333333328</v>
      </c>
      <c r="IE96" s="18">
        <f t="shared" si="1015"/>
        <v>83333.333333333328</v>
      </c>
      <c r="IF96" s="18">
        <f t="shared" si="1015"/>
        <v>83333.333333333328</v>
      </c>
      <c r="IG96" s="18">
        <f t="shared" si="1015"/>
        <v>83333.333333333328</v>
      </c>
      <c r="IH96" s="18">
        <f t="shared" si="1015"/>
        <v>83333.333333333328</v>
      </c>
      <c r="II96" s="18">
        <f t="shared" si="1015"/>
        <v>83333.333333333328</v>
      </c>
      <c r="IJ96" s="18">
        <f t="shared" si="1015"/>
        <v>83333.333333333328</v>
      </c>
      <c r="IK96" s="18">
        <f t="shared" si="1015"/>
        <v>83333.333333333328</v>
      </c>
      <c r="IL96" s="18">
        <f t="shared" si="1015"/>
        <v>83333.333333333328</v>
      </c>
      <c r="IM96" s="18">
        <f t="shared" si="1015"/>
        <v>83333.333333333328</v>
      </c>
      <c r="IN96" s="18">
        <f t="shared" si="1015"/>
        <v>83333.333333333328</v>
      </c>
      <c r="IO96" s="18">
        <f t="shared" si="1015"/>
        <v>83333.333333333328</v>
      </c>
      <c r="IP96" s="18">
        <f t="shared" si="1015"/>
        <v>83333.333333333328</v>
      </c>
      <c r="IQ96" s="18">
        <f t="shared" si="1015"/>
        <v>83333.333333333328</v>
      </c>
      <c r="IR96" s="18">
        <f t="shared" si="1015"/>
        <v>83333.333333333328</v>
      </c>
      <c r="IS96" s="18">
        <f t="shared" si="1015"/>
        <v>83333.333333333328</v>
      </c>
      <c r="IT96" s="18">
        <f t="shared" si="1015"/>
        <v>83333.333333333328</v>
      </c>
      <c r="IU96" s="18">
        <f t="shared" si="1015"/>
        <v>83333.333333333328</v>
      </c>
      <c r="IV96" s="18">
        <f t="shared" si="1015"/>
        <v>83333.333333333328</v>
      </c>
      <c r="IW96" s="18">
        <f t="shared" si="1015"/>
        <v>83333.333333333328</v>
      </c>
      <c r="IX96" s="18">
        <f t="shared" si="1015"/>
        <v>83333.333333333328</v>
      </c>
      <c r="IY96" s="18">
        <f t="shared" si="1015"/>
        <v>83333.333333333328</v>
      </c>
      <c r="IZ96" s="18">
        <f t="shared" ref="IZ96:JR96" si="1016">SUM(IZ63:IZ64)</f>
        <v>83333.333333333328</v>
      </c>
      <c r="JA96" s="18">
        <f t="shared" si="1016"/>
        <v>83333.333333333328</v>
      </c>
      <c r="JB96" s="18">
        <f t="shared" si="1016"/>
        <v>83333.333333333328</v>
      </c>
      <c r="JC96" s="18">
        <f t="shared" si="1016"/>
        <v>83333.333333333328</v>
      </c>
      <c r="JD96" s="18">
        <f t="shared" si="1016"/>
        <v>83333.333333333328</v>
      </c>
      <c r="JE96" s="18">
        <f t="shared" si="1016"/>
        <v>83333.333333333328</v>
      </c>
      <c r="JF96" s="18">
        <f t="shared" si="1016"/>
        <v>83333.333333333328</v>
      </c>
      <c r="JG96" s="18">
        <f t="shared" si="1016"/>
        <v>83333.333333333328</v>
      </c>
      <c r="JH96" s="18">
        <f t="shared" si="1016"/>
        <v>83333.333333333328</v>
      </c>
      <c r="JI96" s="18">
        <f t="shared" si="1016"/>
        <v>83333.333333333328</v>
      </c>
      <c r="JJ96" s="18">
        <f t="shared" si="1016"/>
        <v>83333.333333333328</v>
      </c>
      <c r="JK96" s="18">
        <f t="shared" si="1016"/>
        <v>83333.333333333328</v>
      </c>
      <c r="JL96" s="18">
        <f t="shared" si="1016"/>
        <v>83333.333333333328</v>
      </c>
      <c r="JM96" s="18">
        <f t="shared" si="1016"/>
        <v>83333.333333333328</v>
      </c>
      <c r="JN96" s="18">
        <f t="shared" si="1016"/>
        <v>83333.333333333328</v>
      </c>
      <c r="JO96" s="18">
        <f t="shared" si="1016"/>
        <v>83333.333333333328</v>
      </c>
      <c r="JP96" s="18">
        <f t="shared" si="1016"/>
        <v>83333.333333333328</v>
      </c>
      <c r="JQ96" s="18">
        <f t="shared" si="1016"/>
        <v>83333.333333333328</v>
      </c>
      <c r="JR96" s="18">
        <f t="shared" si="1016"/>
        <v>83333.333333333328</v>
      </c>
    </row>
    <row r="97" spans="2:278" x14ac:dyDescent="0.2">
      <c r="B97" s="1" t="s">
        <v>119</v>
      </c>
      <c r="C97" s="18">
        <f t="shared" ref="C97:BN97" si="1017">C65</f>
        <v>0</v>
      </c>
      <c r="D97" s="18">
        <f t="shared" si="1017"/>
        <v>0</v>
      </c>
      <c r="E97" s="18">
        <f t="shared" si="1017"/>
        <v>0</v>
      </c>
      <c r="F97" s="18">
        <f t="shared" si="1017"/>
        <v>0</v>
      </c>
      <c r="G97" s="18">
        <f t="shared" si="1017"/>
        <v>0</v>
      </c>
      <c r="H97" s="18">
        <f t="shared" si="1017"/>
        <v>0</v>
      </c>
      <c r="I97" s="18">
        <f t="shared" si="1017"/>
        <v>0</v>
      </c>
      <c r="J97" s="18">
        <f t="shared" si="1017"/>
        <v>0</v>
      </c>
      <c r="K97" s="18">
        <f t="shared" si="1017"/>
        <v>0</v>
      </c>
      <c r="L97" s="18">
        <f t="shared" si="1017"/>
        <v>0</v>
      </c>
      <c r="M97" s="18">
        <f t="shared" si="1017"/>
        <v>0</v>
      </c>
      <c r="N97" s="18">
        <f t="shared" si="1017"/>
        <v>0</v>
      </c>
      <c r="O97" s="18">
        <f t="shared" si="1017"/>
        <v>0</v>
      </c>
      <c r="P97" s="18">
        <f t="shared" si="1017"/>
        <v>0</v>
      </c>
      <c r="Q97" s="18">
        <f t="shared" si="1017"/>
        <v>0</v>
      </c>
      <c r="R97" s="18">
        <f t="shared" si="1017"/>
        <v>203782.46780407999</v>
      </c>
      <c r="S97" s="18">
        <f t="shared" si="1017"/>
        <v>203782.46780407999</v>
      </c>
      <c r="T97" s="18">
        <f t="shared" si="1017"/>
        <v>203782.46780407999</v>
      </c>
      <c r="U97" s="18">
        <f t="shared" si="1017"/>
        <v>203782.46780407999</v>
      </c>
      <c r="V97" s="18">
        <f t="shared" si="1017"/>
        <v>203782.46780407999</v>
      </c>
      <c r="W97" s="18">
        <f t="shared" si="1017"/>
        <v>203782.46780407999</v>
      </c>
      <c r="X97" s="18">
        <f t="shared" si="1017"/>
        <v>203782.46780407999</v>
      </c>
      <c r="Y97" s="18">
        <f t="shared" si="1017"/>
        <v>203782.46780407999</v>
      </c>
      <c r="Z97" s="18">
        <f t="shared" si="1017"/>
        <v>203782.46780407999</v>
      </c>
      <c r="AA97" s="18">
        <f t="shared" si="1017"/>
        <v>16981.872317006666</v>
      </c>
      <c r="AB97" s="18">
        <f t="shared" si="1017"/>
        <v>16981.872317006666</v>
      </c>
      <c r="AC97" s="18">
        <f t="shared" si="1017"/>
        <v>16981.872317006666</v>
      </c>
      <c r="AD97" s="18">
        <f t="shared" si="1017"/>
        <v>16981.872317006666</v>
      </c>
      <c r="AE97" s="18">
        <f t="shared" si="1017"/>
        <v>16981.872317006666</v>
      </c>
      <c r="AF97" s="18">
        <f t="shared" si="1017"/>
        <v>16981.872317006666</v>
      </c>
      <c r="AG97" s="18">
        <f t="shared" si="1017"/>
        <v>16981.872317006666</v>
      </c>
      <c r="AH97" s="18">
        <f t="shared" si="1017"/>
        <v>16981.872317006666</v>
      </c>
      <c r="AI97" s="18">
        <f t="shared" si="1017"/>
        <v>16981.872317006666</v>
      </c>
      <c r="AJ97" s="18">
        <f t="shared" si="1017"/>
        <v>16981.872317006666</v>
      </c>
      <c r="AK97" s="18">
        <f t="shared" si="1017"/>
        <v>16981.872317006666</v>
      </c>
      <c r="AL97" s="18">
        <f t="shared" si="1017"/>
        <v>16981.872317006666</v>
      </c>
      <c r="AM97" s="18">
        <f t="shared" si="1017"/>
        <v>16981.872317006666</v>
      </c>
      <c r="AN97" s="18">
        <f t="shared" si="1017"/>
        <v>16981.872317006666</v>
      </c>
      <c r="AO97" s="18">
        <f t="shared" si="1017"/>
        <v>16981.872317006666</v>
      </c>
      <c r="AP97" s="18">
        <f t="shared" si="1017"/>
        <v>16981.872317006666</v>
      </c>
      <c r="AQ97" s="18">
        <f t="shared" si="1017"/>
        <v>16981.872317006666</v>
      </c>
      <c r="AR97" s="18">
        <f t="shared" si="1017"/>
        <v>16981.872317006666</v>
      </c>
      <c r="AS97" s="18">
        <f t="shared" si="1017"/>
        <v>16981.872317006666</v>
      </c>
      <c r="AT97" s="18">
        <f t="shared" si="1017"/>
        <v>16981.872317006666</v>
      </c>
      <c r="AU97" s="18">
        <f t="shared" si="1017"/>
        <v>16981.872317006666</v>
      </c>
      <c r="AV97" s="18">
        <f t="shared" si="1017"/>
        <v>16981.872317006666</v>
      </c>
      <c r="AW97" s="18">
        <f t="shared" si="1017"/>
        <v>16981.872317006666</v>
      </c>
      <c r="AX97" s="18">
        <f t="shared" si="1017"/>
        <v>16981.872317006666</v>
      </c>
      <c r="AY97" s="18">
        <f t="shared" si="1017"/>
        <v>16981.872317006666</v>
      </c>
      <c r="AZ97" s="18">
        <f t="shared" si="1017"/>
        <v>16981.872317006666</v>
      </c>
      <c r="BA97" s="18">
        <f t="shared" si="1017"/>
        <v>16981.872317006666</v>
      </c>
      <c r="BB97" s="18">
        <f t="shared" si="1017"/>
        <v>16981.872317006666</v>
      </c>
      <c r="BC97" s="18">
        <f t="shared" si="1017"/>
        <v>16981.872317006666</v>
      </c>
      <c r="BD97" s="18">
        <f t="shared" si="1017"/>
        <v>16981.872317006666</v>
      </c>
      <c r="BE97" s="18">
        <f t="shared" si="1017"/>
        <v>16981.872317006666</v>
      </c>
      <c r="BF97" s="18">
        <f t="shared" si="1017"/>
        <v>16981.872317006666</v>
      </c>
      <c r="BG97" s="18">
        <f t="shared" si="1017"/>
        <v>16981.872317006666</v>
      </c>
      <c r="BH97" s="18">
        <f t="shared" si="1017"/>
        <v>16981.872317006666</v>
      </c>
      <c r="BI97" s="18">
        <f t="shared" si="1017"/>
        <v>16981.872317006666</v>
      </c>
      <c r="BJ97" s="18">
        <f t="shared" si="1017"/>
        <v>16981.872317006666</v>
      </c>
      <c r="BK97" s="18">
        <f t="shared" si="1017"/>
        <v>16981.872317006666</v>
      </c>
      <c r="BL97" s="18">
        <f t="shared" si="1017"/>
        <v>16981.872317006666</v>
      </c>
      <c r="BM97" s="18">
        <f t="shared" si="1017"/>
        <v>16981.872317006666</v>
      </c>
      <c r="BN97" s="18">
        <f t="shared" si="1017"/>
        <v>16981.872317006666</v>
      </c>
      <c r="BO97" s="18">
        <f t="shared" ref="BO97:DZ97" si="1018">BO65</f>
        <v>16981.872317006666</v>
      </c>
      <c r="BP97" s="18">
        <f t="shared" si="1018"/>
        <v>16981.872317006666</v>
      </c>
      <c r="BQ97" s="18">
        <f t="shared" si="1018"/>
        <v>16981.872317006666</v>
      </c>
      <c r="BR97" s="18">
        <f t="shared" si="1018"/>
        <v>16981.872317006666</v>
      </c>
      <c r="BS97" s="18">
        <f t="shared" si="1018"/>
        <v>16981.872317006666</v>
      </c>
      <c r="BT97" s="18">
        <f t="shared" si="1018"/>
        <v>16981.872317006666</v>
      </c>
      <c r="BU97" s="18">
        <f t="shared" si="1018"/>
        <v>16981.872317006666</v>
      </c>
      <c r="BV97" s="18">
        <f t="shared" si="1018"/>
        <v>16981.872317006666</v>
      </c>
      <c r="BW97" s="18">
        <f t="shared" si="1018"/>
        <v>16981.872317006666</v>
      </c>
      <c r="BX97" s="18">
        <f t="shared" si="1018"/>
        <v>16981.872317006666</v>
      </c>
      <c r="BY97" s="18">
        <f t="shared" si="1018"/>
        <v>16981.872317006666</v>
      </c>
      <c r="BZ97" s="18">
        <f t="shared" si="1018"/>
        <v>16981.872317006666</v>
      </c>
      <c r="CA97" s="18">
        <f t="shared" si="1018"/>
        <v>16981.872317006666</v>
      </c>
      <c r="CB97" s="18">
        <f t="shared" si="1018"/>
        <v>16981.872317006666</v>
      </c>
      <c r="CC97" s="18">
        <f t="shared" si="1018"/>
        <v>16981.872317006666</v>
      </c>
      <c r="CD97" s="18">
        <f t="shared" si="1018"/>
        <v>16981.872317006666</v>
      </c>
      <c r="CE97" s="18">
        <f t="shared" si="1018"/>
        <v>16981.872317006666</v>
      </c>
      <c r="CF97" s="18">
        <f t="shared" si="1018"/>
        <v>16981.872317006666</v>
      </c>
      <c r="CG97" s="18">
        <f t="shared" si="1018"/>
        <v>16981.872317006666</v>
      </c>
      <c r="CH97" s="18">
        <f t="shared" si="1018"/>
        <v>16981.872317006666</v>
      </c>
      <c r="CI97" s="18">
        <f t="shared" si="1018"/>
        <v>16981.872317006666</v>
      </c>
      <c r="CJ97" s="18">
        <f t="shared" si="1018"/>
        <v>16981.872317006666</v>
      </c>
      <c r="CK97" s="18">
        <f t="shared" si="1018"/>
        <v>16981.872317006666</v>
      </c>
      <c r="CL97" s="18">
        <f t="shared" si="1018"/>
        <v>16981.872317006666</v>
      </c>
      <c r="CM97" s="18">
        <f t="shared" si="1018"/>
        <v>16981.872317006666</v>
      </c>
      <c r="CN97" s="18">
        <f t="shared" si="1018"/>
        <v>16981.872317006666</v>
      </c>
      <c r="CO97" s="18">
        <f t="shared" si="1018"/>
        <v>16981.872317006666</v>
      </c>
      <c r="CP97" s="18">
        <f t="shared" si="1018"/>
        <v>16981.872317006666</v>
      </c>
      <c r="CQ97" s="18">
        <f t="shared" si="1018"/>
        <v>16981.872317006666</v>
      </c>
      <c r="CR97" s="18">
        <f t="shared" si="1018"/>
        <v>16981.872317006666</v>
      </c>
      <c r="CS97" s="18">
        <f t="shared" si="1018"/>
        <v>16981.872317006666</v>
      </c>
      <c r="CT97" s="18">
        <f t="shared" si="1018"/>
        <v>16981.872317006666</v>
      </c>
      <c r="CU97" s="18">
        <f t="shared" si="1018"/>
        <v>16981.872317006666</v>
      </c>
      <c r="CV97" s="18">
        <f t="shared" si="1018"/>
        <v>16981.872317006666</v>
      </c>
      <c r="CW97" s="18">
        <f t="shared" si="1018"/>
        <v>16981.872317006666</v>
      </c>
      <c r="CX97" s="18">
        <f t="shared" si="1018"/>
        <v>16981.872317006666</v>
      </c>
      <c r="CY97" s="18">
        <f t="shared" si="1018"/>
        <v>16981.872317006666</v>
      </c>
      <c r="CZ97" s="18">
        <f t="shared" si="1018"/>
        <v>16981.872317006666</v>
      </c>
      <c r="DA97" s="18">
        <f t="shared" si="1018"/>
        <v>16981.872317006666</v>
      </c>
      <c r="DB97" s="18">
        <f t="shared" si="1018"/>
        <v>16981.872317006666</v>
      </c>
      <c r="DC97" s="18">
        <f t="shared" si="1018"/>
        <v>16981.872317006666</v>
      </c>
      <c r="DD97" s="18">
        <f t="shared" si="1018"/>
        <v>16981.872317006666</v>
      </c>
      <c r="DE97" s="18">
        <f t="shared" si="1018"/>
        <v>16981.872317006666</v>
      </c>
      <c r="DF97" s="18">
        <f t="shared" si="1018"/>
        <v>16981.872317006666</v>
      </c>
      <c r="DG97" s="18">
        <f t="shared" si="1018"/>
        <v>16981.872317006666</v>
      </c>
      <c r="DH97" s="18">
        <f t="shared" si="1018"/>
        <v>16981.872317006666</v>
      </c>
      <c r="DI97" s="18">
        <f t="shared" si="1018"/>
        <v>16981.872317006666</v>
      </c>
      <c r="DJ97" s="18">
        <f t="shared" si="1018"/>
        <v>16981.872317006666</v>
      </c>
      <c r="DK97" s="18">
        <f t="shared" si="1018"/>
        <v>16981.872317006666</v>
      </c>
      <c r="DL97" s="18">
        <f t="shared" si="1018"/>
        <v>16981.872317006666</v>
      </c>
      <c r="DM97" s="18">
        <f t="shared" si="1018"/>
        <v>16981.872317006666</v>
      </c>
      <c r="DN97" s="18">
        <f t="shared" si="1018"/>
        <v>16981.872317006666</v>
      </c>
      <c r="DO97" s="18">
        <f t="shared" si="1018"/>
        <v>16981.872317006666</v>
      </c>
      <c r="DP97" s="18">
        <f t="shared" si="1018"/>
        <v>16981.872317006666</v>
      </c>
      <c r="DQ97" s="18">
        <f t="shared" si="1018"/>
        <v>16981.872317006666</v>
      </c>
      <c r="DR97" s="18">
        <f t="shared" si="1018"/>
        <v>16981.872317006666</v>
      </c>
      <c r="DS97" s="18">
        <f t="shared" si="1018"/>
        <v>16981.872317006666</v>
      </c>
      <c r="DT97" s="18">
        <f t="shared" si="1018"/>
        <v>16981.872317006666</v>
      </c>
      <c r="DU97" s="18">
        <f t="shared" si="1018"/>
        <v>16981.872317006666</v>
      </c>
      <c r="DV97" s="18">
        <f t="shared" si="1018"/>
        <v>16981.872317006666</v>
      </c>
      <c r="DW97" s="18">
        <f t="shared" si="1018"/>
        <v>16981.872317006666</v>
      </c>
      <c r="DX97" s="18">
        <f t="shared" si="1018"/>
        <v>16981.872317006666</v>
      </c>
      <c r="DY97" s="18">
        <f t="shared" si="1018"/>
        <v>16981.872317006666</v>
      </c>
      <c r="DZ97" s="18">
        <f t="shared" si="1018"/>
        <v>16981.872317006666</v>
      </c>
      <c r="EA97" s="18">
        <f t="shared" ref="EA97:GL97" si="1019">EA65</f>
        <v>16981.872317006666</v>
      </c>
      <c r="EB97" s="18">
        <f t="shared" si="1019"/>
        <v>16981.872317006666</v>
      </c>
      <c r="EC97" s="18">
        <f t="shared" si="1019"/>
        <v>16981.872317006666</v>
      </c>
      <c r="ED97" s="18">
        <f t="shared" si="1019"/>
        <v>16981.872317006666</v>
      </c>
      <c r="EE97" s="18">
        <f t="shared" si="1019"/>
        <v>16981.872317006666</v>
      </c>
      <c r="EF97" s="18">
        <f t="shared" si="1019"/>
        <v>16981.872317006666</v>
      </c>
      <c r="EG97" s="18">
        <f t="shared" si="1019"/>
        <v>16981.872317006666</v>
      </c>
      <c r="EH97" s="18">
        <f t="shared" si="1019"/>
        <v>16981.872317006666</v>
      </c>
      <c r="EI97" s="18">
        <f t="shared" si="1019"/>
        <v>16981.872317006666</v>
      </c>
      <c r="EJ97" s="18">
        <f t="shared" si="1019"/>
        <v>16981.872317006666</v>
      </c>
      <c r="EK97" s="18">
        <f t="shared" si="1019"/>
        <v>16981.872317006666</v>
      </c>
      <c r="EL97" s="18">
        <f t="shared" si="1019"/>
        <v>16981.872317006666</v>
      </c>
      <c r="EM97" s="18">
        <f t="shared" si="1019"/>
        <v>16981.872317006666</v>
      </c>
      <c r="EN97" s="18">
        <f t="shared" si="1019"/>
        <v>16981.872317006666</v>
      </c>
      <c r="EO97" s="18">
        <f t="shared" si="1019"/>
        <v>16981.872317006666</v>
      </c>
      <c r="EP97" s="18">
        <f t="shared" si="1019"/>
        <v>16981.872317006666</v>
      </c>
      <c r="EQ97" s="18">
        <f t="shared" si="1019"/>
        <v>16981.872317006666</v>
      </c>
      <c r="ER97" s="18">
        <f t="shared" si="1019"/>
        <v>16981.872317006666</v>
      </c>
      <c r="ES97" s="18">
        <f t="shared" si="1019"/>
        <v>16981.872317006666</v>
      </c>
      <c r="ET97" s="18">
        <f t="shared" si="1019"/>
        <v>16981.872317006666</v>
      </c>
      <c r="EU97" s="18">
        <f t="shared" si="1019"/>
        <v>16981.872317006666</v>
      </c>
      <c r="EV97" s="18">
        <f t="shared" si="1019"/>
        <v>16981.872317006666</v>
      </c>
      <c r="EW97" s="18">
        <f t="shared" si="1019"/>
        <v>16981.872317006666</v>
      </c>
      <c r="EX97" s="18">
        <f t="shared" si="1019"/>
        <v>16981.872317006666</v>
      </c>
      <c r="EY97" s="18">
        <f t="shared" si="1019"/>
        <v>16981.872317006666</v>
      </c>
      <c r="EZ97" s="18">
        <f t="shared" si="1019"/>
        <v>16981.872317006666</v>
      </c>
      <c r="FA97" s="18">
        <f t="shared" si="1019"/>
        <v>16981.872317006666</v>
      </c>
      <c r="FB97" s="18">
        <f t="shared" si="1019"/>
        <v>16981.872317006666</v>
      </c>
      <c r="FC97" s="18">
        <f t="shared" si="1019"/>
        <v>16981.872317006666</v>
      </c>
      <c r="FD97" s="18">
        <f t="shared" si="1019"/>
        <v>16981.872317006666</v>
      </c>
      <c r="FE97" s="18">
        <f t="shared" si="1019"/>
        <v>16981.872317006666</v>
      </c>
      <c r="FF97" s="18">
        <f t="shared" si="1019"/>
        <v>16981.872317006666</v>
      </c>
      <c r="FG97" s="18">
        <f t="shared" si="1019"/>
        <v>16981.872317006666</v>
      </c>
      <c r="FH97" s="18">
        <f t="shared" si="1019"/>
        <v>16981.872317006666</v>
      </c>
      <c r="FI97" s="18">
        <f t="shared" si="1019"/>
        <v>16981.872317006666</v>
      </c>
      <c r="FJ97" s="18">
        <f t="shared" si="1019"/>
        <v>16981.872317006666</v>
      </c>
      <c r="FK97" s="18">
        <f t="shared" si="1019"/>
        <v>16981.872317006666</v>
      </c>
      <c r="FL97" s="18">
        <f t="shared" si="1019"/>
        <v>16981.872317006666</v>
      </c>
      <c r="FM97" s="18">
        <f t="shared" si="1019"/>
        <v>16981.872317006666</v>
      </c>
      <c r="FN97" s="18">
        <f t="shared" si="1019"/>
        <v>16981.872317006666</v>
      </c>
      <c r="FO97" s="18">
        <f t="shared" si="1019"/>
        <v>16981.872317006666</v>
      </c>
      <c r="FP97" s="18">
        <f t="shared" si="1019"/>
        <v>16981.872317006666</v>
      </c>
      <c r="FQ97" s="18">
        <f t="shared" si="1019"/>
        <v>16981.872317006666</v>
      </c>
      <c r="FR97" s="18">
        <f t="shared" si="1019"/>
        <v>16981.872317006666</v>
      </c>
      <c r="FS97" s="18">
        <f t="shared" si="1019"/>
        <v>16981.872317006666</v>
      </c>
      <c r="FT97" s="18">
        <f t="shared" si="1019"/>
        <v>16981.872317006666</v>
      </c>
      <c r="FU97" s="18">
        <f t="shared" si="1019"/>
        <v>16981.872317006666</v>
      </c>
      <c r="FV97" s="18">
        <f t="shared" si="1019"/>
        <v>16981.872317006666</v>
      </c>
      <c r="FW97" s="18">
        <f t="shared" si="1019"/>
        <v>16981.872317006666</v>
      </c>
      <c r="FX97" s="18">
        <f t="shared" si="1019"/>
        <v>16981.872317006666</v>
      </c>
      <c r="FY97" s="18">
        <f t="shared" si="1019"/>
        <v>16981.872317006666</v>
      </c>
      <c r="FZ97" s="18">
        <f t="shared" si="1019"/>
        <v>16981.872317006666</v>
      </c>
      <c r="GA97" s="18">
        <f t="shared" si="1019"/>
        <v>16981.872317006666</v>
      </c>
      <c r="GB97" s="18">
        <f t="shared" si="1019"/>
        <v>16981.872317006666</v>
      </c>
      <c r="GC97" s="18">
        <f t="shared" si="1019"/>
        <v>16981.872317006666</v>
      </c>
      <c r="GD97" s="18">
        <f t="shared" si="1019"/>
        <v>16981.872317006666</v>
      </c>
      <c r="GE97" s="18">
        <f t="shared" si="1019"/>
        <v>16981.872317006666</v>
      </c>
      <c r="GF97" s="18">
        <f t="shared" si="1019"/>
        <v>16981.872317006666</v>
      </c>
      <c r="GG97" s="18">
        <f t="shared" si="1019"/>
        <v>16981.872317006666</v>
      </c>
      <c r="GH97" s="18">
        <f t="shared" si="1019"/>
        <v>16981.872317006666</v>
      </c>
      <c r="GI97" s="18">
        <f t="shared" si="1019"/>
        <v>16981.872317006666</v>
      </c>
      <c r="GJ97" s="18">
        <f t="shared" si="1019"/>
        <v>16981.872317006666</v>
      </c>
      <c r="GK97" s="18">
        <f t="shared" si="1019"/>
        <v>16981.872317006666</v>
      </c>
      <c r="GL97" s="18">
        <f t="shared" si="1019"/>
        <v>16981.872317006666</v>
      </c>
      <c r="GM97" s="18">
        <f t="shared" ref="GM97:IX97" si="1020">GM65</f>
        <v>16981.872317006666</v>
      </c>
      <c r="GN97" s="18">
        <f t="shared" si="1020"/>
        <v>16981.872317006666</v>
      </c>
      <c r="GO97" s="18">
        <f t="shared" si="1020"/>
        <v>16981.872317006666</v>
      </c>
      <c r="GP97" s="18">
        <f t="shared" si="1020"/>
        <v>16981.872317006666</v>
      </c>
      <c r="GQ97" s="18">
        <f t="shared" si="1020"/>
        <v>16981.872317006666</v>
      </c>
      <c r="GR97" s="18">
        <f t="shared" si="1020"/>
        <v>16981.872317006666</v>
      </c>
      <c r="GS97" s="18">
        <f t="shared" si="1020"/>
        <v>16981.872317006666</v>
      </c>
      <c r="GT97" s="18">
        <f t="shared" si="1020"/>
        <v>16981.872317006666</v>
      </c>
      <c r="GU97" s="18">
        <f t="shared" si="1020"/>
        <v>16981.872317006666</v>
      </c>
      <c r="GV97" s="18">
        <f t="shared" si="1020"/>
        <v>16981.872317006666</v>
      </c>
      <c r="GW97" s="18">
        <f t="shared" si="1020"/>
        <v>16981.872317006666</v>
      </c>
      <c r="GX97" s="18">
        <f t="shared" si="1020"/>
        <v>16981.872317006666</v>
      </c>
      <c r="GY97" s="18">
        <f t="shared" si="1020"/>
        <v>16981.872317006666</v>
      </c>
      <c r="GZ97" s="18">
        <f t="shared" si="1020"/>
        <v>16981.872317006666</v>
      </c>
      <c r="HA97" s="18">
        <f t="shared" si="1020"/>
        <v>16981.872317006666</v>
      </c>
      <c r="HB97" s="18">
        <f t="shared" si="1020"/>
        <v>16981.872317006666</v>
      </c>
      <c r="HC97" s="18">
        <f t="shared" si="1020"/>
        <v>16981.872317006666</v>
      </c>
      <c r="HD97" s="18">
        <f t="shared" si="1020"/>
        <v>16981.872317006666</v>
      </c>
      <c r="HE97" s="18">
        <f t="shared" si="1020"/>
        <v>16981.872317006666</v>
      </c>
      <c r="HF97" s="18">
        <f t="shared" si="1020"/>
        <v>16981.872317006666</v>
      </c>
      <c r="HG97" s="18">
        <f t="shared" si="1020"/>
        <v>16981.872317006666</v>
      </c>
      <c r="HH97" s="18">
        <f t="shared" si="1020"/>
        <v>16981.872317006666</v>
      </c>
      <c r="HI97" s="18">
        <f t="shared" si="1020"/>
        <v>16981.872317006666</v>
      </c>
      <c r="HJ97" s="18">
        <f t="shared" si="1020"/>
        <v>16981.872317006666</v>
      </c>
      <c r="HK97" s="18">
        <f t="shared" si="1020"/>
        <v>16981.872317006666</v>
      </c>
      <c r="HL97" s="18">
        <f t="shared" si="1020"/>
        <v>16981.872317006666</v>
      </c>
      <c r="HM97" s="18">
        <f t="shared" si="1020"/>
        <v>16981.872317006666</v>
      </c>
      <c r="HN97" s="18">
        <f t="shared" si="1020"/>
        <v>16981.872317006666</v>
      </c>
      <c r="HO97" s="18">
        <f t="shared" si="1020"/>
        <v>16981.872317006666</v>
      </c>
      <c r="HP97" s="18">
        <f t="shared" si="1020"/>
        <v>16981.872317006666</v>
      </c>
      <c r="HQ97" s="18">
        <f t="shared" si="1020"/>
        <v>16981.872317006666</v>
      </c>
      <c r="HR97" s="18">
        <f t="shared" si="1020"/>
        <v>16981.872317006666</v>
      </c>
      <c r="HS97" s="18">
        <f t="shared" si="1020"/>
        <v>16981.872317006666</v>
      </c>
      <c r="HT97" s="18">
        <f t="shared" si="1020"/>
        <v>16981.872317006666</v>
      </c>
      <c r="HU97" s="18">
        <f t="shared" si="1020"/>
        <v>16981.872317006666</v>
      </c>
      <c r="HV97" s="18">
        <f t="shared" si="1020"/>
        <v>16981.872317006666</v>
      </c>
      <c r="HW97" s="18">
        <f t="shared" si="1020"/>
        <v>16981.872317006666</v>
      </c>
      <c r="HX97" s="18">
        <f t="shared" si="1020"/>
        <v>16981.872317006666</v>
      </c>
      <c r="HY97" s="18">
        <f t="shared" si="1020"/>
        <v>16981.872317006666</v>
      </c>
      <c r="HZ97" s="18">
        <f t="shared" si="1020"/>
        <v>16981.872317006666</v>
      </c>
      <c r="IA97" s="18">
        <f t="shared" si="1020"/>
        <v>16981.872317006666</v>
      </c>
      <c r="IB97" s="18">
        <f t="shared" si="1020"/>
        <v>16981.872317006666</v>
      </c>
      <c r="IC97" s="18">
        <f t="shared" si="1020"/>
        <v>16981.872317006666</v>
      </c>
      <c r="ID97" s="18">
        <f t="shared" si="1020"/>
        <v>16981.872317006666</v>
      </c>
      <c r="IE97" s="18">
        <f t="shared" si="1020"/>
        <v>16981.872317006666</v>
      </c>
      <c r="IF97" s="18">
        <f t="shared" si="1020"/>
        <v>16981.872317006666</v>
      </c>
      <c r="IG97" s="18">
        <f t="shared" si="1020"/>
        <v>16981.872317006666</v>
      </c>
      <c r="IH97" s="18">
        <f t="shared" si="1020"/>
        <v>16981.872317006666</v>
      </c>
      <c r="II97" s="18">
        <f t="shared" si="1020"/>
        <v>16981.872317006666</v>
      </c>
      <c r="IJ97" s="18">
        <f t="shared" si="1020"/>
        <v>16981.872317006666</v>
      </c>
      <c r="IK97" s="18">
        <f t="shared" si="1020"/>
        <v>16981.872317006666</v>
      </c>
      <c r="IL97" s="18">
        <f t="shared" si="1020"/>
        <v>16981.872317006666</v>
      </c>
      <c r="IM97" s="18">
        <f t="shared" si="1020"/>
        <v>16981.872317006666</v>
      </c>
      <c r="IN97" s="18">
        <f t="shared" si="1020"/>
        <v>16981.872317006666</v>
      </c>
      <c r="IO97" s="18">
        <f t="shared" si="1020"/>
        <v>16981.872317006666</v>
      </c>
      <c r="IP97" s="18">
        <f t="shared" si="1020"/>
        <v>16981.872317006666</v>
      </c>
      <c r="IQ97" s="18">
        <f t="shared" si="1020"/>
        <v>16981.872317006666</v>
      </c>
      <c r="IR97" s="18">
        <f t="shared" si="1020"/>
        <v>16981.872317006666</v>
      </c>
      <c r="IS97" s="18">
        <f t="shared" si="1020"/>
        <v>16981.872317006666</v>
      </c>
      <c r="IT97" s="18">
        <f t="shared" si="1020"/>
        <v>16981.872317006666</v>
      </c>
      <c r="IU97" s="18">
        <f t="shared" si="1020"/>
        <v>16981.872317006666</v>
      </c>
      <c r="IV97" s="18">
        <f t="shared" si="1020"/>
        <v>16981.872317006666</v>
      </c>
      <c r="IW97" s="18">
        <f t="shared" si="1020"/>
        <v>16981.872317006666</v>
      </c>
      <c r="IX97" s="18">
        <f t="shared" si="1020"/>
        <v>16981.872317006666</v>
      </c>
      <c r="IY97" s="18">
        <f t="shared" ref="IY97:JR97" si="1021">IY65</f>
        <v>16981.872317006666</v>
      </c>
      <c r="IZ97" s="18">
        <f t="shared" si="1021"/>
        <v>16981.872317006666</v>
      </c>
      <c r="JA97" s="18">
        <f t="shared" si="1021"/>
        <v>16981.872317006666</v>
      </c>
      <c r="JB97" s="18">
        <f t="shared" si="1021"/>
        <v>16981.872317006666</v>
      </c>
      <c r="JC97" s="18">
        <f t="shared" si="1021"/>
        <v>16981.872317006666</v>
      </c>
      <c r="JD97" s="18">
        <f t="shared" si="1021"/>
        <v>16981.872317006666</v>
      </c>
      <c r="JE97" s="18">
        <f t="shared" si="1021"/>
        <v>16981.872317006666</v>
      </c>
      <c r="JF97" s="18">
        <f t="shared" si="1021"/>
        <v>16981.872317006666</v>
      </c>
      <c r="JG97" s="18">
        <f t="shared" si="1021"/>
        <v>16981.872317006666</v>
      </c>
      <c r="JH97" s="18">
        <f t="shared" si="1021"/>
        <v>16981.872317006666</v>
      </c>
      <c r="JI97" s="18">
        <f t="shared" si="1021"/>
        <v>16981.872317006666</v>
      </c>
      <c r="JJ97" s="18">
        <f t="shared" si="1021"/>
        <v>16981.872317006666</v>
      </c>
      <c r="JK97" s="18">
        <f t="shared" si="1021"/>
        <v>16981.872317006666</v>
      </c>
      <c r="JL97" s="18">
        <f t="shared" si="1021"/>
        <v>16981.872317006666</v>
      </c>
      <c r="JM97" s="18">
        <f t="shared" si="1021"/>
        <v>16981.872317006666</v>
      </c>
      <c r="JN97" s="18">
        <f t="shared" si="1021"/>
        <v>16981.872317006666</v>
      </c>
      <c r="JO97" s="18">
        <f t="shared" si="1021"/>
        <v>16981.872317006666</v>
      </c>
      <c r="JP97" s="18">
        <f t="shared" si="1021"/>
        <v>16981.872317006666</v>
      </c>
      <c r="JQ97" s="18">
        <f t="shared" si="1021"/>
        <v>16981.872317006666</v>
      </c>
      <c r="JR97" s="18">
        <f t="shared" si="1021"/>
        <v>16981.872317006666</v>
      </c>
    </row>
    <row r="98" spans="2:278" x14ac:dyDescent="0.2">
      <c r="B98" s="53" t="s">
        <v>141</v>
      </c>
      <c r="C98" s="62">
        <f>SUM(C95:C97)</f>
        <v>-751857.530441407</v>
      </c>
      <c r="D98" s="62">
        <f>SUM(D95:D97)</f>
        <v>-948893.02905530925</v>
      </c>
      <c r="E98" s="62">
        <f t="shared" ref="E98:BO98" si="1022">SUM(E95:E97)</f>
        <v>-1034068.0691139193</v>
      </c>
      <c r="F98" s="62">
        <f t="shared" si="1022"/>
        <v>-1096340.0237771731</v>
      </c>
      <c r="G98" s="62">
        <f t="shared" si="1022"/>
        <v>-1178117.2898574094</v>
      </c>
      <c r="H98" s="62">
        <f t="shared" si="1022"/>
        <v>-1307033.0668461528</v>
      </c>
      <c r="I98" s="62">
        <f t="shared" si="1022"/>
        <v>-1440964.8925732085</v>
      </c>
      <c r="J98" s="62">
        <f t="shared" si="1022"/>
        <v>-1557122.7496823799</v>
      </c>
      <c r="K98" s="62">
        <f t="shared" si="1022"/>
        <v>-1660025.9329952977</v>
      </c>
      <c r="L98" s="62">
        <f t="shared" si="1022"/>
        <v>-1749555.0092197431</v>
      </c>
      <c r="M98" s="62">
        <f t="shared" si="1022"/>
        <v>-1828908.9067456364</v>
      </c>
      <c r="N98" s="62">
        <f t="shared" si="1022"/>
        <v>-1925152.6477794694</v>
      </c>
      <c r="O98" s="62">
        <f t="shared" si="1022"/>
        <v>-2006259.1657289483</v>
      </c>
      <c r="P98" s="62">
        <f t="shared" si="1022"/>
        <v>-2006259.1657289483</v>
      </c>
      <c r="Q98" s="62">
        <f t="shared" si="1022"/>
        <v>-2006259.1657289483</v>
      </c>
      <c r="R98" s="62">
        <f t="shared" si="1022"/>
        <v>2022624.4264341644</v>
      </c>
      <c r="S98" s="62">
        <f t="shared" si="1022"/>
        <v>2186792.9017235856</v>
      </c>
      <c r="T98" s="62">
        <f t="shared" si="1022"/>
        <v>2046542.680787757</v>
      </c>
      <c r="U98" s="62">
        <f t="shared" si="1022"/>
        <v>2218014.9921050919</v>
      </c>
      <c r="V98" s="62">
        <f t="shared" si="1022"/>
        <v>2223639.2544083921</v>
      </c>
      <c r="W98" s="62">
        <f t="shared" si="1022"/>
        <v>2082732.8260755381</v>
      </c>
      <c r="X98" s="62">
        <f t="shared" si="1022"/>
        <v>2248415.4721458238</v>
      </c>
      <c r="Y98" s="62">
        <f t="shared" si="1022"/>
        <v>2107070.3792945119</v>
      </c>
      <c r="Z98" s="62">
        <f t="shared" si="1022"/>
        <v>2273363.1195131368</v>
      </c>
      <c r="AA98" s="62">
        <f t="shared" si="1022"/>
        <v>2316197.155382168</v>
      </c>
      <c r="AB98" s="62">
        <f t="shared" si="1022"/>
        <v>1865018.4038662661</v>
      </c>
      <c r="AC98" s="62">
        <f t="shared" si="1022"/>
        <v>2341404.9515575967</v>
      </c>
      <c r="AD98" s="62">
        <f t="shared" si="1022"/>
        <v>3987938.2547086971</v>
      </c>
      <c r="AE98" s="62">
        <f t="shared" si="1022"/>
        <v>4215400.0614025043</v>
      </c>
      <c r="AF98" s="62">
        <f t="shared" si="1022"/>
        <v>4012879.5305910138</v>
      </c>
      <c r="AG98" s="62">
        <f t="shared" si="1022"/>
        <v>4240960.4223568104</v>
      </c>
      <c r="AH98" s="62">
        <f t="shared" si="1022"/>
        <v>4253807.5351845939</v>
      </c>
      <c r="AI98" s="62">
        <f t="shared" si="1022"/>
        <v>4050622.2693689573</v>
      </c>
      <c r="AJ98" s="62">
        <f t="shared" si="1022"/>
        <v>4279636.6721095545</v>
      </c>
      <c r="AK98" s="62">
        <f t="shared" si="1022"/>
        <v>4076007.0785981547</v>
      </c>
      <c r="AL98" s="62">
        <f t="shared" si="1022"/>
        <v>4305647.0994136045</v>
      </c>
      <c r="AM98" s="62">
        <f t="shared" si="1022"/>
        <v>4351206.3153028591</v>
      </c>
      <c r="AN98" s="62">
        <f t="shared" si="1022"/>
        <v>3712073.4265010883</v>
      </c>
      <c r="AO98" s="62">
        <f t="shared" si="1022"/>
        <v>4377491.8836610857</v>
      </c>
      <c r="AP98" s="62">
        <f t="shared" si="1022"/>
        <v>4360087.0974725662</v>
      </c>
      <c r="AQ98" s="62">
        <f t="shared" si="1022"/>
        <v>4569896.0040058149</v>
      </c>
      <c r="AR98" s="62">
        <f t="shared" si="1022"/>
        <v>4364980.4924061783</v>
      </c>
      <c r="AS98" s="62">
        <f t="shared" si="1022"/>
        <v>4597108.0794930849</v>
      </c>
      <c r="AT98" s="62">
        <f t="shared" si="1022"/>
        <v>4610785.6168291587</v>
      </c>
      <c r="AU98" s="62">
        <f t="shared" si="1022"/>
        <v>4405198.3960786974</v>
      </c>
      <c r="AV98" s="62">
        <f t="shared" si="1022"/>
        <v>4638284.8113299804</v>
      </c>
      <c r="AW98" s="62">
        <f t="shared" si="1022"/>
        <v>4432248.6429630024</v>
      </c>
      <c r="AX98" s="62">
        <f t="shared" si="1022"/>
        <v>4665977.6740089282</v>
      </c>
      <c r="AY98" s="62">
        <f t="shared" si="1022"/>
        <v>4714731.1653583217</v>
      </c>
      <c r="AZ98" s="62">
        <f t="shared" si="1022"/>
        <v>4287339.8490030756</v>
      </c>
      <c r="BA98" s="62">
        <f t="shared" si="1022"/>
        <v>4742717.9627412278</v>
      </c>
      <c r="BB98" s="62">
        <f t="shared" si="1022"/>
        <v>4535555.4575899476</v>
      </c>
      <c r="BC98" s="62">
        <f t="shared" si="1022"/>
        <v>4770903.0339858448</v>
      </c>
      <c r="BD98" s="62">
        <f t="shared" si="1022"/>
        <v>4563288.4173113648</v>
      </c>
      <c r="BE98" s="62">
        <f t="shared" si="1022"/>
        <v>4799288.256587157</v>
      </c>
      <c r="BF98" s="62">
        <f t="shared" si="1022"/>
        <v>4813556.5169554129</v>
      </c>
      <c r="BG98" s="62">
        <f t="shared" si="1022"/>
        <v>4605262.0562481089</v>
      </c>
      <c r="BH98" s="62">
        <f t="shared" si="1022"/>
        <v>4842245.5317432871</v>
      </c>
      <c r="BI98" s="62">
        <f t="shared" si="1022"/>
        <v>4633496.7299818974</v>
      </c>
      <c r="BJ98" s="62">
        <f t="shared" si="1022"/>
        <v>4871139.4817078197</v>
      </c>
      <c r="BK98" s="62">
        <f t="shared" si="1022"/>
        <v>4923015.9230217338</v>
      </c>
      <c r="BL98" s="62">
        <f t="shared" si="1022"/>
        <v>4265567.2107184073</v>
      </c>
      <c r="BM98" s="62">
        <f t="shared" si="1022"/>
        <v>4952220.9389910121</v>
      </c>
      <c r="BN98" s="62">
        <f t="shared" si="1022"/>
        <v>4742332.4253922459</v>
      </c>
      <c r="BO98" s="62">
        <f t="shared" si="1022"/>
        <v>4981635.8056163145</v>
      </c>
      <c r="BP98" s="62">
        <f t="shared" ref="BP98:CT98" si="1023">SUM(BP95:BP97)</f>
        <v>4771289.875424955</v>
      </c>
      <c r="BQ98" s="62">
        <f t="shared" si="1023"/>
        <v>5011262.5268026572</v>
      </c>
      <c r="BR98" s="62">
        <f t="shared" si="1023"/>
        <v>5026155.9650638606</v>
      </c>
      <c r="BS98" s="62">
        <f t="shared" si="1023"/>
        <v>4815122.2832630211</v>
      </c>
      <c r="BT98" s="62">
        <f t="shared" si="1023"/>
        <v>5056104.2734357454</v>
      </c>
      <c r="BU98" s="62">
        <f t="shared" si="1023"/>
        <v>4844611.0131023368</v>
      </c>
      <c r="BV98" s="62">
        <f t="shared" si="1023"/>
        <v>5086269.5425887359</v>
      </c>
      <c r="BW98" s="62">
        <f t="shared" si="1023"/>
        <v>5141486.3737595752</v>
      </c>
      <c r="BX98" s="62">
        <f t="shared" si="1023"/>
        <v>4474494.3436060138</v>
      </c>
      <c r="BY98" s="62">
        <f t="shared" si="1023"/>
        <v>5171980.9944597334</v>
      </c>
      <c r="BZ98" s="62">
        <f t="shared" si="1023"/>
        <v>4959335.0529576764</v>
      </c>
      <c r="CA98" s="62">
        <f t="shared" si="1023"/>
        <v>5202697.8231410552</v>
      </c>
      <c r="CB98" s="62">
        <f t="shared" si="1023"/>
        <v>4989589.3287223512</v>
      </c>
      <c r="CC98" s="62">
        <f t="shared" si="1023"/>
        <v>5233638.9990675766</v>
      </c>
      <c r="CD98" s="62">
        <f t="shared" si="1023"/>
        <v>5249194.3921792228</v>
      </c>
      <c r="CE98" s="62">
        <f t="shared" si="1023"/>
        <v>5035390.4987641098</v>
      </c>
      <c r="CF98" s="62">
        <f t="shared" si="1023"/>
        <v>5280476.1515173838</v>
      </c>
      <c r="CG98" s="62">
        <f t="shared" si="1023"/>
        <v>5066207.6203386579</v>
      </c>
      <c r="CH98" s="62">
        <f t="shared" si="1023"/>
        <v>5311987.7095514638</v>
      </c>
      <c r="CI98" s="62">
        <f t="shared" si="1023"/>
        <v>5370777.9191520503</v>
      </c>
      <c r="CJ98" s="62">
        <f t="shared" si="1023"/>
        <v>4694074.9604657311</v>
      </c>
      <c r="CK98" s="62">
        <f t="shared" si="1023"/>
        <v>5402638.3502476066</v>
      </c>
      <c r="CL98" s="62">
        <f t="shared" si="1023"/>
        <v>5187204.6313165631</v>
      </c>
      <c r="CM98" s="62">
        <f t="shared" si="1023"/>
        <v>5434734.1824601758</v>
      </c>
      <c r="CN98" s="62">
        <f t="shared" si="1023"/>
        <v>5218832.9663755577</v>
      </c>
      <c r="CO98" s="62">
        <f t="shared" si="1023"/>
        <v>5467067.7000048989</v>
      </c>
      <c r="CP98" s="62">
        <f t="shared" si="1023"/>
        <v>5483324.3114600582</v>
      </c>
      <c r="CQ98" s="62">
        <f t="shared" si="1023"/>
        <v>5266720.3447754625</v>
      </c>
      <c r="CR98" s="62">
        <f t="shared" si="1023"/>
        <v>5516018.6949763605</v>
      </c>
      <c r="CS98" s="62">
        <f t="shared" si="1023"/>
        <v>5298945.2336663976</v>
      </c>
      <c r="CT98" s="62">
        <f t="shared" si="1023"/>
        <v>5548956.5849775281</v>
      </c>
      <c r="CU98" s="62">
        <f t="shared" ref="CU98:DF98" si="1024">SUM(CU95:CU97)</f>
        <v>5611569.8308220208</v>
      </c>
      <c r="CV98" s="62">
        <f t="shared" si="1024"/>
        <v>4924986.755957257</v>
      </c>
      <c r="CW98" s="62">
        <f t="shared" si="1024"/>
        <v>5644877.4389747735</v>
      </c>
      <c r="CX98" s="62">
        <f t="shared" si="1024"/>
        <v>5426626.8077835646</v>
      </c>
      <c r="CY98" s="62">
        <f t="shared" si="1024"/>
        <v>5678434.5364440018</v>
      </c>
      <c r="CZ98" s="62">
        <f t="shared" si="1024"/>
        <v>5459711.6812034631</v>
      </c>
      <c r="DA98" s="62">
        <f t="shared" si="1024"/>
        <v>5712243.562677525</v>
      </c>
      <c r="DB98" s="62">
        <f t="shared" si="1024"/>
        <v>5729243.3187616207</v>
      </c>
      <c r="DC98" s="62">
        <f t="shared" si="1024"/>
        <v>5509810.6956063192</v>
      </c>
      <c r="DD98" s="62">
        <f t="shared" si="1024"/>
        <v>5763434.8710845634</v>
      </c>
      <c r="DE98" s="62">
        <f t="shared" si="1024"/>
        <v>5543528.1249038167</v>
      </c>
      <c r="DF98" s="62">
        <f t="shared" si="1024"/>
        <v>5797884.5692570601</v>
      </c>
      <c r="DG98" s="62">
        <f t="shared" ref="DG98:DR98" si="1025">SUM(DG95:DG97)</f>
        <v>5864588.3798973737</v>
      </c>
      <c r="DH98" s="62">
        <f t="shared" si="1025"/>
        <v>5167954.5229600975</v>
      </c>
      <c r="DI98" s="62">
        <f t="shared" si="1025"/>
        <v>5899430.058788849</v>
      </c>
      <c r="DJ98" s="62">
        <f t="shared" si="1025"/>
        <v>5678334.7517908309</v>
      </c>
      <c r="DK98" s="62">
        <f t="shared" si="1025"/>
        <v>5934536.2737725088</v>
      </c>
      <c r="DL98" s="62">
        <f t="shared" si="1025"/>
        <v>5712964.2604796793</v>
      </c>
      <c r="DM98" s="62">
        <f t="shared" si="1025"/>
        <v>5969909.630549714</v>
      </c>
      <c r="DN98" s="62">
        <f t="shared" si="1025"/>
        <v>5987697.3092681589</v>
      </c>
      <c r="DO98" s="62">
        <f t="shared" si="1025"/>
        <v>5765408.8866691235</v>
      </c>
      <c r="DP98" s="62">
        <f t="shared" si="1025"/>
        <v>6023476.3275934514</v>
      </c>
      <c r="DQ98" s="62">
        <f t="shared" si="1025"/>
        <v>5800709.4102405095</v>
      </c>
      <c r="DR98" s="62">
        <f t="shared" si="1025"/>
        <v>4858162.5346837137</v>
      </c>
      <c r="DS98" s="62">
        <f t="shared" ref="DS98:ED98" si="1026">SUM(DS95:DS97)</f>
        <v>4917408.3374703759</v>
      </c>
      <c r="DT98" s="62">
        <f t="shared" si="1026"/>
        <v>4351922.9990639174</v>
      </c>
      <c r="DU98" s="62">
        <f t="shared" si="1026"/>
        <v>4946583.1876068711</v>
      </c>
      <c r="DV98" s="62">
        <f t="shared" si="1026"/>
        <v>4767410.2229917254</v>
      </c>
      <c r="DW98" s="62">
        <f t="shared" si="1026"/>
        <v>4975982.5253625624</v>
      </c>
      <c r="DX98" s="62">
        <f t="shared" si="1026"/>
        <v>4796424.8292492488</v>
      </c>
      <c r="DY98" s="62">
        <f t="shared" si="1026"/>
        <v>5005608.5777521655</v>
      </c>
      <c r="DZ98" s="62">
        <f t="shared" si="1026"/>
        <v>5020507.324625154</v>
      </c>
      <c r="EA98" s="62">
        <f t="shared" si="1026"/>
        <v>4840371.5246898765</v>
      </c>
      <c r="EB98" s="62">
        <f t="shared" si="1026"/>
        <v>5050477.6787449755</v>
      </c>
      <c r="EC98" s="62">
        <f t="shared" si="1026"/>
        <v>4869955.8153492985</v>
      </c>
      <c r="ED98" s="62">
        <f t="shared" si="1026"/>
        <v>5080680.4237569915</v>
      </c>
      <c r="EE98" s="62">
        <f t="shared" ref="EE98:EP98" si="1027">SUM(EE95:EE97)</f>
        <v>5123602.1949715875</v>
      </c>
      <c r="EF98" s="62">
        <f t="shared" si="1027"/>
        <v>4549799.9800156094</v>
      </c>
      <c r="EG98" s="62">
        <f t="shared" si="1027"/>
        <v>5154157.8744951896</v>
      </c>
      <c r="EH98" s="62">
        <f t="shared" si="1027"/>
        <v>4972668.5913201533</v>
      </c>
      <c r="EI98" s="62">
        <f t="shared" si="1027"/>
        <v>5179574.5235129809</v>
      </c>
      <c r="EJ98" s="62">
        <f t="shared" si="1027"/>
        <v>4992288.7633166658</v>
      </c>
      <c r="EK98" s="62">
        <f t="shared" si="1027"/>
        <v>5199760.2366577676</v>
      </c>
      <c r="EL98" s="62">
        <f t="shared" si="1027"/>
        <v>5209896.5617069341</v>
      </c>
      <c r="EM98" s="62">
        <f t="shared" si="1027"/>
        <v>5021932.8928129813</v>
      </c>
      <c r="EN98" s="62">
        <f t="shared" si="1027"/>
        <v>5230256.7394805811</v>
      </c>
      <c r="EO98" s="62">
        <f t="shared" si="1027"/>
        <v>5041839.5969282445</v>
      </c>
      <c r="EP98" s="62">
        <f t="shared" si="1027"/>
        <v>5250734.4155003559</v>
      </c>
      <c r="EQ98" s="62">
        <f t="shared" ref="EQ98:FB98" si="1028">SUM(EQ95:EQ97)</f>
        <v>5280191.2924547354</v>
      </c>
      <c r="ER98" s="62">
        <f t="shared" si="1028"/>
        <v>4692266.4492758112</v>
      </c>
      <c r="ES98" s="62">
        <f t="shared" si="1028"/>
        <v>5300847.0229726313</v>
      </c>
      <c r="ET98" s="62">
        <f t="shared" si="1028"/>
        <v>5111290.8195428317</v>
      </c>
      <c r="EU98" s="62">
        <f t="shared" si="1028"/>
        <v>5321622.675668397</v>
      </c>
      <c r="EV98" s="62">
        <f t="shared" si="1028"/>
        <v>5131608.695216652</v>
      </c>
      <c r="EW98" s="62">
        <f t="shared" si="1028"/>
        <v>5342519.2375723962</v>
      </c>
      <c r="EX98" s="62">
        <f t="shared" si="1028"/>
        <v>5353013.17069514</v>
      </c>
      <c r="EY98" s="62">
        <f t="shared" si="1028"/>
        <v>5162310.2160945022</v>
      </c>
      <c r="EZ98" s="62">
        <f t="shared" si="1028"/>
        <v>5374092.9693147531</v>
      </c>
      <c r="FA98" s="62">
        <f t="shared" si="1028"/>
        <v>5182929.1586011434</v>
      </c>
      <c r="FB98" s="62">
        <f t="shared" si="1028"/>
        <v>5395296.189348611</v>
      </c>
      <c r="FC98" s="62">
        <f t="shared" ref="FC98:FN98" si="1029">SUM(FC95:FC97)</f>
        <v>5426332.0259020487</v>
      </c>
      <c r="FD98" s="62">
        <f t="shared" si="1029"/>
        <v>4829400.902438309</v>
      </c>
      <c r="FE98" s="62">
        <f t="shared" si="1029"/>
        <v>5447722.2995421207</v>
      </c>
      <c r="FF98" s="62">
        <f t="shared" si="1029"/>
        <v>5255400.9542383449</v>
      </c>
      <c r="FG98" s="62">
        <f t="shared" si="1029"/>
        <v>5469238.5720031168</v>
      </c>
      <c r="FH98" s="62">
        <f t="shared" si="1029"/>
        <v>5276452.0537620327</v>
      </c>
      <c r="FI98" s="62">
        <f t="shared" si="1029"/>
        <v>5490881.892916251</v>
      </c>
      <c r="FJ98" s="62">
        <f t="shared" si="1029"/>
        <v>5501751.5275150584</v>
      </c>
      <c r="FK98" s="62">
        <f t="shared" si="1029"/>
        <v>5308264.9350938899</v>
      </c>
      <c r="FL98" s="62">
        <f t="shared" si="1029"/>
        <v>5523587.4129283819</v>
      </c>
      <c r="FM98" s="62">
        <f t="shared" si="1029"/>
        <v>5329632.5606173668</v>
      </c>
      <c r="FN98" s="62">
        <f t="shared" si="1029"/>
        <v>5545553.018599608</v>
      </c>
      <c r="FO98" s="62">
        <f t="shared" ref="FO98:FZ98" si="1030">SUM(FO95:FO97)</f>
        <v>5575893.1817355799</v>
      </c>
      <c r="FP98" s="62">
        <f t="shared" si="1030"/>
        <v>4969785.2526508952</v>
      </c>
      <c r="FQ98" s="62">
        <f t="shared" si="1030"/>
        <v>5598055.4115706384</v>
      </c>
      <c r="FR98" s="62">
        <f t="shared" si="1030"/>
        <v>5402924.5038687671</v>
      </c>
      <c r="FS98" s="62">
        <f t="shared" si="1030"/>
        <v>5620350.103198302</v>
      </c>
      <c r="FT98" s="62">
        <f t="shared" si="1030"/>
        <v>5424746.6103540445</v>
      </c>
      <c r="FU98" s="62">
        <f t="shared" si="1030"/>
        <v>5642778.3731983677</v>
      </c>
      <c r="FV98" s="62">
        <f t="shared" si="1030"/>
        <v>5654042.9521881761</v>
      </c>
      <c r="FW98" s="62">
        <f t="shared" si="1030"/>
        <v>5457728.2634961894</v>
      </c>
      <c r="FX98" s="62">
        <f t="shared" si="1030"/>
        <v>5676673.7087497264</v>
      </c>
      <c r="FY98" s="62">
        <f t="shared" si="1030"/>
        <v>5479883.3438658062</v>
      </c>
      <c r="FZ98" s="62">
        <f t="shared" si="1030"/>
        <v>5699440.8861798523</v>
      </c>
      <c r="GA98" s="62">
        <f t="shared" ref="GA98:GL98" si="1031">SUM(GA95:GA97)</f>
        <v>5731580.1736854371</v>
      </c>
      <c r="GB98" s="62">
        <f t="shared" si="1031"/>
        <v>5116122.2838534825</v>
      </c>
      <c r="GC98" s="62">
        <f t="shared" si="1031"/>
        <v>5754554.1569907842</v>
      </c>
      <c r="GD98" s="62">
        <f t="shared" si="1031"/>
        <v>5556569.1914206054</v>
      </c>
      <c r="GE98" s="62">
        <f t="shared" si="1031"/>
        <v>5777667.4782416914</v>
      </c>
      <c r="GF98" s="62">
        <f t="shared" si="1031"/>
        <v>5579202.5083164098</v>
      </c>
      <c r="GG98" s="62">
        <f t="shared" si="1031"/>
        <v>5800921.3256249847</v>
      </c>
      <c r="GH98" s="62">
        <f t="shared" si="1031"/>
        <v>5812601.3213143209</v>
      </c>
      <c r="GI98" s="62">
        <f t="shared" si="1031"/>
        <v>5613414.0264280485</v>
      </c>
      <c r="GJ98" s="62">
        <f t="shared" si="1031"/>
        <v>5836068.2129326472</v>
      </c>
      <c r="GK98" s="62">
        <f t="shared" si="1031"/>
        <v>5636397.8226687852</v>
      </c>
      <c r="GL98" s="62">
        <f t="shared" si="1031"/>
        <v>5859678.655753294</v>
      </c>
      <c r="GM98" s="62">
        <f t="shared" ref="GM98:GX98" si="1032">SUM(GM95:GM97)</f>
        <v>5878766.9000935601</v>
      </c>
      <c r="GN98" s="62">
        <f t="shared" si="1032"/>
        <v>5253783.2702089883</v>
      </c>
      <c r="GO98" s="62">
        <f t="shared" si="1032"/>
        <v>5902594.9841965353</v>
      </c>
      <c r="GP98" s="62">
        <f t="shared" si="1032"/>
        <v>5701711.4482075013</v>
      </c>
      <c r="GQ98" s="62">
        <f t="shared" si="1032"/>
        <v>5922558.6514351247</v>
      </c>
      <c r="GR98" s="62">
        <f t="shared" si="1032"/>
        <v>5717153.2241931958</v>
      </c>
      <c r="GS98" s="62">
        <f t="shared" si="1032"/>
        <v>5938588.8363307714</v>
      </c>
      <c r="GT98" s="62">
        <f t="shared" si="1032"/>
        <v>5946624.3590602204</v>
      </c>
      <c r="GU98" s="62">
        <f t="shared" si="1032"/>
        <v>5740414.4699403001</v>
      </c>
      <c r="GV98" s="62">
        <f t="shared" si="1032"/>
        <v>5962736.3797225542</v>
      </c>
      <c r="GW98" s="62">
        <f t="shared" si="1032"/>
        <v>5755987.9466615021</v>
      </c>
      <c r="GX98" s="62">
        <f t="shared" si="1032"/>
        <v>5978903.1872912543</v>
      </c>
      <c r="GY98" s="62">
        <f t="shared" ref="GY98:HJ98" si="1033">SUM(GY95:GY97)</f>
        <v>5987007.1937981173</v>
      </c>
      <c r="GZ98" s="62">
        <f t="shared" si="1033"/>
        <v>5348092.7950672815</v>
      </c>
      <c r="HA98" s="62">
        <f t="shared" si="1033"/>
        <v>6003256.5278600724</v>
      </c>
      <c r="HB98" s="62">
        <f t="shared" si="1033"/>
        <v>5795153.8653030777</v>
      </c>
      <c r="HC98" s="62">
        <f t="shared" si="1033"/>
        <v>6019561.1112425802</v>
      </c>
      <c r="HD98" s="62">
        <f t="shared" si="1033"/>
        <v>5810913.5932682166</v>
      </c>
      <c r="HE98" s="62">
        <f t="shared" si="1033"/>
        <v>6035921.1299971277</v>
      </c>
      <c r="HF98" s="62">
        <f t="shared" si="1033"/>
        <v>6044121.9859504597</v>
      </c>
      <c r="HG98" s="62">
        <f t="shared" si="1033"/>
        <v>5834653.7764003286</v>
      </c>
      <c r="HH98" s="62">
        <f t="shared" si="1033"/>
        <v>6060565.5079742577</v>
      </c>
      <c r="HI98" s="62">
        <f t="shared" si="1033"/>
        <v>5850547.8895627083</v>
      </c>
      <c r="HJ98" s="62">
        <f t="shared" si="1033"/>
        <v>6077064.9332315419</v>
      </c>
      <c r="HK98" s="62">
        <f t="shared" ref="HK98:HV98" si="1034">SUM(HK95:HK97)</f>
        <v>6085335.6683741035</v>
      </c>
      <c r="HL98" s="62">
        <f t="shared" si="1034"/>
        <v>5436230.5992558813</v>
      </c>
      <c r="HM98" s="62">
        <f t="shared" si="1034"/>
        <v>6101919.3016346004</v>
      </c>
      <c r="HN98" s="62">
        <f t="shared" si="1034"/>
        <v>5890520.1326209847</v>
      </c>
      <c r="HO98" s="62">
        <f t="shared" si="1034"/>
        <v>6118559.3099200716</v>
      </c>
      <c r="HP98" s="62">
        <f t="shared" si="1034"/>
        <v>5906604.2932063797</v>
      </c>
      <c r="HQ98" s="62">
        <f t="shared" si="1034"/>
        <v>6135255.8830548981</v>
      </c>
      <c r="HR98" s="62">
        <f t="shared" si="1034"/>
        <v>6143625.4409348443</v>
      </c>
      <c r="HS98" s="62">
        <f t="shared" si="1034"/>
        <v>5930833.1754404409</v>
      </c>
      <c r="HT98" s="62">
        <f t="shared" si="1034"/>
        <v>6160407.2186566731</v>
      </c>
      <c r="HU98" s="62">
        <f t="shared" si="1034"/>
        <v>5947054.4601318147</v>
      </c>
      <c r="HV98" s="62">
        <f t="shared" si="1034"/>
        <v>6177246.038576819</v>
      </c>
      <c r="HW98" s="62">
        <f t="shared" ref="HW98:IH98" si="1035">SUM(HW95:HW97)</f>
        <v>6185686.8993550101</v>
      </c>
      <c r="HX98" s="62">
        <f t="shared" si="1035"/>
        <v>5526185.4994499171</v>
      </c>
      <c r="HY98" s="62">
        <f t="shared" si="1035"/>
        <v>6202611.6428869041</v>
      </c>
      <c r="HZ98" s="62">
        <f t="shared" si="1035"/>
        <v>5987849.4613269782</v>
      </c>
      <c r="IA98" s="62">
        <f t="shared" si="1035"/>
        <v>6219593.9099756274</v>
      </c>
      <c r="IB98" s="62">
        <f t="shared" si="1035"/>
        <v>6004264.6666137362</v>
      </c>
      <c r="IC98" s="62">
        <f t="shared" si="1035"/>
        <v>6236633.8942947797</v>
      </c>
      <c r="ID98" s="62">
        <f t="shared" si="1035"/>
        <v>6245175.5911161853</v>
      </c>
      <c r="IE98" s="62">
        <f t="shared" si="1035"/>
        <v>6028992.2076517558</v>
      </c>
      <c r="IF98" s="62">
        <f t="shared" si="1035"/>
        <v>6262302.5158394026</v>
      </c>
      <c r="IG98" s="62">
        <f t="shared" si="1035"/>
        <v>6045547.3315018574</v>
      </c>
      <c r="IH98" s="62">
        <f t="shared" si="1035"/>
        <v>6279487.6448214632</v>
      </c>
      <c r="II98" s="62">
        <f t="shared" ref="II98:IT98" si="1036">SUM(II95:II97)</f>
        <v>6288102.0971198184</v>
      </c>
      <c r="IJ98" s="62">
        <f t="shared" si="1036"/>
        <v>5617994.5552243451</v>
      </c>
      <c r="IK98" s="62">
        <f t="shared" si="1036"/>
        <v>6305374.9001105949</v>
      </c>
      <c r="IL98" s="62">
        <f t="shared" si="1036"/>
        <v>6087181.8578512417</v>
      </c>
      <c r="IM98" s="62">
        <f t="shared" si="1036"/>
        <v>6322706.3984792968</v>
      </c>
      <c r="IN98" s="62">
        <f t="shared" si="1036"/>
        <v>6103934.8540201765</v>
      </c>
      <c r="IO98" s="62">
        <f t="shared" si="1036"/>
        <v>6340096.7898266204</v>
      </c>
      <c r="IP98" s="62">
        <f t="shared" si="1036"/>
        <v>6348814.1322984919</v>
      </c>
      <c r="IQ98" s="62">
        <f t="shared" si="1036"/>
        <v>6129171.2155549722</v>
      </c>
      <c r="IR98" s="62">
        <f t="shared" si="1036"/>
        <v>6366293.235064202</v>
      </c>
      <c r="IS98" s="62">
        <f t="shared" si="1036"/>
        <v>6146066.9814171195</v>
      </c>
      <c r="IT98" s="62">
        <f t="shared" si="1036"/>
        <v>6383831.7277122233</v>
      </c>
      <c r="IU98" s="62">
        <f t="shared" ref="IU98:JF98" si="1037">SUM(IU95:IU97)</f>
        <v>6392623.3076934824</v>
      </c>
      <c r="IV98" s="62">
        <f t="shared" si="1037"/>
        <v>5711695.5780219762</v>
      </c>
      <c r="IW98" s="62">
        <f t="shared" si="1037"/>
        <v>6410251.2602394037</v>
      </c>
      <c r="IX98" s="62">
        <f t="shared" si="1037"/>
        <v>6188558.1399786184</v>
      </c>
      <c r="IY98" s="62">
        <f t="shared" si="1037"/>
        <v>6427939.103744748</v>
      </c>
      <c r="IZ98" s="62">
        <f t="shared" si="1037"/>
        <v>6205655.8100233739</v>
      </c>
      <c r="JA98" s="62">
        <f t="shared" si="1037"/>
        <v>6445687.039816753</v>
      </c>
      <c r="JB98" s="62">
        <f t="shared" si="1037"/>
        <v>6454583.6057521813</v>
      </c>
      <c r="JC98" s="62">
        <f t="shared" si="1037"/>
        <v>6231411.3598252917</v>
      </c>
      <c r="JD98" s="62">
        <f t="shared" si="1037"/>
        <v>6472422.0601662034</v>
      </c>
      <c r="JE98" s="62">
        <f t="shared" si="1037"/>
        <v>6248654.7085122233</v>
      </c>
      <c r="JF98" s="62">
        <f t="shared" si="1037"/>
        <v>6490321.1141256299</v>
      </c>
      <c r="JG98" s="62">
        <f t="shared" ref="JG98:JR98" si="1038">SUM(JG95:JG97)</f>
        <v>6499293.4296524739</v>
      </c>
      <c r="JH98" s="62">
        <f t="shared" si="1038"/>
        <v>5807327.1463680686</v>
      </c>
      <c r="JI98" s="62">
        <f t="shared" si="1038"/>
        <v>6517283.7656092057</v>
      </c>
      <c r="JJ98" s="62">
        <f t="shared" si="1038"/>
        <v>6292019.95326393</v>
      </c>
      <c r="JK98" s="62">
        <f t="shared" si="1038"/>
        <v>6535335.212347934</v>
      </c>
      <c r="JL98" s="62">
        <f t="shared" si="1038"/>
        <v>6309469.3197589526</v>
      </c>
      <c r="JM98" s="62">
        <f t="shared" si="1038"/>
        <v>6553447.9755634824</v>
      </c>
      <c r="JN98" s="62">
        <f t="shared" si="1038"/>
        <v>6562527.4153180989</v>
      </c>
      <c r="JO98" s="62">
        <f t="shared" si="1038"/>
        <v>6335754.6358451499</v>
      </c>
      <c r="JP98" s="62">
        <f t="shared" si="1038"/>
        <v>6580732.5404350469</v>
      </c>
      <c r="JQ98" s="62">
        <f t="shared" si="1038"/>
        <v>6353352.6489201691</v>
      </c>
      <c r="JR98" s="62">
        <f t="shared" si="1038"/>
        <v>6598999.4992864216</v>
      </c>
    </row>
    <row r="99" spans="2:278" x14ac:dyDescent="0.2">
      <c r="B99" s="3"/>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30"/>
      <c r="CJ99" s="30"/>
      <c r="CK99" s="30"/>
      <c r="CL99" s="30"/>
      <c r="CM99" s="30"/>
      <c r="CN99" s="30"/>
      <c r="CO99" s="30"/>
      <c r="CP99" s="30"/>
      <c r="CQ99" s="30"/>
      <c r="CR99" s="30"/>
      <c r="CS99" s="30"/>
      <c r="CT99" s="30"/>
      <c r="CU99" s="30"/>
      <c r="CV99" s="30"/>
      <c r="CW99" s="30"/>
      <c r="CX99" s="30"/>
      <c r="CY99" s="30"/>
      <c r="CZ99" s="30"/>
      <c r="DA99" s="30"/>
      <c r="DB99" s="30"/>
      <c r="DC99" s="30"/>
      <c r="DD99" s="30"/>
      <c r="DE99" s="30"/>
      <c r="DF99" s="30"/>
      <c r="DG99" s="30"/>
      <c r="DH99" s="30"/>
      <c r="DI99" s="30"/>
      <c r="DJ99" s="30"/>
      <c r="DK99" s="30"/>
      <c r="DL99" s="30"/>
      <c r="DM99" s="30"/>
      <c r="DN99" s="30"/>
      <c r="DO99" s="30"/>
      <c r="DP99" s="30"/>
      <c r="DQ99" s="30"/>
      <c r="DR99" s="30"/>
      <c r="DS99" s="30"/>
      <c r="DT99" s="30"/>
      <c r="DU99" s="30"/>
      <c r="DV99" s="30"/>
      <c r="DW99" s="30"/>
      <c r="DX99" s="30"/>
      <c r="DY99" s="30"/>
      <c r="DZ99" s="30"/>
      <c r="EA99" s="30"/>
      <c r="EB99" s="30"/>
      <c r="EC99" s="30"/>
      <c r="ED99" s="30"/>
      <c r="EE99" s="30"/>
      <c r="EF99" s="30"/>
      <c r="EG99" s="30"/>
      <c r="EH99" s="30"/>
      <c r="EI99" s="30"/>
      <c r="EJ99" s="30"/>
      <c r="EK99" s="30"/>
      <c r="EL99" s="30"/>
      <c r="EM99" s="30"/>
      <c r="EN99" s="30"/>
      <c r="EO99" s="30"/>
      <c r="EP99" s="30"/>
      <c r="EQ99" s="30"/>
      <c r="ER99" s="30"/>
      <c r="ES99" s="30"/>
      <c r="ET99" s="30"/>
      <c r="EU99" s="30"/>
      <c r="EV99" s="30"/>
      <c r="EW99" s="30"/>
      <c r="EX99" s="30"/>
      <c r="EY99" s="30"/>
      <c r="EZ99" s="30"/>
      <c r="FA99" s="30"/>
      <c r="FB99" s="30"/>
      <c r="FC99" s="30"/>
      <c r="FD99" s="30"/>
      <c r="FE99" s="30"/>
      <c r="FF99" s="30"/>
      <c r="FG99" s="30"/>
      <c r="FH99" s="30"/>
      <c r="FI99" s="30"/>
      <c r="FJ99" s="30"/>
      <c r="FK99" s="30"/>
      <c r="FL99" s="30"/>
      <c r="FM99" s="30"/>
      <c r="FN99" s="30"/>
      <c r="FO99" s="30"/>
      <c r="FP99" s="30"/>
      <c r="FQ99" s="30"/>
      <c r="FR99" s="30"/>
      <c r="FS99" s="30"/>
      <c r="FT99" s="30"/>
      <c r="FU99" s="30"/>
      <c r="FV99" s="30"/>
      <c r="FW99" s="30"/>
      <c r="FX99" s="30"/>
      <c r="FY99" s="30"/>
      <c r="FZ99" s="30"/>
      <c r="GA99" s="30"/>
      <c r="GB99" s="30"/>
      <c r="GC99" s="30"/>
      <c r="GD99" s="30"/>
      <c r="GE99" s="30"/>
      <c r="GF99" s="30"/>
      <c r="GG99" s="30"/>
      <c r="GH99" s="30"/>
      <c r="GI99" s="30"/>
      <c r="GJ99" s="30"/>
      <c r="GK99" s="30"/>
      <c r="GL99" s="30"/>
      <c r="GM99" s="30"/>
      <c r="GN99" s="30"/>
      <c r="GO99" s="30"/>
      <c r="GP99" s="30"/>
      <c r="GQ99" s="30"/>
      <c r="GR99" s="30"/>
      <c r="GS99" s="30"/>
      <c r="GT99" s="30"/>
      <c r="GU99" s="30"/>
      <c r="GV99" s="30"/>
      <c r="GW99" s="30"/>
      <c r="GX99" s="30"/>
      <c r="GY99" s="30"/>
      <c r="GZ99" s="30"/>
      <c r="HA99" s="30"/>
      <c r="HB99" s="30"/>
      <c r="HC99" s="30"/>
      <c r="HD99" s="30"/>
      <c r="HE99" s="30"/>
      <c r="HF99" s="30"/>
      <c r="HG99" s="30"/>
      <c r="HH99" s="30"/>
      <c r="HI99" s="30"/>
      <c r="HJ99" s="30"/>
      <c r="HK99" s="30"/>
      <c r="HL99" s="30"/>
      <c r="HM99" s="30"/>
      <c r="HN99" s="30"/>
      <c r="HO99" s="30"/>
      <c r="HP99" s="30"/>
      <c r="HQ99" s="30"/>
      <c r="HR99" s="30"/>
      <c r="HS99" s="30"/>
      <c r="HT99" s="30"/>
      <c r="HU99" s="30"/>
      <c r="HV99" s="30"/>
      <c r="HW99" s="30"/>
      <c r="HX99" s="30"/>
      <c r="HY99" s="30"/>
      <c r="HZ99" s="30"/>
      <c r="IA99" s="30"/>
      <c r="IB99" s="30"/>
      <c r="IC99" s="30"/>
      <c r="ID99" s="30"/>
      <c r="IE99" s="30"/>
      <c r="IF99" s="30"/>
      <c r="IG99" s="30"/>
      <c r="IH99" s="30"/>
      <c r="II99" s="30"/>
      <c r="IJ99" s="30"/>
      <c r="IK99" s="30"/>
      <c r="IL99" s="30"/>
      <c r="IM99" s="30"/>
      <c r="IN99" s="30"/>
      <c r="IO99" s="30"/>
      <c r="IP99" s="30"/>
      <c r="IQ99" s="30"/>
      <c r="IR99" s="30"/>
      <c r="IS99" s="30"/>
      <c r="IT99" s="30"/>
      <c r="IU99" s="30"/>
      <c r="IV99" s="30"/>
      <c r="IW99" s="30"/>
      <c r="IX99" s="30"/>
      <c r="IY99" s="30"/>
      <c r="IZ99" s="30"/>
      <c r="JA99" s="30"/>
      <c r="JB99" s="30"/>
      <c r="JC99" s="30"/>
      <c r="JD99" s="30"/>
      <c r="JE99" s="30"/>
      <c r="JF99" s="30"/>
      <c r="JG99" s="30"/>
      <c r="JH99" s="30"/>
      <c r="JI99" s="30"/>
      <c r="JJ99" s="30"/>
      <c r="JK99" s="30"/>
      <c r="JL99" s="30"/>
      <c r="JM99" s="30"/>
      <c r="JN99" s="30"/>
      <c r="JO99" s="30"/>
      <c r="JP99" s="30"/>
      <c r="JQ99" s="30"/>
      <c r="JR99" s="30"/>
    </row>
    <row r="100" spans="2:278" x14ac:dyDescent="0.2">
      <c r="B100" s="1" t="s">
        <v>15</v>
      </c>
      <c r="C100" s="18">
        <f t="shared" ref="C100:BN100" si="1039">C60</f>
        <v>0</v>
      </c>
      <c r="D100" s="18">
        <f t="shared" si="1039"/>
        <v>0</v>
      </c>
      <c r="E100" s="18">
        <f t="shared" si="1039"/>
        <v>0</v>
      </c>
      <c r="F100" s="18">
        <f t="shared" si="1039"/>
        <v>0</v>
      </c>
      <c r="G100" s="18">
        <f t="shared" si="1039"/>
        <v>0</v>
      </c>
      <c r="H100" s="18">
        <f t="shared" si="1039"/>
        <v>0</v>
      </c>
      <c r="I100" s="18">
        <f t="shared" si="1039"/>
        <v>0</v>
      </c>
      <c r="J100" s="18">
        <f t="shared" si="1039"/>
        <v>0</v>
      </c>
      <c r="K100" s="18">
        <f t="shared" si="1039"/>
        <v>0</v>
      </c>
      <c r="L100" s="18">
        <f t="shared" si="1039"/>
        <v>0</v>
      </c>
      <c r="M100" s="18">
        <f t="shared" si="1039"/>
        <v>0</v>
      </c>
      <c r="N100" s="18">
        <f t="shared" si="1039"/>
        <v>0</v>
      </c>
      <c r="O100" s="18">
        <f t="shared" si="1039"/>
        <v>0</v>
      </c>
      <c r="P100" s="18">
        <f t="shared" si="1039"/>
        <v>0</v>
      </c>
      <c r="Q100" s="18">
        <f t="shared" si="1039"/>
        <v>0</v>
      </c>
      <c r="R100" s="18">
        <f t="shared" si="1039"/>
        <v>0</v>
      </c>
      <c r="S100" s="18">
        <f t="shared" si="1039"/>
        <v>0</v>
      </c>
      <c r="T100" s="18">
        <f t="shared" si="1039"/>
        <v>0</v>
      </c>
      <c r="U100" s="18">
        <f t="shared" si="1039"/>
        <v>0</v>
      </c>
      <c r="V100" s="18">
        <f t="shared" si="1039"/>
        <v>0</v>
      </c>
      <c r="W100" s="18">
        <f t="shared" si="1039"/>
        <v>0</v>
      </c>
      <c r="X100" s="18">
        <f t="shared" si="1039"/>
        <v>0</v>
      </c>
      <c r="Y100" s="18">
        <f t="shared" si="1039"/>
        <v>0</v>
      </c>
      <c r="Z100" s="18">
        <f t="shared" si="1039"/>
        <v>0</v>
      </c>
      <c r="AA100" s="18">
        <f t="shared" si="1039"/>
        <v>0</v>
      </c>
      <c r="AB100" s="18">
        <f t="shared" si="1039"/>
        <v>0</v>
      </c>
      <c r="AC100" s="18">
        <f t="shared" si="1039"/>
        <v>0</v>
      </c>
      <c r="AD100" s="18">
        <f t="shared" si="1039"/>
        <v>0</v>
      </c>
      <c r="AE100" s="18">
        <f t="shared" si="1039"/>
        <v>0</v>
      </c>
      <c r="AF100" s="18">
        <f t="shared" si="1039"/>
        <v>0</v>
      </c>
      <c r="AG100" s="18">
        <f t="shared" si="1039"/>
        <v>0</v>
      </c>
      <c r="AH100" s="18">
        <f t="shared" si="1039"/>
        <v>0</v>
      </c>
      <c r="AI100" s="18">
        <f t="shared" si="1039"/>
        <v>0</v>
      </c>
      <c r="AJ100" s="18">
        <f t="shared" si="1039"/>
        <v>0</v>
      </c>
      <c r="AK100" s="18">
        <f t="shared" si="1039"/>
        <v>0</v>
      </c>
      <c r="AL100" s="18">
        <f t="shared" si="1039"/>
        <v>0</v>
      </c>
      <c r="AM100" s="18">
        <f t="shared" si="1039"/>
        <v>0</v>
      </c>
      <c r="AN100" s="18">
        <f t="shared" si="1039"/>
        <v>0</v>
      </c>
      <c r="AO100" s="18">
        <f t="shared" si="1039"/>
        <v>0</v>
      </c>
      <c r="AP100" s="18">
        <f t="shared" si="1039"/>
        <v>0</v>
      </c>
      <c r="AQ100" s="18">
        <f t="shared" si="1039"/>
        <v>0</v>
      </c>
      <c r="AR100" s="18">
        <f t="shared" si="1039"/>
        <v>0</v>
      </c>
      <c r="AS100" s="18">
        <f t="shared" si="1039"/>
        <v>0</v>
      </c>
      <c r="AT100" s="18">
        <f t="shared" si="1039"/>
        <v>0</v>
      </c>
      <c r="AU100" s="18">
        <f t="shared" si="1039"/>
        <v>0</v>
      </c>
      <c r="AV100" s="18">
        <f t="shared" si="1039"/>
        <v>0</v>
      </c>
      <c r="AW100" s="18">
        <f t="shared" si="1039"/>
        <v>0</v>
      </c>
      <c r="AX100" s="18">
        <f t="shared" si="1039"/>
        <v>0</v>
      </c>
      <c r="AY100" s="18">
        <f t="shared" si="1039"/>
        <v>0</v>
      </c>
      <c r="AZ100" s="18">
        <f t="shared" si="1039"/>
        <v>0</v>
      </c>
      <c r="BA100" s="18">
        <f t="shared" si="1039"/>
        <v>0</v>
      </c>
      <c r="BB100" s="18">
        <f t="shared" si="1039"/>
        <v>0</v>
      </c>
      <c r="BC100" s="18">
        <f t="shared" si="1039"/>
        <v>0</v>
      </c>
      <c r="BD100" s="18">
        <f t="shared" si="1039"/>
        <v>0</v>
      </c>
      <c r="BE100" s="18">
        <f t="shared" si="1039"/>
        <v>0</v>
      </c>
      <c r="BF100" s="18">
        <f t="shared" si="1039"/>
        <v>0</v>
      </c>
      <c r="BG100" s="18">
        <f t="shared" si="1039"/>
        <v>0</v>
      </c>
      <c r="BH100" s="18">
        <f t="shared" si="1039"/>
        <v>0</v>
      </c>
      <c r="BI100" s="18">
        <f t="shared" si="1039"/>
        <v>0</v>
      </c>
      <c r="BJ100" s="18">
        <f t="shared" si="1039"/>
        <v>0</v>
      </c>
      <c r="BK100" s="18">
        <f t="shared" si="1039"/>
        <v>0</v>
      </c>
      <c r="BL100" s="18">
        <f t="shared" si="1039"/>
        <v>0</v>
      </c>
      <c r="BM100" s="18">
        <f t="shared" si="1039"/>
        <v>0</v>
      </c>
      <c r="BN100" s="18">
        <f t="shared" si="1039"/>
        <v>0</v>
      </c>
      <c r="BO100" s="18">
        <f t="shared" ref="BO100:DZ100" si="1040">BO60</f>
        <v>0</v>
      </c>
      <c r="BP100" s="18">
        <f t="shared" si="1040"/>
        <v>0</v>
      </c>
      <c r="BQ100" s="18">
        <f t="shared" si="1040"/>
        <v>0</v>
      </c>
      <c r="BR100" s="18">
        <f t="shared" si="1040"/>
        <v>0</v>
      </c>
      <c r="BS100" s="18">
        <f t="shared" si="1040"/>
        <v>0</v>
      </c>
      <c r="BT100" s="18">
        <f t="shared" si="1040"/>
        <v>0</v>
      </c>
      <c r="BU100" s="18">
        <f t="shared" si="1040"/>
        <v>0</v>
      </c>
      <c r="BV100" s="18">
        <f t="shared" si="1040"/>
        <v>0</v>
      </c>
      <c r="BW100" s="18">
        <f t="shared" si="1040"/>
        <v>0</v>
      </c>
      <c r="BX100" s="18">
        <f t="shared" si="1040"/>
        <v>0</v>
      </c>
      <c r="BY100" s="18">
        <f t="shared" si="1040"/>
        <v>0</v>
      </c>
      <c r="BZ100" s="18">
        <f t="shared" si="1040"/>
        <v>0</v>
      </c>
      <c r="CA100" s="18">
        <f t="shared" si="1040"/>
        <v>0</v>
      </c>
      <c r="CB100" s="18">
        <f t="shared" si="1040"/>
        <v>0</v>
      </c>
      <c r="CC100" s="18">
        <f t="shared" si="1040"/>
        <v>0</v>
      </c>
      <c r="CD100" s="18">
        <f t="shared" si="1040"/>
        <v>0</v>
      </c>
      <c r="CE100" s="18">
        <f t="shared" si="1040"/>
        <v>0</v>
      </c>
      <c r="CF100" s="18">
        <f t="shared" si="1040"/>
        <v>0</v>
      </c>
      <c r="CG100" s="18">
        <f t="shared" si="1040"/>
        <v>0</v>
      </c>
      <c r="CH100" s="18">
        <f t="shared" si="1040"/>
        <v>0</v>
      </c>
      <c r="CI100" s="18">
        <f t="shared" si="1040"/>
        <v>83333.333333333328</v>
      </c>
      <c r="CJ100" s="18">
        <f t="shared" si="1040"/>
        <v>83333.333333333328</v>
      </c>
      <c r="CK100" s="18">
        <f t="shared" si="1040"/>
        <v>83333.333333333328</v>
      </c>
      <c r="CL100" s="18">
        <f t="shared" si="1040"/>
        <v>83333.333333333328</v>
      </c>
      <c r="CM100" s="18">
        <f t="shared" si="1040"/>
        <v>83333.333333333328</v>
      </c>
      <c r="CN100" s="18">
        <f t="shared" si="1040"/>
        <v>83333.333333333328</v>
      </c>
      <c r="CO100" s="18">
        <f t="shared" si="1040"/>
        <v>83333.333333333328</v>
      </c>
      <c r="CP100" s="18">
        <f t="shared" si="1040"/>
        <v>83333.333333333328</v>
      </c>
      <c r="CQ100" s="18">
        <f t="shared" si="1040"/>
        <v>83333.333333333328</v>
      </c>
      <c r="CR100" s="18">
        <f t="shared" si="1040"/>
        <v>83333.333333333328</v>
      </c>
      <c r="CS100" s="18">
        <f t="shared" si="1040"/>
        <v>83333.333333333328</v>
      </c>
      <c r="CT100" s="18">
        <f t="shared" si="1040"/>
        <v>83333.333333333328</v>
      </c>
      <c r="CU100" s="18">
        <f t="shared" si="1040"/>
        <v>83333.333333333328</v>
      </c>
      <c r="CV100" s="18">
        <f t="shared" si="1040"/>
        <v>83333.333333333328</v>
      </c>
      <c r="CW100" s="18">
        <f t="shared" si="1040"/>
        <v>83333.333333333328</v>
      </c>
      <c r="CX100" s="18">
        <f t="shared" si="1040"/>
        <v>83333.333333333328</v>
      </c>
      <c r="CY100" s="18">
        <f t="shared" si="1040"/>
        <v>83333.333333333328</v>
      </c>
      <c r="CZ100" s="18">
        <f t="shared" si="1040"/>
        <v>83333.333333333328</v>
      </c>
      <c r="DA100" s="18">
        <f t="shared" si="1040"/>
        <v>83333.333333333328</v>
      </c>
      <c r="DB100" s="18">
        <f t="shared" si="1040"/>
        <v>83333.333333333328</v>
      </c>
      <c r="DC100" s="18">
        <f t="shared" si="1040"/>
        <v>83333.333333333328</v>
      </c>
      <c r="DD100" s="18">
        <f t="shared" si="1040"/>
        <v>83333.333333333328</v>
      </c>
      <c r="DE100" s="18">
        <f t="shared" si="1040"/>
        <v>83333.333333333328</v>
      </c>
      <c r="DF100" s="18">
        <f t="shared" si="1040"/>
        <v>83333.333333333328</v>
      </c>
      <c r="DG100" s="18">
        <f t="shared" si="1040"/>
        <v>83333.333333333328</v>
      </c>
      <c r="DH100" s="18">
        <f t="shared" si="1040"/>
        <v>83333.333333333328</v>
      </c>
      <c r="DI100" s="18">
        <f t="shared" si="1040"/>
        <v>83333.333333333328</v>
      </c>
      <c r="DJ100" s="18">
        <f t="shared" si="1040"/>
        <v>83333.333333333328</v>
      </c>
      <c r="DK100" s="18">
        <f t="shared" si="1040"/>
        <v>83333.333333333328</v>
      </c>
      <c r="DL100" s="18">
        <f t="shared" si="1040"/>
        <v>83333.333333333328</v>
      </c>
      <c r="DM100" s="18">
        <f t="shared" si="1040"/>
        <v>83333.333333333328</v>
      </c>
      <c r="DN100" s="18">
        <f t="shared" si="1040"/>
        <v>83333.333333333328</v>
      </c>
      <c r="DO100" s="18">
        <f t="shared" si="1040"/>
        <v>83333.333333333328</v>
      </c>
      <c r="DP100" s="18">
        <f t="shared" si="1040"/>
        <v>83333.333333333328</v>
      </c>
      <c r="DQ100" s="18">
        <f t="shared" si="1040"/>
        <v>83333.333333333328</v>
      </c>
      <c r="DR100" s="18">
        <f t="shared" si="1040"/>
        <v>83333.333333333328</v>
      </c>
      <c r="DS100" s="18">
        <f t="shared" si="1040"/>
        <v>83333.333333333328</v>
      </c>
      <c r="DT100" s="18">
        <f t="shared" si="1040"/>
        <v>83333.333333333328</v>
      </c>
      <c r="DU100" s="18">
        <f t="shared" si="1040"/>
        <v>83333.333333333328</v>
      </c>
      <c r="DV100" s="18">
        <f t="shared" si="1040"/>
        <v>83333.333333333328</v>
      </c>
      <c r="DW100" s="18">
        <f t="shared" si="1040"/>
        <v>83333.333333333328</v>
      </c>
      <c r="DX100" s="18">
        <f t="shared" si="1040"/>
        <v>83333.333333333328</v>
      </c>
      <c r="DY100" s="18">
        <f t="shared" si="1040"/>
        <v>83333.333333333328</v>
      </c>
      <c r="DZ100" s="18">
        <f t="shared" si="1040"/>
        <v>83333.333333333328</v>
      </c>
      <c r="EA100" s="18">
        <f t="shared" ref="EA100:GL100" si="1041">EA60</f>
        <v>83333.333333333328</v>
      </c>
      <c r="EB100" s="18">
        <f t="shared" si="1041"/>
        <v>83333.333333333328</v>
      </c>
      <c r="EC100" s="18">
        <f t="shared" si="1041"/>
        <v>83333.333333333328</v>
      </c>
      <c r="ED100" s="18">
        <f t="shared" si="1041"/>
        <v>83333.333333333328</v>
      </c>
      <c r="EE100" s="18">
        <f t="shared" si="1041"/>
        <v>83333.333333333328</v>
      </c>
      <c r="EF100" s="18">
        <f t="shared" si="1041"/>
        <v>83333.333333333328</v>
      </c>
      <c r="EG100" s="18">
        <f t="shared" si="1041"/>
        <v>83333.333333333328</v>
      </c>
      <c r="EH100" s="18">
        <f t="shared" si="1041"/>
        <v>83333.333333333328</v>
      </c>
      <c r="EI100" s="18">
        <f t="shared" si="1041"/>
        <v>83333.333333333328</v>
      </c>
      <c r="EJ100" s="18">
        <f t="shared" si="1041"/>
        <v>83333.333333333328</v>
      </c>
      <c r="EK100" s="18">
        <f t="shared" si="1041"/>
        <v>83333.333333333328</v>
      </c>
      <c r="EL100" s="18">
        <f t="shared" si="1041"/>
        <v>83333.333333333328</v>
      </c>
      <c r="EM100" s="18">
        <f t="shared" si="1041"/>
        <v>83333.333333333328</v>
      </c>
      <c r="EN100" s="18">
        <f t="shared" si="1041"/>
        <v>83333.333333333328</v>
      </c>
      <c r="EO100" s="18">
        <f t="shared" si="1041"/>
        <v>83333.333333333328</v>
      </c>
      <c r="EP100" s="18">
        <f t="shared" si="1041"/>
        <v>83333.333333333328</v>
      </c>
      <c r="EQ100" s="18">
        <f t="shared" si="1041"/>
        <v>83333.333333333328</v>
      </c>
      <c r="ER100" s="18">
        <f t="shared" si="1041"/>
        <v>83333.333333333328</v>
      </c>
      <c r="ES100" s="18">
        <f t="shared" si="1041"/>
        <v>83333.333333333328</v>
      </c>
      <c r="ET100" s="18">
        <f t="shared" si="1041"/>
        <v>83333.333333333328</v>
      </c>
      <c r="EU100" s="18">
        <f t="shared" si="1041"/>
        <v>83333.333333333328</v>
      </c>
      <c r="EV100" s="18">
        <f t="shared" si="1041"/>
        <v>83333.333333333328</v>
      </c>
      <c r="EW100" s="18">
        <f t="shared" si="1041"/>
        <v>83333.333333333328</v>
      </c>
      <c r="EX100" s="18">
        <f t="shared" si="1041"/>
        <v>83333.333333333328</v>
      </c>
      <c r="EY100" s="18">
        <f t="shared" si="1041"/>
        <v>83333.333333333328</v>
      </c>
      <c r="EZ100" s="18">
        <f t="shared" si="1041"/>
        <v>83333.333333333328</v>
      </c>
      <c r="FA100" s="18">
        <f t="shared" si="1041"/>
        <v>83333.333333333328</v>
      </c>
      <c r="FB100" s="18">
        <f t="shared" si="1041"/>
        <v>83333.333333333328</v>
      </c>
      <c r="FC100" s="18">
        <f t="shared" si="1041"/>
        <v>83333.333333333328</v>
      </c>
      <c r="FD100" s="18">
        <f t="shared" si="1041"/>
        <v>83333.333333333328</v>
      </c>
      <c r="FE100" s="18">
        <f t="shared" si="1041"/>
        <v>83333.333333333328</v>
      </c>
      <c r="FF100" s="18">
        <f t="shared" si="1041"/>
        <v>83333.333333333328</v>
      </c>
      <c r="FG100" s="18">
        <f t="shared" si="1041"/>
        <v>83333.333333333328</v>
      </c>
      <c r="FH100" s="18">
        <f t="shared" si="1041"/>
        <v>83333.333333333328</v>
      </c>
      <c r="FI100" s="18">
        <f t="shared" si="1041"/>
        <v>83333.333333333328</v>
      </c>
      <c r="FJ100" s="18">
        <f t="shared" si="1041"/>
        <v>83333.333333333328</v>
      </c>
      <c r="FK100" s="18">
        <f t="shared" si="1041"/>
        <v>83333.333333333328</v>
      </c>
      <c r="FL100" s="18">
        <f t="shared" si="1041"/>
        <v>83333.333333333328</v>
      </c>
      <c r="FM100" s="18">
        <f t="shared" si="1041"/>
        <v>83333.333333333328</v>
      </c>
      <c r="FN100" s="18">
        <f t="shared" si="1041"/>
        <v>83333.333333333328</v>
      </c>
      <c r="FO100" s="18">
        <f t="shared" si="1041"/>
        <v>83333.333333333328</v>
      </c>
      <c r="FP100" s="18">
        <f t="shared" si="1041"/>
        <v>83333.333333333328</v>
      </c>
      <c r="FQ100" s="18">
        <f t="shared" si="1041"/>
        <v>83333.333333333328</v>
      </c>
      <c r="FR100" s="18">
        <f t="shared" si="1041"/>
        <v>83333.333333333328</v>
      </c>
      <c r="FS100" s="18">
        <f t="shared" si="1041"/>
        <v>83333.333333333328</v>
      </c>
      <c r="FT100" s="18">
        <f t="shared" si="1041"/>
        <v>83333.333333333328</v>
      </c>
      <c r="FU100" s="18">
        <f t="shared" si="1041"/>
        <v>83333.333333333328</v>
      </c>
      <c r="FV100" s="18">
        <f t="shared" si="1041"/>
        <v>83333.333333333328</v>
      </c>
      <c r="FW100" s="18">
        <f t="shared" si="1041"/>
        <v>83333.333333333328</v>
      </c>
      <c r="FX100" s="18">
        <f t="shared" si="1041"/>
        <v>83333.333333333328</v>
      </c>
      <c r="FY100" s="18">
        <f t="shared" si="1041"/>
        <v>83333.333333333328</v>
      </c>
      <c r="FZ100" s="18">
        <f t="shared" si="1041"/>
        <v>83333.333333333328</v>
      </c>
      <c r="GA100" s="18">
        <f t="shared" si="1041"/>
        <v>83333.333333333328</v>
      </c>
      <c r="GB100" s="18">
        <f t="shared" si="1041"/>
        <v>83333.333333333328</v>
      </c>
      <c r="GC100" s="18">
        <f t="shared" si="1041"/>
        <v>83333.333333333328</v>
      </c>
      <c r="GD100" s="18">
        <f t="shared" si="1041"/>
        <v>83333.333333333328</v>
      </c>
      <c r="GE100" s="18">
        <f t="shared" si="1041"/>
        <v>83333.333333333328</v>
      </c>
      <c r="GF100" s="18">
        <f t="shared" si="1041"/>
        <v>83333.333333333328</v>
      </c>
      <c r="GG100" s="18">
        <f t="shared" si="1041"/>
        <v>83333.333333333328</v>
      </c>
      <c r="GH100" s="18">
        <f t="shared" si="1041"/>
        <v>83333.333333333328</v>
      </c>
      <c r="GI100" s="18">
        <f t="shared" si="1041"/>
        <v>83333.333333333328</v>
      </c>
      <c r="GJ100" s="18">
        <f t="shared" si="1041"/>
        <v>83333.333333333328</v>
      </c>
      <c r="GK100" s="18">
        <f t="shared" si="1041"/>
        <v>83333.333333333328</v>
      </c>
      <c r="GL100" s="18">
        <f t="shared" si="1041"/>
        <v>83333.333333333328</v>
      </c>
      <c r="GM100" s="18">
        <f t="shared" ref="GM100:IX100" si="1042">GM60</f>
        <v>83333.333333333328</v>
      </c>
      <c r="GN100" s="18">
        <f t="shared" si="1042"/>
        <v>83333.333333333328</v>
      </c>
      <c r="GO100" s="18">
        <f t="shared" si="1042"/>
        <v>83333.333333333328</v>
      </c>
      <c r="GP100" s="18">
        <f t="shared" si="1042"/>
        <v>83333.333333333328</v>
      </c>
      <c r="GQ100" s="18">
        <f t="shared" si="1042"/>
        <v>83333.333333333328</v>
      </c>
      <c r="GR100" s="18">
        <f t="shared" si="1042"/>
        <v>83333.333333333328</v>
      </c>
      <c r="GS100" s="18">
        <f t="shared" si="1042"/>
        <v>83333.333333333328</v>
      </c>
      <c r="GT100" s="18">
        <f t="shared" si="1042"/>
        <v>83333.333333333328</v>
      </c>
      <c r="GU100" s="18">
        <f t="shared" si="1042"/>
        <v>83333.333333333328</v>
      </c>
      <c r="GV100" s="18">
        <f t="shared" si="1042"/>
        <v>83333.333333333328</v>
      </c>
      <c r="GW100" s="18">
        <f t="shared" si="1042"/>
        <v>83333.333333333328</v>
      </c>
      <c r="GX100" s="18">
        <f t="shared" si="1042"/>
        <v>83333.333333333328</v>
      </c>
      <c r="GY100" s="18">
        <f t="shared" si="1042"/>
        <v>83333.333333333328</v>
      </c>
      <c r="GZ100" s="18">
        <f t="shared" si="1042"/>
        <v>83333.333333333328</v>
      </c>
      <c r="HA100" s="18">
        <f t="shared" si="1042"/>
        <v>83333.333333333328</v>
      </c>
      <c r="HB100" s="18">
        <f t="shared" si="1042"/>
        <v>83333.333333333328</v>
      </c>
      <c r="HC100" s="18">
        <f t="shared" si="1042"/>
        <v>83333.333333333328</v>
      </c>
      <c r="HD100" s="18">
        <f t="shared" si="1042"/>
        <v>83333.333333333328</v>
      </c>
      <c r="HE100" s="18">
        <f t="shared" si="1042"/>
        <v>83333.333333333328</v>
      </c>
      <c r="HF100" s="18">
        <f t="shared" si="1042"/>
        <v>83333.333333333328</v>
      </c>
      <c r="HG100" s="18">
        <f t="shared" si="1042"/>
        <v>83333.333333333328</v>
      </c>
      <c r="HH100" s="18">
        <f t="shared" si="1042"/>
        <v>83333.333333333328</v>
      </c>
      <c r="HI100" s="18">
        <f t="shared" si="1042"/>
        <v>83333.333333333328</v>
      </c>
      <c r="HJ100" s="18">
        <f t="shared" si="1042"/>
        <v>83333.333333333328</v>
      </c>
      <c r="HK100" s="18">
        <f t="shared" si="1042"/>
        <v>83333.333333333328</v>
      </c>
      <c r="HL100" s="18">
        <f t="shared" si="1042"/>
        <v>83333.333333333328</v>
      </c>
      <c r="HM100" s="18">
        <f t="shared" si="1042"/>
        <v>83333.333333333328</v>
      </c>
      <c r="HN100" s="18">
        <f t="shared" si="1042"/>
        <v>83333.333333333328</v>
      </c>
      <c r="HO100" s="18">
        <f t="shared" si="1042"/>
        <v>83333.333333333328</v>
      </c>
      <c r="HP100" s="18">
        <f t="shared" si="1042"/>
        <v>83333.333333333328</v>
      </c>
      <c r="HQ100" s="18">
        <f t="shared" si="1042"/>
        <v>83333.333333333328</v>
      </c>
      <c r="HR100" s="18">
        <f t="shared" si="1042"/>
        <v>83333.333333333328</v>
      </c>
      <c r="HS100" s="18">
        <f t="shared" si="1042"/>
        <v>83333.333333333328</v>
      </c>
      <c r="HT100" s="18">
        <f t="shared" si="1042"/>
        <v>83333.333333333328</v>
      </c>
      <c r="HU100" s="18">
        <f t="shared" si="1042"/>
        <v>83333.333333333328</v>
      </c>
      <c r="HV100" s="18">
        <f t="shared" si="1042"/>
        <v>83333.333333333328</v>
      </c>
      <c r="HW100" s="18">
        <f t="shared" si="1042"/>
        <v>83333.333333333328</v>
      </c>
      <c r="HX100" s="18">
        <f t="shared" si="1042"/>
        <v>83333.333333333328</v>
      </c>
      <c r="HY100" s="18">
        <f t="shared" si="1042"/>
        <v>83333.333333333328</v>
      </c>
      <c r="HZ100" s="18">
        <f t="shared" si="1042"/>
        <v>83333.333333333328</v>
      </c>
      <c r="IA100" s="18">
        <f t="shared" si="1042"/>
        <v>83333.333333333328</v>
      </c>
      <c r="IB100" s="18">
        <f t="shared" si="1042"/>
        <v>83333.333333333328</v>
      </c>
      <c r="IC100" s="18">
        <f t="shared" si="1042"/>
        <v>83333.333333333328</v>
      </c>
      <c r="ID100" s="18">
        <f t="shared" si="1042"/>
        <v>83333.333333333328</v>
      </c>
      <c r="IE100" s="18">
        <f t="shared" si="1042"/>
        <v>83333.333333333328</v>
      </c>
      <c r="IF100" s="18">
        <f t="shared" si="1042"/>
        <v>83333.333333333328</v>
      </c>
      <c r="IG100" s="18">
        <f t="shared" si="1042"/>
        <v>83333.333333333328</v>
      </c>
      <c r="IH100" s="18">
        <f t="shared" si="1042"/>
        <v>83333.333333333328</v>
      </c>
      <c r="II100" s="18">
        <f t="shared" si="1042"/>
        <v>83333.333333333328</v>
      </c>
      <c r="IJ100" s="18">
        <f t="shared" si="1042"/>
        <v>83333.333333333328</v>
      </c>
      <c r="IK100" s="18">
        <f t="shared" si="1042"/>
        <v>83333.333333333328</v>
      </c>
      <c r="IL100" s="18">
        <f t="shared" si="1042"/>
        <v>83333.333333333328</v>
      </c>
      <c r="IM100" s="18">
        <f t="shared" si="1042"/>
        <v>83333.333333333328</v>
      </c>
      <c r="IN100" s="18">
        <f t="shared" si="1042"/>
        <v>83333.333333333328</v>
      </c>
      <c r="IO100" s="18">
        <f t="shared" si="1042"/>
        <v>83333.333333333328</v>
      </c>
      <c r="IP100" s="18">
        <f t="shared" si="1042"/>
        <v>83333.333333333328</v>
      </c>
      <c r="IQ100" s="18">
        <f t="shared" si="1042"/>
        <v>83333.333333333328</v>
      </c>
      <c r="IR100" s="18">
        <f t="shared" si="1042"/>
        <v>83333.333333333328</v>
      </c>
      <c r="IS100" s="18">
        <f t="shared" si="1042"/>
        <v>83333.333333333328</v>
      </c>
      <c r="IT100" s="18">
        <f t="shared" si="1042"/>
        <v>83333.333333333328</v>
      </c>
      <c r="IU100" s="18">
        <f t="shared" si="1042"/>
        <v>83333.333333333328</v>
      </c>
      <c r="IV100" s="18">
        <f t="shared" si="1042"/>
        <v>83333.333333333328</v>
      </c>
      <c r="IW100" s="18">
        <f t="shared" si="1042"/>
        <v>83333.333333333328</v>
      </c>
      <c r="IX100" s="18">
        <f t="shared" si="1042"/>
        <v>83333.333333333328</v>
      </c>
      <c r="IY100" s="18">
        <f t="shared" ref="IY100:JQ100" si="1043">IY60</f>
        <v>83333.333333333328</v>
      </c>
      <c r="IZ100" s="18">
        <f t="shared" si="1043"/>
        <v>83333.333333333328</v>
      </c>
      <c r="JA100" s="18">
        <f t="shared" si="1043"/>
        <v>83333.333333333328</v>
      </c>
      <c r="JB100" s="18">
        <f t="shared" si="1043"/>
        <v>83333.333333333328</v>
      </c>
      <c r="JC100" s="18">
        <f t="shared" si="1043"/>
        <v>83333.333333333328</v>
      </c>
      <c r="JD100" s="18">
        <f t="shared" si="1043"/>
        <v>83333.333333333328</v>
      </c>
      <c r="JE100" s="18">
        <f t="shared" si="1043"/>
        <v>83333.333333333328</v>
      </c>
      <c r="JF100" s="18">
        <f t="shared" si="1043"/>
        <v>83333.333333333328</v>
      </c>
      <c r="JG100" s="18">
        <f t="shared" si="1043"/>
        <v>83333.333333333328</v>
      </c>
      <c r="JH100" s="18">
        <f t="shared" si="1043"/>
        <v>83333.333333333328</v>
      </c>
      <c r="JI100" s="18">
        <f t="shared" si="1043"/>
        <v>83333.333333333328</v>
      </c>
      <c r="JJ100" s="18">
        <f t="shared" si="1043"/>
        <v>83333.333333333328</v>
      </c>
      <c r="JK100" s="18">
        <f t="shared" si="1043"/>
        <v>83333.333333333328</v>
      </c>
      <c r="JL100" s="18">
        <f t="shared" si="1043"/>
        <v>83333.333333333328</v>
      </c>
      <c r="JM100" s="18">
        <f t="shared" si="1043"/>
        <v>83333.333333333328</v>
      </c>
      <c r="JN100" s="18">
        <f t="shared" si="1043"/>
        <v>83333.333333333328</v>
      </c>
      <c r="JO100" s="18">
        <f t="shared" si="1043"/>
        <v>83333.333333333328</v>
      </c>
      <c r="JP100" s="18">
        <f t="shared" si="1043"/>
        <v>83333.333333333328</v>
      </c>
      <c r="JQ100" s="18">
        <f t="shared" si="1043"/>
        <v>83333.333333333328</v>
      </c>
      <c r="JR100" s="18">
        <f>JR60</f>
        <v>83333.333333333328</v>
      </c>
    </row>
    <row r="101" spans="2:278" x14ac:dyDescent="0.2">
      <c r="B101" s="1" t="s">
        <v>142</v>
      </c>
      <c r="C101" s="7">
        <f>'Capital Contributions'!E33</f>
        <v>0</v>
      </c>
      <c r="D101" s="7">
        <f>'Capital Contributions'!F33</f>
        <v>0</v>
      </c>
      <c r="E101" s="7">
        <f>'Capital Contributions'!G33</f>
        <v>0</v>
      </c>
      <c r="F101" s="7">
        <f>'Capital Contributions'!H33</f>
        <v>0</v>
      </c>
      <c r="G101" s="7">
        <f>'Capital Contributions'!I33</f>
        <v>0</v>
      </c>
      <c r="H101" s="7">
        <f>'Capital Contributions'!J33</f>
        <v>0</v>
      </c>
      <c r="I101" s="7">
        <f>'Capital Contributions'!K33</f>
        <v>0</v>
      </c>
      <c r="J101" s="7">
        <f>'Capital Contributions'!L33</f>
        <v>0</v>
      </c>
      <c r="K101" s="7">
        <f>'Capital Contributions'!M33</f>
        <v>0</v>
      </c>
      <c r="L101" s="7">
        <f>'Capital Contributions'!N33</f>
        <v>0</v>
      </c>
      <c r="M101" s="7">
        <f>'Capital Contributions'!O33</f>
        <v>0</v>
      </c>
      <c r="N101" s="7">
        <f>'Capital Contributions'!P33</f>
        <v>0</v>
      </c>
      <c r="O101" s="7">
        <f>'Capital Contributions'!Q33</f>
        <v>0</v>
      </c>
      <c r="P101" s="7">
        <f>'Capital Contributions'!R33</f>
        <v>0</v>
      </c>
      <c r="Q101" s="7">
        <f>'Capital Contributions'!S33</f>
        <v>0</v>
      </c>
      <c r="R101" s="7">
        <f>'Capital Contributions'!T33</f>
        <v>875060.81313576002</v>
      </c>
      <c r="S101" s="7">
        <f>'Capital Contributions'!U33</f>
        <v>880165.33454571874</v>
      </c>
      <c r="T101" s="7">
        <f>'Capital Contributions'!V33</f>
        <v>885299.63233056874</v>
      </c>
      <c r="U101" s="7">
        <f>'Capital Contributions'!W33</f>
        <v>890463.88018583052</v>
      </c>
      <c r="V101" s="7">
        <f>'Capital Contributions'!X33</f>
        <v>895658.25282024778</v>
      </c>
      <c r="W101" s="7">
        <f>'Capital Contributions'!Y33</f>
        <v>900882.92596169934</v>
      </c>
      <c r="X101" s="7">
        <f>'Capital Contributions'!Z33</f>
        <v>906138.07636314258</v>
      </c>
      <c r="Y101" s="7">
        <f>'Capital Contributions'!AA33</f>
        <v>911423.88180859422</v>
      </c>
      <c r="Z101" s="7">
        <f>'Capital Contributions'!AB33</f>
        <v>916740.5211191444</v>
      </c>
      <c r="AA101" s="7">
        <f>'Capital Contributions'!AC33</f>
        <v>922088.17415900587</v>
      </c>
      <c r="AB101" s="7">
        <f>'Capital Contributions'!AD33</f>
        <v>927467.02184160019</v>
      </c>
      <c r="AC101" s="7">
        <f>'Capital Contributions'!AE33</f>
        <v>932877.24613567616</v>
      </c>
      <c r="AD101" s="7">
        <f>'Capital Contributions'!AF33</f>
        <v>938319.03007146763</v>
      </c>
      <c r="AE101" s="7">
        <f>'Capital Contributions'!AG33</f>
        <v>943792.55774688453</v>
      </c>
      <c r="AF101" s="7">
        <f>'Capital Contributions'!AH33</f>
        <v>949298.01433374116</v>
      </c>
      <c r="AG101" s="7">
        <f>'Capital Contributions'!AI33</f>
        <v>954835.58608402137</v>
      </c>
      <c r="AH101" s="7">
        <f>'Capital Contributions'!AJ33</f>
        <v>960405.46033617819</v>
      </c>
      <c r="AI101" s="7">
        <f>'Capital Contributions'!AK33</f>
        <v>966007.82552147261</v>
      </c>
      <c r="AJ101" s="7">
        <f>'Capital Contributions'!AL33</f>
        <v>971642.87117034779</v>
      </c>
      <c r="AK101" s="7">
        <f>'Capital Contributions'!AM33</f>
        <v>977310.78791884158</v>
      </c>
      <c r="AL101" s="7">
        <f>'Capital Contributions'!AN33</f>
        <v>983011.76751503488</v>
      </c>
      <c r="AM101" s="7">
        <f>'Capital Contributions'!AO33</f>
        <v>988746.00282553921</v>
      </c>
      <c r="AN101" s="7">
        <f>'Capital Contributions'!AP33</f>
        <v>994513.68784202146</v>
      </c>
      <c r="AO101" s="7">
        <f>'Capital Contributions'!AQ33</f>
        <v>1000315.0176877667</v>
      </c>
      <c r="AP101" s="7">
        <f>'Capital Contributions'!AR33</f>
        <v>1006150.1886242786</v>
      </c>
      <c r="AQ101" s="7">
        <f>'Capital Contributions'!AS33</f>
        <v>1012019.3980579202</v>
      </c>
      <c r="AR101" s="7">
        <f>'Capital Contributions'!AT33</f>
        <v>1017922.8445465914</v>
      </c>
      <c r="AS101" s="7">
        <f>'Capital Contributions'!AU33</f>
        <v>1023860.7278064466</v>
      </c>
      <c r="AT101" s="7">
        <f>'Capital Contributions'!AV33</f>
        <v>1029833.2487186508</v>
      </c>
      <c r="AU101" s="7">
        <f>'Capital Contributions'!AW33</f>
        <v>1035840.6093361763</v>
      </c>
      <c r="AV101" s="7">
        <f>'Capital Contributions'!AX33</f>
        <v>1041883.0128906373</v>
      </c>
      <c r="AW101" s="7">
        <f>'Capital Contributions'!AY33</f>
        <v>1047960.663799166</v>
      </c>
      <c r="AX101" s="7">
        <f>'Capital Contributions'!AZ33</f>
        <v>1054073.7676713276</v>
      </c>
      <c r="AY101" s="7">
        <f>'Capital Contributions'!BA33</f>
        <v>1060222.5313160773</v>
      </c>
      <c r="AZ101" s="7">
        <f>'Capital Contributions'!BB33</f>
        <v>1066407.1627487545</v>
      </c>
      <c r="BA101" s="7">
        <f>'Capital Contributions'!BC33</f>
        <v>1072627.8711981222</v>
      </c>
      <c r="BB101" s="7">
        <f>'Capital Contributions'!BD33</f>
        <v>1078884.8671134445</v>
      </c>
      <c r="BC101" s="7">
        <f>'Capital Contributions'!BE33</f>
        <v>1085178.3621716062</v>
      </c>
      <c r="BD101" s="7">
        <f>'Capital Contributions'!BF33</f>
        <v>1091508.5692842738</v>
      </c>
      <c r="BE101" s="7">
        <f>'Capital Contributions'!BG33</f>
        <v>1097875.702605099</v>
      </c>
      <c r="BF101" s="7">
        <f>'Capital Contributions'!BH33</f>
        <v>1104279.9775369619</v>
      </c>
      <c r="BG101" s="7">
        <f>'Capital Contributions'!BI33</f>
        <v>1110721.6107392609</v>
      </c>
      <c r="BH101" s="7">
        <f>'Capital Contributions'!BJ33</f>
        <v>1117200.8201352397</v>
      </c>
      <c r="BI101" s="7">
        <f>'Capital Contributions'!BK33</f>
        <v>1123717.8249193621</v>
      </c>
      <c r="BJ101" s="7">
        <f>'Capital Contributions'!BL33</f>
        <v>1130272.8455647249</v>
      </c>
      <c r="BK101" s="7">
        <f>'Capital Contributions'!BM33</f>
        <v>1136866.1038305191</v>
      </c>
      <c r="BL101" s="7">
        <f>'Capital Contributions'!BN33</f>
        <v>1143497.8227695306</v>
      </c>
      <c r="BM101" s="7">
        <f>'Capital Contributions'!BO33</f>
        <v>1150168.2267356862</v>
      </c>
      <c r="BN101" s="7">
        <f>'Capital Contributions'!BP33</f>
        <v>1156877.5413916444</v>
      </c>
      <c r="BO101" s="7">
        <f>'Capital Contributions'!BQ33</f>
        <v>1163625.993716429</v>
      </c>
      <c r="BP101" s="7">
        <f>'Capital Contributions'!BR33</f>
        <v>1170413.8120131083</v>
      </c>
      <c r="BQ101" s="7">
        <f>'Capital Contributions'!BS33</f>
        <v>1177241.2259165179</v>
      </c>
      <c r="BR101" s="7">
        <f>'Capital Contributions'!BT33</f>
        <v>1184108.466401031</v>
      </c>
      <c r="BS101" s="7">
        <f>'Capital Contributions'!BU33</f>
        <v>1191015.7657883703</v>
      </c>
      <c r="BT101" s="7">
        <f>'Capital Contributions'!BV33</f>
        <v>1197963.3577554692</v>
      </c>
      <c r="BU101" s="7">
        <f>'Capital Contributions'!BW33</f>
        <v>1204951.477342376</v>
      </c>
      <c r="BV101" s="7">
        <f>'Capital Contributions'!BX33</f>
        <v>1211980.3609602065</v>
      </c>
      <c r="BW101" s="7">
        <f>'Capital Contributions'!BY33</f>
        <v>1219050.2463991409</v>
      </c>
      <c r="BX101" s="7">
        <f>'Capital Contributions'!BZ33</f>
        <v>1226161.3728364694</v>
      </c>
      <c r="BY101" s="7">
        <f>'Capital Contributions'!CA33</f>
        <v>1233313.9808446821</v>
      </c>
      <c r="BZ101" s="7">
        <f>'Capital Contributions'!CB33</f>
        <v>1240508.3123996095</v>
      </c>
      <c r="CA101" s="7">
        <f>'Capital Contributions'!CC33</f>
        <v>1247744.6108886071</v>
      </c>
      <c r="CB101" s="7">
        <f>'Capital Contributions'!CD33</f>
        <v>1255023.1211187907</v>
      </c>
      <c r="CC101" s="7">
        <f>'Capital Contributions'!CE33</f>
        <v>1262344.0893253169</v>
      </c>
      <c r="CD101" s="7">
        <f>'Capital Contributions'!CF33</f>
        <v>1269707.7631797146</v>
      </c>
      <c r="CE101" s="7">
        <f>'Capital Contributions'!CG33</f>
        <v>1277114.391798263</v>
      </c>
      <c r="CF101" s="7">
        <f>'Capital Contributions'!CH33</f>
        <v>1284564.2257504193</v>
      </c>
      <c r="CG101" s="7">
        <f>'Capital Contributions'!CI33</f>
        <v>1292057.5170672969</v>
      </c>
      <c r="CH101" s="7">
        <f>'Capital Contributions'!CJ33</f>
        <v>1299594.5192501894</v>
      </c>
      <c r="CI101" s="7">
        <f>'Capital Contributions'!CK33</f>
        <v>1307175.4872791488</v>
      </c>
      <c r="CJ101" s="7">
        <f>'Capital Contributions'!CL33</f>
        <v>1314800.6776216105</v>
      </c>
      <c r="CK101" s="7">
        <f>'Capital Contributions'!CM33</f>
        <v>1322470.3482410698</v>
      </c>
      <c r="CL101" s="7">
        <f>'Capital Contributions'!CN33</f>
        <v>1330184.7586058094</v>
      </c>
      <c r="CM101" s="7">
        <f>'Capital Contributions'!CO33</f>
        <v>1337944.1696976768</v>
      </c>
      <c r="CN101" s="7">
        <f>'Capital Contributions'!CP33</f>
        <v>1345748.8440209131</v>
      </c>
      <c r="CO101" s="7">
        <f>'Capital Contributions'!CQ33</f>
        <v>1353599.0456110351</v>
      </c>
      <c r="CP101" s="7">
        <f>'Capital Contributions'!CR33</f>
        <v>1361495.0400437661</v>
      </c>
      <c r="CQ101" s="7">
        <f>'Capital Contributions'!CS33</f>
        <v>1369437.0944440216</v>
      </c>
      <c r="CR101" s="7">
        <f>'Capital Contributions'!CT33</f>
        <v>1377425.4774949448</v>
      </c>
      <c r="CS101" s="7">
        <f>'Capital Contributions'!CU33</f>
        <v>1385460.4594469988</v>
      </c>
      <c r="CT101" s="7">
        <f>'Capital Contributions'!CV33</f>
        <v>1393542.3121271064</v>
      </c>
      <c r="CU101" s="7">
        <f>'Capital Contributions'!CW33</f>
        <v>1401671.3089478477</v>
      </c>
      <c r="CV101" s="7">
        <f>'Capital Contributions'!CX33</f>
        <v>1409847.7249167103</v>
      </c>
      <c r="CW101" s="7">
        <f>'Capital Contributions'!CY33</f>
        <v>1418071.8366453908</v>
      </c>
      <c r="CX101" s="7">
        <f>'Capital Contributions'!CZ33</f>
        <v>1426343.9223591557</v>
      </c>
      <c r="CY101" s="7">
        <f>'Capital Contributions'!DA33</f>
        <v>1434664.2619062508</v>
      </c>
      <c r="CZ101" s="7">
        <f>'Capital Contributions'!DB33</f>
        <v>1443033.1367673706</v>
      </c>
      <c r="DA101" s="7">
        <f>'Capital Contributions'!DC33</f>
        <v>1451450.8300651803</v>
      </c>
      <c r="DB101" s="7">
        <f>'Capital Contributions'!DD33</f>
        <v>1459917.6265738939</v>
      </c>
      <c r="DC101" s="7">
        <f>'Capital Contributions'!DE33</f>
        <v>1468433.8127289081</v>
      </c>
      <c r="DD101" s="7">
        <f>'Capital Contributions'!DF33</f>
        <v>1476999.6766364935</v>
      </c>
      <c r="DE101" s="7">
        <f>'Capital Contributions'!DG33</f>
        <v>1485615.5080835398</v>
      </c>
      <c r="DF101" s="7">
        <f>'Capital Contributions'!DH33</f>
        <v>1494281.5985473604</v>
      </c>
      <c r="DG101" s="7">
        <f>'Capital Contributions'!DI33</f>
        <v>1502998.2412055533</v>
      </c>
      <c r="DH101" s="7">
        <f>'Capital Contributions'!DJ33</f>
        <v>1511765.7309459192</v>
      </c>
      <c r="DI101" s="7">
        <f>'Capital Contributions'!DK33</f>
        <v>1520584.3643764369</v>
      </c>
      <c r="DJ101" s="7">
        <f>'Capital Contributions'!DL33</f>
        <v>1529454.4398352995</v>
      </c>
      <c r="DK101" s="7">
        <f>'Capital Contributions'!DM33</f>
        <v>1538376.2574010054</v>
      </c>
      <c r="DL101" s="7">
        <f>'Capital Contributions'!DN33</f>
        <v>1547350.1189025114</v>
      </c>
      <c r="DM101" s="7">
        <f>'Capital Contributions'!DO33</f>
        <v>1556376.3279294427</v>
      </c>
      <c r="DN101" s="7">
        <f>'Capital Contributions'!DP33</f>
        <v>1565455.1898423643</v>
      </c>
      <c r="DO101" s="7">
        <f>'Capital Contributions'!DQ33</f>
        <v>1574587.0117831114</v>
      </c>
      <c r="DP101" s="7">
        <f>'Capital Contributions'!DR33</f>
        <v>1583772.1026851796</v>
      </c>
      <c r="DQ101" s="7">
        <f>'Capital Contributions'!DS33</f>
        <v>1593010.7732841764</v>
      </c>
      <c r="DR101" s="7">
        <f>'Capital Contributions'!DT33</f>
        <v>1602303.3361283343</v>
      </c>
      <c r="DS101" s="7">
        <f>'Capital Contributions'!DU33</f>
        <v>1611650.1055890829</v>
      </c>
      <c r="DT101" s="7">
        <f>'Capital Contributions'!DV33</f>
        <v>1621051.3978716857</v>
      </c>
      <c r="DU101" s="7">
        <f>'Capital Contributions'!DW33</f>
        <v>1630507.5310259373</v>
      </c>
      <c r="DV101" s="7">
        <f>'Capital Contributions'!DX33</f>
        <v>1640018.8249569219</v>
      </c>
      <c r="DW101" s="7">
        <f>'Capital Contributions'!DY33</f>
        <v>1649585.6014358373</v>
      </c>
      <c r="DX101" s="7">
        <f>'Capital Contributions'!DZ33</f>
        <v>1659208.1841108794</v>
      </c>
      <c r="DY101" s="7">
        <f>'Capital Contributions'!EA33</f>
        <v>1668886.8985181933</v>
      </c>
      <c r="DZ101" s="7">
        <f>'Capital Contributions'!EB33</f>
        <v>1678622.0720928824</v>
      </c>
      <c r="EA101" s="7">
        <f>'Capital Contributions'!EC33</f>
        <v>1688414.034180091</v>
      </c>
      <c r="EB101" s="7">
        <f>'Capital Contributions'!ED33</f>
        <v>1698263.1160461416</v>
      </c>
      <c r="EC101" s="7">
        <f>'Capital Contributions'!EE33</f>
        <v>1708169.6508897441</v>
      </c>
      <c r="ED101" s="7">
        <f>'Capital Contributions'!EF33</f>
        <v>1718133.9738532677</v>
      </c>
      <c r="EE101" s="7">
        <f>'Capital Contributions'!EG33</f>
        <v>1728156.4220340783</v>
      </c>
      <c r="EF101" s="7">
        <f>'Capital Contributions'!EH33</f>
        <v>1738237.3344959437</v>
      </c>
      <c r="EG101" s="7">
        <f>'Capital Contributions'!EI33</f>
        <v>1748377.0522805033</v>
      </c>
      <c r="EH101" s="7">
        <f>'Capital Contributions'!EJ33</f>
        <v>606306.65197461657</v>
      </c>
      <c r="EI101" s="7">
        <f>'Capital Contributions'!EK33</f>
        <v>609843.44077780179</v>
      </c>
      <c r="EJ101" s="7">
        <f>'Capital Contributions'!EL33</f>
        <v>613400.86084900564</v>
      </c>
      <c r="EK101" s="7">
        <f>'Capital Contributions'!EM33</f>
        <v>616979.03253729152</v>
      </c>
      <c r="EL101" s="7">
        <f>'Capital Contributions'!EN33</f>
        <v>620578.07689375896</v>
      </c>
      <c r="EM101" s="7">
        <f>'Capital Contributions'!EO33</f>
        <v>624198.11567563936</v>
      </c>
      <c r="EN101" s="7">
        <f>'Capital Contributions'!EP33</f>
        <v>627839.27135041391</v>
      </c>
      <c r="EO101" s="7">
        <f>'Capital Contributions'!EQ33</f>
        <v>631501.66709995794</v>
      </c>
      <c r="EP101" s="7">
        <f>'Capital Contributions'!ER33</f>
        <v>635185.42682470777</v>
      </c>
      <c r="EQ101" s="7">
        <f>'Capital Contributions'!ES33</f>
        <v>638890.67514785193</v>
      </c>
      <c r="ER101" s="7">
        <f>'Capital Contributions'!ET33</f>
        <v>642617.53741954768</v>
      </c>
      <c r="ES101" s="7">
        <f>'Capital Contributions'!EU33</f>
        <v>646366.13972116169</v>
      </c>
      <c r="ET101" s="7">
        <f>'Capital Contributions'!EV33</f>
        <v>650136.60886953515</v>
      </c>
      <c r="EU101" s="7">
        <f>'Capital Contributions'!EW33</f>
        <v>653929.07242127415</v>
      </c>
      <c r="EV101" s="7">
        <f>'Capital Contributions'!EX33</f>
        <v>657743.65867706493</v>
      </c>
      <c r="EW101" s="7">
        <f>'Capital Contributions'!EY33</f>
        <v>661580.49668601446</v>
      </c>
      <c r="EX101" s="7">
        <f>'Capital Contributions'!EZ33</f>
        <v>665439.71625001624</v>
      </c>
      <c r="EY101" s="7">
        <f>'Capital Contributions'!FA33</f>
        <v>669321.44792814134</v>
      </c>
      <c r="EZ101" s="7">
        <f>'Capital Contributions'!FB33</f>
        <v>673225.82304105547</v>
      </c>
      <c r="FA101" s="7">
        <f>'Capital Contributions'!FC33</f>
        <v>677152.9736754616</v>
      </c>
      <c r="FB101" s="7">
        <f>'Capital Contributions'!FD33</f>
        <v>681103.03268856846</v>
      </c>
      <c r="FC101" s="7">
        <f>'Capital Contributions'!FE33</f>
        <v>685076.1337125852</v>
      </c>
      <c r="FD101" s="7">
        <f>'Capital Contributions'!FF33</f>
        <v>689072.41115924192</v>
      </c>
      <c r="FE101" s="7">
        <f>'Capital Contributions'!FG33</f>
        <v>693092.00022433745</v>
      </c>
      <c r="FF101" s="7">
        <f>'Capital Contributions'!FH33</f>
        <v>697135.03689231281</v>
      </c>
      <c r="FG101" s="7">
        <f>'Capital Contributions'!FI33</f>
        <v>701201.65794085129</v>
      </c>
      <c r="FH101" s="7">
        <f>'Capital Contributions'!FJ33</f>
        <v>705292.00094550627</v>
      </c>
      <c r="FI101" s="7">
        <f>'Capital Contributions'!FK33</f>
        <v>709406.20428435504</v>
      </c>
      <c r="FJ101" s="7">
        <f>'Capital Contributions'!FL33</f>
        <v>713544.40714268037</v>
      </c>
      <c r="FK101" s="7">
        <f>'Capital Contributions'!FM33</f>
        <v>717706.74951767945</v>
      </c>
      <c r="FL101" s="7">
        <f>'Capital Contributions'!FN33</f>
        <v>721893.37222319923</v>
      </c>
      <c r="FM101" s="7">
        <f>'Capital Contributions'!FO33</f>
        <v>726104.41689450119</v>
      </c>
      <c r="FN101" s="7">
        <f>'Capital Contributions'!FP33</f>
        <v>730340.0259930524</v>
      </c>
      <c r="FO101" s="7">
        <f>'Capital Contributions'!FQ33</f>
        <v>734600.34281134524</v>
      </c>
      <c r="FP101" s="7">
        <f>'Capital Contributions'!FR33</f>
        <v>738885.51147774479</v>
      </c>
      <c r="FQ101" s="7">
        <f>'Capital Contributions'!FS33</f>
        <v>743195.67696136492</v>
      </c>
      <c r="FR101" s="7">
        <f>'Capital Contributions'!FT33</f>
        <v>747530.98507697298</v>
      </c>
      <c r="FS101" s="7">
        <f>'Capital Contributions'!FU33</f>
        <v>751891.58248992194</v>
      </c>
      <c r="FT101" s="7">
        <f>'Capital Contributions'!FV33</f>
        <v>756277.61672111321</v>
      </c>
      <c r="FU101" s="7">
        <f>'Capital Contributions'!FW33</f>
        <v>760689.23615198629</v>
      </c>
      <c r="FV101" s="7">
        <f>'Capital Contributions'!FX33</f>
        <v>765126.59002953954</v>
      </c>
      <c r="FW101" s="7">
        <f>'Capital Contributions'!FY33</f>
        <v>769589.82847137854</v>
      </c>
      <c r="FX101" s="7">
        <f>'Capital Contributions'!FZ33</f>
        <v>774079.10247079493</v>
      </c>
      <c r="FY101" s="7">
        <f>'Capital Contributions'!GA33</f>
        <v>778594.56390187459</v>
      </c>
      <c r="FZ101" s="7">
        <f>'Capital Contributions'!GB33</f>
        <v>783136.36552463553</v>
      </c>
      <c r="GA101" s="7">
        <f>'Capital Contributions'!GC33</f>
        <v>787704.66099019581</v>
      </c>
      <c r="GB101" s="7">
        <f>'Capital Contributions'!GD33</f>
        <v>792299.60484597203</v>
      </c>
      <c r="GC101" s="7">
        <f>'Capital Contributions'!GE33</f>
        <v>796921.35254090687</v>
      </c>
      <c r="GD101" s="7">
        <f>'Capital Contributions'!GF33</f>
        <v>801570.06043072883</v>
      </c>
      <c r="GE101" s="7">
        <f>'Capital Contributions'!GG33</f>
        <v>806245.88578324136</v>
      </c>
      <c r="GF101" s="7">
        <f>'Capital Contributions'!GH33</f>
        <v>810948.9867836436</v>
      </c>
      <c r="GG101" s="7">
        <f>'Capital Contributions'!GI33</f>
        <v>815679.52253988152</v>
      </c>
      <c r="GH101" s="7">
        <f>'Capital Contributions'!GJ33</f>
        <v>820437.65308803087</v>
      </c>
      <c r="GI101" s="7">
        <f>'Capital Contributions'!GK33</f>
        <v>825223.53939771105</v>
      </c>
      <c r="GJ101" s="7">
        <f>'Capital Contributions'!GL33</f>
        <v>830037.34337753104</v>
      </c>
      <c r="GK101" s="7">
        <f>'Capital Contributions'!GM33</f>
        <v>834879.22788056661</v>
      </c>
      <c r="GL101" s="7">
        <f>'Capital Contributions'!GN33</f>
        <v>839749.35670986993</v>
      </c>
      <c r="GM101" s="7">
        <f>'Capital Contributions'!GO33</f>
        <v>844647.89462401078</v>
      </c>
      <c r="GN101" s="7">
        <f>'Capital Contributions'!GP33</f>
        <v>849575.0073426509</v>
      </c>
      <c r="GO101" s="7">
        <f>'Capital Contributions'!GQ33</f>
        <v>854530.86155214964</v>
      </c>
      <c r="GP101" s="7">
        <f>'Capital Contributions'!GR33</f>
        <v>0</v>
      </c>
      <c r="GQ101" s="7">
        <f>'Capital Contributions'!GS33</f>
        <v>0</v>
      </c>
      <c r="GR101" s="7">
        <f>'Capital Contributions'!GT33</f>
        <v>0</v>
      </c>
      <c r="GS101" s="7">
        <f>'Capital Contributions'!GU33</f>
        <v>0</v>
      </c>
      <c r="GT101" s="7">
        <f>'Capital Contributions'!GV33</f>
        <v>0</v>
      </c>
      <c r="GU101" s="7">
        <f>'Capital Contributions'!GW33</f>
        <v>0</v>
      </c>
      <c r="GV101" s="7">
        <f>'Capital Contributions'!GX33</f>
        <v>0</v>
      </c>
      <c r="GW101" s="7">
        <f>'Capital Contributions'!GY33</f>
        <v>0</v>
      </c>
      <c r="GX101" s="7">
        <f>'Capital Contributions'!GZ33</f>
        <v>0</v>
      </c>
      <c r="GY101" s="7">
        <f>'Capital Contributions'!HA33</f>
        <v>0</v>
      </c>
      <c r="GZ101" s="7">
        <f>'Capital Contributions'!HB33</f>
        <v>0</v>
      </c>
      <c r="HA101" s="7">
        <f>'Capital Contributions'!HC33</f>
        <v>0</v>
      </c>
      <c r="HB101" s="7">
        <f>'Capital Contributions'!HD33</f>
        <v>0</v>
      </c>
      <c r="HC101" s="7">
        <f>'Capital Contributions'!HE33</f>
        <v>0</v>
      </c>
      <c r="HD101" s="7">
        <f>'Capital Contributions'!HF33</f>
        <v>0</v>
      </c>
      <c r="HE101" s="7">
        <f>'Capital Contributions'!HG33</f>
        <v>0</v>
      </c>
      <c r="HF101" s="7">
        <f>'Capital Contributions'!HH33</f>
        <v>0</v>
      </c>
      <c r="HG101" s="7">
        <f>'Capital Contributions'!HI33</f>
        <v>0</v>
      </c>
      <c r="HH101" s="7">
        <f>'Capital Contributions'!HJ33</f>
        <v>0</v>
      </c>
      <c r="HI101" s="7">
        <f>'Capital Contributions'!HK33</f>
        <v>0</v>
      </c>
      <c r="HJ101" s="7">
        <f>'Capital Contributions'!HL33</f>
        <v>0</v>
      </c>
      <c r="HK101" s="7">
        <f>'Capital Contributions'!HM33</f>
        <v>0</v>
      </c>
      <c r="HL101" s="7">
        <f>'Capital Contributions'!HN33</f>
        <v>0</v>
      </c>
      <c r="HM101" s="7">
        <f>'Capital Contributions'!HO33</f>
        <v>0</v>
      </c>
      <c r="HN101" s="7">
        <f>'Capital Contributions'!HP33</f>
        <v>0</v>
      </c>
      <c r="HO101" s="7">
        <f>'Capital Contributions'!HQ33</f>
        <v>0</v>
      </c>
      <c r="HP101" s="7">
        <f>'Capital Contributions'!HR33</f>
        <v>0</v>
      </c>
      <c r="HQ101" s="7">
        <f>'Capital Contributions'!HS33</f>
        <v>0</v>
      </c>
      <c r="HR101" s="7">
        <f>'Capital Contributions'!HT33</f>
        <v>0</v>
      </c>
      <c r="HS101" s="7">
        <f>'Capital Contributions'!HU33</f>
        <v>0</v>
      </c>
      <c r="HT101" s="7">
        <f>'Capital Contributions'!HV33</f>
        <v>0</v>
      </c>
      <c r="HU101" s="7">
        <f>'Capital Contributions'!HW33</f>
        <v>0</v>
      </c>
      <c r="HV101" s="7">
        <f>'Capital Contributions'!HX33</f>
        <v>0</v>
      </c>
      <c r="HW101" s="7">
        <f>'Capital Contributions'!HY33</f>
        <v>0</v>
      </c>
      <c r="HX101" s="7">
        <f>'Capital Contributions'!HZ33</f>
        <v>0</v>
      </c>
      <c r="HY101" s="7">
        <f>'Capital Contributions'!IA33</f>
        <v>0</v>
      </c>
      <c r="HZ101" s="7">
        <f>'Capital Contributions'!IB33</f>
        <v>0</v>
      </c>
      <c r="IA101" s="7">
        <f>'Capital Contributions'!IC33</f>
        <v>0</v>
      </c>
      <c r="IB101" s="7">
        <f>'Capital Contributions'!ID33</f>
        <v>0</v>
      </c>
      <c r="IC101" s="7">
        <f>'Capital Contributions'!IE33</f>
        <v>0</v>
      </c>
      <c r="ID101" s="7">
        <f>'Capital Contributions'!IF33</f>
        <v>0</v>
      </c>
      <c r="IE101" s="7">
        <f>'Capital Contributions'!IG33</f>
        <v>0</v>
      </c>
      <c r="IF101" s="7">
        <f>'Capital Contributions'!IH33</f>
        <v>0</v>
      </c>
      <c r="IG101" s="7">
        <f>'Capital Contributions'!II33</f>
        <v>0</v>
      </c>
      <c r="IH101" s="7">
        <f>'Capital Contributions'!IJ33</f>
        <v>0</v>
      </c>
      <c r="II101" s="7">
        <f>'Capital Contributions'!IK33</f>
        <v>0</v>
      </c>
      <c r="IJ101" s="7">
        <f>'Capital Contributions'!IL33</f>
        <v>0</v>
      </c>
      <c r="IK101" s="7">
        <f>'Capital Contributions'!IM33</f>
        <v>0</v>
      </c>
      <c r="IL101" s="7">
        <f>'Capital Contributions'!IN33</f>
        <v>0</v>
      </c>
      <c r="IM101" s="7">
        <f>'Capital Contributions'!IO33</f>
        <v>0</v>
      </c>
      <c r="IN101" s="7">
        <f>'Capital Contributions'!IP33</f>
        <v>0</v>
      </c>
      <c r="IO101" s="7">
        <f>'Capital Contributions'!IQ33</f>
        <v>0</v>
      </c>
      <c r="IP101" s="7">
        <f>'Capital Contributions'!IR33</f>
        <v>0</v>
      </c>
      <c r="IQ101" s="7">
        <f>'Capital Contributions'!IS33</f>
        <v>0</v>
      </c>
      <c r="IR101" s="7">
        <f>'Capital Contributions'!IT33</f>
        <v>0</v>
      </c>
      <c r="IS101" s="7">
        <f>'Capital Contributions'!IU33</f>
        <v>0</v>
      </c>
      <c r="IT101" s="7">
        <f>'Capital Contributions'!IV33</f>
        <v>0</v>
      </c>
      <c r="IU101" s="7">
        <f>'Capital Contributions'!IW33</f>
        <v>0</v>
      </c>
      <c r="IV101" s="7">
        <f>'Capital Contributions'!IX33</f>
        <v>0</v>
      </c>
      <c r="IW101" s="7">
        <f>'Capital Contributions'!IY33</f>
        <v>0</v>
      </c>
      <c r="IX101" s="7">
        <f>'Capital Contributions'!IZ33</f>
        <v>0</v>
      </c>
      <c r="IY101" s="7">
        <f>'Capital Contributions'!JA33</f>
        <v>0</v>
      </c>
      <c r="IZ101" s="7">
        <f>'Capital Contributions'!JB33</f>
        <v>0</v>
      </c>
      <c r="JA101" s="7">
        <f>'Capital Contributions'!JC33</f>
        <v>0</v>
      </c>
      <c r="JB101" s="7">
        <f>'Capital Contributions'!JD33</f>
        <v>0</v>
      </c>
      <c r="JC101" s="7">
        <f>'Capital Contributions'!JE33</f>
        <v>0</v>
      </c>
      <c r="JD101" s="7">
        <f>'Capital Contributions'!JF33</f>
        <v>0</v>
      </c>
      <c r="JE101" s="7">
        <f>'Capital Contributions'!JG33</f>
        <v>0</v>
      </c>
      <c r="JF101" s="7">
        <f>'Capital Contributions'!JH33</f>
        <v>0</v>
      </c>
      <c r="JG101" s="7">
        <f>'Capital Contributions'!JI33</f>
        <v>0</v>
      </c>
      <c r="JH101" s="7">
        <f>'Capital Contributions'!JJ33</f>
        <v>0</v>
      </c>
      <c r="JI101" s="7">
        <f>'Capital Contributions'!JK33</f>
        <v>0</v>
      </c>
      <c r="JJ101" s="7">
        <f>'Capital Contributions'!JL33</f>
        <v>0</v>
      </c>
      <c r="JK101" s="7">
        <f>'Capital Contributions'!JM33</f>
        <v>0</v>
      </c>
      <c r="JL101" s="7">
        <f>'Capital Contributions'!JN33</f>
        <v>0</v>
      </c>
      <c r="JM101" s="7">
        <f>'Capital Contributions'!JO33</f>
        <v>0</v>
      </c>
      <c r="JN101" s="7">
        <f>'Capital Contributions'!JP33</f>
        <v>0</v>
      </c>
      <c r="JO101" s="7">
        <f>'Capital Contributions'!JQ33</f>
        <v>0</v>
      </c>
      <c r="JP101" s="7">
        <f>'Capital Contributions'!JR33</f>
        <v>0</v>
      </c>
      <c r="JQ101" s="7">
        <f>'Capital Contributions'!JS33</f>
        <v>0</v>
      </c>
      <c r="JR101" s="7">
        <f>'Capital Contributions'!JT33</f>
        <v>0</v>
      </c>
    </row>
    <row r="102" spans="2:278" x14ac:dyDescent="0.2">
      <c r="B102" s="1" t="s">
        <v>163</v>
      </c>
      <c r="C102" s="7">
        <f>IF(B$106&gt;Inputs!$G$28,0,IF((Financials!C98-Financials!C100-Financials!C101)&lt;0,0,(Financials!C98-Financials!C100-Financials!C101)*Inputs!$G$27))</f>
        <v>0</v>
      </c>
      <c r="D102" s="7">
        <f>IF(C$106&gt;Inputs!$G$28,0,IF((Financials!D98-Financials!D100-Financials!D101)&lt;0,0,(Financials!D98-Financials!D100-Financials!D101)*Inputs!$G$27))</f>
        <v>0</v>
      </c>
      <c r="E102" s="7">
        <f>IF(D$106&gt;Inputs!$G$28,0,IF((Financials!E98-Financials!E100-Financials!E101)&lt;0,0,(Financials!E98-Financials!E100-Financials!E101)*Inputs!$G$27))</f>
        <v>0</v>
      </c>
      <c r="F102" s="7">
        <f>IF(E$106&gt;Inputs!$G$28,0,IF((Financials!F98-Financials!F100-Financials!F101)&lt;0,0,(Financials!F98-Financials!F100-Financials!F101)*Inputs!$G$27))</f>
        <v>0</v>
      </c>
      <c r="G102" s="7">
        <f>IF(F$106&gt;Inputs!$G$28,0,IF((Financials!G98-Financials!G100-Financials!G101)&lt;0,0,(Financials!G98-Financials!G100-Financials!G101)*Inputs!$G$27))</f>
        <v>0</v>
      </c>
      <c r="H102" s="7">
        <f>IF(G$106&gt;Inputs!$G$28,0,IF((Financials!H98-Financials!H100-Financials!H101)&lt;0,0,(Financials!H98-Financials!H100-Financials!H101)*Inputs!$G$27))</f>
        <v>0</v>
      </c>
      <c r="I102" s="7">
        <f>IF(H$106&gt;Inputs!$G$28,0,IF((Financials!I98-Financials!I100-Financials!I101)&lt;0,0,(Financials!I98-Financials!I100-Financials!I101)*Inputs!$G$27))</f>
        <v>0</v>
      </c>
      <c r="J102" s="7">
        <f>IF(I$106&gt;Inputs!$G$28,0,IF((Financials!J98-Financials!J100-Financials!J101)&lt;0,0,(Financials!J98-Financials!J100-Financials!J101)*Inputs!$G$27))</f>
        <v>0</v>
      </c>
      <c r="K102" s="7">
        <f>IF(J$106&gt;Inputs!$G$28,0,IF((Financials!K98-Financials!K100-Financials!K101)&lt;0,0,(Financials!K98-Financials!K100-Financials!K101)*Inputs!$G$27))</f>
        <v>0</v>
      </c>
      <c r="L102" s="7">
        <f>IF(K$106&gt;Inputs!$G$28,0,IF((Financials!L98-Financials!L100-Financials!L101)&lt;0,0,(Financials!L98-Financials!L100-Financials!L101)*Inputs!$G$27))</f>
        <v>0</v>
      </c>
      <c r="M102" s="7">
        <f>IF(L$106&gt;Inputs!$G$28,0,IF((Financials!M98-Financials!M100-Financials!M101)&lt;0,0,(Financials!M98-Financials!M100-Financials!M101)*Inputs!$G$27))</f>
        <v>0</v>
      </c>
      <c r="N102" s="7">
        <f>IF(M$106&gt;Inputs!$G$28,0,IF((Financials!N98-Financials!N100-Financials!N101)&lt;0,0,(Financials!N98-Financials!N100-Financials!N101)*Inputs!$G$27))</f>
        <v>0</v>
      </c>
      <c r="O102" s="7">
        <f>IF(N$106&gt;Inputs!$G$28,0,IF((Financials!O98-Financials!O100-Financials!O101)&lt;0,0,(Financials!O98-Financials!O100-Financials!O101)*Inputs!$G$27))</f>
        <v>0</v>
      </c>
      <c r="P102" s="7">
        <f>IF(O$106&gt;Inputs!$G$28,0,IF((Financials!P98-Financials!P100-Financials!P101)&lt;0,0,(Financials!P98-Financials!P100-Financials!P101)*Inputs!$G$27))</f>
        <v>0</v>
      </c>
      <c r="Q102" s="7">
        <f>IF(P$106&gt;Inputs!$G$28,0,IF((Financials!Q98-Financials!Q100-Financials!Q101)&lt;0,0,(Financials!Q98-Financials!Q100-Financials!Q101)*Inputs!$G$27))</f>
        <v>0</v>
      </c>
      <c r="R102" s="7">
        <f>IF(Q$106&gt;Inputs!$G$28,0,IF((Financials!R98-Financials!R100-Financials!R101)&lt;0,0,(Financials!R98-Financials!R100-Financials!R101)*Inputs!$G$27))</f>
        <v>57378.180664920226</v>
      </c>
      <c r="S102" s="7">
        <f>IF(R$106&gt;Inputs!$G$28,0,IF((Financials!S98-Financials!S100-Financials!S101)&lt;0,0,(Financials!S98-Financials!S100-Financials!S101)*Inputs!$G$27))</f>
        <v>65331.378358893344</v>
      </c>
      <c r="T102" s="7">
        <f>IF(S$106&gt;Inputs!$G$28,0,IF((Financials!T98-Financials!T100-Financials!T101)&lt;0,0,(Financials!T98-Financials!T100-Financials!T101)*Inputs!$G$27))</f>
        <v>58062.152422859421</v>
      </c>
      <c r="U102" s="7">
        <f>IF(T$106&gt;Inputs!$G$28,0,IF((Financials!U98-Financials!U100-Financials!U101)&lt;0,0,(Financials!U98-Financials!U100-Financials!U101)*Inputs!$G$27))</f>
        <v>66377.555595963073</v>
      </c>
      <c r="V102" s="7">
        <f>IF(U$106&gt;Inputs!$G$28,0,IF((Financials!V98-Financials!V100-Financials!V101)&lt;0,0,(Financials!V98-Financials!V100-Financials!V101)*Inputs!$G$27))</f>
        <v>66399.050079407214</v>
      </c>
      <c r="W102" s="7">
        <f>IF(V$106&gt;Inputs!$G$28,0,IF((Financials!W98-Financials!W100-Financials!W101)&lt;0,0,(Financials!W98-Financials!W100-Financials!W101)*Inputs!$G$27))</f>
        <v>59092.495005691941</v>
      </c>
      <c r="X102" s="7">
        <f>IF(W$106&gt;Inputs!$G$28,0,IF((Financials!X98-Financials!X100-Financials!X101)&lt;0,0,(Financials!X98-Financials!X100-Financials!X101)*Inputs!$G$27))</f>
        <v>67113.869789134056</v>
      </c>
      <c r="Y102" s="7">
        <f>IF(X$106&gt;Inputs!$G$28,0,IF((Financials!Y98-Financials!Y100-Financials!Y101)&lt;0,0,(Financials!Y98-Financials!Y100-Financials!Y101)*Inputs!$G$27))</f>
        <v>59782.324874295882</v>
      </c>
      <c r="Z102" s="7">
        <f>IF(Y$106&gt;Inputs!$G$28,0,IF((Financials!Z98-Financials!Z100-Financials!Z101)&lt;0,0,(Financials!Z98-Financials!Z100-Financials!Z101)*Inputs!$G$27))</f>
        <v>67831.129919699626</v>
      </c>
      <c r="AA102" s="7">
        <f>IF(Z$106&gt;Inputs!$G$28,0,IF((Financials!AA98-Financials!AA100-Financials!AA101)&lt;0,0,(Financials!AA98-Financials!AA100-Financials!AA101)*Inputs!$G$27))</f>
        <v>69705.449061158113</v>
      </c>
      <c r="AB102" s="7">
        <f>IF(AA$106&gt;Inputs!$G$28,0,IF((Financials!AB98-Financials!AB100-Financials!AB101)&lt;0,0,(Financials!AB98-Financials!AB100-Financials!AB101)*Inputs!$G$27))</f>
        <v>46877.569101233297</v>
      </c>
      <c r="AC102" s="7">
        <f>IF(AB$106&gt;Inputs!$G$28,0,IF((Financials!AC98-Financials!AC100-Financials!AC101)&lt;0,0,(Financials!AC98-Financials!AC100-Financials!AC101)*Inputs!$G$27))</f>
        <v>70426.38527109602</v>
      </c>
      <c r="AD102" s="7">
        <f>IF(AC$106&gt;Inputs!$G$28,0,IF((Financials!AD98-Financials!AD100-Financials!AD101)&lt;0,0,(Financials!AD98-Financials!AD100-Financials!AD101)*Inputs!$G$27))</f>
        <v>152480.96123186147</v>
      </c>
      <c r="AE102" s="7">
        <f>IF(AD$106&gt;Inputs!$G$28,0,IF((Financials!AE98-Financials!AE100-Financials!AE101)&lt;0,0,(Financials!AE98-Financials!AE100-Financials!AE101)*Inputs!$G$27))</f>
        <v>163580.37518278102</v>
      </c>
      <c r="AF102" s="7">
        <f>IF(AE$106&gt;Inputs!$G$28,0,IF((Financials!AF98-Financials!AF100-Financials!AF101)&lt;0,0,(Financials!AF98-Financials!AF100-Financials!AF101)*Inputs!$G$27))</f>
        <v>153179.07581286362</v>
      </c>
      <c r="AG102" s="7">
        <f>IF(AF$106&gt;Inputs!$G$28,0,IF((Financials!AG98-Financials!AG100-Financials!AG101)&lt;0,0,(Financials!AG98-Financials!AG100-Financials!AG101)*Inputs!$G$27))</f>
        <v>164306.24181363947</v>
      </c>
      <c r="AH102" s="7">
        <f>IF(AG$106&gt;Inputs!$G$28,0,IF((Financials!AH98-Financials!AH100-Financials!AH101)&lt;0,0,(Financials!AH98-Financials!AH100-Financials!AH101)*Inputs!$G$27))</f>
        <v>164670.10374242079</v>
      </c>
      <c r="AI102" s="7">
        <f>IF(AH$106&gt;Inputs!$G$28,0,IF((Financials!AI98-Financials!AI100-Financials!AI101)&lt;0,0,(Financials!AI98-Financials!AI100-Financials!AI101)*Inputs!$G$27))</f>
        <v>154230.72219237426</v>
      </c>
      <c r="AJ102" s="7">
        <f>IF(AI$106&gt;Inputs!$G$28,0,IF((Financials!AJ98-Financials!AJ100-Financials!AJ101)&lt;0,0,(Financials!AJ98-Financials!AJ100-Financials!AJ101)*Inputs!$G$27))</f>
        <v>165399.69004696037</v>
      </c>
      <c r="AK102" s="7">
        <f>IF(AJ$106&gt;Inputs!$G$28,0,IF((Financials!AK98-Financials!AK100-Financials!AK101)&lt;0,0,(Financials!AK98-Financials!AK100-Financials!AK101)*Inputs!$G$27))</f>
        <v>154934.81453396566</v>
      </c>
      <c r="AL102" s="7">
        <f>IF(AK$106&gt;Inputs!$G$28,0,IF((Financials!AL98-Financials!AL100-Financials!AL101)&lt;0,0,(Financials!AL98-Financials!AL100-Financials!AL101)*Inputs!$G$27))</f>
        <v>166131.76659492849</v>
      </c>
      <c r="AM102" s="7">
        <f>IF(AL$106&gt;Inputs!$G$28,0,IF((Financials!AM98-Financials!AM100-Financials!AM101)&lt;0,0,(Financials!AM98-Financials!AM100-Financials!AM101)*Inputs!$G$27))</f>
        <v>168123.015623866</v>
      </c>
      <c r="AN102" s="7">
        <f>IF(AM$106&gt;Inputs!$G$28,0,IF((Financials!AN98-Financials!AN100-Financials!AN101)&lt;0,0,(Financials!AN98-Financials!AN100-Financials!AN101)*Inputs!$G$27))</f>
        <v>135877.98693295335</v>
      </c>
      <c r="AO102" s="7">
        <f>IF(AN$106&gt;Inputs!$G$28,0,IF((Financials!AO98-Financials!AO100-Financials!AO101)&lt;0,0,(Financials!AO98-Financials!AO100-Financials!AO101)*Inputs!$G$27))</f>
        <v>168858.84329866595</v>
      </c>
      <c r="AP102" s="7">
        <f>IF(AO$106&gt;Inputs!$G$28,0,IF((Financials!AP98-Financials!AP100-Financials!AP101)&lt;0,0,(Financials!AP98-Financials!AP100-Financials!AP101)*Inputs!$G$27))</f>
        <v>167696.8454424144</v>
      </c>
      <c r="AQ102" s="7">
        <f>IF(AP$106&gt;Inputs!$G$28,0,IF((Financials!AQ98-Financials!AQ100-Financials!AQ101)&lt;0,0,(Financials!AQ98-Financials!AQ100-Financials!AQ101)*Inputs!$G$27))</f>
        <v>177893.83029739477</v>
      </c>
      <c r="AR102" s="7">
        <f>IF(AQ$106&gt;Inputs!$G$28,0,IF((Financials!AR98-Financials!AR100-Financials!AR101)&lt;0,0,(Financials!AR98-Financials!AR100-Financials!AR101)*Inputs!$G$27))</f>
        <v>167352.88239297934</v>
      </c>
      <c r="AS102" s="7">
        <f>IF(AR$106&gt;Inputs!$G$28,0,IF((Financials!AS98-Financials!AS100-Financials!AS101)&lt;0,0,(Financials!AS98-Financials!AS100-Financials!AS101)*Inputs!$G$27))</f>
        <v>178662.36758433192</v>
      </c>
      <c r="AT102" s="7">
        <f>IF(AS$106&gt;Inputs!$G$28,0,IF((Financials!AT98-Financials!AT100-Financials!AT101)&lt;0,0,(Financials!AT98-Financials!AT100-Financials!AT101)*Inputs!$G$27))</f>
        <v>179047.6184055254</v>
      </c>
      <c r="AU102" s="7">
        <f>IF(AT$106&gt;Inputs!$G$28,0,IF((Financials!AU98-Financials!AU100-Financials!AU101)&lt;0,0,(Financials!AU98-Financials!AU100-Financials!AU101)*Inputs!$G$27))</f>
        <v>168467.88933712605</v>
      </c>
      <c r="AV102" s="7">
        <f>IF(AU$106&gt;Inputs!$G$28,0,IF((Financials!AV98-Financials!AV100-Financials!AV101)&lt;0,0,(Financials!AV98-Financials!AV100-Financials!AV101)*Inputs!$G$27))</f>
        <v>179820.08992196716</v>
      </c>
      <c r="AW102" s="7">
        <f>IF(AV$106&gt;Inputs!$G$28,0,IF((Financials!AW98-Financials!AW100-Financials!AW101)&lt;0,0,(Financials!AW98-Financials!AW100-Financials!AW101)*Inputs!$G$27))</f>
        <v>169214.39895819186</v>
      </c>
      <c r="AX102" s="7">
        <f>IF(AW$106&gt;Inputs!$G$28,0,IF((Financials!AX98-Financials!AX100-Financials!AX101)&lt;0,0,(Financials!AX98-Financials!AX100-Financials!AX101)*Inputs!$G$27))</f>
        <v>180595.19531688004</v>
      </c>
      <c r="AY102" s="7">
        <f>IF(AX$106&gt;Inputs!$G$28,0,IF((Financials!AY98-Financials!AY100-Financials!AY101)&lt;0,0,(Financials!AY98-Financials!AY100-Financials!AY101)*Inputs!$G$27))</f>
        <v>182725.43170211223</v>
      </c>
      <c r="AZ102" s="7">
        <f>IF(AY$106&gt;Inputs!$G$28,0,IF((Financials!AZ98-Financials!AZ100-Financials!AZ101)&lt;0,0,(Financials!AZ98-Financials!AZ100-Financials!AZ101)*Inputs!$G$27))</f>
        <v>161046.63431271608</v>
      </c>
      <c r="BA102" s="7">
        <f>IF(AZ$106&gt;Inputs!$G$28,0,IF((Financials!BA98-Financials!BA100-Financials!BA101)&lt;0,0,(Financials!BA98-Financials!BA100-Financials!BA101)*Inputs!$G$27))</f>
        <v>183504.50457715528</v>
      </c>
      <c r="BB102" s="7">
        <f>IF(BA$106&gt;Inputs!$G$28,0,IF((Financials!BB98-Financials!BB100-Financials!BB101)&lt;0,0,(Financials!BB98-Financials!BB100-Financials!BB101)*Inputs!$G$27))</f>
        <v>172833.52952382516</v>
      </c>
      <c r="BC102" s="7">
        <f>IF(BB$106&gt;Inputs!$G$28,0,IF((Financials!BC98-Financials!BC100-Financials!BC101)&lt;0,0,(Financials!BC98-Financials!BC100-Financials!BC101)*Inputs!$G$27))</f>
        <v>184286.23359071196</v>
      </c>
      <c r="BD102" s="7">
        <f>IF(BC$106&gt;Inputs!$G$28,0,IF((Financials!BD98-Financials!BD100-Financials!BD101)&lt;0,0,(Financials!BD98-Financials!BD100-Financials!BD101)*Inputs!$G$27))</f>
        <v>173588.99240135457</v>
      </c>
      <c r="BE102" s="7">
        <f>IF(BD$106&gt;Inputs!$G$28,0,IF((Financials!BE98-Financials!BE100-Financials!BE101)&lt;0,0,(Financials!BE98-Financials!BE100-Financials!BE101)*Inputs!$G$27))</f>
        <v>185070.62769910292</v>
      </c>
      <c r="BF102" s="7">
        <f>IF(BE$106&gt;Inputs!$G$28,0,IF((Financials!BF98-Financials!BF100-Financials!BF101)&lt;0,0,(Financials!BF98-Financials!BF100-Financials!BF101)*Inputs!$G$27))</f>
        <v>185463.82697092256</v>
      </c>
      <c r="BG102" s="7">
        <f>IF(BF$106&gt;Inputs!$G$28,0,IF((Financials!BG98-Financials!BG100-Financials!BG101)&lt;0,0,(Financials!BG98-Financials!BG100-Financials!BG101)*Inputs!$G$27))</f>
        <v>174727.0222754424</v>
      </c>
      <c r="BH102" s="7">
        <f>IF(BG$106&gt;Inputs!$G$28,0,IF((Financials!BH98-Financials!BH100-Financials!BH101)&lt;0,0,(Financials!BH98-Financials!BH100-Financials!BH101)*Inputs!$G$27))</f>
        <v>186252.2355804024</v>
      </c>
      <c r="BI102" s="7">
        <f>IF(BH$106&gt;Inputs!$G$28,0,IF((Financials!BI98-Financials!BI100-Financials!BI101)&lt;0,0,(Financials!BI98-Financials!BI100-Financials!BI101)*Inputs!$G$27))</f>
        <v>175488.94525312679</v>
      </c>
      <c r="BJ102" s="7">
        <f>IF(BI$106&gt;Inputs!$G$28,0,IF((Financials!BJ98-Financials!BJ100-Financials!BJ101)&lt;0,0,(Financials!BJ98-Financials!BJ100-Financials!BJ101)*Inputs!$G$27))</f>
        <v>187043.33180715475</v>
      </c>
      <c r="BK102" s="7">
        <f>IF(BJ$106&gt;Inputs!$G$28,0,IF((Financials!BK98-Financials!BK100-Financials!BK101)&lt;0,0,(Financials!BK98-Financials!BK100-Financials!BK101)*Inputs!$G$27))</f>
        <v>189307.49095956073</v>
      </c>
      <c r="BL102" s="7">
        <f>IF(BK$106&gt;Inputs!$G$28,0,IF((Financials!BL98-Financials!BL100-Financials!BL101)&lt;0,0,(Financials!BL98-Financials!BL100-Financials!BL101)*Inputs!$G$27))</f>
        <v>156103.46939744384</v>
      </c>
      <c r="BM102" s="7">
        <f>IF(BL$106&gt;Inputs!$G$28,0,IF((Financials!BM98-Financials!BM100-Financials!BM101)&lt;0,0,(Financials!BM98-Financials!BM100-Financials!BM101)*Inputs!$G$27))</f>
        <v>190102.63561276632</v>
      </c>
      <c r="BN102" s="7">
        <f>IF(BM$106&gt;Inputs!$G$28,0,IF((Financials!BN98-Financials!BN100-Financials!BN101)&lt;0,0,(Financials!BN98-Financials!BN100-Financials!BN101)*Inputs!$G$27))</f>
        <v>179272.74420003008</v>
      </c>
      <c r="BO102" s="7">
        <f>IF(BN$106&gt;Inputs!$G$28,0,IF((Financials!BO98-Financials!BO100-Financials!BO101)&lt;0,0,(Financials!BO98-Financials!BO100-Financials!BO101)*Inputs!$G$27))</f>
        <v>190900.49059499428</v>
      </c>
      <c r="BP102" s="7">
        <f>IF(BO$106&gt;Inputs!$G$28,0,IF((Financials!BP98-Financials!BP100-Financials!BP101)&lt;0,0,(Financials!BP98-Financials!BP100-Financials!BP101)*Inputs!$G$27))</f>
        <v>180043.80317059235</v>
      </c>
      <c r="BQ102" s="7">
        <f>IF(BP$106&gt;Inputs!$G$28,0,IF((Financials!BQ98-Financials!BQ100-Financials!BQ101)&lt;0,0,(Financials!BQ98-Financials!BQ100-Financials!BQ101)*Inputs!$G$27))</f>
        <v>191701.06504430698</v>
      </c>
      <c r="BR102" s="7">
        <f>IF(BQ$106&gt;Inputs!$G$28,0,IF((Financials!BR98-Financials!BR100-Financials!BR101)&lt;0,0,(Financials!BR98-Financials!BR100-Financials!BR101)*Inputs!$G$27))</f>
        <v>192102.37493314149</v>
      </c>
      <c r="BS102" s="7">
        <f>IF(BR$106&gt;Inputs!$G$28,0,IF((Financials!BS98-Financials!BS100-Financials!BS101)&lt;0,0,(Financials!BS98-Financials!BS100-Financials!BS101)*Inputs!$G$27))</f>
        <v>181205.32587373257</v>
      </c>
      <c r="BT102" s="7">
        <f>IF(BS$106&gt;Inputs!$G$28,0,IF((Financials!BT98-Financials!BT100-Financials!BT101)&lt;0,0,(Financials!BT98-Financials!BT100-Financials!BT101)*Inputs!$G$27))</f>
        <v>192907.04578401381</v>
      </c>
      <c r="BU102" s="7">
        <f>IF(BT$106&gt;Inputs!$G$28,0,IF((Financials!BU98-Financials!BU100-Financials!BU101)&lt;0,0,(Financials!BU98-Financials!BU100-Financials!BU101)*Inputs!$G$27))</f>
        <v>181982.97678799805</v>
      </c>
      <c r="BV102" s="7">
        <f>IF(BU$106&gt;Inputs!$G$28,0,IF((Financials!BV98-Financials!BV100-Financials!BV101)&lt;0,0,(Financials!BV98-Financials!BV100-Financials!BV101)*Inputs!$G$27))</f>
        <v>193714.4590814265</v>
      </c>
      <c r="BW102" s="7">
        <f>IF(BV$106&gt;Inputs!$G$28,0,IF((Financials!BW98-Financials!BW100-Financials!BW101)&lt;0,0,(Financials!BW98-Financials!BW100-Financials!BW101)*Inputs!$G$27))</f>
        <v>196121.80636802173</v>
      </c>
      <c r="BX102" s="7">
        <f>IF(BW$106&gt;Inputs!$G$28,0,IF((Financials!BX98-Financials!BX100-Financials!BX101)&lt;0,0,(Financials!BX98-Financials!BX100-Financials!BX101)*Inputs!$G$27))</f>
        <v>162416.64853847722</v>
      </c>
      <c r="BY102" s="7">
        <f>IF(BX$106&gt;Inputs!$G$28,0,IF((Financials!BY98-Financials!BY100-Financials!BY101)&lt;0,0,(Financials!BY98-Financials!BY100-Financials!BY101)*Inputs!$G$27))</f>
        <v>196933.35068075257</v>
      </c>
      <c r="BZ102" s="7">
        <f>IF(BY$106&gt;Inputs!$G$28,0,IF((Financials!BZ98-Financials!BZ100-Financials!BZ101)&lt;0,0,(Financials!BZ98-Financials!BZ100-Financials!BZ101)*Inputs!$G$27))</f>
        <v>185941.33702790336</v>
      </c>
      <c r="CA102" s="7">
        <f>IF(BZ$106&gt;Inputs!$G$28,0,IF((Financials!CA98-Financials!CA100-Financials!CA101)&lt;0,0,(Financials!CA98-Financials!CA100-Financials!CA101)*Inputs!$G$27))</f>
        <v>197747.66061262242</v>
      </c>
      <c r="CB102" s="7">
        <f>IF(CA$106&gt;Inputs!$G$28,0,IF((Financials!CB98-Financials!CB100-Financials!CB101)&lt;0,0,(Financials!CB98-Financials!CB100-Financials!CB101)*Inputs!$G$27))</f>
        <v>186728.31038017804</v>
      </c>
      <c r="CC102" s="7">
        <f>IF(CB$106&gt;Inputs!$G$28,0,IF((Financials!CC98-Financials!CC100-Financials!CC101)&lt;0,0,(Financials!CC98-Financials!CC100-Financials!CC101)*Inputs!$G$27))</f>
        <v>198564.74548711299</v>
      </c>
      <c r="CD102" s="7">
        <f>IF(CC$106&gt;Inputs!$G$28,0,IF((Financials!CD98-Financials!CD100-Financials!CD101)&lt;0,0,(Financials!CD98-Financials!CD100-Financials!CD101)*Inputs!$G$27))</f>
        <v>198974.33144997541</v>
      </c>
      <c r="CE102" s="7">
        <f>IF(CD$106&gt;Inputs!$G$28,0,IF((Financials!CE98-Financials!CE100-Financials!CE101)&lt;0,0,(Financials!CE98-Financials!CE100-Financials!CE101)*Inputs!$G$27))</f>
        <v>187913.80534829234</v>
      </c>
      <c r="CF102" s="7">
        <f>IF(CE$106&gt;Inputs!$G$28,0,IF((Financials!CF98-Financials!CF100-Financials!CF101)&lt;0,0,(Financials!CF98-Financials!CF100-Financials!CF101)*Inputs!$G$27))</f>
        <v>199795.59628834823</v>
      </c>
      <c r="CG102" s="7">
        <f>IF(CF$106&gt;Inputs!$G$28,0,IF((Financials!CG98-Financials!CG100-Financials!CG101)&lt;0,0,(Financials!CG98-Financials!CG100-Financials!CG101)*Inputs!$G$27))</f>
        <v>188707.50516356807</v>
      </c>
      <c r="CH102" s="7">
        <f>IF(CG$106&gt;Inputs!$G$28,0,IF((Financials!CH98-Financials!CH100-Financials!CH101)&lt;0,0,(Financials!CH98-Financials!CH100-Financials!CH101)*Inputs!$G$27))</f>
        <v>200619.65951506374</v>
      </c>
      <c r="CI102" s="7">
        <f>IF(CH$106&gt;Inputs!$G$28,0,IF((Financials!CI98-Financials!CI100-Financials!CI101)&lt;0,0,(Financials!CI98-Financials!CI100-Financials!CI101)*Inputs!$G$27))</f>
        <v>199013.45492697845</v>
      </c>
      <c r="CJ102" s="7">
        <f>IF(CI$106&gt;Inputs!$G$28,0,IF((Financials!CJ98-Financials!CJ100-Financials!CJ101)&lt;0,0,(Financials!CJ98-Financials!CJ100-Financials!CJ101)*Inputs!$G$27))</f>
        <v>164797.04747553938</v>
      </c>
      <c r="CK102" s="7">
        <f>IF(CJ$106&gt;Inputs!$G$28,0,IF((Financials!CK98-Financials!CK100-Financials!CK101)&lt;0,0,(Financials!CK98-Financials!CK100-Financials!CK101)*Inputs!$G$27))</f>
        <v>199841.73343366021</v>
      </c>
      <c r="CL102" s="7">
        <f>IF(CK$106&gt;Inputs!$G$28,0,IF((Financials!CL98-Financials!CL100-Financials!CL101)&lt;0,0,(Financials!CL98-Financials!CL100-Financials!CL101)*Inputs!$G$27))</f>
        <v>188684.32696887106</v>
      </c>
      <c r="CM102" s="7">
        <f>IF(CL$106&gt;Inputs!$G$28,0,IF((Financials!CM98-Financials!CM100-Financials!CM101)&lt;0,0,(Financials!CM98-Financials!CM100-Financials!CM101)*Inputs!$G$27))</f>
        <v>200672.83397145831</v>
      </c>
      <c r="CN102" s="7">
        <f>IF(CM$106&gt;Inputs!$G$28,0,IF((Financials!CN98-Financials!CN100-Financials!CN101)&lt;0,0,(Financials!CN98-Financials!CN100-Financials!CN101)*Inputs!$G$27))</f>
        <v>189487.53945106559</v>
      </c>
      <c r="CO102" s="7">
        <f>IF(CN$106&gt;Inputs!$G$28,0,IF((Financials!CO98-Financials!CO100-Financials!CO101)&lt;0,0,(Financials!CO98-Financials!CO100-Financials!CO101)*Inputs!$G$27))</f>
        <v>201506.76605302654</v>
      </c>
      <c r="CP102" s="7">
        <f>IF(CO$106&gt;Inputs!$G$28,0,IF((Financials!CP98-Financials!CP100-Financials!CP101)&lt;0,0,(Financials!CP98-Financials!CP100-Financials!CP101)*Inputs!$G$27))</f>
        <v>201924.79690414795</v>
      </c>
      <c r="CQ102" s="7">
        <f>IF(CP$106&gt;Inputs!$G$28,0,IF((Financials!CQ98-Financials!CQ100-Financials!CQ101)&lt;0,0,(Financials!CQ98-Financials!CQ100-Financials!CQ101)*Inputs!$G$27))</f>
        <v>190697.49584990542</v>
      </c>
      <c r="CR102" s="7">
        <f>IF(CQ$106&gt;Inputs!$G$28,0,IF((Financials!CR98-Financials!CR100-Financials!CR101)&lt;0,0,(Financials!CR98-Financials!CR100-Financials!CR101)*Inputs!$G$27))</f>
        <v>202762.99420740415</v>
      </c>
      <c r="CS102" s="7">
        <f>IF(CR$106&gt;Inputs!$G$28,0,IF((Financials!CS98-Financials!CS100-Financials!CS101)&lt;0,0,(Financials!CS98-Financials!CS100-Financials!CS101)*Inputs!$G$27))</f>
        <v>191507.57204430329</v>
      </c>
      <c r="CT102" s="7">
        <f>IF(CS$106&gt;Inputs!$G$28,0,IF((Financials!CT98-Financials!CT100-Financials!CT101)&lt;0,0,(Financials!CT98-Financials!CT100-Financials!CT101)*Inputs!$G$27))</f>
        <v>203604.04697585444</v>
      </c>
      <c r="CU102" s="7">
        <f>IF(CT$106&gt;Inputs!$G$28,0,IF((Financials!CU98-Financials!CU100-Financials!CU101)&lt;0,0,(Financials!CU98-Financials!CU100-Financials!CU101)*Inputs!$G$27))</f>
        <v>206328.25942704201</v>
      </c>
      <c r="CV102" s="7">
        <f>IF(CU$106&gt;Inputs!$G$28,0,IF((Financials!CV98-Financials!CV100-Financials!CV101)&lt;0,0,(Financials!CV98-Financials!CV100-Financials!CV101)*Inputs!$G$27))</f>
        <v>171590.28488536068</v>
      </c>
      <c r="CW102" s="7">
        <f>IF(CV$106&gt;Inputs!$G$28,0,IF((Financials!CW98-Financials!CW100-Financials!CW101)&lt;0,0,(Financials!CW98-Financials!CW100-Financials!CW101)*Inputs!$G$27))</f>
        <v>207173.61344980251</v>
      </c>
      <c r="CX102" s="7">
        <f>IF(CW$106&gt;Inputs!$G$28,0,IF((Financials!CX98-Financials!CX100-Financials!CX101)&lt;0,0,(Financials!CX98-Financials!CX100-Financials!CX101)*Inputs!$G$27))</f>
        <v>195847.4776045538</v>
      </c>
      <c r="CY102" s="7">
        <f>IF(CX$106&gt;Inputs!$G$28,0,IF((Financials!CY98-Financials!CY100-Financials!CY101)&lt;0,0,(Financials!CY98-Financials!CY100-Financials!CY101)*Inputs!$G$27))</f>
        <v>208021.8470602209</v>
      </c>
      <c r="CZ102" s="7">
        <f>IF(CY$106&gt;Inputs!$G$28,0,IF((Financials!CZ98-Financials!CZ100-Financials!CZ101)&lt;0,0,(Financials!CZ98-Financials!CZ100-Financials!CZ101)*Inputs!$G$27))</f>
        <v>196667.260555138</v>
      </c>
      <c r="DA102" s="7">
        <f>IF(CZ$106&gt;Inputs!$G$28,0,IF((Financials!DA98-Financials!DA100-Financials!DA101)&lt;0,0,(Financials!DA98-Financials!DA100-Financials!DA101)*Inputs!$G$27))</f>
        <v>208872.96996395057</v>
      </c>
      <c r="DB102" s="7">
        <f>IF(DA$106&gt;Inputs!$G$28,0,IF((Financials!DB98-Financials!DB100-Financials!DB101)&lt;0,0,(Financials!DB98-Financials!DB100-Financials!DB101)*Inputs!$G$27))</f>
        <v>209299.61794271969</v>
      </c>
      <c r="DC102" s="7">
        <f>IF(DB$106&gt;Inputs!$G$28,0,IF((Financials!DC98-Financials!DC100-Financials!DC101)&lt;0,0,(Financials!DC98-Financials!DC100-Financials!DC101)*Inputs!$G$27))</f>
        <v>197902.17747720392</v>
      </c>
      <c r="DD102" s="7">
        <f>IF(DC$106&gt;Inputs!$G$28,0,IF((Financials!DD98-Financials!DD100-Financials!DD101)&lt;0,0,(Financials!DD98-Financials!DD100-Financials!DD101)*Inputs!$G$27))</f>
        <v>210155.09305573686</v>
      </c>
      <c r="DE102" s="7">
        <f>IF(DD$106&gt;Inputs!$G$28,0,IF((Financials!DE98-Financials!DE100-Financials!DE101)&lt;0,0,(Financials!DE98-Financials!DE100-Financials!DE101)*Inputs!$G$27))</f>
        <v>198728.9641743472</v>
      </c>
      <c r="DF102" s="7">
        <f>IF(DE$106&gt;Inputs!$G$28,0,IF((Financials!DF98-Financials!DF100-Financials!DF101)&lt;0,0,(Financials!DF98-Financials!DF100-Financials!DF101)*Inputs!$G$27))</f>
        <v>211013.48186881831</v>
      </c>
      <c r="DG102" s="7">
        <f>IF(DF$106&gt;Inputs!$G$28,0,IF((Financials!DG98-Financials!DG100-Financials!DG101)&lt;0,0,(Financials!DG98-Financials!DG100-Financials!DG101)*Inputs!$G$27))</f>
        <v>213912.84026792436</v>
      </c>
      <c r="DH102" s="7">
        <f>IF(DG$106&gt;Inputs!$G$28,0,IF((Financials!DH98-Financials!DH100-Financials!DH101)&lt;0,0,(Financials!DH98-Financials!DH100-Financials!DH101)*Inputs!$G$27))</f>
        <v>178642.77293404227</v>
      </c>
      <c r="DI102" s="7">
        <f>IF(DH$106&gt;Inputs!$G$28,0,IF((Financials!DI98-Financials!DI100-Financials!DI101)&lt;0,0,(Financials!DI98-Financials!DI100-Financials!DI101)*Inputs!$G$27))</f>
        <v>214775.61805395398</v>
      </c>
      <c r="DJ102" s="7">
        <f>IF(DI$106&gt;Inputs!$G$28,0,IF((Financials!DJ98-Financials!DJ100-Financials!DJ101)&lt;0,0,(Financials!DJ98-Financials!DJ100-Financials!DJ101)*Inputs!$G$27))</f>
        <v>203277.34893110991</v>
      </c>
      <c r="DK102" s="7">
        <f>IF(DJ$106&gt;Inputs!$G$28,0,IF((Financials!DK98-Financials!DK100-Financials!DK101)&lt;0,0,(Financials!DK98-Financials!DK100-Financials!DK101)*Inputs!$G$27))</f>
        <v>215641.33415190852</v>
      </c>
      <c r="DL102" s="7">
        <f>IF(DK$106&gt;Inputs!$G$28,0,IF((Financials!DL98-Financials!DL100-Financials!DL101)&lt;0,0,(Financials!DL98-Financials!DL100-Financials!DL101)*Inputs!$G$27))</f>
        <v>204114.04041219177</v>
      </c>
      <c r="DM102" s="7">
        <f>IF(DL$106&gt;Inputs!$G$28,0,IF((Financials!DM98-Financials!DM100-Financials!DM101)&lt;0,0,(Financials!DM98-Financials!DM100-Financials!DM101)*Inputs!$G$27))</f>
        <v>216509.99846434692</v>
      </c>
      <c r="DN102" s="7">
        <f>IF(DM$106&gt;Inputs!$G$28,0,IF((Financials!DN98-Financials!DN100-Financials!DN101)&lt;0,0,(Financials!DN98-Financials!DN100-Financials!DN101)*Inputs!$G$27))</f>
        <v>216945.43930462311</v>
      </c>
      <c r="DO102" s="7">
        <f>IF(DN$106&gt;Inputs!$G$28,0,IF((Financials!DO98-Financials!DO100-Financials!DO101)&lt;0,0,(Financials!DO98-Financials!DO100-Financials!DO101)*Inputs!$G$27))</f>
        <v>205374.42707763397</v>
      </c>
      <c r="DP102" s="7">
        <f>IF(DO$106&gt;Inputs!$G$28,0,IF((Financials!DP98-Financials!DP100-Financials!DP101)&lt;0,0,(Financials!DP98-Financials!DP100-Financials!DP101)*Inputs!$G$27))</f>
        <v>217818.54457874695</v>
      </c>
      <c r="DQ102" s="7">
        <f>IF(DP$106&gt;Inputs!$G$28,0,IF((Financials!DQ98-Financials!DQ100-Financials!DQ101)&lt;0,0,(Financials!DQ98-Financials!DQ100-Financials!DQ101)*Inputs!$G$27))</f>
        <v>206218.26518115003</v>
      </c>
      <c r="DR102" s="7">
        <f>IF(DQ$106&gt;Inputs!$G$28,0,IF((Financials!DR98-Financials!DR100-Financials!DR101)&lt;0,0,(Financials!DR98-Financials!DR100-Financials!DR101)*Inputs!$G$27))</f>
        <v>158626.29326110231</v>
      </c>
      <c r="DS102" s="7">
        <f>IF(DR$106&gt;Inputs!$G$28,0,IF((Financials!DS98-Financials!DS100-Financials!DS101)&lt;0,0,(Financials!DS98-Financials!DS100-Financials!DS101)*Inputs!$G$27))</f>
        <v>161121.24492739802</v>
      </c>
      <c r="DT102" s="7">
        <f>IF(DS$106&gt;Inputs!$G$28,0,IF((Financials!DT98-Financials!DT100-Financials!DT101)&lt;0,0,(Financials!DT98-Financials!DT100-Financials!DT101)*Inputs!$G$27))</f>
        <v>132376.91339294493</v>
      </c>
      <c r="DU102" s="7">
        <f>IF(DT$106&gt;Inputs!$G$28,0,IF((Financials!DU98-Financials!DU100-Financials!DU101)&lt;0,0,(Financials!DU98-Financials!DU100-Financials!DU101)*Inputs!$G$27))</f>
        <v>161637.11616238006</v>
      </c>
      <c r="DV102" s="7">
        <f>IF(DU$106&gt;Inputs!$G$28,0,IF((Financials!DV98-Financials!DV100-Financials!DV101)&lt;0,0,(Financials!DV98-Financials!DV100-Financials!DV101)*Inputs!$G$27))</f>
        <v>152202.90323507352</v>
      </c>
      <c r="DW102" s="7">
        <f>IF(DV$106&gt;Inputs!$G$28,0,IF((Financials!DW98-Financials!DW100-Financials!DW101)&lt;0,0,(Financials!DW98-Financials!DW100-Financials!DW101)*Inputs!$G$27))</f>
        <v>162153.17952966961</v>
      </c>
      <c r="DX102" s="7">
        <f>IF(DW$106&gt;Inputs!$G$28,0,IF((Financials!DX98-Financials!DX100-Financials!DX101)&lt;0,0,(Financials!DX98-Financials!DX100-Financials!DX101)*Inputs!$G$27))</f>
        <v>152694.16559025183</v>
      </c>
      <c r="DY102" s="7">
        <f>IF(DX$106&gt;Inputs!$G$28,0,IF((Financials!DY98-Financials!DY100-Financials!DY101)&lt;0,0,(Financials!DY98-Financials!DY100-Financials!DY101)*Inputs!$G$27))</f>
        <v>162669.41729503195</v>
      </c>
      <c r="DZ102" s="7">
        <f>IF(DY$106&gt;Inputs!$G$28,0,IF((Financials!DZ98-Financials!DZ100-Financials!DZ101)&lt;0,0,(Financials!DZ98-Financials!DZ100-Financials!DZ101)*Inputs!$G$27))</f>
        <v>162927.59595994695</v>
      </c>
      <c r="EA102" s="7">
        <f>IF(DZ$106&gt;Inputs!$G$28,0,IF((Financials!EA98-Financials!EA100-Financials!EA101)&lt;0,0,(Financials!EA98-Financials!EA100-Financials!EA101)*Inputs!$G$27))</f>
        <v>153431.20785882263</v>
      </c>
      <c r="EB102" s="7">
        <f>IF(EA$106&gt;Inputs!$G$28,0,IF((Financials!EB98-Financials!EB100-Financials!EB101)&lt;0,0,(Financials!EB98-Financials!EB100-Financials!EB101)*Inputs!$G$27))</f>
        <v>163444.06146827503</v>
      </c>
      <c r="EC102" s="7">
        <f>IF(EB$106&gt;Inputs!$G$28,0,IF((Financials!EC98-Financials!EC100-Financials!EC101)&lt;0,0,(Financials!EC98-Financials!EC100-Financials!EC101)*Inputs!$G$27))</f>
        <v>153922.64155631108</v>
      </c>
      <c r="ED102" s="7">
        <f>IF(EC$106&gt;Inputs!$G$28,0,IF((Financials!ED98-Financials!ED100-Financials!ED101)&lt;0,0,(Financials!ED98-Financials!ED100-Financials!ED101)*Inputs!$G$27))</f>
        <v>163960.65582851955</v>
      </c>
      <c r="EE102" s="7">
        <f>IF(ED$106&gt;Inputs!$G$28,0,IF((Financials!EE98-Financials!EE100-Financials!EE101)&lt;0,0,(Financials!EE98-Financials!EE100-Financials!EE101)*Inputs!$G$27))</f>
        <v>165605.62198020882</v>
      </c>
      <c r="EF102" s="7">
        <f>IF(EE$106&gt;Inputs!$G$28,0,IF((Financials!EF98-Financials!EF100-Financials!EF101)&lt;0,0,(Financials!EF98-Financials!EF100-Financials!EF101)*Inputs!$G$27))</f>
        <v>136411.46560931663</v>
      </c>
      <c r="EG102" s="7">
        <f>IF(EF$106&gt;Inputs!$G$28,0,IF((Financials!EG98-Financials!EG100-Financials!EG101)&lt;0,0,(Financials!EG98-Financials!EG100-Financials!EG101)*Inputs!$G$27))</f>
        <v>166122.37444406768</v>
      </c>
      <c r="EH102" s="7">
        <f>IF(EG$106&gt;Inputs!$G$28,0,IF((Financials!EH98-Financials!EH100-Financials!EH101)&lt;0,0,(Financials!EH98-Financials!EH100-Financials!EH101)*Inputs!$G$27))</f>
        <v>214151.4303006102</v>
      </c>
      <c r="EI102" s="7">
        <f>IF(EH$106&gt;Inputs!$G$28,0,IF((Financials!EI98-Financials!EI100-Financials!EI101)&lt;0,0,(Financials!EI98-Financials!EI100-Financials!EI101)*Inputs!$G$27))</f>
        <v>224319.8874700923</v>
      </c>
      <c r="EJ102" s="7">
        <f>IF(EI$106&gt;Inputs!$G$28,0,IF((Financials!EJ98-Financials!EJ100-Financials!EJ101)&lt;0,0,(Financials!EJ98-Financials!EJ100-Financials!EJ101)*Inputs!$G$27))</f>
        <v>214777.72845671634</v>
      </c>
      <c r="EK102" s="7">
        <f>IF(EJ$106&gt;Inputs!$G$28,0,IF((Financials!EK98-Financials!EK100-Financials!EK101)&lt;0,0,(Financials!EK98-Financials!EK100-Financials!EK101)*Inputs!$G$27))</f>
        <v>224972.39353935714</v>
      </c>
      <c r="EL102" s="7">
        <f>IF(EK$106&gt;Inputs!$G$28,0,IF((Financials!EL98-Financials!EL100-Financials!EL101)&lt;0,0,(Financials!EL98-Financials!EL100-Financials!EL101)*Inputs!$G$27))</f>
        <v>225299.25757399213</v>
      </c>
      <c r="EM102" s="7">
        <f>IF(EL$106&gt;Inputs!$G$28,0,IF((Financials!EM98-Financials!EM100-Financials!EM101)&lt;0,0,(Financials!EM98-Financials!EM100-Financials!EM101)*Inputs!$G$27))</f>
        <v>215720.07219020044</v>
      </c>
      <c r="EN102" s="7">
        <f>IF(EM$106&gt;Inputs!$G$28,0,IF((Financials!EN98-Financials!EN100-Financials!EN101)&lt;0,0,(Financials!EN98-Financials!EN100-Financials!EN101)*Inputs!$G$27))</f>
        <v>225954.20673984173</v>
      </c>
      <c r="EO102" s="7">
        <f>IF(EN$106&gt;Inputs!$G$28,0,IF((Financials!EO98-Financials!EO100-Financials!EO101)&lt;0,0,(Financials!EO98-Financials!EO100-Financials!EO101)*Inputs!$G$27))</f>
        <v>216350.22982474766</v>
      </c>
      <c r="EP102" s="7">
        <f>IF(EO$106&gt;Inputs!$G$28,0,IF((Financials!EP98-Financials!EP100-Financials!EP101)&lt;0,0,(Financials!EP98-Financials!EP100-Financials!EP101)*Inputs!$G$27))</f>
        <v>226610.78276711577</v>
      </c>
      <c r="EQ102" s="7">
        <f>IF(EP$106&gt;Inputs!$G$28,0,IF((Financials!EQ98-Financials!EQ100-Financials!EQ101)&lt;0,0,(Financials!EQ98-Financials!EQ100-Financials!EQ101)*Inputs!$G$27))</f>
        <v>227898.36419867753</v>
      </c>
      <c r="ER102" s="7">
        <f>IF(EQ$106&gt;Inputs!$G$28,0,IF((Financials!ER98-Financials!ER100-Financials!ER101)&lt;0,0,(Financials!ER98-Financials!ER100-Financials!ER101)*Inputs!$G$27))</f>
        <v>198315.77892614654</v>
      </c>
      <c r="ES102" s="7">
        <f>IF(ER$106&gt;Inputs!$G$28,0,IF((Financials!ES98-Financials!ES100-Financials!ES101)&lt;0,0,(Financials!ES98-Financials!ES100-Financials!ES101)*Inputs!$G$27))</f>
        <v>228557.37749590684</v>
      </c>
      <c r="ET102" s="7">
        <f>IF(ES$106&gt;Inputs!$G$28,0,IF((Financials!ET98-Financials!ET100-Financials!ET101)&lt;0,0,(Financials!ET98-Financials!ET100-Financials!ET101)*Inputs!$G$27))</f>
        <v>218891.0438669982</v>
      </c>
      <c r="EU102" s="7">
        <f>IF(ET$106&gt;Inputs!$G$28,0,IF((Financials!EU98-Financials!EU100-Financials!EU101)&lt;0,0,(Financials!EU98-Financials!EU100-Financials!EU101)*Inputs!$G$27))</f>
        <v>229218.01349568949</v>
      </c>
      <c r="EV102" s="7">
        <f>IF(EU$106&gt;Inputs!$G$28,0,IF((Financials!EV98-Financials!EV100-Financials!EV101)&lt;0,0,(Financials!EV98-Financials!EV100-Financials!EV101)*Inputs!$G$27))</f>
        <v>219526.58516031271</v>
      </c>
      <c r="EW102" s="7">
        <f>IF(EV$106&gt;Inputs!$G$28,0,IF((Financials!EW98-Financials!EW100-Financials!EW101)&lt;0,0,(Financials!EW98-Financials!EW100-Financials!EW101)*Inputs!$G$27))</f>
        <v>229880.27037765246</v>
      </c>
      <c r="EX102" s="7">
        <f>IF(EW$106&gt;Inputs!$G$28,0,IF((Financials!EX98-Financials!EX100-Financials!EX101)&lt;0,0,(Financials!EX98-Financials!EX100-Financials!EX101)*Inputs!$G$27))</f>
        <v>230212.00605558953</v>
      </c>
      <c r="EY102" s="7">
        <f>IF(EX$106&gt;Inputs!$G$28,0,IF((Financials!EY98-Financials!EY100-Financials!EY101)&lt;0,0,(Financials!EY98-Financials!EY100-Financials!EY101)*Inputs!$G$27))</f>
        <v>220482.77174165138</v>
      </c>
      <c r="EZ102" s="7">
        <f>IF(EY$106&gt;Inputs!$G$28,0,IF((Financials!EZ98-Financials!EZ100-Financials!EZ101)&lt;0,0,(Financials!EZ98-Financials!EZ100-Financials!EZ101)*Inputs!$G$27))</f>
        <v>230876.69064701826</v>
      </c>
      <c r="FA102" s="7">
        <f>IF(EZ$106&gt;Inputs!$G$28,0,IF((Financials!FA98-Financials!FA100-Financials!FA101)&lt;0,0,(Financials!FA98-Financials!FA100-Financials!FA101)*Inputs!$G$27))</f>
        <v>221122.14257961744</v>
      </c>
      <c r="FB102" s="7">
        <f>IF(FA$106&gt;Inputs!$G$28,0,IF((Financials!FB98-Financials!FB100-Financials!FB101)&lt;0,0,(Financials!FB98-Financials!FB100-Financials!FB101)*Inputs!$G$27))</f>
        <v>231542.9911663355</v>
      </c>
      <c r="FC102" s="7">
        <f>IF(FB$106&gt;Inputs!$G$28,0,IF((Financials!FC98-Financials!FC100-Financials!FC101)&lt;0,0,(Financials!FC98-Financials!FC100-Financials!FC101)*Inputs!$G$27))</f>
        <v>232896.12794280655</v>
      </c>
      <c r="FD102" s="7">
        <f>IF(FC$106&gt;Inputs!$G$28,0,IF((Financials!FD98-Financials!FD100-Financials!FD101)&lt;0,0,(Financials!FD98-Financials!FD100-Financials!FD101)*Inputs!$G$27))</f>
        <v>202849.7578972867</v>
      </c>
      <c r="FE102" s="7">
        <f>IF(FD$106&gt;Inputs!$G$28,0,IF((Financials!FE98-Financials!FE100-Financials!FE101)&lt;0,0,(Financials!FE98-Financials!FE100-Financials!FE101)*Inputs!$G$27))</f>
        <v>233564.84829922253</v>
      </c>
      <c r="FF102" s="7">
        <f>IF(FE$106&gt;Inputs!$G$28,0,IF((Financials!FF98-Financials!FF100-Financials!FF101)&lt;0,0,(Financials!FF98-Financials!FF100-Financials!FF101)*Inputs!$G$27))</f>
        <v>223746.62920063498</v>
      </c>
      <c r="FG102" s="7">
        <f>IF(FF$106&gt;Inputs!$G$28,0,IF((Financials!FG98-Financials!FG100-Financials!FG101)&lt;0,0,(Financials!FG98-Financials!FG100-Financials!FG101)*Inputs!$G$27))</f>
        <v>234235.17903644661</v>
      </c>
      <c r="FH102" s="7">
        <f>IF(FG$106&gt;Inputs!$G$28,0,IF((Financials!FH98-Financials!FH100-Financials!FH101)&lt;0,0,(Financials!FH98-Financials!FH100-Financials!FH101)*Inputs!$G$27))</f>
        <v>224391.33597415965</v>
      </c>
      <c r="FI102" s="7">
        <f>IF(FH$106&gt;Inputs!$G$28,0,IF((Financials!FI98-Financials!FI100-Financials!FI101)&lt;0,0,(Financials!FI98-Financials!FI100-Financials!FI101)*Inputs!$G$27))</f>
        <v>234907.11776492815</v>
      </c>
      <c r="FJ102" s="7">
        <f>IF(FI$106&gt;Inputs!$G$28,0,IF((Financials!FJ98-Financials!FJ100-Financials!FJ101)&lt;0,0,(Financials!FJ98-Financials!FJ100-Financials!FJ101)*Inputs!$G$27))</f>
        <v>235243.68935195229</v>
      </c>
      <c r="FK102" s="7">
        <f>IF(FJ$106&gt;Inputs!$G$28,0,IF((Financials!FK98-Financials!FK100-Financials!FK101)&lt;0,0,(Financials!FK98-Financials!FK100-Financials!FK101)*Inputs!$G$27))</f>
        <v>225361.24261214389</v>
      </c>
      <c r="FL102" s="7">
        <f>IF(FK$106&gt;Inputs!$G$28,0,IF((Financials!FL98-Financials!FL100-Financials!FL101)&lt;0,0,(Financials!FL98-Financials!FL100-Financials!FL101)*Inputs!$G$27))</f>
        <v>235918.03536859248</v>
      </c>
      <c r="FM102" s="7">
        <f>IF(FL$106&gt;Inputs!$G$28,0,IF((Financials!FM98-Financials!FM100-Financials!FM101)&lt;0,0,(Financials!FM98-Financials!FM100-Financials!FM101)*Inputs!$G$27))</f>
        <v>226009.74051947665</v>
      </c>
      <c r="FN102" s="7">
        <f>IF(FM$106&gt;Inputs!$G$28,0,IF((Financials!FN98-Financials!FN100-Financials!FN101)&lt;0,0,(Financials!FN98-Financials!FN100-Financials!FN101)*Inputs!$G$27))</f>
        <v>236593.98296366111</v>
      </c>
      <c r="FO102" s="7">
        <f>IF(FN$106&gt;Inputs!$G$28,0,IF((Financials!FO98-Financials!FO100-Financials!FO101)&lt;0,0,(Financials!FO98-Financials!FO100-Financials!FO101)*Inputs!$G$27))</f>
        <v>237897.97527954509</v>
      </c>
      <c r="FP102" s="7">
        <f>IF(FO$106&gt;Inputs!$G$28,0,IF((Financials!FP98-Financials!FP100-Financials!FP101)&lt;0,0,(Financials!FP98-Financials!FP100-Financials!FP101)*Inputs!$G$27))</f>
        <v>207378.32039199088</v>
      </c>
      <c r="FQ102" s="7">
        <f>IF(FP$106&gt;Inputs!$G$28,0,IF((Financials!FQ98-Financials!FQ100-Financials!FQ101)&lt;0,0,(Financials!FQ98-Financials!FQ100-Financials!FQ101)*Inputs!$G$27))</f>
        <v>238576.32006379703</v>
      </c>
      <c r="FR102" s="7">
        <f>IF(FQ$106&gt;Inputs!$G$28,0,IF((Financials!FR98-Financials!FR100-Financials!FR101)&lt;0,0,(Financials!FR98-Financials!FR100-Financials!FR101)*Inputs!$G$27))</f>
        <v>228603.00927292305</v>
      </c>
      <c r="FS102" s="7">
        <f>IF(FR$106&gt;Inputs!$G$28,0,IF((Financials!FS98-Financials!FS100-Financials!FS101)&lt;0,0,(Financials!FS98-Financials!FS100-Financials!FS101)*Inputs!$G$27))</f>
        <v>239256.25936875236</v>
      </c>
      <c r="FT102" s="7">
        <f>IF(FS$106&gt;Inputs!$G$28,0,IF((Financials!FT98-Financials!FT100-Financials!FT101)&lt;0,0,(Financials!FT98-Financials!FT100-Financials!FT101)*Inputs!$G$27))</f>
        <v>229256.78301497991</v>
      </c>
      <c r="FU102" s="7">
        <f>IF(FT$106&gt;Inputs!$G$28,0,IF((Financials!FU98-Financials!FU100-Financials!FU101)&lt;0,0,(Financials!FU98-Financials!FU100-Financials!FU101)*Inputs!$G$27))</f>
        <v>239937.79018565241</v>
      </c>
      <c r="FV102" s="7">
        <f>IF(FU$106&gt;Inputs!$G$28,0,IF((Financials!FV98-Financials!FV100-Financials!FV101)&lt;0,0,(Financials!FV98-Financials!FV100-Financials!FV101)*Inputs!$G$27))</f>
        <v>240279.15144126519</v>
      </c>
      <c r="FW102" s="7">
        <f>IF(FV$106&gt;Inputs!$G$28,0,IF((Financials!FW98-Financials!FW100-Financials!FW101)&lt;0,0,(Financials!FW98-Financials!FW100-Financials!FW101)*Inputs!$G$27))</f>
        <v>230240.2550845739</v>
      </c>
      <c r="FX102" s="7">
        <f>IF(FW$106&gt;Inputs!$G$28,0,IF((Financials!FX98-Financials!FX100-Financials!FX101)&lt;0,0,(Financials!FX98-Financials!FX100-Financials!FX101)*Inputs!$G$27))</f>
        <v>240963.06364727995</v>
      </c>
      <c r="FY102" s="7">
        <f>IF(FX$106&gt;Inputs!$G$28,0,IF((Financials!FY98-Financials!FY100-Financials!FY101)&lt;0,0,(Financials!FY98-Financials!FY100-Financials!FY101)*Inputs!$G$27))</f>
        <v>230897.77233152997</v>
      </c>
      <c r="FZ102" s="7">
        <f>IF(FY$106&gt;Inputs!$G$28,0,IF((Financials!FZ98-Financials!FZ100-Financials!FZ101)&lt;0,0,(Financials!FZ98-Financials!FZ100-Financials!FZ101)*Inputs!$G$27))</f>
        <v>241648.55936609418</v>
      </c>
      <c r="GA102" s="7">
        <f>IF(FZ$106&gt;Inputs!$G$28,0,IF((Financials!GA98-Financials!GA100-Financials!GA101)&lt;0,0,(Financials!GA98-Financials!GA100-Financials!GA101)*Inputs!$G$27))</f>
        <v>243027.10896809539</v>
      </c>
      <c r="GB102" s="7">
        <f>IF(GA$106&gt;Inputs!$G$28,0,IF((Financials!GB98-Financials!GB100-Financials!GB101)&lt;0,0,(Financials!GB98-Financials!GB100-Financials!GB101)*Inputs!$G$27))</f>
        <v>212024.46728370889</v>
      </c>
      <c r="GC102" s="7">
        <f>IF(GB$106&gt;Inputs!$G$28,0,IF((Financials!GC98-Financials!GC100-Financials!GC101)&lt;0,0,(Financials!GC98-Financials!GC100-Financials!GC101)*Inputs!$G$27))</f>
        <v>243714.97355582725</v>
      </c>
      <c r="GD102" s="7">
        <f>IF(GC$106&gt;Inputs!$G$28,0,IF((Financials!GD98-Financials!GD100-Financials!GD101)&lt;0,0,(Financials!GD98-Financials!GD100-Financials!GD101)*Inputs!$G$27))</f>
        <v>233583.2898828272</v>
      </c>
      <c r="GE102" s="7">
        <f>IF(GD$106&gt;Inputs!$G$28,0,IF((Financials!GE98-Financials!GE100-Financials!GE101)&lt;0,0,(Financials!GE98-Financials!GE100-Financials!GE101)*Inputs!$G$27))</f>
        <v>244404.41295625587</v>
      </c>
      <c r="GF102" s="7">
        <f>IF(GE$106&gt;Inputs!$G$28,0,IF((Financials!GF98-Financials!GF100-Financials!GF101)&lt;0,0,(Financials!GF98-Financials!GF100-Financials!GF101)*Inputs!$G$27))</f>
        <v>234246.00940997168</v>
      </c>
      <c r="GG102" s="7">
        <f>IF(GF$106&gt;Inputs!$G$28,0,IF((Financials!GG98-Financials!GG100-Financials!GG101)&lt;0,0,(Financials!GG98-Financials!GG100-Financials!GG101)*Inputs!$G$27))</f>
        <v>245095.4234875885</v>
      </c>
      <c r="GH102" s="7">
        <f>IF(GG$106&gt;Inputs!$G$28,0,IF((Financials!GH98-Financials!GH100-Financials!GH101)&lt;0,0,(Financials!GH98-Financials!GH100-Financials!GH101)*Inputs!$G$27))</f>
        <v>245441.51674464784</v>
      </c>
      <c r="GI102" s="7">
        <f>IF(GH$106&gt;Inputs!$G$28,0,IF((Financials!GI98-Financials!GI100-Financials!GI101)&lt;0,0,(Financials!GI98-Financials!GI100-Financials!GI101)*Inputs!$G$27))</f>
        <v>235242.85768485023</v>
      </c>
      <c r="GJ102" s="7">
        <f>IF(GI$106&gt;Inputs!$G$28,0,IF((Financials!GJ98-Financials!GJ100-Financials!GJ101)&lt;0,0,(Financials!GJ98-Financials!GJ100-Financials!GJ101)*Inputs!$G$27))</f>
        <v>246134.8768110892</v>
      </c>
      <c r="GK102" s="7">
        <f>IF(GJ$106&gt;Inputs!$G$28,0,IF((Financials!GK98-Financials!GK100-Financials!GK101)&lt;0,0,(Financials!GK98-Financials!GK100-Financials!GK101)*Inputs!$G$27))</f>
        <v>235909.2630727443</v>
      </c>
      <c r="GL102" s="7">
        <f>IF(GK$106&gt;Inputs!$G$28,0,IF((Financials!GL98-Financials!GL100-Financials!GL101)&lt;0,0,(Financials!GL98-Financials!GL100-Financials!GL101)*Inputs!$G$27))</f>
        <v>246829.79828550457</v>
      </c>
      <c r="GM102" s="7">
        <f>IF(GL$106&gt;Inputs!$G$28,0,IF((Financials!GM98-Financials!GM100-Financials!GM101)&lt;0,0,(Financials!GM98-Financials!GM100-Financials!GM101)*Inputs!$G$27))</f>
        <v>247539.28360681084</v>
      </c>
      <c r="GN102" s="7">
        <f>IF(GM$106&gt;Inputs!$G$28,0,IF((Financials!GN98-Financials!GN100-Financials!GN101)&lt;0,0,(Financials!GN98-Financials!GN100-Financials!GN101)*Inputs!$G$27))</f>
        <v>216043.74647665024</v>
      </c>
      <c r="GO102" s="7">
        <f>IF(GN$106&gt;Inputs!$G$28,0,IF((Financials!GO98-Financials!GO100-Financials!GO101)&lt;0,0,(Financials!GO98-Financials!GO100-Financials!GO101)*Inputs!$G$27))</f>
        <v>248236.53946555263</v>
      </c>
      <c r="GP102" s="7">
        <f>IF(GO$106&gt;Inputs!$G$28,0,IF((Financials!GP98-Financials!GP100-Financials!GP101)&lt;0,0,(Financials!GP98-Financials!GP100-Financials!GP101)*Inputs!$G$27))</f>
        <v>280918.90574370843</v>
      </c>
      <c r="GQ102" s="7">
        <f>IF(GP$106&gt;Inputs!$G$28,0,IF((Financials!GQ98-Financials!GQ100-Financials!GQ101)&lt;0,0,(Financials!GQ98-Financials!GQ100-Financials!GQ101)*Inputs!$G$27))</f>
        <v>291961.26590508962</v>
      </c>
      <c r="GR102" s="7">
        <f>IF(GQ$106&gt;Inputs!$G$28,0,IF((Financials!GR98-Financials!GR100-Financials!GR101)&lt;0,0,(Financials!GR98-Financials!GR100-Financials!GR101)*Inputs!$G$27))</f>
        <v>281690.99454299314</v>
      </c>
      <c r="GS102" s="7">
        <f>IF(GR$106&gt;Inputs!$G$28,0,IF((Financials!GS98-Financials!GS100-Financials!GS101)&lt;0,0,(Financials!GS98-Financials!GS100-Financials!GS101)*Inputs!$G$27))</f>
        <v>292762.77514987194</v>
      </c>
      <c r="GT102" s="7">
        <f>IF(GS$106&gt;Inputs!$G$28,0,IF((Financials!GT98-Financials!GT100-Financials!GT101)&lt;0,0,(Financials!GT98-Financials!GT100-Financials!GT101)*Inputs!$G$27))</f>
        <v>293164.55128634436</v>
      </c>
      <c r="GU102" s="7">
        <f>IF(GT$106&gt;Inputs!$G$28,0,IF((Financials!GU98-Financials!GU100-Financials!GU101)&lt;0,0,(Financials!GU98-Financials!GU100-Financials!GU101)*Inputs!$G$27))</f>
        <v>282854.05683034839</v>
      </c>
      <c r="GV102" s="7">
        <f>IF(GU$106&gt;Inputs!$G$28,0,IF((Financials!GV98-Financials!GV100-Financials!GV101)&lt;0,0,(Financials!GV98-Financials!GV100-Financials!GV101)*Inputs!$G$27))</f>
        <v>293970.15231946105</v>
      </c>
      <c r="GW102" s="7">
        <f>IF(GV$106&gt;Inputs!$G$28,0,IF((Financials!GW98-Financials!GW100-Financials!GW101)&lt;0,0,(Financials!GW98-Financials!GW100-Financials!GW101)*Inputs!$G$27))</f>
        <v>283632.73066640849</v>
      </c>
      <c r="GX102" s="7">
        <f>IF(GW$106&gt;Inputs!$G$28,0,IF((Financials!GX98-Financials!GX100-Financials!GX101)&lt;0,0,(Financials!GX98-Financials!GX100-Financials!GX101)*Inputs!$G$27))</f>
        <v>294778.49269789609</v>
      </c>
      <c r="GY102" s="7">
        <f>IF(GX$106&gt;Inputs!$G$28,0,IF((Financials!GY98-Financials!GY100-Financials!GY101)&lt;0,0,(Financials!GY98-Financials!GY100-Financials!GY101)*Inputs!$G$27))</f>
        <v>295183.6930232392</v>
      </c>
      <c r="GZ102" s="7">
        <f>IF(GY$106&gt;Inputs!$G$28,0,IF((Financials!GZ98-Financials!GZ100-Financials!GZ101)&lt;0,0,(Financials!GZ98-Financials!GZ100-Financials!GZ101)*Inputs!$G$27))</f>
        <v>263237.97308669746</v>
      </c>
      <c r="HA102" s="7">
        <f>IF(GZ$106&gt;Inputs!$G$28,0,IF((Financials!HA98-Financials!HA100-Financials!HA101)&lt;0,0,(Financials!HA98-Financials!HA100-Financials!HA101)*Inputs!$G$27))</f>
        <v>295996.15972633701</v>
      </c>
      <c r="HB102" s="7">
        <f>IF(HA$106&gt;Inputs!$G$28,0,IF((Financials!HB98-Financials!HB100-Financials!HB101)&lt;0,0,(Financials!HB98-Financials!HB100-Financials!HB101)*Inputs!$G$27))</f>
        <v>285591.02659848722</v>
      </c>
      <c r="HC102" s="7">
        <f>IF(HB$106&gt;Inputs!$G$28,0,IF((Financials!HC98-Financials!HC100-Financials!HC101)&lt;0,0,(Financials!HC98-Financials!HC100-Financials!HC101)*Inputs!$G$27))</f>
        <v>296811.38889546238</v>
      </c>
      <c r="HD102" s="7">
        <f>IF(HC$106&gt;Inputs!$G$28,0,IF((Financials!HD98-Financials!HD100-Financials!HD101)&lt;0,0,(Financials!HD98-Financials!HD100-Financials!HD101)*Inputs!$G$27))</f>
        <v>286379.01299674419</v>
      </c>
      <c r="HE102" s="7">
        <f>IF(HD$106&gt;Inputs!$G$28,0,IF((Financials!HE98-Financials!HE100-Financials!HE101)&lt;0,0,(Financials!HE98-Financials!HE100-Financials!HE101)*Inputs!$G$27))</f>
        <v>297629.38983318972</v>
      </c>
      <c r="HF102" s="7">
        <f>IF(HE$106&gt;Inputs!$G$28,0,IF((Financials!HF98-Financials!HF100-Financials!HF101)&lt;0,0,(Financials!HF98-Financials!HF100-Financials!HF101)*Inputs!$G$27))</f>
        <v>298039.43263085635</v>
      </c>
      <c r="HG102" s="7">
        <f>IF(HF$106&gt;Inputs!$G$28,0,IF((Financials!HG98-Financials!HG100-Financials!HG101)&lt;0,0,(Financials!HG98-Financials!HG100-Financials!HG101)*Inputs!$G$27))</f>
        <v>287566.02215334977</v>
      </c>
      <c r="HH102" s="7">
        <f>IF(HG$106&gt;Inputs!$G$28,0,IF((Financials!HH98-Financials!HH100-Financials!HH101)&lt;0,0,(Financials!HH98-Financials!HH100-Financials!HH101)*Inputs!$G$27))</f>
        <v>298861.60873204627</v>
      </c>
      <c r="HI102" s="7">
        <f>IF(HH$106&gt;Inputs!$G$28,0,IF((Financials!HI98-Financials!HI100-Financials!HI101)&lt;0,0,(Financials!HI98-Financials!HI100-Financials!HI101)*Inputs!$G$27))</f>
        <v>288360.72781146877</v>
      </c>
      <c r="HJ102" s="7">
        <f>IF(HI$106&gt;Inputs!$G$28,0,IF((Financials!HJ98-Financials!HJ100-Financials!HJ101)&lt;0,0,(Financials!HJ98-Financials!HJ100-Financials!HJ101)*Inputs!$G$27))</f>
        <v>299686.57999491045</v>
      </c>
      <c r="HK102" s="7">
        <f>IF(HJ$106&gt;Inputs!$G$28,0,IF((Financials!HK98-Financials!HK100-Financials!HK101)&lt;0,0,(Financials!HK98-Financials!HK100-Financials!HK101)*Inputs!$G$27))</f>
        <v>300100.11675203854</v>
      </c>
      <c r="HL102" s="7">
        <f>IF(HK$106&gt;Inputs!$G$28,0,IF((Financials!HL98-Financials!HL100-Financials!HL101)&lt;0,0,(Financials!HL98-Financials!HL100-Financials!HL101)*Inputs!$G$27))</f>
        <v>267644.86329612741</v>
      </c>
      <c r="HM102" s="7">
        <f>IF(HL$106&gt;Inputs!$G$28,0,IF((Financials!HM98-Financials!HM100-Financials!HM101)&lt;0,0,(Financials!HM98-Financials!HM100-Financials!HM101)*Inputs!$G$27))</f>
        <v>300929.29841506336</v>
      </c>
      <c r="HN102" s="7">
        <f>IF(HM$106&gt;Inputs!$G$28,0,IF((Financials!HN98-Financials!HN100-Financials!HN101)&lt;0,0,(Financials!HN98-Financials!HN100-Financials!HN101)*Inputs!$G$27))</f>
        <v>290359.33996438258</v>
      </c>
      <c r="HO102" s="7">
        <f>IF(HN$106&gt;Inputs!$G$28,0,IF((Financials!HO98-Financials!HO100-Financials!HO101)&lt;0,0,(Financials!HO98-Financials!HO100-Financials!HO101)*Inputs!$G$27))</f>
        <v>301761.29882933694</v>
      </c>
      <c r="HP102" s="7">
        <f>IF(HO$106&gt;Inputs!$G$28,0,IF((Financials!HP98-Financials!HP100-Financials!HP101)&lt;0,0,(Financials!HP98-Financials!HP100-Financials!HP101)*Inputs!$G$27))</f>
        <v>291163.54799365235</v>
      </c>
      <c r="HQ102" s="7">
        <f>IF(HP$106&gt;Inputs!$G$28,0,IF((Financials!HQ98-Financials!HQ100-Financials!HQ101)&lt;0,0,(Financials!HQ98-Financials!HQ100-Financials!HQ101)*Inputs!$G$27))</f>
        <v>302596.12748607824</v>
      </c>
      <c r="HR102" s="7">
        <f>IF(HQ$106&gt;Inputs!$G$28,0,IF((Financials!HR98-Financials!HR100-Financials!HR101)&lt;0,0,(Financials!HR98-Financials!HR100-Financials!HR101)*Inputs!$G$27))</f>
        <v>303014.60538007558</v>
      </c>
      <c r="HS102" s="7">
        <f>IF(HR$106&gt;Inputs!$G$28,0,IF((Financials!HS98-Financials!HS100-Financials!HS101)&lt;0,0,(Financials!HS98-Financials!HS100-Financials!HS101)*Inputs!$G$27))</f>
        <v>292374.99210535543</v>
      </c>
      <c r="HT102" s="7">
        <f>IF(HS$106&gt;Inputs!$G$28,0,IF((Financials!HT98-Financials!HT100-Financials!HT101)&lt;0,0,(Financials!HT98-Financials!HT100-Financials!HT101)*Inputs!$G$27))</f>
        <v>303853.694266167</v>
      </c>
      <c r="HU102" s="7">
        <f>IF(HT$106&gt;Inputs!$G$28,0,IF((Financials!HU98-Financials!HU100-Financials!HU101)&lt;0,0,(Financials!HU98-Financials!HU100-Financials!HU101)*Inputs!$G$27))</f>
        <v>293186.05633992411</v>
      </c>
      <c r="HV102" s="7">
        <f>IF(HU$106&gt;Inputs!$G$28,0,IF((Financials!HV98-Financials!HV100-Financials!HV101)&lt;0,0,(Financials!HV98-Financials!HV100-Financials!HV101)*Inputs!$G$27))</f>
        <v>304695.6352621743</v>
      </c>
      <c r="HW102" s="7">
        <f>IF(HV$106&gt;Inputs!$G$28,0,IF((Financials!HW98-Financials!HW100-Financials!HW101)&lt;0,0,(Financials!HW98-Financials!HW100-Financials!HW101)*Inputs!$G$27))</f>
        <v>305117.67830108386</v>
      </c>
      <c r="HX102" s="7">
        <f>IF(HW$106&gt;Inputs!$G$28,0,IF((Financials!HX98-Financials!HX100-Financials!HX101)&lt;0,0,(Financials!HX98-Financials!HX100-Financials!HX101)*Inputs!$G$27))</f>
        <v>272142.60830582923</v>
      </c>
      <c r="HY102" s="7">
        <f>IF(HX$106&gt;Inputs!$G$28,0,IF((Financials!HY98-Financials!HY100-Financials!HY101)&lt;0,0,(Financials!HY98-Financials!HY100-Financials!HY101)*Inputs!$G$27))</f>
        <v>305963.91547767859</v>
      </c>
      <c r="HZ102" s="7">
        <f>IF(HY$106&gt;Inputs!$G$28,0,IF((Financials!HZ98-Financials!HZ100-Financials!HZ101)&lt;0,0,(Financials!HZ98-Financials!HZ100-Financials!HZ101)*Inputs!$G$27))</f>
        <v>295225.80639968225</v>
      </c>
      <c r="IA102" s="7">
        <f>IF(HZ$106&gt;Inputs!$G$28,0,IF((Financials!IA98-Financials!IA100-Financials!IA101)&lt;0,0,(Financials!IA98-Financials!IA100-Financials!IA101)*Inputs!$G$27))</f>
        <v>0</v>
      </c>
      <c r="IB102" s="7">
        <f>IF(IA$106&gt;Inputs!$G$28,0,IF((Financials!IB98-Financials!IB100-Financials!IB101)&lt;0,0,(Financials!IB98-Financials!IB100-Financials!IB101)*Inputs!$G$27))</f>
        <v>0</v>
      </c>
      <c r="IC102" s="7">
        <f>IF(IB$106&gt;Inputs!$G$28,0,IF((Financials!IC98-Financials!IC100-Financials!IC101)&lt;0,0,(Financials!IC98-Financials!IC100-Financials!IC101)*Inputs!$G$27))</f>
        <v>0</v>
      </c>
      <c r="ID102" s="7">
        <f>IF(IC$106&gt;Inputs!$G$28,0,IF((Financials!ID98-Financials!ID100-Financials!ID101)&lt;0,0,(Financials!ID98-Financials!ID100-Financials!ID101)*Inputs!$G$27))</f>
        <v>0</v>
      </c>
      <c r="IE102" s="7">
        <f>IF(ID$106&gt;Inputs!$G$28,0,IF((Financials!IE98-Financials!IE100-Financials!IE101)&lt;0,0,(Financials!IE98-Financials!IE100-Financials!IE101)*Inputs!$G$27))</f>
        <v>0</v>
      </c>
      <c r="IF102" s="7">
        <f>IF(IE$106&gt;Inputs!$G$28,0,IF((Financials!IF98-Financials!IF100-Financials!IF101)&lt;0,0,(Financials!IF98-Financials!IF100-Financials!IF101)*Inputs!$G$27))</f>
        <v>0</v>
      </c>
      <c r="IG102" s="7">
        <f>IF(IF$106&gt;Inputs!$G$28,0,IF((Financials!IG98-Financials!IG100-Financials!IG101)&lt;0,0,(Financials!IG98-Financials!IG100-Financials!IG101)*Inputs!$G$27))</f>
        <v>0</v>
      </c>
      <c r="IH102" s="7">
        <f>IF(IG$106&gt;Inputs!$G$28,0,IF((Financials!IH98-Financials!IH100-Financials!IH101)&lt;0,0,(Financials!IH98-Financials!IH100-Financials!IH101)*Inputs!$G$27))</f>
        <v>0</v>
      </c>
      <c r="II102" s="7">
        <f>IF(IH$106&gt;Inputs!$G$28,0,IF((Financials!II98-Financials!II100-Financials!II101)&lt;0,0,(Financials!II98-Financials!II100-Financials!II101)*Inputs!$G$27))</f>
        <v>0</v>
      </c>
      <c r="IJ102" s="7">
        <f>IF(II$106&gt;Inputs!$G$28,0,IF((Financials!IJ98-Financials!IJ100-Financials!IJ101)&lt;0,0,(Financials!IJ98-Financials!IJ100-Financials!IJ101)*Inputs!$G$27))</f>
        <v>0</v>
      </c>
      <c r="IK102" s="7">
        <f>IF(IJ$106&gt;Inputs!$G$28,0,IF((Financials!IK98-Financials!IK100-Financials!IK101)&lt;0,0,(Financials!IK98-Financials!IK100-Financials!IK101)*Inputs!$G$27))</f>
        <v>0</v>
      </c>
      <c r="IL102" s="7">
        <f>IF(IK$106&gt;Inputs!$G$28,0,IF((Financials!IL98-Financials!IL100-Financials!IL101)&lt;0,0,(Financials!IL98-Financials!IL100-Financials!IL101)*Inputs!$G$27))</f>
        <v>0</v>
      </c>
      <c r="IM102" s="7">
        <f>IF(IL$106&gt;Inputs!$G$28,0,IF((Financials!IM98-Financials!IM100-Financials!IM101)&lt;0,0,(Financials!IM98-Financials!IM100-Financials!IM101)*Inputs!$G$27))</f>
        <v>0</v>
      </c>
      <c r="IN102" s="7">
        <f>IF(IM$106&gt;Inputs!$G$28,0,IF((Financials!IN98-Financials!IN100-Financials!IN101)&lt;0,0,(Financials!IN98-Financials!IN100-Financials!IN101)*Inputs!$G$27))</f>
        <v>0</v>
      </c>
      <c r="IO102" s="7">
        <f>IF(IN$106&gt;Inputs!$G$28,0,IF((Financials!IO98-Financials!IO100-Financials!IO101)&lt;0,0,(Financials!IO98-Financials!IO100-Financials!IO101)*Inputs!$G$27))</f>
        <v>0</v>
      </c>
      <c r="IP102" s="7">
        <f>IF(IO$106&gt;Inputs!$G$28,0,IF((Financials!IP98-Financials!IP100-Financials!IP101)&lt;0,0,(Financials!IP98-Financials!IP100-Financials!IP101)*Inputs!$G$27))</f>
        <v>0</v>
      </c>
      <c r="IQ102" s="7">
        <f>IF(IP$106&gt;Inputs!$G$28,0,IF((Financials!IQ98-Financials!IQ100-Financials!IQ101)&lt;0,0,(Financials!IQ98-Financials!IQ100-Financials!IQ101)*Inputs!$G$27))</f>
        <v>0</v>
      </c>
      <c r="IR102" s="7">
        <f>IF(IQ$106&gt;Inputs!$G$28,0,IF((Financials!IR98-Financials!IR100-Financials!IR101)&lt;0,0,(Financials!IR98-Financials!IR100-Financials!IR101)*Inputs!$G$27))</f>
        <v>0</v>
      </c>
      <c r="IS102" s="7">
        <f>IF(IR$106&gt;Inputs!$G$28,0,IF((Financials!IS98-Financials!IS100-Financials!IS101)&lt;0,0,(Financials!IS98-Financials!IS100-Financials!IS101)*Inputs!$G$27))</f>
        <v>0</v>
      </c>
      <c r="IT102" s="7">
        <f>IF(IS$106&gt;Inputs!$G$28,0,IF((Financials!IT98-Financials!IT100-Financials!IT101)&lt;0,0,(Financials!IT98-Financials!IT100-Financials!IT101)*Inputs!$G$27))</f>
        <v>0</v>
      </c>
      <c r="IU102" s="7">
        <f>IF(IT$106&gt;Inputs!$G$28,0,IF((Financials!IU98-Financials!IU100-Financials!IU101)&lt;0,0,(Financials!IU98-Financials!IU100-Financials!IU101)*Inputs!$G$27))</f>
        <v>0</v>
      </c>
      <c r="IV102" s="7">
        <f>IF(IU$106&gt;Inputs!$G$28,0,IF((Financials!IV98-Financials!IV100-Financials!IV101)&lt;0,0,(Financials!IV98-Financials!IV100-Financials!IV101)*Inputs!$G$27))</f>
        <v>0</v>
      </c>
      <c r="IW102" s="7">
        <f>IF(IV$106&gt;Inputs!$G$28,0,IF((Financials!IW98-Financials!IW100-Financials!IW101)&lt;0,0,(Financials!IW98-Financials!IW100-Financials!IW101)*Inputs!$G$27))</f>
        <v>0</v>
      </c>
      <c r="IX102" s="7">
        <f>IF(IW$106&gt;Inputs!$G$28,0,IF((Financials!IX98-Financials!IX100-Financials!IX101)&lt;0,0,(Financials!IX98-Financials!IX100-Financials!IX101)*Inputs!$G$27))</f>
        <v>0</v>
      </c>
      <c r="IY102" s="7">
        <f>IF(IX$106&gt;Inputs!$G$28,0,IF((Financials!IY98-Financials!IY100-Financials!IY101)&lt;0,0,(Financials!IY98-Financials!IY100-Financials!IY101)*Inputs!$G$27))</f>
        <v>0</v>
      </c>
      <c r="IZ102" s="7">
        <f>IF(IY$106&gt;Inputs!$G$28,0,IF((Financials!IZ98-Financials!IZ100-Financials!IZ101)&lt;0,0,(Financials!IZ98-Financials!IZ100-Financials!IZ101)*Inputs!$G$27))</f>
        <v>0</v>
      </c>
      <c r="JA102" s="7">
        <f>IF(IZ$106&gt;Inputs!$G$28,0,IF((Financials!JA98-Financials!JA100-Financials!JA101)&lt;0,0,(Financials!JA98-Financials!JA100-Financials!JA101)*Inputs!$G$27))</f>
        <v>0</v>
      </c>
      <c r="JB102" s="7">
        <f>IF(JA$106&gt;Inputs!$G$28,0,IF((Financials!JB98-Financials!JB100-Financials!JB101)&lt;0,0,(Financials!JB98-Financials!JB100-Financials!JB101)*Inputs!$G$27))</f>
        <v>0</v>
      </c>
      <c r="JC102" s="7">
        <f>IF(JB$106&gt;Inputs!$G$28,0,IF((Financials!JC98-Financials!JC100-Financials!JC101)&lt;0,0,(Financials!JC98-Financials!JC100-Financials!JC101)*Inputs!$G$27))</f>
        <v>0</v>
      </c>
      <c r="JD102" s="7">
        <f>IF(JC$106&gt;Inputs!$G$28,0,IF((Financials!JD98-Financials!JD100-Financials!JD101)&lt;0,0,(Financials!JD98-Financials!JD100-Financials!JD101)*Inputs!$G$27))</f>
        <v>0</v>
      </c>
      <c r="JE102" s="7">
        <f>IF(JD$106&gt;Inputs!$G$28,0,IF((Financials!JE98-Financials!JE100-Financials!JE101)&lt;0,0,(Financials!JE98-Financials!JE100-Financials!JE101)*Inputs!$G$27))</f>
        <v>0</v>
      </c>
      <c r="JF102" s="7">
        <f>IF(JE$106&gt;Inputs!$G$28,0,IF((Financials!JF98-Financials!JF100-Financials!JF101)&lt;0,0,(Financials!JF98-Financials!JF100-Financials!JF101)*Inputs!$G$27))</f>
        <v>0</v>
      </c>
      <c r="JG102" s="7">
        <f>IF(JF$106&gt;Inputs!$G$28,0,IF((Financials!JG98-Financials!JG100-Financials!JG101)&lt;0,0,(Financials!JG98-Financials!JG100-Financials!JG101)*Inputs!$G$27))</f>
        <v>0</v>
      </c>
      <c r="JH102" s="7">
        <f>IF(JG$106&gt;Inputs!$G$28,0,IF((Financials!JH98-Financials!JH100-Financials!JH101)&lt;0,0,(Financials!JH98-Financials!JH100-Financials!JH101)*Inputs!$G$27))</f>
        <v>0</v>
      </c>
      <c r="JI102" s="7">
        <f>IF(JH$106&gt;Inputs!$G$28,0,IF((Financials!JI98-Financials!JI100-Financials!JI101)&lt;0,0,(Financials!JI98-Financials!JI100-Financials!JI101)*Inputs!$G$27))</f>
        <v>0</v>
      </c>
      <c r="JJ102" s="7">
        <f>IF(JI$106&gt;Inputs!$G$28,0,IF((Financials!JJ98-Financials!JJ100-Financials!JJ101)&lt;0,0,(Financials!JJ98-Financials!JJ100-Financials!JJ101)*Inputs!$G$27))</f>
        <v>0</v>
      </c>
      <c r="JK102" s="7">
        <f>IF(JJ$106&gt;Inputs!$G$28,0,IF((Financials!JK98-Financials!JK100-Financials!JK101)&lt;0,0,(Financials!JK98-Financials!JK100-Financials!JK101)*Inputs!$G$27))</f>
        <v>0</v>
      </c>
      <c r="JL102" s="7">
        <f>IF(JK$106&gt;Inputs!$G$28,0,IF((Financials!JL98-Financials!JL100-Financials!JL101)&lt;0,0,(Financials!JL98-Financials!JL100-Financials!JL101)*Inputs!$G$27))</f>
        <v>0</v>
      </c>
      <c r="JM102" s="7">
        <f>IF(JL$106&gt;Inputs!$G$28,0,IF((Financials!JM98-Financials!JM100-Financials!JM101)&lt;0,0,(Financials!JM98-Financials!JM100-Financials!JM101)*Inputs!$G$27))</f>
        <v>0</v>
      </c>
      <c r="JN102" s="7">
        <f>IF(JM$106&gt;Inputs!$G$28,0,IF((Financials!JN98-Financials!JN100-Financials!JN101)&lt;0,0,(Financials!JN98-Financials!JN100-Financials!JN101)*Inputs!$G$27))</f>
        <v>0</v>
      </c>
      <c r="JO102" s="7">
        <f>IF(JN$106&gt;Inputs!$G$28,0,IF((Financials!JO98-Financials!JO100-Financials!JO101)&lt;0,0,(Financials!JO98-Financials!JO100-Financials!JO101)*Inputs!$G$27))</f>
        <v>0</v>
      </c>
      <c r="JP102" s="7">
        <f>IF(JO$106&gt;Inputs!$G$28,0,IF((Financials!JP98-Financials!JP100-Financials!JP101)&lt;0,0,(Financials!JP98-Financials!JP100-Financials!JP101)*Inputs!$G$27))</f>
        <v>0</v>
      </c>
      <c r="JQ102" s="7">
        <f>IF(JP$106&gt;Inputs!$G$28,0,IF((Financials!JQ98-Financials!JQ100-Financials!JQ101)&lt;0,0,(Financials!JQ98-Financials!JQ100-Financials!JQ101)*Inputs!$G$27))</f>
        <v>0</v>
      </c>
      <c r="JR102" s="7">
        <f>IF(JQ$106&gt;Inputs!$G$28,0,IF((Financials!JR98-Financials!JR100-Financials!JR101)&lt;0,0,(Financials!JR98-Financials!JR100-Financials!JR101)*Inputs!$G$27))</f>
        <v>0</v>
      </c>
    </row>
    <row r="104" spans="2:278" x14ac:dyDescent="0.2">
      <c r="B104" s="59" t="s">
        <v>192</v>
      </c>
      <c r="C104" s="57">
        <f>IF((C98-SUM(C100:C102))&lt;0,0,C98-SUM(C100:C102))</f>
        <v>0</v>
      </c>
      <c r="D104" s="57">
        <f t="shared" ref="D104:BO104" si="1044">IF((D98-SUM(D100:D102))&lt;0,0,D98-SUM(D100:D102))</f>
        <v>0</v>
      </c>
      <c r="E104" s="57">
        <f t="shared" si="1044"/>
        <v>0</v>
      </c>
      <c r="F104" s="57">
        <f t="shared" si="1044"/>
        <v>0</v>
      </c>
      <c r="G104" s="57">
        <f t="shared" si="1044"/>
        <v>0</v>
      </c>
      <c r="H104" s="57">
        <f t="shared" si="1044"/>
        <v>0</v>
      </c>
      <c r="I104" s="57">
        <f t="shared" si="1044"/>
        <v>0</v>
      </c>
      <c r="J104" s="57">
        <f t="shared" si="1044"/>
        <v>0</v>
      </c>
      <c r="K104" s="57">
        <f t="shared" si="1044"/>
        <v>0</v>
      </c>
      <c r="L104" s="57">
        <f t="shared" si="1044"/>
        <v>0</v>
      </c>
      <c r="M104" s="57">
        <f t="shared" si="1044"/>
        <v>0</v>
      </c>
      <c r="N104" s="57">
        <f t="shared" si="1044"/>
        <v>0</v>
      </c>
      <c r="O104" s="57">
        <f t="shared" si="1044"/>
        <v>0</v>
      </c>
      <c r="P104" s="57">
        <f t="shared" si="1044"/>
        <v>0</v>
      </c>
      <c r="Q104" s="57">
        <f t="shared" si="1044"/>
        <v>0</v>
      </c>
      <c r="R104" s="57">
        <f t="shared" si="1044"/>
        <v>1090185.4326334842</v>
      </c>
      <c r="S104" s="57">
        <f t="shared" si="1044"/>
        <v>1241296.1888189735</v>
      </c>
      <c r="T104" s="57">
        <f t="shared" si="1044"/>
        <v>1103180.8960343287</v>
      </c>
      <c r="U104" s="57">
        <f t="shared" si="1044"/>
        <v>1261173.5563232983</v>
      </c>
      <c r="V104" s="57">
        <f t="shared" si="1044"/>
        <v>1261581.9515087372</v>
      </c>
      <c r="W104" s="57">
        <f t="shared" si="1044"/>
        <v>1122757.4051081468</v>
      </c>
      <c r="X104" s="57">
        <f t="shared" si="1044"/>
        <v>1275163.5259935472</v>
      </c>
      <c r="Y104" s="57">
        <f t="shared" si="1044"/>
        <v>1135864.1726116217</v>
      </c>
      <c r="Z104" s="57">
        <f t="shared" si="1044"/>
        <v>1288791.4684742927</v>
      </c>
      <c r="AA104" s="57">
        <f t="shared" si="1044"/>
        <v>1324403.5321620042</v>
      </c>
      <c r="AB104" s="57">
        <f t="shared" si="1044"/>
        <v>890673.81292343268</v>
      </c>
      <c r="AC104" s="57">
        <f t="shared" si="1044"/>
        <v>1338101.3201508245</v>
      </c>
      <c r="AD104" s="57">
        <f t="shared" si="1044"/>
        <v>2897138.2634053677</v>
      </c>
      <c r="AE104" s="57">
        <f t="shared" si="1044"/>
        <v>3108027.1284728386</v>
      </c>
      <c r="AF104" s="57">
        <f t="shared" si="1044"/>
        <v>2910402.4404444089</v>
      </c>
      <c r="AG104" s="57">
        <f t="shared" si="1044"/>
        <v>3121818.5944591495</v>
      </c>
      <c r="AH104" s="57">
        <f t="shared" si="1044"/>
        <v>3128731.9711059947</v>
      </c>
      <c r="AI104" s="57">
        <f t="shared" si="1044"/>
        <v>2930383.7216551104</v>
      </c>
      <c r="AJ104" s="57">
        <f t="shared" si="1044"/>
        <v>3142594.1108922465</v>
      </c>
      <c r="AK104" s="57">
        <f t="shared" si="1044"/>
        <v>2943761.4761453476</v>
      </c>
      <c r="AL104" s="57">
        <f t="shared" si="1044"/>
        <v>3156503.5653036414</v>
      </c>
      <c r="AM104" s="57">
        <f t="shared" si="1044"/>
        <v>3194337.2968534539</v>
      </c>
      <c r="AN104" s="57">
        <f t="shared" si="1044"/>
        <v>2581681.7517261133</v>
      </c>
      <c r="AO104" s="57">
        <f t="shared" si="1044"/>
        <v>3208318.0226746532</v>
      </c>
      <c r="AP104" s="57">
        <f t="shared" si="1044"/>
        <v>3186240.0634058733</v>
      </c>
      <c r="AQ104" s="57">
        <f t="shared" si="1044"/>
        <v>3379982.7756504999</v>
      </c>
      <c r="AR104" s="57">
        <f t="shared" si="1044"/>
        <v>3179704.7654666076</v>
      </c>
      <c r="AS104" s="57">
        <f t="shared" si="1044"/>
        <v>3394584.9841023064</v>
      </c>
      <c r="AT104" s="57">
        <f t="shared" si="1044"/>
        <v>3401904.7497049826</v>
      </c>
      <c r="AU104" s="57">
        <f t="shared" si="1044"/>
        <v>3200889.8974053953</v>
      </c>
      <c r="AV104" s="57">
        <f t="shared" si="1044"/>
        <v>3416581.7085173759</v>
      </c>
      <c r="AW104" s="57">
        <f t="shared" si="1044"/>
        <v>3215073.5802056445</v>
      </c>
      <c r="AX104" s="57">
        <f t="shared" si="1044"/>
        <v>3431308.7110207207</v>
      </c>
      <c r="AY104" s="57">
        <f t="shared" si="1044"/>
        <v>3471783.2023401321</v>
      </c>
      <c r="AZ104" s="57">
        <f t="shared" si="1044"/>
        <v>3059886.0519416053</v>
      </c>
      <c r="BA104" s="57">
        <f t="shared" si="1044"/>
        <v>3486585.5869659502</v>
      </c>
      <c r="BB104" s="57">
        <f t="shared" si="1044"/>
        <v>3283837.0609526779</v>
      </c>
      <c r="BC104" s="57">
        <f t="shared" si="1044"/>
        <v>3501438.4382235268</v>
      </c>
      <c r="BD104" s="57">
        <f t="shared" si="1044"/>
        <v>3298190.8556257365</v>
      </c>
      <c r="BE104" s="57">
        <f t="shared" si="1044"/>
        <v>3516341.9262829553</v>
      </c>
      <c r="BF104" s="57">
        <f t="shared" si="1044"/>
        <v>3523812.7124475287</v>
      </c>
      <c r="BG104" s="57">
        <f t="shared" si="1044"/>
        <v>3319813.4232334057</v>
      </c>
      <c r="BH104" s="57">
        <f t="shared" si="1044"/>
        <v>3538792.4760276452</v>
      </c>
      <c r="BI104" s="57">
        <f t="shared" si="1044"/>
        <v>3334289.9598094085</v>
      </c>
      <c r="BJ104" s="57">
        <f t="shared" si="1044"/>
        <v>3553823.3043359402</v>
      </c>
      <c r="BK104" s="57">
        <f t="shared" si="1044"/>
        <v>3596842.3282316541</v>
      </c>
      <c r="BL104" s="57">
        <f t="shared" si="1044"/>
        <v>2965965.9185514329</v>
      </c>
      <c r="BM104" s="57">
        <f t="shared" si="1044"/>
        <v>3611950.0766425598</v>
      </c>
      <c r="BN104" s="57">
        <f t="shared" si="1044"/>
        <v>3406182.1398005714</v>
      </c>
      <c r="BO104" s="57">
        <f t="shared" si="1044"/>
        <v>3627109.3213048913</v>
      </c>
      <c r="BP104" s="57">
        <f t="shared" ref="BP104:EA104" si="1045">IF((BP98-SUM(BP100:BP102))&lt;0,0,BP98-SUM(BP100:BP102))</f>
        <v>3420832.2602412542</v>
      </c>
      <c r="BQ104" s="57">
        <f t="shared" si="1045"/>
        <v>3642320.2358418321</v>
      </c>
      <c r="BR104" s="57">
        <f t="shared" si="1045"/>
        <v>3649945.1237296881</v>
      </c>
      <c r="BS104" s="57">
        <f t="shared" si="1045"/>
        <v>3442901.1916009183</v>
      </c>
      <c r="BT104" s="57">
        <f t="shared" si="1045"/>
        <v>3665233.8698962624</v>
      </c>
      <c r="BU104" s="57">
        <f t="shared" si="1045"/>
        <v>3457676.5589719629</v>
      </c>
      <c r="BV104" s="57">
        <f t="shared" si="1045"/>
        <v>3680574.7225471027</v>
      </c>
      <c r="BW104" s="57">
        <f t="shared" si="1045"/>
        <v>3726314.3209924125</v>
      </c>
      <c r="BX104" s="57">
        <f t="shared" si="1045"/>
        <v>3085916.3222310673</v>
      </c>
      <c r="BY104" s="57">
        <f t="shared" si="1045"/>
        <v>3741733.6629342986</v>
      </c>
      <c r="BZ104" s="57">
        <f t="shared" si="1045"/>
        <v>3532885.4035301637</v>
      </c>
      <c r="CA104" s="57">
        <f t="shared" si="1045"/>
        <v>3757205.5516398256</v>
      </c>
      <c r="CB104" s="57">
        <f t="shared" si="1045"/>
        <v>3547837.8972233823</v>
      </c>
      <c r="CC104" s="57">
        <f t="shared" si="1045"/>
        <v>3772730.1642551469</v>
      </c>
      <c r="CD104" s="57">
        <f t="shared" si="1045"/>
        <v>3780512.2975495327</v>
      </c>
      <c r="CE104" s="57">
        <f t="shared" si="1045"/>
        <v>3570362.3016175544</v>
      </c>
      <c r="CF104" s="57">
        <f t="shared" si="1045"/>
        <v>3796116.3294786159</v>
      </c>
      <c r="CG104" s="57">
        <f t="shared" si="1045"/>
        <v>3585442.5981077929</v>
      </c>
      <c r="CH104" s="57">
        <f t="shared" si="1045"/>
        <v>3811773.5307862107</v>
      </c>
      <c r="CI104" s="57">
        <f t="shared" si="1045"/>
        <v>3781255.6436125897</v>
      </c>
      <c r="CJ104" s="57">
        <f t="shared" si="1045"/>
        <v>3131143.902035248</v>
      </c>
      <c r="CK104" s="57">
        <f t="shared" si="1045"/>
        <v>3796992.9352395432</v>
      </c>
      <c r="CL104" s="57">
        <f t="shared" si="1045"/>
        <v>3585002.2124085492</v>
      </c>
      <c r="CM104" s="57">
        <f t="shared" si="1045"/>
        <v>3812783.8454577075</v>
      </c>
      <c r="CN104" s="57">
        <f t="shared" si="1045"/>
        <v>3600263.2495702459</v>
      </c>
      <c r="CO104" s="57">
        <f t="shared" si="1045"/>
        <v>3828628.5550075043</v>
      </c>
      <c r="CP104" s="57">
        <f t="shared" si="1045"/>
        <v>3836571.141178811</v>
      </c>
      <c r="CQ104" s="57">
        <f t="shared" si="1045"/>
        <v>3623252.4211482024</v>
      </c>
      <c r="CR104" s="57">
        <f t="shared" si="1045"/>
        <v>3852496.8899406781</v>
      </c>
      <c r="CS104" s="57">
        <f t="shared" si="1045"/>
        <v>3638643.8688417622</v>
      </c>
      <c r="CT104" s="57">
        <f t="shared" si="1045"/>
        <v>3868476.8925412339</v>
      </c>
      <c r="CU104" s="57">
        <f t="shared" si="1045"/>
        <v>3920236.9291137978</v>
      </c>
      <c r="CV104" s="57">
        <f t="shared" si="1045"/>
        <v>3260215.4128218526</v>
      </c>
      <c r="CW104" s="57">
        <f t="shared" si="1045"/>
        <v>3936298.655546247</v>
      </c>
      <c r="CX104" s="57">
        <f t="shared" si="1045"/>
        <v>3721102.074486522</v>
      </c>
      <c r="CY104" s="57">
        <f t="shared" si="1045"/>
        <v>3952415.0941441967</v>
      </c>
      <c r="CZ104" s="57">
        <f t="shared" si="1045"/>
        <v>3736677.9505476211</v>
      </c>
      <c r="DA104" s="57">
        <f t="shared" si="1045"/>
        <v>3968586.4293150608</v>
      </c>
      <c r="DB104" s="57">
        <f t="shared" si="1045"/>
        <v>3976692.7409116738</v>
      </c>
      <c r="DC104" s="57">
        <f t="shared" si="1045"/>
        <v>3760141.3720668741</v>
      </c>
      <c r="DD104" s="57">
        <f t="shared" si="1045"/>
        <v>3992946.7680589999</v>
      </c>
      <c r="DE104" s="57">
        <f t="shared" si="1045"/>
        <v>3775850.3193125967</v>
      </c>
      <c r="DF104" s="57">
        <f t="shared" si="1045"/>
        <v>4009256.1555075478</v>
      </c>
      <c r="DG104" s="57">
        <f t="shared" si="1045"/>
        <v>4064343.9650905626</v>
      </c>
      <c r="DH104" s="57">
        <f t="shared" si="1045"/>
        <v>3394212.6857468029</v>
      </c>
      <c r="DI104" s="57">
        <f t="shared" si="1045"/>
        <v>4080736.743025125</v>
      </c>
      <c r="DJ104" s="57">
        <f t="shared" si="1045"/>
        <v>3862269.6296910881</v>
      </c>
      <c r="DK104" s="57">
        <f t="shared" si="1045"/>
        <v>4097185.3488862617</v>
      </c>
      <c r="DL104" s="57">
        <f t="shared" si="1045"/>
        <v>3878166.7678316431</v>
      </c>
      <c r="DM104" s="57">
        <f t="shared" si="1045"/>
        <v>4113689.9708225913</v>
      </c>
      <c r="DN104" s="57">
        <f t="shared" si="1045"/>
        <v>4121963.3467878383</v>
      </c>
      <c r="DO104" s="57">
        <f t="shared" si="1045"/>
        <v>3902114.1144750449</v>
      </c>
      <c r="DP104" s="57">
        <f t="shared" si="1045"/>
        <v>4138552.3469961919</v>
      </c>
      <c r="DQ104" s="57">
        <f t="shared" si="1045"/>
        <v>3918147.0384418499</v>
      </c>
      <c r="DR104" s="57">
        <f t="shared" si="1045"/>
        <v>3013899.5719609438</v>
      </c>
      <c r="DS104" s="57">
        <f t="shared" si="1045"/>
        <v>3061303.6536205616</v>
      </c>
      <c r="DT104" s="57">
        <f t="shared" si="1045"/>
        <v>2515161.3544659535</v>
      </c>
      <c r="DU104" s="57">
        <f t="shared" si="1045"/>
        <v>3071105.2070852206</v>
      </c>
      <c r="DV104" s="57">
        <f t="shared" si="1045"/>
        <v>2891855.1614663969</v>
      </c>
      <c r="DW104" s="57">
        <f t="shared" si="1045"/>
        <v>3080910.4110637223</v>
      </c>
      <c r="DX104" s="57">
        <f t="shared" si="1045"/>
        <v>2901189.1462147841</v>
      </c>
      <c r="DY104" s="57">
        <f t="shared" si="1045"/>
        <v>3090718.9286056068</v>
      </c>
      <c r="DZ104" s="57">
        <f t="shared" si="1045"/>
        <v>3095624.3232389912</v>
      </c>
      <c r="EA104" s="57">
        <f t="shared" si="1045"/>
        <v>2915192.9493176294</v>
      </c>
      <c r="EB104" s="57">
        <f t="shared" ref="EB104:GM104" si="1046">IF((EB98-SUM(EB100:EB102))&lt;0,0,EB98-SUM(EB100:EB102))</f>
        <v>3105437.1678972254</v>
      </c>
      <c r="EC104" s="57">
        <f t="shared" si="1046"/>
        <v>2924530.1895699101</v>
      </c>
      <c r="ED104" s="57">
        <f t="shared" si="1046"/>
        <v>3115252.460741871</v>
      </c>
      <c r="EE104" s="57">
        <f t="shared" si="1046"/>
        <v>3146506.8176239673</v>
      </c>
      <c r="EF104" s="57">
        <f t="shared" si="1046"/>
        <v>2591817.8465770157</v>
      </c>
      <c r="EG104" s="57">
        <f t="shared" si="1046"/>
        <v>3156325.1144372853</v>
      </c>
      <c r="EH104" s="57">
        <f t="shared" si="1046"/>
        <v>4068877.1757115931</v>
      </c>
      <c r="EI104" s="57">
        <f t="shared" si="1046"/>
        <v>4262077.8619317533</v>
      </c>
      <c r="EJ104" s="57">
        <f t="shared" si="1046"/>
        <v>4080776.8406776106</v>
      </c>
      <c r="EK104" s="57">
        <f t="shared" si="1046"/>
        <v>4274475.4772477858</v>
      </c>
      <c r="EL104" s="57">
        <f t="shared" si="1046"/>
        <v>4280685.8939058501</v>
      </c>
      <c r="EM104" s="57">
        <f t="shared" si="1046"/>
        <v>4098681.371613808</v>
      </c>
      <c r="EN104" s="57">
        <f t="shared" si="1046"/>
        <v>4293129.9280569926</v>
      </c>
      <c r="EO104" s="57">
        <f t="shared" si="1046"/>
        <v>4110654.3666702053</v>
      </c>
      <c r="EP104" s="57">
        <f t="shared" si="1046"/>
        <v>4305604.8725751992</v>
      </c>
      <c r="EQ104" s="57">
        <f t="shared" si="1046"/>
        <v>4330068.9197748723</v>
      </c>
      <c r="ER104" s="57">
        <f t="shared" si="1046"/>
        <v>3767999.7995967837</v>
      </c>
      <c r="ES104" s="57">
        <f t="shared" si="1046"/>
        <v>4342590.1724222293</v>
      </c>
      <c r="ET104" s="57">
        <f t="shared" si="1046"/>
        <v>4158929.8334729653</v>
      </c>
      <c r="EU104" s="57">
        <f t="shared" si="1046"/>
        <v>4355142.2564180996</v>
      </c>
      <c r="EV104" s="57">
        <f t="shared" si="1046"/>
        <v>4171005.118045941</v>
      </c>
      <c r="EW104" s="57">
        <f t="shared" si="1046"/>
        <v>4367725.1371753961</v>
      </c>
      <c r="EX104" s="57">
        <f t="shared" si="1046"/>
        <v>4374028.1150562009</v>
      </c>
      <c r="EY104" s="57">
        <f t="shared" si="1046"/>
        <v>4189172.6630913764</v>
      </c>
      <c r="EZ104" s="57">
        <f t="shared" si="1046"/>
        <v>4386657.1222933456</v>
      </c>
      <c r="FA104" s="57">
        <f t="shared" si="1046"/>
        <v>4201320.709012731</v>
      </c>
      <c r="FB104" s="57">
        <f t="shared" si="1046"/>
        <v>4399316.8321603741</v>
      </c>
      <c r="FC104" s="57">
        <f t="shared" si="1046"/>
        <v>4425026.4309133235</v>
      </c>
      <c r="FD104" s="57">
        <f t="shared" si="1046"/>
        <v>3854145.4000484468</v>
      </c>
      <c r="FE104" s="57">
        <f t="shared" si="1046"/>
        <v>4437732.1176852277</v>
      </c>
      <c r="FF104" s="57">
        <f t="shared" si="1046"/>
        <v>4251185.9548120638</v>
      </c>
      <c r="FG104" s="57">
        <f t="shared" si="1046"/>
        <v>4450468.4016924854</v>
      </c>
      <c r="FH104" s="57">
        <f t="shared" si="1046"/>
        <v>4263435.3835090334</v>
      </c>
      <c r="FI104" s="57">
        <f t="shared" si="1046"/>
        <v>4463235.2375336345</v>
      </c>
      <c r="FJ104" s="57">
        <f t="shared" si="1046"/>
        <v>4469630.0976870926</v>
      </c>
      <c r="FK104" s="57">
        <f t="shared" si="1046"/>
        <v>4281863.6096307337</v>
      </c>
      <c r="FL104" s="57">
        <f t="shared" si="1046"/>
        <v>4482442.6720032571</v>
      </c>
      <c r="FM104" s="57">
        <f t="shared" si="1046"/>
        <v>4294185.0698700557</v>
      </c>
      <c r="FN104" s="57">
        <f t="shared" si="1046"/>
        <v>4495285.6763095614</v>
      </c>
      <c r="FO104" s="57">
        <f t="shared" si="1046"/>
        <v>4520061.5303113563</v>
      </c>
      <c r="FP104" s="57">
        <f t="shared" si="1046"/>
        <v>3940188.0874478258</v>
      </c>
      <c r="FQ104" s="57">
        <f t="shared" si="1046"/>
        <v>4532950.0812121434</v>
      </c>
      <c r="FR104" s="57">
        <f t="shared" si="1046"/>
        <v>4343457.1761855371</v>
      </c>
      <c r="FS104" s="57">
        <f t="shared" si="1046"/>
        <v>4545868.9280062942</v>
      </c>
      <c r="FT104" s="57">
        <f t="shared" si="1046"/>
        <v>4355878.8772846181</v>
      </c>
      <c r="FU104" s="57">
        <f t="shared" si="1046"/>
        <v>4558818.0135273952</v>
      </c>
      <c r="FV104" s="57">
        <f t="shared" si="1046"/>
        <v>4565303.8773840377</v>
      </c>
      <c r="FW104" s="57">
        <f t="shared" si="1046"/>
        <v>4374564.8466069037</v>
      </c>
      <c r="FX104" s="57">
        <f t="shared" si="1046"/>
        <v>4578298.2092983183</v>
      </c>
      <c r="FY104" s="57">
        <f t="shared" si="1046"/>
        <v>4387057.6742990687</v>
      </c>
      <c r="FZ104" s="57">
        <f t="shared" si="1046"/>
        <v>4591322.6279557887</v>
      </c>
      <c r="GA104" s="57">
        <f t="shared" si="1046"/>
        <v>4617515.0703938119</v>
      </c>
      <c r="GB104" s="57">
        <f t="shared" si="1046"/>
        <v>4028464.8783904682</v>
      </c>
      <c r="GC104" s="57">
        <f t="shared" si="1046"/>
        <v>4630584.4975607172</v>
      </c>
      <c r="GD104" s="57">
        <f t="shared" si="1046"/>
        <v>4438082.507773716</v>
      </c>
      <c r="GE104" s="57">
        <f t="shared" si="1046"/>
        <v>4643683.8461688608</v>
      </c>
      <c r="GF104" s="57">
        <f t="shared" si="1046"/>
        <v>4450674.178789461</v>
      </c>
      <c r="GG104" s="57">
        <f t="shared" si="1046"/>
        <v>4656813.0462641809</v>
      </c>
      <c r="GH104" s="57">
        <f t="shared" si="1046"/>
        <v>4663388.8181483094</v>
      </c>
      <c r="GI104" s="57">
        <f t="shared" si="1046"/>
        <v>4469614.2960121538</v>
      </c>
      <c r="GJ104" s="57">
        <f t="shared" si="1046"/>
        <v>4676562.6594106937</v>
      </c>
      <c r="GK104" s="57">
        <f t="shared" si="1046"/>
        <v>4482275.9983821409</v>
      </c>
      <c r="GL104" s="57">
        <f t="shared" si="1046"/>
        <v>4689766.1674245857</v>
      </c>
      <c r="GM104" s="57">
        <f t="shared" si="1046"/>
        <v>4703246.388529405</v>
      </c>
      <c r="GN104" s="57">
        <f t="shared" ref="GN104:IY104" si="1047">IF((GN98-SUM(GN100:GN102))&lt;0,0,GN98-SUM(GN100:GN102))</f>
        <v>4104831.1830563536</v>
      </c>
      <c r="GO104" s="57">
        <f t="shared" si="1047"/>
        <v>4716494.2498454992</v>
      </c>
      <c r="GP104" s="57">
        <f t="shared" si="1047"/>
        <v>5337459.2091304595</v>
      </c>
      <c r="GQ104" s="57">
        <f t="shared" si="1047"/>
        <v>5547264.052196702</v>
      </c>
      <c r="GR104" s="57">
        <f t="shared" si="1047"/>
        <v>5352128.8963168692</v>
      </c>
      <c r="GS104" s="57">
        <f t="shared" si="1047"/>
        <v>5562492.7278475659</v>
      </c>
      <c r="GT104" s="57">
        <f t="shared" si="1047"/>
        <v>5570126.474440543</v>
      </c>
      <c r="GU104" s="57">
        <f t="shared" si="1047"/>
        <v>5374227.0797766186</v>
      </c>
      <c r="GV104" s="57">
        <f t="shared" si="1047"/>
        <v>5585432.8940697601</v>
      </c>
      <c r="GW104" s="57">
        <f t="shared" si="1047"/>
        <v>5389021.8826617599</v>
      </c>
      <c r="GX104" s="57">
        <f t="shared" si="1047"/>
        <v>5600791.3612600248</v>
      </c>
      <c r="GY104" s="57">
        <f t="shared" si="1047"/>
        <v>5608490.1674415451</v>
      </c>
      <c r="GZ104" s="57">
        <f t="shared" si="1047"/>
        <v>5001521.4886472505</v>
      </c>
      <c r="HA104" s="57">
        <f t="shared" si="1047"/>
        <v>5623927.0348004019</v>
      </c>
      <c r="HB104" s="57">
        <f t="shared" si="1047"/>
        <v>5426229.5053712577</v>
      </c>
      <c r="HC104" s="57">
        <f t="shared" si="1047"/>
        <v>5639416.3890137849</v>
      </c>
      <c r="HD104" s="57">
        <f t="shared" si="1047"/>
        <v>5441201.2469381392</v>
      </c>
      <c r="HE104" s="57">
        <f t="shared" si="1047"/>
        <v>5654958.4068306051</v>
      </c>
      <c r="HF104" s="57">
        <f t="shared" si="1047"/>
        <v>5662749.2199862702</v>
      </c>
      <c r="HG104" s="57">
        <f t="shared" si="1047"/>
        <v>5463754.420913646</v>
      </c>
      <c r="HH104" s="57">
        <f t="shared" si="1047"/>
        <v>5678370.5659088781</v>
      </c>
      <c r="HI104" s="57">
        <f t="shared" si="1047"/>
        <v>5478853.8284179065</v>
      </c>
      <c r="HJ104" s="57">
        <f t="shared" si="1047"/>
        <v>5694045.0199032985</v>
      </c>
      <c r="HK104" s="57">
        <f t="shared" si="1047"/>
        <v>5701902.2182887318</v>
      </c>
      <c r="HL104" s="57">
        <f t="shared" si="1047"/>
        <v>5085252.4026264204</v>
      </c>
      <c r="HM104" s="57">
        <f t="shared" si="1047"/>
        <v>5717656.6698862035</v>
      </c>
      <c r="HN104" s="57">
        <f t="shared" si="1047"/>
        <v>5516827.4593232684</v>
      </c>
      <c r="HO104" s="57">
        <f t="shared" si="1047"/>
        <v>5733464.677757401</v>
      </c>
      <c r="HP104" s="57">
        <f t="shared" si="1047"/>
        <v>5532107.4118793942</v>
      </c>
      <c r="HQ104" s="57">
        <f t="shared" si="1047"/>
        <v>5749326.422235487</v>
      </c>
      <c r="HR104" s="57">
        <f t="shared" si="1047"/>
        <v>5757277.5022214353</v>
      </c>
      <c r="HS104" s="57">
        <f t="shared" si="1047"/>
        <v>5555124.8500017524</v>
      </c>
      <c r="HT104" s="57">
        <f t="shared" si="1047"/>
        <v>5773220.1910571726</v>
      </c>
      <c r="HU104" s="57">
        <f t="shared" si="1047"/>
        <v>5570535.0704585575</v>
      </c>
      <c r="HV104" s="57">
        <f t="shared" si="1047"/>
        <v>5789217.0699813114</v>
      </c>
      <c r="HW104" s="57">
        <f t="shared" si="1047"/>
        <v>5797235.8877205933</v>
      </c>
      <c r="HX104" s="57">
        <f t="shared" si="1047"/>
        <v>5170709.5578107545</v>
      </c>
      <c r="HY104" s="57">
        <f t="shared" si="1047"/>
        <v>5813314.3940758919</v>
      </c>
      <c r="HZ104" s="57">
        <f t="shared" si="1047"/>
        <v>5609290.3215939626</v>
      </c>
      <c r="IA104" s="57">
        <f t="shared" si="1047"/>
        <v>6136260.5766422944</v>
      </c>
      <c r="IB104" s="57">
        <f t="shared" si="1047"/>
        <v>5920931.3332804032</v>
      </c>
      <c r="IC104" s="57">
        <f t="shared" si="1047"/>
        <v>6153300.5609614467</v>
      </c>
      <c r="ID104" s="57">
        <f t="shared" si="1047"/>
        <v>6161842.2577828523</v>
      </c>
      <c r="IE104" s="57">
        <f t="shared" si="1047"/>
        <v>5945658.8743184227</v>
      </c>
      <c r="IF104" s="57">
        <f t="shared" si="1047"/>
        <v>6178969.1825060695</v>
      </c>
      <c r="IG104" s="57">
        <f t="shared" si="1047"/>
        <v>5962213.9981685244</v>
      </c>
      <c r="IH104" s="57">
        <f t="shared" si="1047"/>
        <v>6196154.3114881301</v>
      </c>
      <c r="II104" s="57">
        <f t="shared" si="1047"/>
        <v>6204768.7637864854</v>
      </c>
      <c r="IJ104" s="57">
        <f t="shared" si="1047"/>
        <v>5534661.221891012</v>
      </c>
      <c r="IK104" s="57">
        <f t="shared" si="1047"/>
        <v>6222041.5667772619</v>
      </c>
      <c r="IL104" s="57">
        <f t="shared" si="1047"/>
        <v>6003848.5245179087</v>
      </c>
      <c r="IM104" s="57">
        <f t="shared" si="1047"/>
        <v>6239373.0651459638</v>
      </c>
      <c r="IN104" s="57">
        <f t="shared" si="1047"/>
        <v>6020601.5206868434</v>
      </c>
      <c r="IO104" s="57">
        <f t="shared" si="1047"/>
        <v>6256763.4564932873</v>
      </c>
      <c r="IP104" s="57">
        <f t="shared" si="1047"/>
        <v>6265480.7989651589</v>
      </c>
      <c r="IQ104" s="57">
        <f t="shared" si="1047"/>
        <v>6045837.8822216392</v>
      </c>
      <c r="IR104" s="57">
        <f t="shared" si="1047"/>
        <v>6282959.901730869</v>
      </c>
      <c r="IS104" s="57">
        <f t="shared" si="1047"/>
        <v>6062733.6480837865</v>
      </c>
      <c r="IT104" s="57">
        <f t="shared" si="1047"/>
        <v>6300498.3943788903</v>
      </c>
      <c r="IU104" s="57">
        <f t="shared" si="1047"/>
        <v>6309289.9743601494</v>
      </c>
      <c r="IV104" s="57">
        <f t="shared" si="1047"/>
        <v>5628362.2446886431</v>
      </c>
      <c r="IW104" s="57">
        <f t="shared" si="1047"/>
        <v>6326917.9269060707</v>
      </c>
      <c r="IX104" s="57">
        <f t="shared" si="1047"/>
        <v>6105224.8066452853</v>
      </c>
      <c r="IY104" s="57">
        <f t="shared" si="1047"/>
        <v>6344605.770411415</v>
      </c>
      <c r="IZ104" s="57">
        <f t="shared" ref="IZ104:JR104" si="1048">IF((IZ98-SUM(IZ100:IZ102))&lt;0,0,IZ98-SUM(IZ100:IZ102))</f>
        <v>6122322.4766900409</v>
      </c>
      <c r="JA104" s="57">
        <f t="shared" si="1048"/>
        <v>6362353.70648342</v>
      </c>
      <c r="JB104" s="57">
        <f t="shared" si="1048"/>
        <v>6371250.2724188482</v>
      </c>
      <c r="JC104" s="57">
        <f t="shared" si="1048"/>
        <v>6148078.0264919586</v>
      </c>
      <c r="JD104" s="57">
        <f t="shared" si="1048"/>
        <v>6389088.7268328704</v>
      </c>
      <c r="JE104" s="57">
        <f t="shared" si="1048"/>
        <v>6165321.3751788903</v>
      </c>
      <c r="JF104" s="57">
        <f t="shared" si="1048"/>
        <v>6406987.7807922969</v>
      </c>
      <c r="JG104" s="57">
        <f t="shared" si="1048"/>
        <v>6415960.0963191409</v>
      </c>
      <c r="JH104" s="57">
        <f t="shared" si="1048"/>
        <v>5723993.8130347356</v>
      </c>
      <c r="JI104" s="57">
        <f t="shared" si="1048"/>
        <v>6433950.4322758727</v>
      </c>
      <c r="JJ104" s="57">
        <f t="shared" si="1048"/>
        <v>6208686.619930597</v>
      </c>
      <c r="JK104" s="57">
        <f t="shared" si="1048"/>
        <v>6452001.879014601</v>
      </c>
      <c r="JL104" s="57">
        <f t="shared" si="1048"/>
        <v>6226135.9864256196</v>
      </c>
      <c r="JM104" s="57">
        <f t="shared" si="1048"/>
        <v>6470114.6422301494</v>
      </c>
      <c r="JN104" s="57">
        <f t="shared" si="1048"/>
        <v>6479194.0819847658</v>
      </c>
      <c r="JO104" s="57">
        <f t="shared" si="1048"/>
        <v>6252421.3025118168</v>
      </c>
      <c r="JP104" s="57">
        <f t="shared" si="1048"/>
        <v>6497399.2071017139</v>
      </c>
      <c r="JQ104" s="57">
        <f t="shared" si="1048"/>
        <v>6270019.3155868361</v>
      </c>
      <c r="JR104" s="57">
        <f t="shared" si="1048"/>
        <v>6515666.1659530886</v>
      </c>
    </row>
    <row r="106" spans="2:278" x14ac:dyDescent="0.2">
      <c r="B106" s="3" t="s">
        <v>157</v>
      </c>
      <c r="C106" s="7">
        <f>SUM($C$102:C102)</f>
        <v>0</v>
      </c>
      <c r="D106" s="7">
        <f>SUM($C$102:D102)</f>
        <v>0</v>
      </c>
      <c r="E106" s="7">
        <f>SUM($C$102:E102)</f>
        <v>0</v>
      </c>
      <c r="F106" s="7">
        <f>SUM($C$102:F102)</f>
        <v>0</v>
      </c>
      <c r="G106" s="7">
        <f>SUM($C$102:G102)</f>
        <v>0</v>
      </c>
      <c r="H106" s="7">
        <f>SUM($C$102:H102)</f>
        <v>0</v>
      </c>
      <c r="I106" s="7">
        <f>SUM($C$102:I102)</f>
        <v>0</v>
      </c>
      <c r="J106" s="7">
        <f>SUM($C$102:J102)</f>
        <v>0</v>
      </c>
      <c r="K106" s="7">
        <f>SUM($C$102:K102)</f>
        <v>0</v>
      </c>
      <c r="L106" s="7">
        <f>SUM($C$102:L102)</f>
        <v>0</v>
      </c>
      <c r="M106" s="7">
        <f>SUM($C$102:M102)</f>
        <v>0</v>
      </c>
      <c r="N106" s="7">
        <f>SUM($C$102:N102)</f>
        <v>0</v>
      </c>
      <c r="O106" s="7">
        <f>SUM($C$102:O102)</f>
        <v>0</v>
      </c>
      <c r="P106" s="7">
        <f>SUM($C$102:P102)</f>
        <v>0</v>
      </c>
      <c r="Q106" s="7">
        <f>SUM($C$102:Q102)</f>
        <v>0</v>
      </c>
      <c r="R106" s="7">
        <f>SUM($C$102:R102)</f>
        <v>57378.180664920226</v>
      </c>
      <c r="S106" s="7">
        <f>SUM($C$102:S102)</f>
        <v>122709.55902381358</v>
      </c>
      <c r="T106" s="7">
        <f>SUM($C$102:T102)</f>
        <v>180771.711446673</v>
      </c>
      <c r="U106" s="7">
        <f>SUM($C$102:U102)</f>
        <v>247149.26704263606</v>
      </c>
      <c r="V106" s="7">
        <f>SUM($C$102:V102)</f>
        <v>313548.31712204329</v>
      </c>
      <c r="W106" s="7">
        <f>SUM($C$102:W102)</f>
        <v>372640.81212773523</v>
      </c>
      <c r="X106" s="7">
        <f>SUM($C$102:X102)</f>
        <v>439754.6819168693</v>
      </c>
      <c r="Y106" s="7">
        <f>SUM($C$102:Y102)</f>
        <v>499537.00679116521</v>
      </c>
      <c r="Z106" s="7">
        <f>SUM($C$102:Z102)</f>
        <v>567368.13671086484</v>
      </c>
      <c r="AA106" s="7">
        <f>SUM($C$102:AA102)</f>
        <v>637073.58577202295</v>
      </c>
      <c r="AB106" s="7">
        <f>SUM($C$102:AB102)</f>
        <v>683951.15487325622</v>
      </c>
      <c r="AC106" s="7">
        <f>SUM($C$102:AC102)</f>
        <v>754377.54014435224</v>
      </c>
      <c r="AD106" s="7">
        <f>SUM($C$102:AD102)</f>
        <v>906858.50137621374</v>
      </c>
      <c r="AE106" s="7">
        <f>SUM($C$102:AE102)</f>
        <v>1070438.8765589949</v>
      </c>
      <c r="AF106" s="7">
        <f>SUM($C$102:AF102)</f>
        <v>1223617.9523718585</v>
      </c>
      <c r="AG106" s="7">
        <f>SUM($C$102:AG102)</f>
        <v>1387924.1941854979</v>
      </c>
      <c r="AH106" s="7">
        <f>SUM($C$102:AH102)</f>
        <v>1552594.2979279188</v>
      </c>
      <c r="AI106" s="7">
        <f>SUM($C$102:AI102)</f>
        <v>1706825.0201202931</v>
      </c>
      <c r="AJ106" s="7">
        <f>SUM($C$102:AJ102)</f>
        <v>1872224.7101672534</v>
      </c>
      <c r="AK106" s="7">
        <f>SUM($C$102:AK102)</f>
        <v>2027159.5247012191</v>
      </c>
      <c r="AL106" s="7">
        <f>SUM($C$102:AL102)</f>
        <v>2193291.2912961477</v>
      </c>
      <c r="AM106" s="7">
        <f>SUM($C$102:AM102)</f>
        <v>2361414.3069200139</v>
      </c>
      <c r="AN106" s="7">
        <f>SUM($C$102:AN102)</f>
        <v>2497292.2938529672</v>
      </c>
      <c r="AO106" s="7">
        <f>SUM($C$102:AO102)</f>
        <v>2666151.1371516334</v>
      </c>
      <c r="AP106" s="7">
        <f>SUM($C$102:AP102)</f>
        <v>2833847.9825940477</v>
      </c>
      <c r="AQ106" s="7">
        <f>SUM($C$102:AQ102)</f>
        <v>3011741.8128914423</v>
      </c>
      <c r="AR106" s="7">
        <f>SUM($C$102:AR102)</f>
        <v>3179094.6952844216</v>
      </c>
      <c r="AS106" s="7">
        <f>SUM($C$102:AS102)</f>
        <v>3357757.0628687534</v>
      </c>
      <c r="AT106" s="7">
        <f>SUM($C$102:AT102)</f>
        <v>3536804.681274279</v>
      </c>
      <c r="AU106" s="7">
        <f>SUM($C$102:AU102)</f>
        <v>3705272.5706114052</v>
      </c>
      <c r="AV106" s="7">
        <f>SUM($C$102:AV102)</f>
        <v>3885092.6605333723</v>
      </c>
      <c r="AW106" s="7">
        <f>SUM($C$102:AW102)</f>
        <v>4054307.0594915641</v>
      </c>
      <c r="AX106" s="7">
        <f>SUM($C$102:AX102)</f>
        <v>4234902.2548084445</v>
      </c>
      <c r="AY106" s="7">
        <f>SUM($C$102:AY102)</f>
        <v>4417627.6865105564</v>
      </c>
      <c r="AZ106" s="7">
        <f>SUM($C$102:AZ102)</f>
        <v>4578674.3208232727</v>
      </c>
      <c r="BA106" s="7">
        <f>SUM($C$102:BA102)</f>
        <v>4762178.8254004279</v>
      </c>
      <c r="BB106" s="7">
        <f>SUM($C$102:BB102)</f>
        <v>4935012.3549242532</v>
      </c>
      <c r="BC106" s="7">
        <f>SUM($C$102:BC102)</f>
        <v>5119298.588514965</v>
      </c>
      <c r="BD106" s="7">
        <f>SUM($C$102:BD102)</f>
        <v>5292887.58091632</v>
      </c>
      <c r="BE106" s="7">
        <f>SUM($C$102:BE102)</f>
        <v>5477958.2086154232</v>
      </c>
      <c r="BF106" s="7">
        <f>SUM($C$102:BF102)</f>
        <v>5663422.0355863459</v>
      </c>
      <c r="BG106" s="7">
        <f>SUM($C$102:BG102)</f>
        <v>5838149.0578617882</v>
      </c>
      <c r="BH106" s="7">
        <f>SUM($C$102:BH102)</f>
        <v>6024401.2934421906</v>
      </c>
      <c r="BI106" s="7">
        <f>SUM($C$102:BI102)</f>
        <v>6199890.2386953179</v>
      </c>
      <c r="BJ106" s="7">
        <f>SUM($C$102:BJ102)</f>
        <v>6386933.570502473</v>
      </c>
      <c r="BK106" s="7">
        <f>SUM($C$102:BK102)</f>
        <v>6576241.0614620335</v>
      </c>
      <c r="BL106" s="7">
        <f>SUM($C$102:BL102)</f>
        <v>6732344.5308594778</v>
      </c>
      <c r="BM106" s="7">
        <f>SUM($C$102:BM102)</f>
        <v>6922447.1664722441</v>
      </c>
      <c r="BN106" s="7">
        <f>SUM($C$102:BN102)</f>
        <v>7101719.9106722744</v>
      </c>
      <c r="BO106" s="7">
        <f>SUM($C$102:BO102)</f>
        <v>7292620.4012672687</v>
      </c>
      <c r="BP106" s="7">
        <f>SUM($C$102:BP102)</f>
        <v>7472664.2044378612</v>
      </c>
      <c r="BQ106" s="7">
        <f>SUM($C$102:BQ102)</f>
        <v>7664365.2694821684</v>
      </c>
      <c r="BR106" s="7">
        <f>SUM($C$102:BR102)</f>
        <v>7856467.6444153097</v>
      </c>
      <c r="BS106" s="7">
        <f>SUM($C$102:BS102)</f>
        <v>8037672.9702890422</v>
      </c>
      <c r="BT106" s="7">
        <f>SUM($C$102:BT102)</f>
        <v>8230580.0160730556</v>
      </c>
      <c r="BU106" s="7">
        <f>SUM($C$102:BU102)</f>
        <v>8412562.992861053</v>
      </c>
      <c r="BV106" s="7">
        <f>SUM($C$102:BV102)</f>
        <v>8606277.4519424792</v>
      </c>
      <c r="BW106" s="7">
        <f>SUM($C$102:BW102)</f>
        <v>8802399.2583105005</v>
      </c>
      <c r="BX106" s="7">
        <f>SUM($C$102:BX102)</f>
        <v>8964815.9068489783</v>
      </c>
      <c r="BY106" s="7">
        <f>SUM($C$102:BY102)</f>
        <v>9161749.25752973</v>
      </c>
      <c r="BZ106" s="7">
        <f>SUM($C$102:BZ102)</f>
        <v>9347690.5945576336</v>
      </c>
      <c r="CA106" s="7">
        <f>SUM($C$102:CA102)</f>
        <v>9545438.2551702559</v>
      </c>
      <c r="CB106" s="7">
        <f>SUM($C$102:CB102)</f>
        <v>9732166.5655504335</v>
      </c>
      <c r="CC106" s="7">
        <f>SUM($C$102:CC102)</f>
        <v>9930731.311037546</v>
      </c>
      <c r="CD106" s="7">
        <f>SUM($C$102:CD102)</f>
        <v>10129705.642487522</v>
      </c>
      <c r="CE106" s="7">
        <f>SUM($C$102:CE102)</f>
        <v>10317619.447835814</v>
      </c>
      <c r="CF106" s="7">
        <f>SUM($C$102:CF102)</f>
        <v>10517415.044124162</v>
      </c>
      <c r="CG106" s="7">
        <f>SUM($C$102:CG102)</f>
        <v>10706122.549287729</v>
      </c>
      <c r="CH106" s="7">
        <f>SUM($C$102:CH102)</f>
        <v>10906742.208802793</v>
      </c>
      <c r="CI106" s="7">
        <f>SUM($C$102:CI102)</f>
        <v>11105755.663729772</v>
      </c>
      <c r="CJ106" s="7">
        <f>SUM($C$102:CJ102)</f>
        <v>11270552.711205311</v>
      </c>
      <c r="CK106" s="7">
        <f>SUM($C$102:CK102)</f>
        <v>11470394.444638971</v>
      </c>
      <c r="CL106" s="7">
        <f>SUM($C$102:CL102)</f>
        <v>11659078.771607842</v>
      </c>
      <c r="CM106" s="7">
        <f>SUM($C$102:CM102)</f>
        <v>11859751.6055793</v>
      </c>
      <c r="CN106" s="7">
        <f>SUM($C$102:CN102)</f>
        <v>12049239.145030366</v>
      </c>
      <c r="CO106" s="7">
        <f>SUM($C$102:CO102)</f>
        <v>12250745.911083393</v>
      </c>
      <c r="CP106" s="7">
        <f>SUM($C$102:CP102)</f>
        <v>12452670.707987541</v>
      </c>
      <c r="CQ106" s="7">
        <f>SUM($C$102:CQ102)</f>
        <v>12643368.203837447</v>
      </c>
      <c r="CR106" s="7">
        <f>SUM($C$102:CR102)</f>
        <v>12846131.198044851</v>
      </c>
      <c r="CS106" s="7">
        <f>SUM($C$102:CS102)</f>
        <v>13037638.770089155</v>
      </c>
      <c r="CT106" s="7">
        <f>SUM($C$102:CT102)</f>
        <v>13241242.81706501</v>
      </c>
      <c r="CU106" s="7">
        <f>SUM($C$102:CU102)</f>
        <v>13447571.076492053</v>
      </c>
      <c r="CV106" s="7">
        <f>SUM($C$102:CV102)</f>
        <v>13619161.361377412</v>
      </c>
      <c r="CW106" s="7">
        <f>SUM($C$102:CW102)</f>
        <v>13826334.974827215</v>
      </c>
      <c r="CX106" s="7">
        <f>SUM($C$102:CX102)</f>
        <v>14022182.452431768</v>
      </c>
      <c r="CY106" s="7">
        <f>SUM($C$102:CY102)</f>
        <v>14230204.299491988</v>
      </c>
      <c r="CZ106" s="7">
        <f>SUM($C$102:CZ102)</f>
        <v>14426871.560047127</v>
      </c>
      <c r="DA106" s="7">
        <f>SUM($C$102:DA102)</f>
        <v>14635744.530011078</v>
      </c>
      <c r="DB106" s="7">
        <f>SUM($C$102:DB102)</f>
        <v>14845044.147953797</v>
      </c>
      <c r="DC106" s="7">
        <f>SUM($C$102:DC102)</f>
        <v>15042946.325431</v>
      </c>
      <c r="DD106" s="7">
        <f>SUM($C$102:DD102)</f>
        <v>15253101.418486737</v>
      </c>
      <c r="DE106" s="7">
        <f>SUM($C$102:DE102)</f>
        <v>15451830.382661084</v>
      </c>
      <c r="DF106" s="7">
        <f>SUM($C$102:DF102)</f>
        <v>15662843.864529902</v>
      </c>
      <c r="DG106" s="7">
        <f>SUM($C$102:DG102)</f>
        <v>15876756.704797827</v>
      </c>
      <c r="DH106" s="7">
        <f>SUM($C$102:DH102)</f>
        <v>16055399.477731869</v>
      </c>
      <c r="DI106" s="7">
        <f>SUM($C$102:DI102)</f>
        <v>16270175.095785823</v>
      </c>
      <c r="DJ106" s="7">
        <f>SUM($C$102:DJ102)</f>
        <v>16473452.444716932</v>
      </c>
      <c r="DK106" s="7">
        <f>SUM($C$102:DK102)</f>
        <v>16689093.778868841</v>
      </c>
      <c r="DL106" s="7">
        <f>SUM($C$102:DL102)</f>
        <v>16893207.819281034</v>
      </c>
      <c r="DM106" s="7">
        <f>SUM($C$102:DM102)</f>
        <v>17109717.81774538</v>
      </c>
      <c r="DN106" s="7">
        <f>SUM($C$102:DN102)</f>
        <v>17326663.257050004</v>
      </c>
      <c r="DO106" s="7">
        <f>SUM($C$102:DO102)</f>
        <v>17532037.684127636</v>
      </c>
      <c r="DP106" s="7">
        <f>SUM($C$102:DP102)</f>
        <v>17749856.228706382</v>
      </c>
      <c r="DQ106" s="7">
        <f>SUM($C$102:DQ102)</f>
        <v>17956074.493887533</v>
      </c>
      <c r="DR106" s="7">
        <f>SUM($C$102:DR102)</f>
        <v>18114700.787148636</v>
      </c>
      <c r="DS106" s="7">
        <f>SUM($C$102:DS102)</f>
        <v>18275822.032076035</v>
      </c>
      <c r="DT106" s="7">
        <f>SUM($C$102:DT102)</f>
        <v>18408198.945468981</v>
      </c>
      <c r="DU106" s="7">
        <f>SUM($C$102:DU102)</f>
        <v>18569836.061631359</v>
      </c>
      <c r="DV106" s="7">
        <f>SUM($C$102:DV102)</f>
        <v>18722038.964866433</v>
      </c>
      <c r="DW106" s="7">
        <f>SUM($C$102:DW102)</f>
        <v>18884192.144396104</v>
      </c>
      <c r="DX106" s="7">
        <f>SUM($C$102:DX102)</f>
        <v>19036886.309986357</v>
      </c>
      <c r="DY106" s="7">
        <f>SUM($C$102:DY102)</f>
        <v>19199555.727281388</v>
      </c>
      <c r="DZ106" s="7">
        <f>SUM($C$102:DZ102)</f>
        <v>19362483.323241334</v>
      </c>
      <c r="EA106" s="7">
        <f>SUM($C$102:EA102)</f>
        <v>19515914.531100158</v>
      </c>
      <c r="EB106" s="7">
        <f>SUM($C$102:EB102)</f>
        <v>19679358.592568431</v>
      </c>
      <c r="EC106" s="7">
        <f>SUM($C$102:EC102)</f>
        <v>19833281.234124742</v>
      </c>
      <c r="ED106" s="7">
        <f>SUM($C$102:ED102)</f>
        <v>19997241.889953263</v>
      </c>
      <c r="EE106" s="7">
        <f>SUM($C$102:EE102)</f>
        <v>20162847.511933472</v>
      </c>
      <c r="EF106" s="7">
        <f>SUM($C$102:EF102)</f>
        <v>20299258.977542788</v>
      </c>
      <c r="EG106" s="7">
        <f>SUM($C$102:EG102)</f>
        <v>20465381.351986855</v>
      </c>
      <c r="EH106" s="7">
        <f>SUM($C$102:EH102)</f>
        <v>20679532.782287467</v>
      </c>
      <c r="EI106" s="7">
        <f>SUM($C$102:EI102)</f>
        <v>20903852.66975756</v>
      </c>
      <c r="EJ106" s="7">
        <f>SUM($C$102:EJ102)</f>
        <v>21118630.398214277</v>
      </c>
      <c r="EK106" s="7">
        <f>SUM($C$102:EK102)</f>
        <v>21343602.791753635</v>
      </c>
      <c r="EL106" s="7">
        <f>SUM($C$102:EL102)</f>
        <v>21568902.049327627</v>
      </c>
      <c r="EM106" s="7">
        <f>SUM($C$102:EM102)</f>
        <v>21784622.121517826</v>
      </c>
      <c r="EN106" s="7">
        <f>SUM($C$102:EN102)</f>
        <v>22010576.328257669</v>
      </c>
      <c r="EO106" s="7">
        <f>SUM($C$102:EO102)</f>
        <v>22226926.558082417</v>
      </c>
      <c r="EP106" s="7">
        <f>SUM($C$102:EP102)</f>
        <v>22453537.340849534</v>
      </c>
      <c r="EQ106" s="7">
        <f>SUM($C$102:EQ102)</f>
        <v>22681435.705048211</v>
      </c>
      <c r="ER106" s="7">
        <f>SUM($C$102:ER102)</f>
        <v>22879751.483974356</v>
      </c>
      <c r="ES106" s="7">
        <f>SUM($C$102:ES102)</f>
        <v>23108308.861470263</v>
      </c>
      <c r="ET106" s="7">
        <f>SUM($C$102:ET102)</f>
        <v>23327199.905337263</v>
      </c>
      <c r="EU106" s="7">
        <f>SUM($C$102:EU102)</f>
        <v>23556417.918832954</v>
      </c>
      <c r="EV106" s="7">
        <f>SUM($C$102:EV102)</f>
        <v>23775944.503993265</v>
      </c>
      <c r="EW106" s="7">
        <f>SUM($C$102:EW102)</f>
        <v>24005824.774370916</v>
      </c>
      <c r="EX106" s="7">
        <f>SUM($C$102:EX102)</f>
        <v>24236036.780426506</v>
      </c>
      <c r="EY106" s="7">
        <f>SUM($C$102:EY102)</f>
        <v>24456519.552168157</v>
      </c>
      <c r="EZ106" s="7">
        <f>SUM($C$102:EZ102)</f>
        <v>24687396.242815174</v>
      </c>
      <c r="FA106" s="7">
        <f>SUM($C$102:FA102)</f>
        <v>24908518.385394793</v>
      </c>
      <c r="FB106" s="7">
        <f>SUM($C$102:FB102)</f>
        <v>25140061.376561128</v>
      </c>
      <c r="FC106" s="7">
        <f>SUM($C$102:FC102)</f>
        <v>25372957.504503936</v>
      </c>
      <c r="FD106" s="7">
        <f>SUM($C$102:FD102)</f>
        <v>25575807.262401223</v>
      </c>
      <c r="FE106" s="7">
        <f>SUM($C$102:FE102)</f>
        <v>25809372.110700447</v>
      </c>
      <c r="FF106" s="7">
        <f>SUM($C$102:FF102)</f>
        <v>26033118.739901081</v>
      </c>
      <c r="FG106" s="7">
        <f>SUM($C$102:FG102)</f>
        <v>26267353.918937527</v>
      </c>
      <c r="FH106" s="7">
        <f>SUM($C$102:FH102)</f>
        <v>26491745.254911687</v>
      </c>
      <c r="FI106" s="7">
        <f>SUM($C$102:FI102)</f>
        <v>26726652.372676615</v>
      </c>
      <c r="FJ106" s="7">
        <f>SUM($C$102:FJ102)</f>
        <v>26961896.062028568</v>
      </c>
      <c r="FK106" s="7">
        <f>SUM($C$102:FK102)</f>
        <v>27187257.30464071</v>
      </c>
      <c r="FL106" s="7">
        <f>SUM($C$102:FL102)</f>
        <v>27423175.340009302</v>
      </c>
      <c r="FM106" s="7">
        <f>SUM($C$102:FM102)</f>
        <v>27649185.080528777</v>
      </c>
      <c r="FN106" s="7">
        <f>SUM($C$102:FN102)</f>
        <v>27885779.06349244</v>
      </c>
      <c r="FO106" s="7">
        <f>SUM($C$102:FO102)</f>
        <v>28123677.038771983</v>
      </c>
      <c r="FP106" s="7">
        <f>SUM($C$102:FP102)</f>
        <v>28331055.359163973</v>
      </c>
      <c r="FQ106" s="7">
        <f>SUM($C$102:FQ102)</f>
        <v>28569631.679227769</v>
      </c>
      <c r="FR106" s="7">
        <f>SUM($C$102:FR102)</f>
        <v>28798234.688500691</v>
      </c>
      <c r="FS106" s="7">
        <f>SUM($C$102:FS102)</f>
        <v>29037490.947869442</v>
      </c>
      <c r="FT106" s="7">
        <f>SUM($C$102:FT102)</f>
        <v>29266747.730884422</v>
      </c>
      <c r="FU106" s="7">
        <f>SUM($C$102:FU102)</f>
        <v>29506685.521070074</v>
      </c>
      <c r="FV106" s="7">
        <f>SUM($C$102:FV102)</f>
        <v>29746964.672511339</v>
      </c>
      <c r="FW106" s="7">
        <f>SUM($C$102:FW102)</f>
        <v>29977204.927595913</v>
      </c>
      <c r="FX106" s="7">
        <f>SUM($C$102:FX102)</f>
        <v>30218167.991243195</v>
      </c>
      <c r="FY106" s="7">
        <f>SUM($C$102:FY102)</f>
        <v>30449065.763574723</v>
      </c>
      <c r="FZ106" s="7">
        <f>SUM($C$102:FZ102)</f>
        <v>30690714.322940819</v>
      </c>
      <c r="GA106" s="7">
        <f>SUM($C$102:GA102)</f>
        <v>30933741.431908913</v>
      </c>
      <c r="GB106" s="7">
        <f>SUM($C$102:GB102)</f>
        <v>31145765.89919262</v>
      </c>
      <c r="GC106" s="7">
        <f>SUM($C$102:GC102)</f>
        <v>31389480.872748446</v>
      </c>
      <c r="GD106" s="7">
        <f>SUM($C$102:GD102)</f>
        <v>31623064.162631273</v>
      </c>
      <c r="GE106" s="7">
        <f>SUM($C$102:GE102)</f>
        <v>31867468.57558753</v>
      </c>
      <c r="GF106" s="7">
        <f>SUM($C$102:GF102)</f>
        <v>32101714.584997501</v>
      </c>
      <c r="GG106" s="7">
        <f>SUM($C$102:GG102)</f>
        <v>32346810.00848509</v>
      </c>
      <c r="GH106" s="7">
        <f>SUM($C$102:GH102)</f>
        <v>32592251.525229737</v>
      </c>
      <c r="GI106" s="7">
        <f>SUM($C$102:GI102)</f>
        <v>32827494.382914588</v>
      </c>
      <c r="GJ106" s="7">
        <f>SUM($C$102:GJ102)</f>
        <v>33073629.259725679</v>
      </c>
      <c r="GK106" s="7">
        <f>SUM($C$102:GK102)</f>
        <v>33309538.522798423</v>
      </c>
      <c r="GL106" s="7">
        <f>SUM($C$102:GL102)</f>
        <v>33556368.321083926</v>
      </c>
      <c r="GM106" s="7">
        <f>SUM($C$102:GM102)</f>
        <v>33803907.604690738</v>
      </c>
      <c r="GN106" s="7">
        <f>SUM($C$102:GN102)</f>
        <v>34019951.351167388</v>
      </c>
      <c r="GO106" s="7">
        <f>SUM($C$102:GO102)</f>
        <v>34268187.890632942</v>
      </c>
      <c r="GP106" s="7">
        <f>SUM($C$102:GP102)</f>
        <v>34549106.796376653</v>
      </c>
      <c r="GQ106" s="7">
        <f>SUM($C$102:GQ102)</f>
        <v>34841068.062281743</v>
      </c>
      <c r="GR106" s="7">
        <f>SUM($C$102:GR102)</f>
        <v>35122759.056824736</v>
      </c>
      <c r="GS106" s="7">
        <f>SUM($C$102:GS102)</f>
        <v>35415521.831974611</v>
      </c>
      <c r="GT106" s="7">
        <f>SUM($C$102:GT102)</f>
        <v>35708686.383260958</v>
      </c>
      <c r="GU106" s="7">
        <f>SUM($C$102:GU102)</f>
        <v>35991540.440091304</v>
      </c>
      <c r="GV106" s="7">
        <f>SUM($C$102:GV102)</f>
        <v>36285510.592410766</v>
      </c>
      <c r="GW106" s="7">
        <f>SUM($C$102:GW102)</f>
        <v>36569143.323077172</v>
      </c>
      <c r="GX106" s="7">
        <f>SUM($C$102:GX102)</f>
        <v>36863921.815775067</v>
      </c>
      <c r="GY106" s="7">
        <f>SUM($C$102:GY102)</f>
        <v>37159105.508798309</v>
      </c>
      <c r="GZ106" s="7">
        <f>SUM($C$102:GZ102)</f>
        <v>37422343.481885009</v>
      </c>
      <c r="HA106" s="7">
        <f>SUM($C$102:HA102)</f>
        <v>37718339.641611345</v>
      </c>
      <c r="HB106" s="7">
        <f>SUM($C$102:HB102)</f>
        <v>38003930.668209836</v>
      </c>
      <c r="HC106" s="7">
        <f>SUM($C$102:HC102)</f>
        <v>38300742.057105295</v>
      </c>
      <c r="HD106" s="7">
        <f>SUM($C$102:HD102)</f>
        <v>38587121.070102036</v>
      </c>
      <c r="HE106" s="7">
        <f>SUM($C$102:HE102)</f>
        <v>38884750.459935226</v>
      </c>
      <c r="HF106" s="7">
        <f>SUM($C$102:HF102)</f>
        <v>39182789.892566085</v>
      </c>
      <c r="HG106" s="7">
        <f>SUM($C$102:HG102)</f>
        <v>39470355.914719433</v>
      </c>
      <c r="HH106" s="7">
        <f>SUM($C$102:HH102)</f>
        <v>39769217.523451477</v>
      </c>
      <c r="HI106" s="7">
        <f>SUM($C$102:HI102)</f>
        <v>40057578.251262948</v>
      </c>
      <c r="HJ106" s="7">
        <f>SUM($C$102:HJ102)</f>
        <v>40357264.831257857</v>
      </c>
      <c r="HK106" s="7">
        <f>SUM($C$102:HK102)</f>
        <v>40657364.948009893</v>
      </c>
      <c r="HL106" s="7">
        <f>SUM($C$102:HL102)</f>
        <v>40925009.811306022</v>
      </c>
      <c r="HM106" s="7">
        <f>SUM($C$102:HM102)</f>
        <v>41225939.109721087</v>
      </c>
      <c r="HN106" s="7">
        <f>SUM($C$102:HN102)</f>
        <v>41516298.449685469</v>
      </c>
      <c r="HO106" s="7">
        <f>SUM($C$102:HO102)</f>
        <v>41818059.748514809</v>
      </c>
      <c r="HP106" s="7">
        <f>SUM($C$102:HP102)</f>
        <v>42109223.296508461</v>
      </c>
      <c r="HQ106" s="7">
        <f>SUM($C$102:HQ102)</f>
        <v>42411819.423994541</v>
      </c>
      <c r="HR106" s="7">
        <f>SUM($C$102:HR102)</f>
        <v>42714834.029374614</v>
      </c>
      <c r="HS106" s="7">
        <f>SUM($C$102:HS102)</f>
        <v>43007209.021479972</v>
      </c>
      <c r="HT106" s="7">
        <f>SUM($C$102:HT102)</f>
        <v>43311062.715746142</v>
      </c>
      <c r="HU106" s="7">
        <f>SUM($C$102:HU102)</f>
        <v>43604248.772086069</v>
      </c>
      <c r="HV106" s="7">
        <f>SUM($C$102:HV102)</f>
        <v>43908944.407348245</v>
      </c>
      <c r="HW106" s="7">
        <f>SUM($C$102:HW102)</f>
        <v>44214062.085649326</v>
      </c>
      <c r="HX106" s="7">
        <f>SUM($C$102:HX102)</f>
        <v>44486204.693955153</v>
      </c>
      <c r="HY106" s="7">
        <f>SUM($C$102:HY102)</f>
        <v>44792168.609432831</v>
      </c>
      <c r="HZ106" s="7">
        <f>SUM($C$102:HZ102)</f>
        <v>45087394.415832512</v>
      </c>
      <c r="IA106" s="7">
        <f>SUM($C$102:IA102)</f>
        <v>45087394.415832512</v>
      </c>
      <c r="IB106" s="7">
        <f>SUM($C$102:IB102)</f>
        <v>45087394.415832512</v>
      </c>
      <c r="IC106" s="7">
        <f>SUM($C$102:IC102)</f>
        <v>45087394.415832512</v>
      </c>
      <c r="ID106" s="7">
        <f>SUM($C$102:ID102)</f>
        <v>45087394.415832512</v>
      </c>
      <c r="IE106" s="7">
        <f>SUM($C$102:IE102)</f>
        <v>45087394.415832512</v>
      </c>
      <c r="IF106" s="7">
        <f>SUM($C$102:IF102)</f>
        <v>45087394.415832512</v>
      </c>
      <c r="IG106" s="7">
        <f>SUM($C$102:IG102)</f>
        <v>45087394.415832512</v>
      </c>
      <c r="IH106" s="7">
        <f>SUM($C$102:IH102)</f>
        <v>45087394.415832512</v>
      </c>
      <c r="II106" s="7">
        <f>SUM($C$102:II102)</f>
        <v>45087394.415832512</v>
      </c>
      <c r="IJ106" s="7">
        <f>SUM($C$102:IJ102)</f>
        <v>45087394.415832512</v>
      </c>
      <c r="IK106" s="7">
        <f>SUM($C$102:IK102)</f>
        <v>45087394.415832512</v>
      </c>
      <c r="IL106" s="7">
        <f>SUM($C$102:IL102)</f>
        <v>45087394.415832512</v>
      </c>
      <c r="IM106" s="7">
        <f>SUM($C$102:IM102)</f>
        <v>45087394.415832512</v>
      </c>
      <c r="IN106" s="7">
        <f>SUM($C$102:IN102)</f>
        <v>45087394.415832512</v>
      </c>
      <c r="IO106" s="7">
        <f>SUM($C$102:IO102)</f>
        <v>45087394.415832512</v>
      </c>
      <c r="IP106" s="7">
        <f>SUM($C$102:IP102)</f>
        <v>45087394.415832512</v>
      </c>
      <c r="IQ106" s="7">
        <f>SUM($C$102:IQ102)</f>
        <v>45087394.415832512</v>
      </c>
      <c r="IR106" s="7">
        <f>SUM($C$102:IR102)</f>
        <v>45087394.415832512</v>
      </c>
      <c r="IS106" s="7">
        <f>SUM($C$102:IS102)</f>
        <v>45087394.415832512</v>
      </c>
      <c r="IT106" s="7">
        <f>SUM($C$102:IT102)</f>
        <v>45087394.415832512</v>
      </c>
      <c r="IU106" s="7">
        <f>SUM($C$102:IU102)</f>
        <v>45087394.415832512</v>
      </c>
      <c r="IV106" s="7">
        <f>SUM($C$102:IV102)</f>
        <v>45087394.415832512</v>
      </c>
      <c r="IW106" s="7">
        <f>SUM($C$102:IW102)</f>
        <v>45087394.415832512</v>
      </c>
      <c r="IX106" s="7">
        <f>SUM($C$102:IX102)</f>
        <v>45087394.415832512</v>
      </c>
      <c r="IY106" s="7">
        <f>SUM($C$102:IY102)</f>
        <v>45087394.415832512</v>
      </c>
      <c r="IZ106" s="7">
        <f>SUM($C$102:IZ102)</f>
        <v>45087394.415832512</v>
      </c>
      <c r="JA106" s="7">
        <f>SUM($C$102:JA102)</f>
        <v>45087394.415832512</v>
      </c>
      <c r="JB106" s="7">
        <f>SUM($C$102:JB102)</f>
        <v>45087394.415832512</v>
      </c>
      <c r="JC106" s="7">
        <f>SUM($C$102:JC102)</f>
        <v>45087394.415832512</v>
      </c>
      <c r="JD106" s="7">
        <f>SUM($C$102:JD102)</f>
        <v>45087394.415832512</v>
      </c>
      <c r="JE106" s="7">
        <f>SUM($C$102:JE102)</f>
        <v>45087394.415832512</v>
      </c>
      <c r="JF106" s="7">
        <f>SUM($C$102:JF102)</f>
        <v>45087394.415832512</v>
      </c>
      <c r="JG106" s="7">
        <f>SUM($C$102:JG102)</f>
        <v>45087394.415832512</v>
      </c>
      <c r="JH106" s="7">
        <f>SUM($C$102:JH102)</f>
        <v>45087394.415832512</v>
      </c>
      <c r="JI106" s="7">
        <f>SUM($C$102:JI102)</f>
        <v>45087394.415832512</v>
      </c>
      <c r="JJ106" s="7">
        <f>SUM($C$102:JJ102)</f>
        <v>45087394.415832512</v>
      </c>
      <c r="JK106" s="7">
        <f>SUM($C$102:JK102)</f>
        <v>45087394.415832512</v>
      </c>
      <c r="JL106" s="7">
        <f>SUM($C$102:JL102)</f>
        <v>45087394.415832512</v>
      </c>
      <c r="JM106" s="7">
        <f>SUM($C$102:JM102)</f>
        <v>45087394.415832512</v>
      </c>
      <c r="JN106" s="7">
        <f>SUM($C$102:JN102)</f>
        <v>45087394.415832512</v>
      </c>
      <c r="JO106" s="7">
        <f>SUM($C$102:JO102)</f>
        <v>45087394.415832512</v>
      </c>
      <c r="JP106" s="7">
        <f>SUM($C$102:JP102)</f>
        <v>45087394.415832512</v>
      </c>
      <c r="JQ106" s="7">
        <f>SUM($C$102:JQ102)</f>
        <v>45087394.415832512</v>
      </c>
      <c r="JR106" s="7">
        <f>SUM($C$102:JR102)</f>
        <v>45087394.415832512</v>
      </c>
    </row>
  </sheetData>
  <mergeCells count="23">
    <mergeCell ref="CI5:CT5"/>
    <mergeCell ref="AA5:AL5"/>
    <mergeCell ref="AM5:AX5"/>
    <mergeCell ref="O5:Z5"/>
    <mergeCell ref="C5:N5"/>
    <mergeCell ref="AY5:BJ5"/>
    <mergeCell ref="BK5:BV5"/>
    <mergeCell ref="BW5:CH5"/>
    <mergeCell ref="CU5:DF5"/>
    <mergeCell ref="DG5:DR5"/>
    <mergeCell ref="DS5:ED5"/>
    <mergeCell ref="EE5:EP5"/>
    <mergeCell ref="EQ5:FB5"/>
    <mergeCell ref="FC5:FN5"/>
    <mergeCell ref="FO5:FZ5"/>
    <mergeCell ref="GA5:GL5"/>
    <mergeCell ref="GM5:GX5"/>
    <mergeCell ref="GY5:HJ5"/>
    <mergeCell ref="HK5:HV5"/>
    <mergeCell ref="HW5:IH5"/>
    <mergeCell ref="II5:IT5"/>
    <mergeCell ref="IU5:JF5"/>
    <mergeCell ref="JG5:JR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7669-68DD-440C-A099-D558C61D093A}">
  <sheetPr>
    <tabColor theme="0" tint="-0.249977111117893"/>
  </sheetPr>
  <dimension ref="A2:JT79"/>
  <sheetViews>
    <sheetView zoomScale="85" zoomScaleNormal="85" workbookViewId="0">
      <pane xSplit="6240" ySplit="1080" topLeftCell="A43" activePane="bottomRight"/>
      <selection activeCell="H1" sqref="H1"/>
      <selection pane="topRight" activeCell="A2" sqref="A2"/>
      <selection pane="bottomLeft" activeCell="A50" sqref="A50:E78"/>
      <selection pane="bottomRight" activeCell="I73" sqref="I73"/>
    </sheetView>
  </sheetViews>
  <sheetFormatPr defaultColWidth="9.140625" defaultRowHeight="12.75" x14ac:dyDescent="0.2"/>
  <cols>
    <col min="1" max="1" width="23.85546875" style="1" bestFit="1" customWidth="1"/>
    <col min="2" max="2" width="14.7109375" style="1" customWidth="1"/>
    <col min="3" max="3" width="10.7109375" style="1" customWidth="1"/>
    <col min="4" max="4" width="23.85546875" style="1" bestFit="1" customWidth="1"/>
    <col min="5" max="5" width="17" style="1" customWidth="1"/>
    <col min="6" max="15" width="13.28515625" style="1" bestFit="1" customWidth="1"/>
    <col min="16" max="16" width="14.42578125" style="1" bestFit="1" customWidth="1"/>
    <col min="17" max="280" width="13.28515625" style="1" bestFit="1" customWidth="1"/>
    <col min="281" max="16384" width="9.140625" style="1"/>
  </cols>
  <sheetData>
    <row r="2" spans="1:280" x14ac:dyDescent="0.2">
      <c r="A2" s="3"/>
      <c r="B2" s="3"/>
      <c r="C2" s="3"/>
    </row>
    <row r="3" spans="1:280" x14ac:dyDescent="0.2">
      <c r="E3" s="1">
        <v>1</v>
      </c>
      <c r="F3" s="1">
        <f>E3+1</f>
        <v>2</v>
      </c>
      <c r="G3" s="1">
        <f t="shared" ref="G3:BR3" si="0">F3+1</f>
        <v>3</v>
      </c>
      <c r="H3" s="1">
        <f t="shared" si="0"/>
        <v>4</v>
      </c>
      <c r="I3" s="1">
        <f t="shared" si="0"/>
        <v>5</v>
      </c>
      <c r="J3" s="1">
        <f t="shared" si="0"/>
        <v>6</v>
      </c>
      <c r="K3" s="1">
        <f t="shared" si="0"/>
        <v>7</v>
      </c>
      <c r="L3" s="1">
        <f t="shared" si="0"/>
        <v>8</v>
      </c>
      <c r="M3" s="1">
        <f t="shared" si="0"/>
        <v>9</v>
      </c>
      <c r="N3" s="1">
        <f t="shared" si="0"/>
        <v>10</v>
      </c>
      <c r="O3" s="1">
        <f t="shared" si="0"/>
        <v>11</v>
      </c>
      <c r="P3" s="1">
        <f t="shared" si="0"/>
        <v>12</v>
      </c>
      <c r="Q3" s="1">
        <f t="shared" si="0"/>
        <v>13</v>
      </c>
      <c r="R3" s="1">
        <f t="shared" si="0"/>
        <v>14</v>
      </c>
      <c r="S3" s="1">
        <f t="shared" si="0"/>
        <v>15</v>
      </c>
      <c r="T3" s="1">
        <f t="shared" si="0"/>
        <v>16</v>
      </c>
      <c r="U3" s="1">
        <f t="shared" si="0"/>
        <v>17</v>
      </c>
      <c r="V3" s="1">
        <f t="shared" si="0"/>
        <v>18</v>
      </c>
      <c r="W3" s="1">
        <f t="shared" si="0"/>
        <v>19</v>
      </c>
      <c r="X3" s="1">
        <f t="shared" si="0"/>
        <v>20</v>
      </c>
      <c r="Y3" s="1">
        <f t="shared" si="0"/>
        <v>21</v>
      </c>
      <c r="Z3" s="1">
        <f t="shared" si="0"/>
        <v>22</v>
      </c>
      <c r="AA3" s="1">
        <f t="shared" si="0"/>
        <v>23</v>
      </c>
      <c r="AB3" s="1">
        <f t="shared" si="0"/>
        <v>24</v>
      </c>
      <c r="AC3" s="1">
        <f t="shared" si="0"/>
        <v>25</v>
      </c>
      <c r="AD3" s="1">
        <f t="shared" si="0"/>
        <v>26</v>
      </c>
      <c r="AE3" s="1">
        <f t="shared" si="0"/>
        <v>27</v>
      </c>
      <c r="AF3" s="1">
        <f t="shared" si="0"/>
        <v>28</v>
      </c>
      <c r="AG3" s="1">
        <f t="shared" si="0"/>
        <v>29</v>
      </c>
      <c r="AH3" s="1">
        <f t="shared" si="0"/>
        <v>30</v>
      </c>
      <c r="AI3" s="1">
        <f t="shared" si="0"/>
        <v>31</v>
      </c>
      <c r="AJ3" s="1">
        <f t="shared" si="0"/>
        <v>32</v>
      </c>
      <c r="AK3" s="1">
        <f t="shared" si="0"/>
        <v>33</v>
      </c>
      <c r="AL3" s="1">
        <f t="shared" si="0"/>
        <v>34</v>
      </c>
      <c r="AM3" s="1">
        <f t="shared" si="0"/>
        <v>35</v>
      </c>
      <c r="AN3" s="1">
        <f t="shared" si="0"/>
        <v>36</v>
      </c>
      <c r="AO3" s="1">
        <f t="shared" si="0"/>
        <v>37</v>
      </c>
      <c r="AP3" s="1">
        <f t="shared" si="0"/>
        <v>38</v>
      </c>
      <c r="AQ3" s="1">
        <f t="shared" si="0"/>
        <v>39</v>
      </c>
      <c r="AR3" s="1">
        <f t="shared" si="0"/>
        <v>40</v>
      </c>
      <c r="AS3" s="1">
        <f t="shared" si="0"/>
        <v>41</v>
      </c>
      <c r="AT3" s="1">
        <f t="shared" si="0"/>
        <v>42</v>
      </c>
      <c r="AU3" s="1">
        <f t="shared" si="0"/>
        <v>43</v>
      </c>
      <c r="AV3" s="1">
        <f t="shared" si="0"/>
        <v>44</v>
      </c>
      <c r="AW3" s="1">
        <f t="shared" si="0"/>
        <v>45</v>
      </c>
      <c r="AX3" s="1">
        <f t="shared" si="0"/>
        <v>46</v>
      </c>
      <c r="AY3" s="1">
        <f t="shared" si="0"/>
        <v>47</v>
      </c>
      <c r="AZ3" s="1">
        <f t="shared" si="0"/>
        <v>48</v>
      </c>
      <c r="BA3" s="1">
        <f t="shared" si="0"/>
        <v>49</v>
      </c>
      <c r="BB3" s="1">
        <f t="shared" si="0"/>
        <v>50</v>
      </c>
      <c r="BC3" s="1">
        <f t="shared" si="0"/>
        <v>51</v>
      </c>
      <c r="BD3" s="1">
        <f t="shared" si="0"/>
        <v>52</v>
      </c>
      <c r="BE3" s="1">
        <f t="shared" si="0"/>
        <v>53</v>
      </c>
      <c r="BF3" s="1">
        <f t="shared" si="0"/>
        <v>54</v>
      </c>
      <c r="BG3" s="1">
        <f t="shared" si="0"/>
        <v>55</v>
      </c>
      <c r="BH3" s="1">
        <f t="shared" si="0"/>
        <v>56</v>
      </c>
      <c r="BI3" s="1">
        <f t="shared" si="0"/>
        <v>57</v>
      </c>
      <c r="BJ3" s="1">
        <f t="shared" si="0"/>
        <v>58</v>
      </c>
      <c r="BK3" s="1">
        <f t="shared" si="0"/>
        <v>59</v>
      </c>
      <c r="BL3" s="1">
        <f t="shared" si="0"/>
        <v>60</v>
      </c>
      <c r="BM3" s="1">
        <f t="shared" si="0"/>
        <v>61</v>
      </c>
      <c r="BN3" s="1">
        <f t="shared" si="0"/>
        <v>62</v>
      </c>
      <c r="BO3" s="1">
        <f t="shared" si="0"/>
        <v>63</v>
      </c>
      <c r="BP3" s="1">
        <f t="shared" si="0"/>
        <v>64</v>
      </c>
      <c r="BQ3" s="1">
        <f t="shared" si="0"/>
        <v>65</v>
      </c>
      <c r="BR3" s="1">
        <f t="shared" si="0"/>
        <v>66</v>
      </c>
      <c r="BS3" s="1">
        <f t="shared" ref="BS3:CV3" si="1">BR3+1</f>
        <v>67</v>
      </c>
      <c r="BT3" s="1">
        <f t="shared" si="1"/>
        <v>68</v>
      </c>
      <c r="BU3" s="1">
        <f t="shared" si="1"/>
        <v>69</v>
      </c>
      <c r="BV3" s="1">
        <f t="shared" si="1"/>
        <v>70</v>
      </c>
      <c r="BW3" s="1">
        <f t="shared" si="1"/>
        <v>71</v>
      </c>
      <c r="BX3" s="1">
        <f t="shared" si="1"/>
        <v>72</v>
      </c>
      <c r="BY3" s="1">
        <f t="shared" si="1"/>
        <v>73</v>
      </c>
      <c r="BZ3" s="1">
        <f t="shared" si="1"/>
        <v>74</v>
      </c>
      <c r="CA3" s="1">
        <f t="shared" si="1"/>
        <v>75</v>
      </c>
      <c r="CB3" s="1">
        <f t="shared" si="1"/>
        <v>76</v>
      </c>
      <c r="CC3" s="1">
        <f t="shared" si="1"/>
        <v>77</v>
      </c>
      <c r="CD3" s="1">
        <f t="shared" si="1"/>
        <v>78</v>
      </c>
      <c r="CE3" s="1">
        <f t="shared" si="1"/>
        <v>79</v>
      </c>
      <c r="CF3" s="1">
        <f t="shared" si="1"/>
        <v>80</v>
      </c>
      <c r="CG3" s="1">
        <f t="shared" si="1"/>
        <v>81</v>
      </c>
      <c r="CH3" s="1">
        <f t="shared" si="1"/>
        <v>82</v>
      </c>
      <c r="CI3" s="1">
        <f t="shared" si="1"/>
        <v>83</v>
      </c>
      <c r="CJ3" s="1">
        <f t="shared" si="1"/>
        <v>84</v>
      </c>
      <c r="CK3" s="1">
        <f t="shared" si="1"/>
        <v>85</v>
      </c>
      <c r="CL3" s="1">
        <f t="shared" si="1"/>
        <v>86</v>
      </c>
      <c r="CM3" s="1">
        <f t="shared" si="1"/>
        <v>87</v>
      </c>
      <c r="CN3" s="1">
        <f t="shared" si="1"/>
        <v>88</v>
      </c>
      <c r="CO3" s="1">
        <f t="shared" si="1"/>
        <v>89</v>
      </c>
      <c r="CP3" s="1">
        <f t="shared" si="1"/>
        <v>90</v>
      </c>
      <c r="CQ3" s="1">
        <f t="shared" si="1"/>
        <v>91</v>
      </c>
      <c r="CR3" s="1">
        <f t="shared" si="1"/>
        <v>92</v>
      </c>
      <c r="CS3" s="1">
        <f t="shared" si="1"/>
        <v>93</v>
      </c>
      <c r="CT3" s="1">
        <f t="shared" si="1"/>
        <v>94</v>
      </c>
      <c r="CU3" s="1">
        <f t="shared" si="1"/>
        <v>95</v>
      </c>
      <c r="CV3" s="1">
        <f t="shared" si="1"/>
        <v>96</v>
      </c>
      <c r="CW3" s="1">
        <f t="shared" ref="CW3" si="2">CV3+1</f>
        <v>97</v>
      </c>
      <c r="CX3" s="1">
        <f t="shared" ref="CX3" si="3">CW3+1</f>
        <v>98</v>
      </c>
      <c r="CY3" s="1">
        <f t="shared" ref="CY3" si="4">CX3+1</f>
        <v>99</v>
      </c>
      <c r="CZ3" s="1">
        <f t="shared" ref="CZ3" si="5">CY3+1</f>
        <v>100</v>
      </c>
      <c r="DA3" s="1">
        <f t="shared" ref="DA3" si="6">CZ3+1</f>
        <v>101</v>
      </c>
      <c r="DB3" s="1">
        <f t="shared" ref="DB3" si="7">DA3+1</f>
        <v>102</v>
      </c>
      <c r="DC3" s="1">
        <f t="shared" ref="DC3" si="8">DB3+1</f>
        <v>103</v>
      </c>
      <c r="DD3" s="1">
        <f t="shared" ref="DD3" si="9">DC3+1</f>
        <v>104</v>
      </c>
      <c r="DE3" s="1">
        <f t="shared" ref="DE3" si="10">DD3+1</f>
        <v>105</v>
      </c>
      <c r="DF3" s="1">
        <f t="shared" ref="DF3" si="11">DE3+1</f>
        <v>106</v>
      </c>
      <c r="DG3" s="1">
        <f t="shared" ref="DG3" si="12">DF3+1</f>
        <v>107</v>
      </c>
      <c r="DH3" s="1">
        <f t="shared" ref="DH3" si="13">DG3+1</f>
        <v>108</v>
      </c>
      <c r="DI3" s="1">
        <f t="shared" ref="DI3" si="14">DH3+1</f>
        <v>109</v>
      </c>
      <c r="DJ3" s="1">
        <f t="shared" ref="DJ3" si="15">DI3+1</f>
        <v>110</v>
      </c>
      <c r="DK3" s="1">
        <f t="shared" ref="DK3" si="16">DJ3+1</f>
        <v>111</v>
      </c>
      <c r="DL3" s="1">
        <f t="shared" ref="DL3" si="17">DK3+1</f>
        <v>112</v>
      </c>
      <c r="DM3" s="1">
        <f t="shared" ref="DM3" si="18">DL3+1</f>
        <v>113</v>
      </c>
      <c r="DN3" s="1">
        <f t="shared" ref="DN3" si="19">DM3+1</f>
        <v>114</v>
      </c>
      <c r="DO3" s="1">
        <f t="shared" ref="DO3" si="20">DN3+1</f>
        <v>115</v>
      </c>
      <c r="DP3" s="1">
        <f t="shared" ref="DP3" si="21">DO3+1</f>
        <v>116</v>
      </c>
      <c r="DQ3" s="1">
        <f t="shared" ref="DQ3" si="22">DP3+1</f>
        <v>117</v>
      </c>
      <c r="DR3" s="1">
        <f t="shared" ref="DR3" si="23">DQ3+1</f>
        <v>118</v>
      </c>
      <c r="DS3" s="1">
        <f t="shared" ref="DS3" si="24">DR3+1</f>
        <v>119</v>
      </c>
      <c r="DT3" s="1">
        <f t="shared" ref="DT3" si="25">DS3+1</f>
        <v>120</v>
      </c>
      <c r="DU3" s="1">
        <f t="shared" ref="DU3" si="26">DT3+1</f>
        <v>121</v>
      </c>
      <c r="DV3" s="1">
        <f t="shared" ref="DV3" si="27">DU3+1</f>
        <v>122</v>
      </c>
      <c r="DW3" s="1">
        <f t="shared" ref="DW3" si="28">DV3+1</f>
        <v>123</v>
      </c>
      <c r="DX3" s="1">
        <f t="shared" ref="DX3" si="29">DW3+1</f>
        <v>124</v>
      </c>
      <c r="DY3" s="1">
        <f t="shared" ref="DY3" si="30">DX3+1</f>
        <v>125</v>
      </c>
      <c r="DZ3" s="1">
        <f t="shared" ref="DZ3" si="31">DY3+1</f>
        <v>126</v>
      </c>
      <c r="EA3" s="1">
        <f t="shared" ref="EA3" si="32">DZ3+1</f>
        <v>127</v>
      </c>
      <c r="EB3" s="1">
        <f t="shared" ref="EB3" si="33">EA3+1</f>
        <v>128</v>
      </c>
      <c r="EC3" s="1">
        <f t="shared" ref="EC3" si="34">EB3+1</f>
        <v>129</v>
      </c>
      <c r="ED3" s="1">
        <f t="shared" ref="ED3" si="35">EC3+1</f>
        <v>130</v>
      </c>
      <c r="EE3" s="1">
        <f t="shared" ref="EE3" si="36">ED3+1</f>
        <v>131</v>
      </c>
      <c r="EF3" s="1">
        <f t="shared" ref="EF3" si="37">EE3+1</f>
        <v>132</v>
      </c>
      <c r="EG3" s="1">
        <f t="shared" ref="EG3" si="38">EF3+1</f>
        <v>133</v>
      </c>
      <c r="EH3" s="1">
        <f t="shared" ref="EH3" si="39">EG3+1</f>
        <v>134</v>
      </c>
      <c r="EI3" s="1">
        <f t="shared" ref="EI3" si="40">EH3+1</f>
        <v>135</v>
      </c>
      <c r="EJ3" s="1">
        <f t="shared" ref="EJ3" si="41">EI3+1</f>
        <v>136</v>
      </c>
      <c r="EK3" s="1">
        <f t="shared" ref="EK3" si="42">EJ3+1</f>
        <v>137</v>
      </c>
      <c r="EL3" s="1">
        <f t="shared" ref="EL3" si="43">EK3+1</f>
        <v>138</v>
      </c>
      <c r="EM3" s="1">
        <f t="shared" ref="EM3" si="44">EL3+1</f>
        <v>139</v>
      </c>
      <c r="EN3" s="1">
        <f t="shared" ref="EN3" si="45">EM3+1</f>
        <v>140</v>
      </c>
      <c r="EO3" s="1">
        <f t="shared" ref="EO3" si="46">EN3+1</f>
        <v>141</v>
      </c>
      <c r="EP3" s="1">
        <f t="shared" ref="EP3" si="47">EO3+1</f>
        <v>142</v>
      </c>
      <c r="EQ3" s="1">
        <f t="shared" ref="EQ3" si="48">EP3+1</f>
        <v>143</v>
      </c>
      <c r="ER3" s="1">
        <f t="shared" ref="ER3" si="49">EQ3+1</f>
        <v>144</v>
      </c>
      <c r="ES3" s="1">
        <f t="shared" ref="ES3" si="50">ER3+1</f>
        <v>145</v>
      </c>
      <c r="ET3" s="1">
        <f t="shared" ref="ET3" si="51">ES3+1</f>
        <v>146</v>
      </c>
      <c r="EU3" s="1">
        <f t="shared" ref="EU3" si="52">ET3+1</f>
        <v>147</v>
      </c>
      <c r="EV3" s="1">
        <f t="shared" ref="EV3" si="53">EU3+1</f>
        <v>148</v>
      </c>
      <c r="EW3" s="1">
        <f t="shared" ref="EW3" si="54">EV3+1</f>
        <v>149</v>
      </c>
      <c r="EX3" s="1">
        <f t="shared" ref="EX3" si="55">EW3+1</f>
        <v>150</v>
      </c>
      <c r="EY3" s="1">
        <f t="shared" ref="EY3" si="56">EX3+1</f>
        <v>151</v>
      </c>
      <c r="EZ3" s="1">
        <f t="shared" ref="EZ3" si="57">EY3+1</f>
        <v>152</v>
      </c>
      <c r="FA3" s="1">
        <f t="shared" ref="FA3" si="58">EZ3+1</f>
        <v>153</v>
      </c>
      <c r="FB3" s="1">
        <f t="shared" ref="FB3" si="59">FA3+1</f>
        <v>154</v>
      </c>
      <c r="FC3" s="1">
        <f t="shared" ref="FC3" si="60">FB3+1</f>
        <v>155</v>
      </c>
      <c r="FD3" s="1">
        <f t="shared" ref="FD3" si="61">FC3+1</f>
        <v>156</v>
      </c>
      <c r="FE3" s="1">
        <f t="shared" ref="FE3" si="62">FD3+1</f>
        <v>157</v>
      </c>
      <c r="FF3" s="1">
        <f t="shared" ref="FF3" si="63">FE3+1</f>
        <v>158</v>
      </c>
      <c r="FG3" s="1">
        <f t="shared" ref="FG3" si="64">FF3+1</f>
        <v>159</v>
      </c>
      <c r="FH3" s="1">
        <f t="shared" ref="FH3" si="65">FG3+1</f>
        <v>160</v>
      </c>
      <c r="FI3" s="1">
        <f t="shared" ref="FI3" si="66">FH3+1</f>
        <v>161</v>
      </c>
      <c r="FJ3" s="1">
        <f t="shared" ref="FJ3" si="67">FI3+1</f>
        <v>162</v>
      </c>
      <c r="FK3" s="1">
        <f t="shared" ref="FK3" si="68">FJ3+1</f>
        <v>163</v>
      </c>
      <c r="FL3" s="1">
        <f t="shared" ref="FL3" si="69">FK3+1</f>
        <v>164</v>
      </c>
      <c r="FM3" s="1">
        <f t="shared" ref="FM3" si="70">FL3+1</f>
        <v>165</v>
      </c>
      <c r="FN3" s="1">
        <f t="shared" ref="FN3" si="71">FM3+1</f>
        <v>166</v>
      </c>
      <c r="FO3" s="1">
        <f t="shared" ref="FO3" si="72">FN3+1</f>
        <v>167</v>
      </c>
      <c r="FP3" s="1">
        <f t="shared" ref="FP3" si="73">FO3+1</f>
        <v>168</v>
      </c>
      <c r="FQ3" s="1">
        <f t="shared" ref="FQ3" si="74">FP3+1</f>
        <v>169</v>
      </c>
      <c r="FR3" s="1">
        <f t="shared" ref="FR3" si="75">FQ3+1</f>
        <v>170</v>
      </c>
      <c r="FS3" s="1">
        <f t="shared" ref="FS3" si="76">FR3+1</f>
        <v>171</v>
      </c>
      <c r="FT3" s="1">
        <f t="shared" ref="FT3" si="77">FS3+1</f>
        <v>172</v>
      </c>
      <c r="FU3" s="1">
        <f t="shared" ref="FU3" si="78">FT3+1</f>
        <v>173</v>
      </c>
      <c r="FV3" s="1">
        <f t="shared" ref="FV3" si="79">FU3+1</f>
        <v>174</v>
      </c>
      <c r="FW3" s="1">
        <f t="shared" ref="FW3" si="80">FV3+1</f>
        <v>175</v>
      </c>
      <c r="FX3" s="1">
        <f t="shared" ref="FX3" si="81">FW3+1</f>
        <v>176</v>
      </c>
      <c r="FY3" s="1">
        <f t="shared" ref="FY3" si="82">FX3+1</f>
        <v>177</v>
      </c>
      <c r="FZ3" s="1">
        <f t="shared" ref="FZ3" si="83">FY3+1</f>
        <v>178</v>
      </c>
      <c r="GA3" s="1">
        <f t="shared" ref="GA3" si="84">FZ3+1</f>
        <v>179</v>
      </c>
      <c r="GB3" s="1">
        <f t="shared" ref="GB3" si="85">GA3+1</f>
        <v>180</v>
      </c>
      <c r="GC3" s="1">
        <f t="shared" ref="GC3" si="86">GB3+1</f>
        <v>181</v>
      </c>
      <c r="GD3" s="1">
        <f t="shared" ref="GD3" si="87">GC3+1</f>
        <v>182</v>
      </c>
      <c r="GE3" s="1">
        <f t="shared" ref="GE3" si="88">GD3+1</f>
        <v>183</v>
      </c>
      <c r="GF3" s="1">
        <f t="shared" ref="GF3" si="89">GE3+1</f>
        <v>184</v>
      </c>
      <c r="GG3" s="1">
        <f t="shared" ref="GG3" si="90">GF3+1</f>
        <v>185</v>
      </c>
      <c r="GH3" s="1">
        <f t="shared" ref="GH3" si="91">GG3+1</f>
        <v>186</v>
      </c>
      <c r="GI3" s="1">
        <f t="shared" ref="GI3" si="92">GH3+1</f>
        <v>187</v>
      </c>
      <c r="GJ3" s="1">
        <f t="shared" ref="GJ3" si="93">GI3+1</f>
        <v>188</v>
      </c>
      <c r="GK3" s="1">
        <f t="shared" ref="GK3" si="94">GJ3+1</f>
        <v>189</v>
      </c>
      <c r="GL3" s="1">
        <f t="shared" ref="GL3" si="95">GK3+1</f>
        <v>190</v>
      </c>
      <c r="GM3" s="1">
        <f t="shared" ref="GM3" si="96">GL3+1</f>
        <v>191</v>
      </c>
      <c r="GN3" s="1">
        <f t="shared" ref="GN3" si="97">GM3+1</f>
        <v>192</v>
      </c>
      <c r="GO3" s="1">
        <f t="shared" ref="GO3" si="98">GN3+1</f>
        <v>193</v>
      </c>
      <c r="GP3" s="1">
        <f t="shared" ref="GP3" si="99">GO3+1</f>
        <v>194</v>
      </c>
      <c r="GQ3" s="1">
        <f t="shared" ref="GQ3" si="100">GP3+1</f>
        <v>195</v>
      </c>
      <c r="GR3" s="1">
        <f t="shared" ref="GR3" si="101">GQ3+1</f>
        <v>196</v>
      </c>
      <c r="GS3" s="1">
        <f t="shared" ref="GS3" si="102">GR3+1</f>
        <v>197</v>
      </c>
      <c r="GT3" s="1">
        <f t="shared" ref="GT3" si="103">GS3+1</f>
        <v>198</v>
      </c>
      <c r="GU3" s="1">
        <f t="shared" ref="GU3" si="104">GT3+1</f>
        <v>199</v>
      </c>
      <c r="GV3" s="1">
        <f t="shared" ref="GV3" si="105">GU3+1</f>
        <v>200</v>
      </c>
      <c r="GW3" s="1">
        <f t="shared" ref="GW3" si="106">GV3+1</f>
        <v>201</v>
      </c>
      <c r="GX3" s="1">
        <f t="shared" ref="GX3" si="107">GW3+1</f>
        <v>202</v>
      </c>
      <c r="GY3" s="1">
        <f t="shared" ref="GY3" si="108">GX3+1</f>
        <v>203</v>
      </c>
      <c r="GZ3" s="1">
        <f t="shared" ref="GZ3" si="109">GY3+1</f>
        <v>204</v>
      </c>
      <c r="HA3" s="1">
        <f t="shared" ref="HA3" si="110">GZ3+1</f>
        <v>205</v>
      </c>
      <c r="HB3" s="1">
        <f t="shared" ref="HB3" si="111">HA3+1</f>
        <v>206</v>
      </c>
      <c r="HC3" s="1">
        <f t="shared" ref="HC3" si="112">HB3+1</f>
        <v>207</v>
      </c>
      <c r="HD3" s="1">
        <f t="shared" ref="HD3" si="113">HC3+1</f>
        <v>208</v>
      </c>
      <c r="HE3" s="1">
        <f t="shared" ref="HE3" si="114">HD3+1</f>
        <v>209</v>
      </c>
      <c r="HF3" s="1">
        <f t="shared" ref="HF3" si="115">HE3+1</f>
        <v>210</v>
      </c>
      <c r="HG3" s="1">
        <f t="shared" ref="HG3" si="116">HF3+1</f>
        <v>211</v>
      </c>
      <c r="HH3" s="1">
        <f t="shared" ref="HH3" si="117">HG3+1</f>
        <v>212</v>
      </c>
      <c r="HI3" s="1">
        <f t="shared" ref="HI3" si="118">HH3+1</f>
        <v>213</v>
      </c>
      <c r="HJ3" s="1">
        <f t="shared" ref="HJ3" si="119">HI3+1</f>
        <v>214</v>
      </c>
      <c r="HK3" s="1">
        <f t="shared" ref="HK3" si="120">HJ3+1</f>
        <v>215</v>
      </c>
      <c r="HL3" s="1">
        <f t="shared" ref="HL3" si="121">HK3+1</f>
        <v>216</v>
      </c>
      <c r="HM3" s="1">
        <f t="shared" ref="HM3" si="122">HL3+1</f>
        <v>217</v>
      </c>
      <c r="HN3" s="1">
        <f t="shared" ref="HN3" si="123">HM3+1</f>
        <v>218</v>
      </c>
      <c r="HO3" s="1">
        <f t="shared" ref="HO3" si="124">HN3+1</f>
        <v>219</v>
      </c>
      <c r="HP3" s="1">
        <f t="shared" ref="HP3" si="125">HO3+1</f>
        <v>220</v>
      </c>
      <c r="HQ3" s="1">
        <f t="shared" ref="HQ3" si="126">HP3+1</f>
        <v>221</v>
      </c>
      <c r="HR3" s="1">
        <f t="shared" ref="HR3" si="127">HQ3+1</f>
        <v>222</v>
      </c>
      <c r="HS3" s="1">
        <f t="shared" ref="HS3" si="128">HR3+1</f>
        <v>223</v>
      </c>
      <c r="HT3" s="1">
        <f t="shared" ref="HT3" si="129">HS3+1</f>
        <v>224</v>
      </c>
      <c r="HU3" s="1">
        <f t="shared" ref="HU3" si="130">HT3+1</f>
        <v>225</v>
      </c>
      <c r="HV3" s="1">
        <f t="shared" ref="HV3" si="131">HU3+1</f>
        <v>226</v>
      </c>
      <c r="HW3" s="1">
        <f t="shared" ref="HW3" si="132">HV3+1</f>
        <v>227</v>
      </c>
      <c r="HX3" s="1">
        <f t="shared" ref="HX3" si="133">HW3+1</f>
        <v>228</v>
      </c>
      <c r="HY3" s="1">
        <f t="shared" ref="HY3" si="134">HX3+1</f>
        <v>229</v>
      </c>
      <c r="HZ3" s="1">
        <f t="shared" ref="HZ3" si="135">HY3+1</f>
        <v>230</v>
      </c>
      <c r="IA3" s="1">
        <f t="shared" ref="IA3" si="136">HZ3+1</f>
        <v>231</v>
      </c>
      <c r="IB3" s="1">
        <f t="shared" ref="IB3" si="137">IA3+1</f>
        <v>232</v>
      </c>
      <c r="IC3" s="1">
        <f t="shared" ref="IC3" si="138">IB3+1</f>
        <v>233</v>
      </c>
      <c r="ID3" s="1">
        <f t="shared" ref="ID3" si="139">IC3+1</f>
        <v>234</v>
      </c>
      <c r="IE3" s="1">
        <f t="shared" ref="IE3" si="140">ID3+1</f>
        <v>235</v>
      </c>
      <c r="IF3" s="1">
        <f t="shared" ref="IF3" si="141">IE3+1</f>
        <v>236</v>
      </c>
      <c r="IG3" s="1">
        <f t="shared" ref="IG3" si="142">IF3+1</f>
        <v>237</v>
      </c>
      <c r="IH3" s="1">
        <f t="shared" ref="IH3" si="143">IG3+1</f>
        <v>238</v>
      </c>
      <c r="II3" s="1">
        <f t="shared" ref="II3" si="144">IH3+1</f>
        <v>239</v>
      </c>
      <c r="IJ3" s="1">
        <f t="shared" ref="IJ3" si="145">II3+1</f>
        <v>240</v>
      </c>
      <c r="IK3" s="1">
        <f t="shared" ref="IK3" si="146">IJ3+1</f>
        <v>241</v>
      </c>
      <c r="IL3" s="1">
        <f t="shared" ref="IL3" si="147">IK3+1</f>
        <v>242</v>
      </c>
      <c r="IM3" s="1">
        <f t="shared" ref="IM3" si="148">IL3+1</f>
        <v>243</v>
      </c>
      <c r="IN3" s="1">
        <f t="shared" ref="IN3" si="149">IM3+1</f>
        <v>244</v>
      </c>
      <c r="IO3" s="1">
        <f t="shared" ref="IO3" si="150">IN3+1</f>
        <v>245</v>
      </c>
      <c r="IP3" s="1">
        <f t="shared" ref="IP3" si="151">IO3+1</f>
        <v>246</v>
      </c>
      <c r="IQ3" s="1">
        <f t="shared" ref="IQ3" si="152">IP3+1</f>
        <v>247</v>
      </c>
      <c r="IR3" s="1">
        <f t="shared" ref="IR3" si="153">IQ3+1</f>
        <v>248</v>
      </c>
      <c r="IS3" s="1">
        <f t="shared" ref="IS3" si="154">IR3+1</f>
        <v>249</v>
      </c>
      <c r="IT3" s="1">
        <f t="shared" ref="IT3" si="155">IS3+1</f>
        <v>250</v>
      </c>
      <c r="IU3" s="1">
        <f t="shared" ref="IU3" si="156">IT3+1</f>
        <v>251</v>
      </c>
      <c r="IV3" s="1">
        <f t="shared" ref="IV3" si="157">IU3+1</f>
        <v>252</v>
      </c>
      <c r="IW3" s="1">
        <f t="shared" ref="IW3" si="158">IV3+1</f>
        <v>253</v>
      </c>
      <c r="IX3" s="1">
        <f t="shared" ref="IX3" si="159">IW3+1</f>
        <v>254</v>
      </c>
      <c r="IY3" s="1">
        <f t="shared" ref="IY3" si="160">IX3+1</f>
        <v>255</v>
      </c>
      <c r="IZ3" s="1">
        <f t="shared" ref="IZ3" si="161">IY3+1</f>
        <v>256</v>
      </c>
      <c r="JA3" s="1">
        <f t="shared" ref="JA3" si="162">IZ3+1</f>
        <v>257</v>
      </c>
      <c r="JB3" s="1">
        <f t="shared" ref="JB3" si="163">JA3+1</f>
        <v>258</v>
      </c>
      <c r="JC3" s="1">
        <f t="shared" ref="JC3" si="164">JB3+1</f>
        <v>259</v>
      </c>
      <c r="JD3" s="1">
        <f t="shared" ref="JD3" si="165">JC3+1</f>
        <v>260</v>
      </c>
      <c r="JE3" s="1">
        <f t="shared" ref="JE3" si="166">JD3+1</f>
        <v>261</v>
      </c>
      <c r="JF3" s="1">
        <f t="shared" ref="JF3" si="167">JE3+1</f>
        <v>262</v>
      </c>
      <c r="JG3" s="1">
        <f t="shared" ref="JG3" si="168">JF3+1</f>
        <v>263</v>
      </c>
      <c r="JH3" s="1">
        <f t="shared" ref="JH3" si="169">JG3+1</f>
        <v>264</v>
      </c>
      <c r="JI3" s="1">
        <f t="shared" ref="JI3" si="170">JH3+1</f>
        <v>265</v>
      </c>
      <c r="JJ3" s="1">
        <f t="shared" ref="JJ3" si="171">JI3+1</f>
        <v>266</v>
      </c>
      <c r="JK3" s="1">
        <f t="shared" ref="JK3" si="172">JJ3+1</f>
        <v>267</v>
      </c>
      <c r="JL3" s="1">
        <f t="shared" ref="JL3" si="173">JK3+1</f>
        <v>268</v>
      </c>
      <c r="JM3" s="1">
        <f t="shared" ref="JM3" si="174">JL3+1</f>
        <v>269</v>
      </c>
      <c r="JN3" s="1">
        <f t="shared" ref="JN3" si="175">JM3+1</f>
        <v>270</v>
      </c>
      <c r="JO3" s="1">
        <f t="shared" ref="JO3" si="176">JN3+1</f>
        <v>271</v>
      </c>
      <c r="JP3" s="1">
        <f t="shared" ref="JP3" si="177">JO3+1</f>
        <v>272</v>
      </c>
      <c r="JQ3" s="1">
        <f t="shared" ref="JQ3" si="178">JP3+1</f>
        <v>273</v>
      </c>
      <c r="JR3" s="1">
        <f t="shared" ref="JR3" si="179">JQ3+1</f>
        <v>274</v>
      </c>
      <c r="JS3" s="1">
        <f t="shared" ref="JS3" si="180">JR3+1</f>
        <v>275</v>
      </c>
      <c r="JT3" s="1">
        <f t="shared" ref="JT3" si="181">JS3+1</f>
        <v>276</v>
      </c>
    </row>
    <row r="4" spans="1:280" x14ac:dyDescent="0.2">
      <c r="E4" s="854">
        <f>'Data Sources'!C1</f>
        <v>2026</v>
      </c>
      <c r="F4" s="853"/>
      <c r="G4" s="853"/>
      <c r="H4" s="853"/>
      <c r="I4" s="853"/>
      <c r="J4" s="853"/>
      <c r="K4" s="853"/>
      <c r="L4" s="853"/>
      <c r="M4" s="853"/>
      <c r="N4" s="853"/>
      <c r="O4" s="853"/>
      <c r="P4" s="853"/>
      <c r="Q4" s="854">
        <f>E4+1</f>
        <v>2027</v>
      </c>
      <c r="R4" s="853"/>
      <c r="S4" s="853"/>
      <c r="T4" s="853"/>
      <c r="U4" s="853"/>
      <c r="V4" s="853"/>
      <c r="W4" s="853"/>
      <c r="X4" s="853"/>
      <c r="Y4" s="853"/>
      <c r="Z4" s="853"/>
      <c r="AA4" s="853"/>
      <c r="AB4" s="853"/>
      <c r="AC4" s="854">
        <f>Q4+1</f>
        <v>2028</v>
      </c>
      <c r="AD4" s="853"/>
      <c r="AE4" s="853"/>
      <c r="AF4" s="853"/>
      <c r="AG4" s="853"/>
      <c r="AH4" s="853"/>
      <c r="AI4" s="853"/>
      <c r="AJ4" s="853"/>
      <c r="AK4" s="853"/>
      <c r="AL4" s="853"/>
      <c r="AM4" s="853"/>
      <c r="AN4" s="853"/>
      <c r="AO4" s="853">
        <f>AC4+1</f>
        <v>2029</v>
      </c>
      <c r="AP4" s="853"/>
      <c r="AQ4" s="853"/>
      <c r="AR4" s="853"/>
      <c r="AS4" s="853"/>
      <c r="AT4" s="853"/>
      <c r="AU4" s="853"/>
      <c r="AV4" s="853"/>
      <c r="AW4" s="853"/>
      <c r="AX4" s="853"/>
      <c r="AY4" s="853"/>
      <c r="AZ4" s="853"/>
      <c r="BA4" s="853">
        <f>AO4+1</f>
        <v>2030</v>
      </c>
      <c r="BB4" s="853"/>
      <c r="BC4" s="853"/>
      <c r="BD4" s="853"/>
      <c r="BE4" s="853"/>
      <c r="BF4" s="853"/>
      <c r="BG4" s="853"/>
      <c r="BH4" s="853"/>
      <c r="BI4" s="853"/>
      <c r="BJ4" s="853"/>
      <c r="BK4" s="853"/>
      <c r="BL4" s="853"/>
      <c r="BM4" s="853">
        <f>BA4+1</f>
        <v>2031</v>
      </c>
      <c r="BN4" s="853"/>
      <c r="BO4" s="853"/>
      <c r="BP4" s="853"/>
      <c r="BQ4" s="853"/>
      <c r="BR4" s="853"/>
      <c r="BS4" s="853"/>
      <c r="BT4" s="853"/>
      <c r="BU4" s="853"/>
      <c r="BV4" s="853"/>
      <c r="BW4" s="853"/>
      <c r="BX4" s="853"/>
      <c r="BY4" s="853">
        <f>BM4+1</f>
        <v>2032</v>
      </c>
      <c r="BZ4" s="853"/>
      <c r="CA4" s="853"/>
      <c r="CB4" s="853"/>
      <c r="CC4" s="853"/>
      <c r="CD4" s="853"/>
      <c r="CE4" s="853"/>
      <c r="CF4" s="853"/>
      <c r="CG4" s="853"/>
      <c r="CH4" s="853"/>
      <c r="CI4" s="853"/>
      <c r="CJ4" s="853"/>
      <c r="CK4" s="853">
        <f>BY4+1</f>
        <v>2033</v>
      </c>
      <c r="CL4" s="853"/>
      <c r="CM4" s="853"/>
      <c r="CN4" s="853"/>
      <c r="CO4" s="853"/>
      <c r="CP4" s="853"/>
      <c r="CQ4" s="853"/>
      <c r="CR4" s="853"/>
      <c r="CS4" s="853"/>
      <c r="CT4" s="853"/>
      <c r="CU4" s="853"/>
      <c r="CV4" s="853"/>
      <c r="CW4" s="853">
        <f>CK4+1</f>
        <v>2034</v>
      </c>
      <c r="CX4" s="853"/>
      <c r="CY4" s="853"/>
      <c r="CZ4" s="853"/>
      <c r="DA4" s="853"/>
      <c r="DB4" s="853"/>
      <c r="DC4" s="853"/>
      <c r="DD4" s="853"/>
      <c r="DE4" s="853"/>
      <c r="DF4" s="853"/>
      <c r="DG4" s="853"/>
      <c r="DH4" s="853"/>
      <c r="DI4" s="853">
        <f>CW4+1</f>
        <v>2035</v>
      </c>
      <c r="DJ4" s="853"/>
      <c r="DK4" s="853"/>
      <c r="DL4" s="853"/>
      <c r="DM4" s="853"/>
      <c r="DN4" s="853"/>
      <c r="DO4" s="853"/>
      <c r="DP4" s="853"/>
      <c r="DQ4" s="853"/>
      <c r="DR4" s="853"/>
      <c r="DS4" s="853"/>
      <c r="DT4" s="853"/>
      <c r="DU4" s="853">
        <f>DI4+1</f>
        <v>2036</v>
      </c>
      <c r="DV4" s="853"/>
      <c r="DW4" s="853"/>
      <c r="DX4" s="853"/>
      <c r="DY4" s="853"/>
      <c r="DZ4" s="853"/>
      <c r="EA4" s="853"/>
      <c r="EB4" s="853"/>
      <c r="EC4" s="853"/>
      <c r="ED4" s="853"/>
      <c r="EE4" s="853"/>
      <c r="EF4" s="853"/>
      <c r="EG4" s="853">
        <f>DU4+1</f>
        <v>2037</v>
      </c>
      <c r="EH4" s="853"/>
      <c r="EI4" s="853"/>
      <c r="EJ4" s="853"/>
      <c r="EK4" s="853"/>
      <c r="EL4" s="853"/>
      <c r="EM4" s="853"/>
      <c r="EN4" s="853"/>
      <c r="EO4" s="853"/>
      <c r="EP4" s="853"/>
      <c r="EQ4" s="853"/>
      <c r="ER4" s="853"/>
      <c r="ES4" s="853">
        <f>EG4+1</f>
        <v>2038</v>
      </c>
      <c r="ET4" s="853"/>
      <c r="EU4" s="853"/>
      <c r="EV4" s="853"/>
      <c r="EW4" s="853"/>
      <c r="EX4" s="853"/>
      <c r="EY4" s="853"/>
      <c r="EZ4" s="853"/>
      <c r="FA4" s="853"/>
      <c r="FB4" s="853"/>
      <c r="FC4" s="853"/>
      <c r="FD4" s="853"/>
      <c r="FE4" s="853">
        <f>ES4+1</f>
        <v>2039</v>
      </c>
      <c r="FF4" s="853"/>
      <c r="FG4" s="853"/>
      <c r="FH4" s="853"/>
      <c r="FI4" s="853"/>
      <c r="FJ4" s="853"/>
      <c r="FK4" s="853"/>
      <c r="FL4" s="853"/>
      <c r="FM4" s="853"/>
      <c r="FN4" s="853"/>
      <c r="FO4" s="853"/>
      <c r="FP4" s="853"/>
      <c r="FQ4" s="853">
        <f>FE4+1</f>
        <v>2040</v>
      </c>
      <c r="FR4" s="853"/>
      <c r="FS4" s="853"/>
      <c r="FT4" s="853"/>
      <c r="FU4" s="853"/>
      <c r="FV4" s="853"/>
      <c r="FW4" s="853"/>
      <c r="FX4" s="853"/>
      <c r="FY4" s="853"/>
      <c r="FZ4" s="853"/>
      <c r="GA4" s="853"/>
      <c r="GB4" s="853"/>
      <c r="GC4" s="853">
        <f>FQ4+1</f>
        <v>2041</v>
      </c>
      <c r="GD4" s="853"/>
      <c r="GE4" s="853"/>
      <c r="GF4" s="853"/>
      <c r="GG4" s="853"/>
      <c r="GH4" s="853"/>
      <c r="GI4" s="853"/>
      <c r="GJ4" s="853"/>
      <c r="GK4" s="853"/>
      <c r="GL4" s="853"/>
      <c r="GM4" s="853"/>
      <c r="GN4" s="853"/>
      <c r="GO4" s="853">
        <f>GC4+1</f>
        <v>2042</v>
      </c>
      <c r="GP4" s="853"/>
      <c r="GQ4" s="853"/>
      <c r="GR4" s="853"/>
      <c r="GS4" s="853"/>
      <c r="GT4" s="853"/>
      <c r="GU4" s="853"/>
      <c r="GV4" s="853"/>
      <c r="GW4" s="853"/>
      <c r="GX4" s="853"/>
      <c r="GY4" s="853"/>
      <c r="GZ4" s="853"/>
      <c r="HA4" s="853">
        <f>GO4+1</f>
        <v>2043</v>
      </c>
      <c r="HB4" s="853"/>
      <c r="HC4" s="853"/>
      <c r="HD4" s="853"/>
      <c r="HE4" s="853"/>
      <c r="HF4" s="853"/>
      <c r="HG4" s="853"/>
      <c r="HH4" s="853"/>
      <c r="HI4" s="853"/>
      <c r="HJ4" s="853"/>
      <c r="HK4" s="853"/>
      <c r="HL4" s="853"/>
      <c r="HM4" s="853">
        <f>HA4+1</f>
        <v>2044</v>
      </c>
      <c r="HN4" s="853"/>
      <c r="HO4" s="853"/>
      <c r="HP4" s="853"/>
      <c r="HQ4" s="853"/>
      <c r="HR4" s="853"/>
      <c r="HS4" s="853"/>
      <c r="HT4" s="853"/>
      <c r="HU4" s="853"/>
      <c r="HV4" s="853"/>
      <c r="HW4" s="853"/>
      <c r="HX4" s="853"/>
      <c r="HY4" s="853">
        <f>HM4+1</f>
        <v>2045</v>
      </c>
      <c r="HZ4" s="853"/>
      <c r="IA4" s="853"/>
      <c r="IB4" s="853"/>
      <c r="IC4" s="853"/>
      <c r="ID4" s="853"/>
      <c r="IE4" s="853"/>
      <c r="IF4" s="853"/>
      <c r="IG4" s="853"/>
      <c r="IH4" s="853"/>
      <c r="II4" s="853"/>
      <c r="IJ4" s="853"/>
      <c r="IK4" s="853">
        <f>HY4+1</f>
        <v>2046</v>
      </c>
      <c r="IL4" s="853"/>
      <c r="IM4" s="853"/>
      <c r="IN4" s="853"/>
      <c r="IO4" s="853"/>
      <c r="IP4" s="853"/>
      <c r="IQ4" s="853"/>
      <c r="IR4" s="853"/>
      <c r="IS4" s="853"/>
      <c r="IT4" s="853"/>
      <c r="IU4" s="853"/>
      <c r="IV4" s="853"/>
      <c r="IW4" s="853">
        <f>IK4+1</f>
        <v>2047</v>
      </c>
      <c r="IX4" s="853"/>
      <c r="IY4" s="853"/>
      <c r="IZ4" s="853"/>
      <c r="JA4" s="853"/>
      <c r="JB4" s="853"/>
      <c r="JC4" s="853"/>
      <c r="JD4" s="853"/>
      <c r="JE4" s="853"/>
      <c r="JF4" s="853"/>
      <c r="JG4" s="853"/>
      <c r="JH4" s="853"/>
      <c r="JI4" s="853">
        <f>IW4+1</f>
        <v>2048</v>
      </c>
      <c r="JJ4" s="853"/>
      <c r="JK4" s="853"/>
      <c r="JL4" s="853"/>
      <c r="JM4" s="853"/>
      <c r="JN4" s="853"/>
      <c r="JO4" s="853"/>
      <c r="JP4" s="853"/>
      <c r="JQ4" s="853"/>
      <c r="JR4" s="853"/>
      <c r="JS4" s="853"/>
      <c r="JT4" s="853"/>
    </row>
    <row r="5" spans="1:280" x14ac:dyDescent="0.2">
      <c r="E5" s="19" t="s">
        <v>28</v>
      </c>
      <c r="F5" s="19" t="s">
        <v>29</v>
      </c>
      <c r="G5" s="19" t="s">
        <v>30</v>
      </c>
      <c r="H5" s="19" t="s">
        <v>31</v>
      </c>
      <c r="I5" s="19" t="s">
        <v>32</v>
      </c>
      <c r="J5" s="19" t="s">
        <v>33</v>
      </c>
      <c r="K5" s="19" t="s">
        <v>34</v>
      </c>
      <c r="L5" s="19" t="s">
        <v>35</v>
      </c>
      <c r="M5" s="19" t="s">
        <v>36</v>
      </c>
      <c r="N5" s="19" t="s">
        <v>37</v>
      </c>
      <c r="O5" s="19" t="s">
        <v>38</v>
      </c>
      <c r="P5" s="19" t="s">
        <v>39</v>
      </c>
      <c r="Q5" s="19" t="s">
        <v>28</v>
      </c>
      <c r="R5" s="19" t="s">
        <v>29</v>
      </c>
      <c r="S5" s="19" t="s">
        <v>30</v>
      </c>
      <c r="T5" s="19" t="s">
        <v>31</v>
      </c>
      <c r="U5" s="19" t="s">
        <v>32</v>
      </c>
      <c r="V5" s="19" t="s">
        <v>33</v>
      </c>
      <c r="W5" s="19" t="s">
        <v>34</v>
      </c>
      <c r="X5" s="19" t="s">
        <v>35</v>
      </c>
      <c r="Y5" s="19" t="s">
        <v>36</v>
      </c>
      <c r="Z5" s="19" t="s">
        <v>37</v>
      </c>
      <c r="AA5" s="19" t="s">
        <v>38</v>
      </c>
      <c r="AB5" s="19" t="s">
        <v>39</v>
      </c>
      <c r="AC5" s="19" t="s">
        <v>28</v>
      </c>
      <c r="AD5" s="19" t="s">
        <v>29</v>
      </c>
      <c r="AE5" s="19" t="s">
        <v>30</v>
      </c>
      <c r="AF5" s="19" t="s">
        <v>31</v>
      </c>
      <c r="AG5" s="19" t="s">
        <v>32</v>
      </c>
      <c r="AH5" s="19" t="s">
        <v>33</v>
      </c>
      <c r="AI5" s="19" t="s">
        <v>34</v>
      </c>
      <c r="AJ5" s="19" t="s">
        <v>35</v>
      </c>
      <c r="AK5" s="19" t="s">
        <v>36</v>
      </c>
      <c r="AL5" s="19" t="s">
        <v>37</v>
      </c>
      <c r="AM5" s="19" t="s">
        <v>38</v>
      </c>
      <c r="AN5" s="19" t="s">
        <v>39</v>
      </c>
      <c r="AO5" s="19" t="s">
        <v>28</v>
      </c>
      <c r="AP5" s="19" t="s">
        <v>29</v>
      </c>
      <c r="AQ5" s="19" t="s">
        <v>30</v>
      </c>
      <c r="AR5" s="19" t="s">
        <v>31</v>
      </c>
      <c r="AS5" s="19" t="s">
        <v>32</v>
      </c>
      <c r="AT5" s="19" t="s">
        <v>33</v>
      </c>
      <c r="AU5" s="19" t="s">
        <v>34</v>
      </c>
      <c r="AV5" s="19" t="s">
        <v>35</v>
      </c>
      <c r="AW5" s="19" t="s">
        <v>36</v>
      </c>
      <c r="AX5" s="19" t="s">
        <v>37</v>
      </c>
      <c r="AY5" s="19" t="s">
        <v>38</v>
      </c>
      <c r="AZ5" s="19" t="s">
        <v>39</v>
      </c>
      <c r="BA5" s="19" t="s">
        <v>28</v>
      </c>
      <c r="BB5" s="19" t="s">
        <v>29</v>
      </c>
      <c r="BC5" s="19" t="s">
        <v>30</v>
      </c>
      <c r="BD5" s="19" t="s">
        <v>31</v>
      </c>
      <c r="BE5" s="19" t="s">
        <v>32</v>
      </c>
      <c r="BF5" s="19" t="s">
        <v>33</v>
      </c>
      <c r="BG5" s="19" t="s">
        <v>34</v>
      </c>
      <c r="BH5" s="19" t="s">
        <v>35</v>
      </c>
      <c r="BI5" s="19" t="s">
        <v>36</v>
      </c>
      <c r="BJ5" s="19" t="s">
        <v>37</v>
      </c>
      <c r="BK5" s="19" t="s">
        <v>38</v>
      </c>
      <c r="BL5" s="19" t="s">
        <v>39</v>
      </c>
      <c r="BM5" s="19" t="s">
        <v>28</v>
      </c>
      <c r="BN5" s="19" t="s">
        <v>29</v>
      </c>
      <c r="BO5" s="19" t="s">
        <v>30</v>
      </c>
      <c r="BP5" s="19" t="s">
        <v>31</v>
      </c>
      <c r="BQ5" s="19" t="s">
        <v>32</v>
      </c>
      <c r="BR5" s="19" t="s">
        <v>33</v>
      </c>
      <c r="BS5" s="19" t="s">
        <v>34</v>
      </c>
      <c r="BT5" s="19" t="s">
        <v>35</v>
      </c>
      <c r="BU5" s="19" t="s">
        <v>36</v>
      </c>
      <c r="BV5" s="19" t="s">
        <v>37</v>
      </c>
      <c r="BW5" s="19" t="s">
        <v>38</v>
      </c>
      <c r="BX5" s="19" t="s">
        <v>39</v>
      </c>
      <c r="BY5" s="19" t="s">
        <v>28</v>
      </c>
      <c r="BZ5" s="19" t="s">
        <v>29</v>
      </c>
      <c r="CA5" s="19" t="s">
        <v>30</v>
      </c>
      <c r="CB5" s="19" t="s">
        <v>31</v>
      </c>
      <c r="CC5" s="19" t="s">
        <v>32</v>
      </c>
      <c r="CD5" s="19" t="s">
        <v>33</v>
      </c>
      <c r="CE5" s="19" t="s">
        <v>34</v>
      </c>
      <c r="CF5" s="19" t="s">
        <v>35</v>
      </c>
      <c r="CG5" s="19" t="s">
        <v>36</v>
      </c>
      <c r="CH5" s="19" t="s">
        <v>37</v>
      </c>
      <c r="CI5" s="19" t="s">
        <v>38</v>
      </c>
      <c r="CJ5" s="19" t="s">
        <v>39</v>
      </c>
      <c r="CK5" s="19" t="s">
        <v>28</v>
      </c>
      <c r="CL5" s="19" t="s">
        <v>29</v>
      </c>
      <c r="CM5" s="19" t="s">
        <v>30</v>
      </c>
      <c r="CN5" s="19" t="s">
        <v>31</v>
      </c>
      <c r="CO5" s="19" t="s">
        <v>32</v>
      </c>
      <c r="CP5" s="19" t="s">
        <v>33</v>
      </c>
      <c r="CQ5" s="19" t="s">
        <v>34</v>
      </c>
      <c r="CR5" s="19" t="s">
        <v>35</v>
      </c>
      <c r="CS5" s="19" t="s">
        <v>36</v>
      </c>
      <c r="CT5" s="19" t="s">
        <v>37</v>
      </c>
      <c r="CU5" s="19" t="s">
        <v>38</v>
      </c>
      <c r="CV5" s="19" t="s">
        <v>39</v>
      </c>
      <c r="CW5" s="19" t="s">
        <v>28</v>
      </c>
      <c r="CX5" s="19" t="s">
        <v>29</v>
      </c>
      <c r="CY5" s="19" t="s">
        <v>30</v>
      </c>
      <c r="CZ5" s="19" t="s">
        <v>31</v>
      </c>
      <c r="DA5" s="19" t="s">
        <v>32</v>
      </c>
      <c r="DB5" s="19" t="s">
        <v>33</v>
      </c>
      <c r="DC5" s="19" t="s">
        <v>34</v>
      </c>
      <c r="DD5" s="19" t="s">
        <v>35</v>
      </c>
      <c r="DE5" s="19" t="s">
        <v>36</v>
      </c>
      <c r="DF5" s="19" t="s">
        <v>37</v>
      </c>
      <c r="DG5" s="19" t="s">
        <v>38</v>
      </c>
      <c r="DH5" s="19" t="s">
        <v>39</v>
      </c>
      <c r="DI5" s="19" t="s">
        <v>28</v>
      </c>
      <c r="DJ5" s="19" t="s">
        <v>29</v>
      </c>
      <c r="DK5" s="19" t="s">
        <v>30</v>
      </c>
      <c r="DL5" s="19" t="s">
        <v>31</v>
      </c>
      <c r="DM5" s="19" t="s">
        <v>32</v>
      </c>
      <c r="DN5" s="19" t="s">
        <v>33</v>
      </c>
      <c r="DO5" s="19" t="s">
        <v>34</v>
      </c>
      <c r="DP5" s="19" t="s">
        <v>35</v>
      </c>
      <c r="DQ5" s="19" t="s">
        <v>36</v>
      </c>
      <c r="DR5" s="19" t="s">
        <v>37</v>
      </c>
      <c r="DS5" s="19" t="s">
        <v>38</v>
      </c>
      <c r="DT5" s="19" t="s">
        <v>39</v>
      </c>
      <c r="DU5" s="19" t="s">
        <v>28</v>
      </c>
      <c r="DV5" s="19" t="s">
        <v>29</v>
      </c>
      <c r="DW5" s="19" t="s">
        <v>30</v>
      </c>
      <c r="DX5" s="19" t="s">
        <v>31</v>
      </c>
      <c r="DY5" s="19" t="s">
        <v>32</v>
      </c>
      <c r="DZ5" s="19" t="s">
        <v>33</v>
      </c>
      <c r="EA5" s="19" t="s">
        <v>34</v>
      </c>
      <c r="EB5" s="19" t="s">
        <v>35</v>
      </c>
      <c r="EC5" s="19" t="s">
        <v>36</v>
      </c>
      <c r="ED5" s="19" t="s">
        <v>37</v>
      </c>
      <c r="EE5" s="19" t="s">
        <v>38</v>
      </c>
      <c r="EF5" s="19" t="s">
        <v>39</v>
      </c>
      <c r="EG5" s="19" t="s">
        <v>28</v>
      </c>
      <c r="EH5" s="19" t="s">
        <v>29</v>
      </c>
      <c r="EI5" s="19" t="s">
        <v>30</v>
      </c>
      <c r="EJ5" s="19" t="s">
        <v>31</v>
      </c>
      <c r="EK5" s="19" t="s">
        <v>32</v>
      </c>
      <c r="EL5" s="19" t="s">
        <v>33</v>
      </c>
      <c r="EM5" s="19" t="s">
        <v>34</v>
      </c>
      <c r="EN5" s="19" t="s">
        <v>35</v>
      </c>
      <c r="EO5" s="19" t="s">
        <v>36</v>
      </c>
      <c r="EP5" s="19" t="s">
        <v>37</v>
      </c>
      <c r="EQ5" s="19" t="s">
        <v>38</v>
      </c>
      <c r="ER5" s="19" t="s">
        <v>39</v>
      </c>
      <c r="ES5" s="19" t="s">
        <v>28</v>
      </c>
      <c r="ET5" s="19" t="s">
        <v>29</v>
      </c>
      <c r="EU5" s="19" t="s">
        <v>30</v>
      </c>
      <c r="EV5" s="19" t="s">
        <v>31</v>
      </c>
      <c r="EW5" s="19" t="s">
        <v>32</v>
      </c>
      <c r="EX5" s="19" t="s">
        <v>33</v>
      </c>
      <c r="EY5" s="19" t="s">
        <v>34</v>
      </c>
      <c r="EZ5" s="19" t="s">
        <v>35</v>
      </c>
      <c r="FA5" s="19" t="s">
        <v>36</v>
      </c>
      <c r="FB5" s="19" t="s">
        <v>37</v>
      </c>
      <c r="FC5" s="19" t="s">
        <v>38</v>
      </c>
      <c r="FD5" s="19" t="s">
        <v>39</v>
      </c>
      <c r="FE5" s="19" t="s">
        <v>28</v>
      </c>
      <c r="FF5" s="19" t="s">
        <v>29</v>
      </c>
      <c r="FG5" s="19" t="s">
        <v>30</v>
      </c>
      <c r="FH5" s="19" t="s">
        <v>31</v>
      </c>
      <c r="FI5" s="19" t="s">
        <v>32</v>
      </c>
      <c r="FJ5" s="19" t="s">
        <v>33</v>
      </c>
      <c r="FK5" s="19" t="s">
        <v>34</v>
      </c>
      <c r="FL5" s="19" t="s">
        <v>35</v>
      </c>
      <c r="FM5" s="19" t="s">
        <v>36</v>
      </c>
      <c r="FN5" s="19" t="s">
        <v>37</v>
      </c>
      <c r="FO5" s="19" t="s">
        <v>38</v>
      </c>
      <c r="FP5" s="19" t="s">
        <v>39</v>
      </c>
      <c r="FQ5" s="19" t="s">
        <v>28</v>
      </c>
      <c r="FR5" s="19" t="s">
        <v>29</v>
      </c>
      <c r="FS5" s="19" t="s">
        <v>30</v>
      </c>
      <c r="FT5" s="19" t="s">
        <v>31</v>
      </c>
      <c r="FU5" s="19" t="s">
        <v>32</v>
      </c>
      <c r="FV5" s="19" t="s">
        <v>33</v>
      </c>
      <c r="FW5" s="19" t="s">
        <v>34</v>
      </c>
      <c r="FX5" s="19" t="s">
        <v>35</v>
      </c>
      <c r="FY5" s="19" t="s">
        <v>36</v>
      </c>
      <c r="FZ5" s="19" t="s">
        <v>37</v>
      </c>
      <c r="GA5" s="19" t="s">
        <v>38</v>
      </c>
      <c r="GB5" s="19" t="s">
        <v>39</v>
      </c>
      <c r="GC5" s="19" t="s">
        <v>28</v>
      </c>
      <c r="GD5" s="19" t="s">
        <v>29</v>
      </c>
      <c r="GE5" s="19" t="s">
        <v>30</v>
      </c>
      <c r="GF5" s="19" t="s">
        <v>31</v>
      </c>
      <c r="GG5" s="19" t="s">
        <v>32</v>
      </c>
      <c r="GH5" s="19" t="s">
        <v>33</v>
      </c>
      <c r="GI5" s="19" t="s">
        <v>34</v>
      </c>
      <c r="GJ5" s="19" t="s">
        <v>35</v>
      </c>
      <c r="GK5" s="19" t="s">
        <v>36</v>
      </c>
      <c r="GL5" s="19" t="s">
        <v>37</v>
      </c>
      <c r="GM5" s="19" t="s">
        <v>38</v>
      </c>
      <c r="GN5" s="19" t="s">
        <v>39</v>
      </c>
      <c r="GO5" s="19" t="s">
        <v>28</v>
      </c>
      <c r="GP5" s="19" t="s">
        <v>29</v>
      </c>
      <c r="GQ5" s="19" t="s">
        <v>30</v>
      </c>
      <c r="GR5" s="19" t="s">
        <v>31</v>
      </c>
      <c r="GS5" s="19" t="s">
        <v>32</v>
      </c>
      <c r="GT5" s="19" t="s">
        <v>33</v>
      </c>
      <c r="GU5" s="19" t="s">
        <v>34</v>
      </c>
      <c r="GV5" s="19" t="s">
        <v>35</v>
      </c>
      <c r="GW5" s="19" t="s">
        <v>36</v>
      </c>
      <c r="GX5" s="19" t="s">
        <v>37</v>
      </c>
      <c r="GY5" s="19" t="s">
        <v>38</v>
      </c>
      <c r="GZ5" s="19" t="s">
        <v>39</v>
      </c>
      <c r="HA5" s="19" t="s">
        <v>28</v>
      </c>
      <c r="HB5" s="19" t="s">
        <v>29</v>
      </c>
      <c r="HC5" s="19" t="s">
        <v>30</v>
      </c>
      <c r="HD5" s="19" t="s">
        <v>31</v>
      </c>
      <c r="HE5" s="19" t="s">
        <v>32</v>
      </c>
      <c r="HF5" s="19" t="s">
        <v>33</v>
      </c>
      <c r="HG5" s="19" t="s">
        <v>34</v>
      </c>
      <c r="HH5" s="19" t="s">
        <v>35</v>
      </c>
      <c r="HI5" s="19" t="s">
        <v>36</v>
      </c>
      <c r="HJ5" s="19" t="s">
        <v>37</v>
      </c>
      <c r="HK5" s="19" t="s">
        <v>38</v>
      </c>
      <c r="HL5" s="19" t="s">
        <v>39</v>
      </c>
      <c r="HM5" s="19" t="s">
        <v>28</v>
      </c>
      <c r="HN5" s="19" t="s">
        <v>29</v>
      </c>
      <c r="HO5" s="19" t="s">
        <v>30</v>
      </c>
      <c r="HP5" s="19" t="s">
        <v>31</v>
      </c>
      <c r="HQ5" s="19" t="s">
        <v>32</v>
      </c>
      <c r="HR5" s="19" t="s">
        <v>33</v>
      </c>
      <c r="HS5" s="19" t="s">
        <v>34</v>
      </c>
      <c r="HT5" s="19" t="s">
        <v>35</v>
      </c>
      <c r="HU5" s="19" t="s">
        <v>36</v>
      </c>
      <c r="HV5" s="19" t="s">
        <v>37</v>
      </c>
      <c r="HW5" s="19" t="s">
        <v>38</v>
      </c>
      <c r="HX5" s="19" t="s">
        <v>39</v>
      </c>
      <c r="HY5" s="19" t="s">
        <v>28</v>
      </c>
      <c r="HZ5" s="19" t="s">
        <v>29</v>
      </c>
      <c r="IA5" s="19" t="s">
        <v>30</v>
      </c>
      <c r="IB5" s="19" t="s">
        <v>31</v>
      </c>
      <c r="IC5" s="19" t="s">
        <v>32</v>
      </c>
      <c r="ID5" s="19" t="s">
        <v>33</v>
      </c>
      <c r="IE5" s="19" t="s">
        <v>34</v>
      </c>
      <c r="IF5" s="19" t="s">
        <v>35</v>
      </c>
      <c r="IG5" s="19" t="s">
        <v>36</v>
      </c>
      <c r="IH5" s="19" t="s">
        <v>37</v>
      </c>
      <c r="II5" s="19" t="s">
        <v>38</v>
      </c>
      <c r="IJ5" s="19" t="s">
        <v>39</v>
      </c>
      <c r="IK5" s="19" t="s">
        <v>28</v>
      </c>
      <c r="IL5" s="19" t="s">
        <v>29</v>
      </c>
      <c r="IM5" s="19" t="s">
        <v>30</v>
      </c>
      <c r="IN5" s="19" t="s">
        <v>31</v>
      </c>
      <c r="IO5" s="19" t="s">
        <v>32</v>
      </c>
      <c r="IP5" s="19" t="s">
        <v>33</v>
      </c>
      <c r="IQ5" s="19" t="s">
        <v>34</v>
      </c>
      <c r="IR5" s="19" t="s">
        <v>35</v>
      </c>
      <c r="IS5" s="19" t="s">
        <v>36</v>
      </c>
      <c r="IT5" s="19" t="s">
        <v>37</v>
      </c>
      <c r="IU5" s="19" t="s">
        <v>38</v>
      </c>
      <c r="IV5" s="19" t="s">
        <v>39</v>
      </c>
      <c r="IW5" s="19" t="s">
        <v>28</v>
      </c>
      <c r="IX5" s="19" t="s">
        <v>29</v>
      </c>
      <c r="IY5" s="19" t="s">
        <v>30</v>
      </c>
      <c r="IZ5" s="19" t="s">
        <v>31</v>
      </c>
      <c r="JA5" s="19" t="s">
        <v>32</v>
      </c>
      <c r="JB5" s="19" t="s">
        <v>33</v>
      </c>
      <c r="JC5" s="19" t="s">
        <v>34</v>
      </c>
      <c r="JD5" s="19" t="s">
        <v>35</v>
      </c>
      <c r="JE5" s="19" t="s">
        <v>36</v>
      </c>
      <c r="JF5" s="19" t="s">
        <v>37</v>
      </c>
      <c r="JG5" s="19" t="s">
        <v>38</v>
      </c>
      <c r="JH5" s="19" t="s">
        <v>39</v>
      </c>
      <c r="JI5" s="19" t="s">
        <v>28</v>
      </c>
      <c r="JJ5" s="19" t="s">
        <v>29</v>
      </c>
      <c r="JK5" s="19" t="s">
        <v>30</v>
      </c>
      <c r="JL5" s="19" t="s">
        <v>31</v>
      </c>
      <c r="JM5" s="19" t="s">
        <v>32</v>
      </c>
      <c r="JN5" s="19" t="s">
        <v>33</v>
      </c>
      <c r="JO5" s="19" t="s">
        <v>34</v>
      </c>
      <c r="JP5" s="19" t="s">
        <v>35</v>
      </c>
      <c r="JQ5" s="19" t="s">
        <v>36</v>
      </c>
      <c r="JR5" s="19" t="s">
        <v>37</v>
      </c>
      <c r="JS5" s="19" t="s">
        <v>38</v>
      </c>
      <c r="JT5" s="19" t="s">
        <v>39</v>
      </c>
    </row>
    <row r="6" spans="1:280" x14ac:dyDescent="0.2">
      <c r="A6" s="826" t="s">
        <v>987</v>
      </c>
      <c r="B6" s="826"/>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K6" s="37"/>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37"/>
      <c r="HF6" s="37"/>
      <c r="HG6" s="37"/>
      <c r="HH6" s="37"/>
      <c r="HI6" s="37"/>
      <c r="HJ6" s="37"/>
      <c r="HK6" s="37"/>
      <c r="HL6" s="37"/>
      <c r="HM6" s="37"/>
      <c r="HN6" s="37"/>
      <c r="HO6" s="37"/>
      <c r="HP6" s="37"/>
      <c r="HQ6" s="37"/>
      <c r="HR6" s="37"/>
      <c r="HS6" s="37"/>
      <c r="HT6" s="37"/>
      <c r="HU6" s="37"/>
      <c r="HV6" s="37"/>
      <c r="HW6" s="37"/>
      <c r="HX6" s="37"/>
      <c r="HY6" s="37"/>
      <c r="HZ6" s="37"/>
      <c r="IA6" s="37"/>
      <c r="IB6" s="37"/>
      <c r="IC6" s="37"/>
      <c r="ID6" s="37"/>
      <c r="IE6" s="37"/>
      <c r="IF6" s="37"/>
      <c r="IG6" s="37"/>
      <c r="IH6" s="37"/>
      <c r="II6" s="37"/>
      <c r="IJ6" s="37"/>
      <c r="IK6" s="37"/>
      <c r="IL6" s="37"/>
      <c r="IM6" s="37"/>
      <c r="IN6" s="37"/>
      <c r="IO6" s="37"/>
      <c r="IP6" s="37"/>
      <c r="IQ6" s="37"/>
      <c r="IR6" s="37"/>
      <c r="IS6" s="37"/>
      <c r="IT6" s="37"/>
      <c r="IU6" s="37"/>
      <c r="IV6" s="37"/>
      <c r="IW6" s="37"/>
      <c r="IX6" s="37"/>
      <c r="IY6" s="37"/>
      <c r="IZ6" s="37"/>
      <c r="JA6" s="37"/>
      <c r="JB6" s="37"/>
      <c r="JC6" s="37"/>
      <c r="JD6" s="37"/>
      <c r="JE6" s="37"/>
      <c r="JF6" s="37"/>
      <c r="JG6" s="37"/>
      <c r="JH6" s="37"/>
      <c r="JI6" s="37"/>
      <c r="JJ6" s="37"/>
      <c r="JK6" s="37"/>
      <c r="JL6" s="37"/>
      <c r="JM6" s="37"/>
      <c r="JN6" s="37"/>
      <c r="JO6" s="37"/>
      <c r="JP6" s="37"/>
      <c r="JQ6" s="37"/>
      <c r="JR6" s="37"/>
      <c r="JS6" s="37"/>
      <c r="JT6" s="37"/>
    </row>
    <row r="7" spans="1:280" x14ac:dyDescent="0.2">
      <c r="A7" s="1" t="s">
        <v>116</v>
      </c>
      <c r="B7" s="38">
        <f>Summary!$E$5</f>
        <v>0.71322943391612637</v>
      </c>
      <c r="C7" s="34"/>
      <c r="D7" s="39" t="s">
        <v>111</v>
      </c>
      <c r="E7" s="1">
        <v>0</v>
      </c>
      <c r="F7" s="7">
        <f t="shared" ref="F7:P7" si="182">IF($B$14&gt;F3,E12,0)</f>
        <v>42317472.159759872</v>
      </c>
      <c r="G7" s="7">
        <f t="shared" si="182"/>
        <v>55633552.549807675</v>
      </c>
      <c r="H7" s="7">
        <f t="shared" si="182"/>
        <v>66366895.235132098</v>
      </c>
      <c r="I7" s="7">
        <f t="shared" si="182"/>
        <v>73216222.101785243</v>
      </c>
      <c r="J7" s="7">
        <f t="shared" si="182"/>
        <v>89456946.834257692</v>
      </c>
      <c r="K7" s="7">
        <f t="shared" si="182"/>
        <v>109615970.89860679</v>
      </c>
      <c r="L7" s="7">
        <f t="shared" si="182"/>
        <v>127272991.74542645</v>
      </c>
      <c r="M7" s="7">
        <f t="shared" si="182"/>
        <v>142413483.49413753</v>
      </c>
      <c r="N7" s="7">
        <f t="shared" si="182"/>
        <v>156328008.21025026</v>
      </c>
      <c r="O7" s="7">
        <f t="shared" si="182"/>
        <v>167692281.48692214</v>
      </c>
      <c r="P7" s="7">
        <f t="shared" si="182"/>
        <v>178733814.57050249</v>
      </c>
      <c r="Q7" s="7">
        <f>IF($B$14&gt;Q3,P12,0)</f>
        <v>194866984.83765143</v>
      </c>
      <c r="R7" s="7">
        <f t="shared" ref="R7:AB7" si="183">IF($B$14&gt;R3,Q12,0)</f>
        <v>194866984.83765143</v>
      </c>
      <c r="S7" s="7">
        <f t="shared" si="183"/>
        <v>194866984.83765143</v>
      </c>
      <c r="T7" s="7">
        <f t="shared" si="183"/>
        <v>0</v>
      </c>
      <c r="U7" s="7">
        <f t="shared" si="183"/>
        <v>0</v>
      </c>
      <c r="V7" s="7">
        <f t="shared" si="183"/>
        <v>0</v>
      </c>
      <c r="W7" s="7">
        <f t="shared" si="183"/>
        <v>0</v>
      </c>
      <c r="X7" s="7">
        <f t="shared" si="183"/>
        <v>0</v>
      </c>
      <c r="Y7" s="7">
        <f t="shared" si="183"/>
        <v>0</v>
      </c>
      <c r="Z7" s="7">
        <f t="shared" si="183"/>
        <v>0</v>
      </c>
      <c r="AA7" s="7">
        <f t="shared" si="183"/>
        <v>0</v>
      </c>
      <c r="AB7" s="7">
        <f t="shared" si="183"/>
        <v>0</v>
      </c>
      <c r="AC7" s="7">
        <f t="shared" ref="AC7" si="184">IF($B$14&gt;AC3,AB12,0)</f>
        <v>0</v>
      </c>
      <c r="AD7" s="7">
        <f t="shared" ref="AD7:CO7" si="185">IF($B$14&gt;AD3,AC12,0)</f>
        <v>0</v>
      </c>
      <c r="AE7" s="7">
        <f t="shared" si="185"/>
        <v>0</v>
      </c>
      <c r="AF7" s="7">
        <f t="shared" si="185"/>
        <v>0</v>
      </c>
      <c r="AG7" s="7">
        <f t="shared" si="185"/>
        <v>0</v>
      </c>
      <c r="AH7" s="7">
        <f t="shared" si="185"/>
        <v>0</v>
      </c>
      <c r="AI7" s="7">
        <f t="shared" si="185"/>
        <v>0</v>
      </c>
      <c r="AJ7" s="7">
        <f t="shared" si="185"/>
        <v>0</v>
      </c>
      <c r="AK7" s="7">
        <f t="shared" si="185"/>
        <v>0</v>
      </c>
      <c r="AL7" s="7">
        <f t="shared" si="185"/>
        <v>0</v>
      </c>
      <c r="AM7" s="7">
        <f t="shared" si="185"/>
        <v>0</v>
      </c>
      <c r="AN7" s="7">
        <f t="shared" si="185"/>
        <v>0</v>
      </c>
      <c r="AO7" s="7">
        <f t="shared" si="185"/>
        <v>0</v>
      </c>
      <c r="AP7" s="7">
        <f t="shared" si="185"/>
        <v>0</v>
      </c>
      <c r="AQ7" s="7">
        <f t="shared" si="185"/>
        <v>0</v>
      </c>
      <c r="AR7" s="7">
        <f t="shared" si="185"/>
        <v>0</v>
      </c>
      <c r="AS7" s="7">
        <f t="shared" si="185"/>
        <v>0</v>
      </c>
      <c r="AT7" s="7">
        <f t="shared" si="185"/>
        <v>0</v>
      </c>
      <c r="AU7" s="7">
        <f t="shared" si="185"/>
        <v>0</v>
      </c>
      <c r="AV7" s="7">
        <f t="shared" si="185"/>
        <v>0</v>
      </c>
      <c r="AW7" s="7">
        <f t="shared" si="185"/>
        <v>0</v>
      </c>
      <c r="AX7" s="7">
        <f t="shared" si="185"/>
        <v>0</v>
      </c>
      <c r="AY7" s="7">
        <f t="shared" si="185"/>
        <v>0</v>
      </c>
      <c r="AZ7" s="7">
        <f t="shared" si="185"/>
        <v>0</v>
      </c>
      <c r="BA7" s="7">
        <f t="shared" si="185"/>
        <v>0</v>
      </c>
      <c r="BB7" s="7">
        <f t="shared" si="185"/>
        <v>0</v>
      </c>
      <c r="BC7" s="7">
        <f t="shared" si="185"/>
        <v>0</v>
      </c>
      <c r="BD7" s="7">
        <f t="shared" si="185"/>
        <v>0</v>
      </c>
      <c r="BE7" s="7">
        <f t="shared" si="185"/>
        <v>0</v>
      </c>
      <c r="BF7" s="7">
        <f t="shared" si="185"/>
        <v>0</v>
      </c>
      <c r="BG7" s="7">
        <f t="shared" si="185"/>
        <v>0</v>
      </c>
      <c r="BH7" s="7">
        <f t="shared" si="185"/>
        <v>0</v>
      </c>
      <c r="BI7" s="7">
        <f t="shared" si="185"/>
        <v>0</v>
      </c>
      <c r="BJ7" s="7">
        <f t="shared" si="185"/>
        <v>0</v>
      </c>
      <c r="BK7" s="7">
        <f t="shared" si="185"/>
        <v>0</v>
      </c>
      <c r="BL7" s="7">
        <f t="shared" si="185"/>
        <v>0</v>
      </c>
      <c r="BM7" s="7">
        <f t="shared" si="185"/>
        <v>0</v>
      </c>
      <c r="BN7" s="7">
        <f t="shared" si="185"/>
        <v>0</v>
      </c>
      <c r="BO7" s="7">
        <f t="shared" si="185"/>
        <v>0</v>
      </c>
      <c r="BP7" s="7">
        <f t="shared" si="185"/>
        <v>0</v>
      </c>
      <c r="BQ7" s="7">
        <f t="shared" si="185"/>
        <v>0</v>
      </c>
      <c r="BR7" s="7">
        <f t="shared" si="185"/>
        <v>0</v>
      </c>
      <c r="BS7" s="7">
        <f t="shared" si="185"/>
        <v>0</v>
      </c>
      <c r="BT7" s="7">
        <f t="shared" si="185"/>
        <v>0</v>
      </c>
      <c r="BU7" s="7">
        <f t="shared" si="185"/>
        <v>0</v>
      </c>
      <c r="BV7" s="7">
        <f t="shared" si="185"/>
        <v>0</v>
      </c>
      <c r="BW7" s="7">
        <f t="shared" si="185"/>
        <v>0</v>
      </c>
      <c r="BX7" s="7">
        <f t="shared" si="185"/>
        <v>0</v>
      </c>
      <c r="BY7" s="7">
        <f t="shared" si="185"/>
        <v>0</v>
      </c>
      <c r="BZ7" s="7">
        <f t="shared" si="185"/>
        <v>0</v>
      </c>
      <c r="CA7" s="7">
        <f t="shared" si="185"/>
        <v>0</v>
      </c>
      <c r="CB7" s="7">
        <f t="shared" si="185"/>
        <v>0</v>
      </c>
      <c r="CC7" s="7">
        <f t="shared" si="185"/>
        <v>0</v>
      </c>
      <c r="CD7" s="7">
        <f t="shared" si="185"/>
        <v>0</v>
      </c>
      <c r="CE7" s="7">
        <f t="shared" si="185"/>
        <v>0</v>
      </c>
      <c r="CF7" s="7">
        <f t="shared" si="185"/>
        <v>0</v>
      </c>
      <c r="CG7" s="7">
        <f t="shared" si="185"/>
        <v>0</v>
      </c>
      <c r="CH7" s="7">
        <f t="shared" si="185"/>
        <v>0</v>
      </c>
      <c r="CI7" s="7">
        <f t="shared" si="185"/>
        <v>0</v>
      </c>
      <c r="CJ7" s="7">
        <f t="shared" si="185"/>
        <v>0</v>
      </c>
      <c r="CK7" s="7">
        <f t="shared" si="185"/>
        <v>0</v>
      </c>
      <c r="CL7" s="7">
        <f t="shared" si="185"/>
        <v>0</v>
      </c>
      <c r="CM7" s="7">
        <f t="shared" si="185"/>
        <v>0</v>
      </c>
      <c r="CN7" s="7">
        <f t="shared" si="185"/>
        <v>0</v>
      </c>
      <c r="CO7" s="7">
        <f t="shared" si="185"/>
        <v>0</v>
      </c>
      <c r="CP7" s="7">
        <f t="shared" ref="CP7:CV7" si="186">IF($B$14&gt;CP3,CO12,0)</f>
        <v>0</v>
      </c>
      <c r="CQ7" s="7">
        <f t="shared" si="186"/>
        <v>0</v>
      </c>
      <c r="CR7" s="7">
        <f t="shared" si="186"/>
        <v>0</v>
      </c>
      <c r="CS7" s="7">
        <f t="shared" si="186"/>
        <v>0</v>
      </c>
      <c r="CT7" s="7">
        <f t="shared" si="186"/>
        <v>0</v>
      </c>
      <c r="CU7" s="7">
        <f t="shared" si="186"/>
        <v>0</v>
      </c>
      <c r="CV7" s="7">
        <f t="shared" si="186"/>
        <v>0</v>
      </c>
      <c r="CW7" s="7">
        <f t="shared" ref="CW7" si="187">IF($B$14&gt;CW3,CV12,0)</f>
        <v>0</v>
      </c>
      <c r="CX7" s="7">
        <f t="shared" ref="CX7" si="188">IF($B$14&gt;CX3,CW12,0)</f>
        <v>0</v>
      </c>
      <c r="CY7" s="7">
        <f t="shared" ref="CY7" si="189">IF($B$14&gt;CY3,CX12,0)</f>
        <v>0</v>
      </c>
      <c r="CZ7" s="7">
        <f t="shared" ref="CZ7" si="190">IF($B$14&gt;CZ3,CY12,0)</f>
        <v>0</v>
      </c>
      <c r="DA7" s="7">
        <f t="shared" ref="DA7" si="191">IF($B$14&gt;DA3,CZ12,0)</f>
        <v>0</v>
      </c>
      <c r="DB7" s="7">
        <f t="shared" ref="DB7" si="192">IF($B$14&gt;DB3,DA12,0)</f>
        <v>0</v>
      </c>
      <c r="DC7" s="7">
        <f t="shared" ref="DC7" si="193">IF($B$14&gt;DC3,DB12,0)</f>
        <v>0</v>
      </c>
      <c r="DD7" s="7">
        <f t="shared" ref="DD7" si="194">IF($B$14&gt;DD3,DC12,0)</f>
        <v>0</v>
      </c>
      <c r="DE7" s="7">
        <f t="shared" ref="DE7" si="195">IF($B$14&gt;DE3,DD12,0)</f>
        <v>0</v>
      </c>
      <c r="DF7" s="7">
        <f t="shared" ref="DF7" si="196">IF($B$14&gt;DF3,DE12,0)</f>
        <v>0</v>
      </c>
      <c r="DG7" s="7">
        <f t="shared" ref="DG7" si="197">IF($B$14&gt;DG3,DF12,0)</f>
        <v>0</v>
      </c>
      <c r="DH7" s="7">
        <f t="shared" ref="DH7" si="198">IF($B$14&gt;DH3,DG12,0)</f>
        <v>0</v>
      </c>
      <c r="DI7" s="7">
        <f t="shared" ref="DI7" si="199">IF($B$14&gt;DI3,DH12,0)</f>
        <v>0</v>
      </c>
      <c r="DJ7" s="7">
        <f t="shared" ref="DJ7" si="200">IF($B$14&gt;DJ3,DI12,0)</f>
        <v>0</v>
      </c>
      <c r="DK7" s="7">
        <f t="shared" ref="DK7" si="201">IF($B$14&gt;DK3,DJ12,0)</f>
        <v>0</v>
      </c>
      <c r="DL7" s="7">
        <f t="shared" ref="DL7" si="202">IF($B$14&gt;DL3,DK12,0)</f>
        <v>0</v>
      </c>
      <c r="DM7" s="7">
        <f t="shared" ref="DM7" si="203">IF($B$14&gt;DM3,DL12,0)</f>
        <v>0</v>
      </c>
      <c r="DN7" s="7">
        <f t="shared" ref="DN7" si="204">IF($B$14&gt;DN3,DM12,0)</f>
        <v>0</v>
      </c>
      <c r="DO7" s="7">
        <f t="shared" ref="DO7" si="205">IF($B$14&gt;DO3,DN12,0)</f>
        <v>0</v>
      </c>
      <c r="DP7" s="7">
        <f t="shared" ref="DP7" si="206">IF($B$14&gt;DP3,DO12,0)</f>
        <v>0</v>
      </c>
      <c r="DQ7" s="7">
        <f t="shared" ref="DQ7" si="207">IF($B$14&gt;DQ3,DP12,0)</f>
        <v>0</v>
      </c>
      <c r="DR7" s="7">
        <f t="shared" ref="DR7" si="208">IF($B$14&gt;DR3,DQ12,0)</f>
        <v>0</v>
      </c>
      <c r="DS7" s="7">
        <f t="shared" ref="DS7" si="209">IF($B$14&gt;DS3,DR12,0)</f>
        <v>0</v>
      </c>
      <c r="DT7" s="7">
        <f t="shared" ref="DT7" si="210">IF($B$14&gt;DT3,DS12,0)</f>
        <v>0</v>
      </c>
      <c r="DU7" s="7">
        <f t="shared" ref="DU7" si="211">IF($B$14&gt;DU3,DT12,0)</f>
        <v>0</v>
      </c>
      <c r="DV7" s="7">
        <f t="shared" ref="DV7" si="212">IF($B$14&gt;DV3,DU12,0)</f>
        <v>0</v>
      </c>
      <c r="DW7" s="7">
        <f t="shared" ref="DW7" si="213">IF($B$14&gt;DW3,DV12,0)</f>
        <v>0</v>
      </c>
      <c r="DX7" s="7">
        <f t="shared" ref="DX7" si="214">IF($B$14&gt;DX3,DW12,0)</f>
        <v>0</v>
      </c>
      <c r="DY7" s="7">
        <f t="shared" ref="DY7" si="215">IF($B$14&gt;DY3,DX12,0)</f>
        <v>0</v>
      </c>
      <c r="DZ7" s="7">
        <f t="shared" ref="DZ7" si="216">IF($B$14&gt;DZ3,DY12,0)</f>
        <v>0</v>
      </c>
      <c r="EA7" s="7">
        <f t="shared" ref="EA7" si="217">IF($B$14&gt;EA3,DZ12,0)</f>
        <v>0</v>
      </c>
      <c r="EB7" s="7">
        <f t="shared" ref="EB7" si="218">IF($B$14&gt;EB3,EA12,0)</f>
        <v>0</v>
      </c>
      <c r="EC7" s="7">
        <f t="shared" ref="EC7" si="219">IF($B$14&gt;EC3,EB12,0)</f>
        <v>0</v>
      </c>
      <c r="ED7" s="7">
        <f t="shared" ref="ED7" si="220">IF($B$14&gt;ED3,EC12,0)</f>
        <v>0</v>
      </c>
      <c r="EE7" s="7">
        <f t="shared" ref="EE7" si="221">IF($B$14&gt;EE3,ED12,0)</f>
        <v>0</v>
      </c>
      <c r="EF7" s="7">
        <f t="shared" ref="EF7" si="222">IF($B$14&gt;EF3,EE12,0)</f>
        <v>0</v>
      </c>
      <c r="EG7" s="7">
        <f t="shared" ref="EG7" si="223">IF($B$14&gt;EG3,EF12,0)</f>
        <v>0</v>
      </c>
      <c r="EH7" s="7">
        <f t="shared" ref="EH7" si="224">IF($B$14&gt;EH3,EG12,0)</f>
        <v>0</v>
      </c>
      <c r="EI7" s="7">
        <f t="shared" ref="EI7" si="225">IF($B$14&gt;EI3,EH12,0)</f>
        <v>0</v>
      </c>
      <c r="EJ7" s="7">
        <f t="shared" ref="EJ7" si="226">IF($B$14&gt;EJ3,EI12,0)</f>
        <v>0</v>
      </c>
      <c r="EK7" s="7">
        <f t="shared" ref="EK7" si="227">IF($B$14&gt;EK3,EJ12,0)</f>
        <v>0</v>
      </c>
      <c r="EL7" s="7">
        <f t="shared" ref="EL7" si="228">IF($B$14&gt;EL3,EK12,0)</f>
        <v>0</v>
      </c>
      <c r="EM7" s="7">
        <f t="shared" ref="EM7" si="229">IF($B$14&gt;EM3,EL12,0)</f>
        <v>0</v>
      </c>
      <c r="EN7" s="7">
        <f t="shared" ref="EN7" si="230">IF($B$14&gt;EN3,EM12,0)</f>
        <v>0</v>
      </c>
      <c r="EO7" s="7">
        <f t="shared" ref="EO7" si="231">IF($B$14&gt;EO3,EN12,0)</f>
        <v>0</v>
      </c>
      <c r="EP7" s="7">
        <f t="shared" ref="EP7" si="232">IF($B$14&gt;EP3,EO12,0)</f>
        <v>0</v>
      </c>
      <c r="EQ7" s="7">
        <f t="shared" ref="EQ7" si="233">IF($B$14&gt;EQ3,EP12,0)</f>
        <v>0</v>
      </c>
      <c r="ER7" s="7">
        <f t="shared" ref="ER7" si="234">IF($B$14&gt;ER3,EQ12,0)</f>
        <v>0</v>
      </c>
      <c r="ES7" s="7">
        <f t="shared" ref="ES7" si="235">IF($B$14&gt;ES3,ER12,0)</f>
        <v>0</v>
      </c>
      <c r="ET7" s="7">
        <f t="shared" ref="ET7" si="236">IF($B$14&gt;ET3,ES12,0)</f>
        <v>0</v>
      </c>
      <c r="EU7" s="7">
        <f t="shared" ref="EU7" si="237">IF($B$14&gt;EU3,ET12,0)</f>
        <v>0</v>
      </c>
      <c r="EV7" s="7">
        <f t="shared" ref="EV7" si="238">IF($B$14&gt;EV3,EU12,0)</f>
        <v>0</v>
      </c>
      <c r="EW7" s="7">
        <f t="shared" ref="EW7" si="239">IF($B$14&gt;EW3,EV12,0)</f>
        <v>0</v>
      </c>
      <c r="EX7" s="7">
        <f t="shared" ref="EX7" si="240">IF($B$14&gt;EX3,EW12,0)</f>
        <v>0</v>
      </c>
      <c r="EY7" s="7">
        <f t="shared" ref="EY7" si="241">IF($B$14&gt;EY3,EX12,0)</f>
        <v>0</v>
      </c>
      <c r="EZ7" s="7">
        <f t="shared" ref="EZ7" si="242">IF($B$14&gt;EZ3,EY12,0)</f>
        <v>0</v>
      </c>
      <c r="FA7" s="7">
        <f t="shared" ref="FA7" si="243">IF($B$14&gt;FA3,EZ12,0)</f>
        <v>0</v>
      </c>
      <c r="FB7" s="7">
        <f t="shared" ref="FB7" si="244">IF($B$14&gt;FB3,FA12,0)</f>
        <v>0</v>
      </c>
      <c r="FC7" s="7">
        <f t="shared" ref="FC7" si="245">IF($B$14&gt;FC3,FB12,0)</f>
        <v>0</v>
      </c>
      <c r="FD7" s="7">
        <f t="shared" ref="FD7" si="246">IF($B$14&gt;FD3,FC12,0)</f>
        <v>0</v>
      </c>
      <c r="FE7" s="7">
        <f t="shared" ref="FE7" si="247">IF($B$14&gt;FE3,FD12,0)</f>
        <v>0</v>
      </c>
      <c r="FF7" s="7">
        <f t="shared" ref="FF7" si="248">IF($B$14&gt;FF3,FE12,0)</f>
        <v>0</v>
      </c>
      <c r="FG7" s="7">
        <f t="shared" ref="FG7" si="249">IF($B$14&gt;FG3,FF12,0)</f>
        <v>0</v>
      </c>
      <c r="FH7" s="7">
        <f t="shared" ref="FH7" si="250">IF($B$14&gt;FH3,FG12,0)</f>
        <v>0</v>
      </c>
      <c r="FI7" s="7">
        <f t="shared" ref="FI7" si="251">IF($B$14&gt;FI3,FH12,0)</f>
        <v>0</v>
      </c>
      <c r="FJ7" s="7">
        <f t="shared" ref="FJ7" si="252">IF($B$14&gt;FJ3,FI12,0)</f>
        <v>0</v>
      </c>
      <c r="FK7" s="7">
        <f t="shared" ref="FK7" si="253">IF($B$14&gt;FK3,FJ12,0)</f>
        <v>0</v>
      </c>
      <c r="FL7" s="7">
        <f t="shared" ref="FL7" si="254">IF($B$14&gt;FL3,FK12,0)</f>
        <v>0</v>
      </c>
      <c r="FM7" s="7">
        <f t="shared" ref="FM7" si="255">IF($B$14&gt;FM3,FL12,0)</f>
        <v>0</v>
      </c>
      <c r="FN7" s="7">
        <f t="shared" ref="FN7" si="256">IF($B$14&gt;FN3,FM12,0)</f>
        <v>0</v>
      </c>
      <c r="FO7" s="7">
        <f t="shared" ref="FO7" si="257">IF($B$14&gt;FO3,FN12,0)</f>
        <v>0</v>
      </c>
      <c r="FP7" s="7">
        <f t="shared" ref="FP7" si="258">IF($B$14&gt;FP3,FO12,0)</f>
        <v>0</v>
      </c>
      <c r="FQ7" s="7">
        <f t="shared" ref="FQ7" si="259">IF($B$14&gt;FQ3,FP12,0)</f>
        <v>0</v>
      </c>
      <c r="FR7" s="7">
        <f t="shared" ref="FR7" si="260">IF($B$14&gt;FR3,FQ12,0)</f>
        <v>0</v>
      </c>
      <c r="FS7" s="7">
        <f t="shared" ref="FS7" si="261">IF($B$14&gt;FS3,FR12,0)</f>
        <v>0</v>
      </c>
      <c r="FT7" s="7">
        <f t="shared" ref="FT7" si="262">IF($B$14&gt;FT3,FS12,0)</f>
        <v>0</v>
      </c>
      <c r="FU7" s="7">
        <f t="shared" ref="FU7" si="263">IF($B$14&gt;FU3,FT12,0)</f>
        <v>0</v>
      </c>
      <c r="FV7" s="7">
        <f t="shared" ref="FV7" si="264">IF($B$14&gt;FV3,FU12,0)</f>
        <v>0</v>
      </c>
      <c r="FW7" s="7">
        <f t="shared" ref="FW7" si="265">IF($B$14&gt;FW3,FV12,0)</f>
        <v>0</v>
      </c>
      <c r="FX7" s="7">
        <f t="shared" ref="FX7" si="266">IF($B$14&gt;FX3,FW12,0)</f>
        <v>0</v>
      </c>
      <c r="FY7" s="7">
        <f t="shared" ref="FY7" si="267">IF($B$14&gt;FY3,FX12,0)</f>
        <v>0</v>
      </c>
      <c r="FZ7" s="7">
        <f t="shared" ref="FZ7" si="268">IF($B$14&gt;FZ3,FY12,0)</f>
        <v>0</v>
      </c>
      <c r="GA7" s="7">
        <f t="shared" ref="GA7" si="269">IF($B$14&gt;GA3,FZ12,0)</f>
        <v>0</v>
      </c>
      <c r="GB7" s="7">
        <f t="shared" ref="GB7" si="270">IF($B$14&gt;GB3,GA12,0)</f>
        <v>0</v>
      </c>
      <c r="GC7" s="7">
        <f t="shared" ref="GC7" si="271">IF($B$14&gt;GC3,GB12,0)</f>
        <v>0</v>
      </c>
      <c r="GD7" s="7">
        <f t="shared" ref="GD7" si="272">IF($B$14&gt;GD3,GC12,0)</f>
        <v>0</v>
      </c>
      <c r="GE7" s="7">
        <f t="shared" ref="GE7" si="273">IF($B$14&gt;GE3,GD12,0)</f>
        <v>0</v>
      </c>
      <c r="GF7" s="7">
        <f t="shared" ref="GF7" si="274">IF($B$14&gt;GF3,GE12,0)</f>
        <v>0</v>
      </c>
      <c r="GG7" s="7">
        <f t="shared" ref="GG7" si="275">IF($B$14&gt;GG3,GF12,0)</f>
        <v>0</v>
      </c>
      <c r="GH7" s="7">
        <f t="shared" ref="GH7" si="276">IF($B$14&gt;GH3,GG12,0)</f>
        <v>0</v>
      </c>
      <c r="GI7" s="7">
        <f t="shared" ref="GI7" si="277">IF($B$14&gt;GI3,GH12,0)</f>
        <v>0</v>
      </c>
      <c r="GJ7" s="7">
        <f t="shared" ref="GJ7" si="278">IF($B$14&gt;GJ3,GI12,0)</f>
        <v>0</v>
      </c>
      <c r="GK7" s="7">
        <f t="shared" ref="GK7" si="279">IF($B$14&gt;GK3,GJ12,0)</f>
        <v>0</v>
      </c>
      <c r="GL7" s="7">
        <f t="shared" ref="GL7" si="280">IF($B$14&gt;GL3,GK12,0)</f>
        <v>0</v>
      </c>
      <c r="GM7" s="7">
        <f t="shared" ref="GM7" si="281">IF($B$14&gt;GM3,GL12,0)</f>
        <v>0</v>
      </c>
      <c r="GN7" s="7">
        <f t="shared" ref="GN7" si="282">IF($B$14&gt;GN3,GM12,0)</f>
        <v>0</v>
      </c>
      <c r="GO7" s="7">
        <f t="shared" ref="GO7" si="283">IF($B$14&gt;GO3,GN12,0)</f>
        <v>0</v>
      </c>
      <c r="GP7" s="7">
        <f t="shared" ref="GP7" si="284">IF($B$14&gt;GP3,GO12,0)</f>
        <v>0</v>
      </c>
      <c r="GQ7" s="7">
        <f t="shared" ref="GQ7" si="285">IF($B$14&gt;GQ3,GP12,0)</f>
        <v>0</v>
      </c>
      <c r="GR7" s="7">
        <f t="shared" ref="GR7" si="286">IF($B$14&gt;GR3,GQ12,0)</f>
        <v>0</v>
      </c>
      <c r="GS7" s="7">
        <f t="shared" ref="GS7" si="287">IF($B$14&gt;GS3,GR12,0)</f>
        <v>0</v>
      </c>
      <c r="GT7" s="7">
        <f t="shared" ref="GT7" si="288">IF($B$14&gt;GT3,GS12,0)</f>
        <v>0</v>
      </c>
      <c r="GU7" s="7">
        <f t="shared" ref="GU7" si="289">IF($B$14&gt;GU3,GT12,0)</f>
        <v>0</v>
      </c>
      <c r="GV7" s="7">
        <f t="shared" ref="GV7" si="290">IF($B$14&gt;GV3,GU12,0)</f>
        <v>0</v>
      </c>
      <c r="GW7" s="7">
        <f t="shared" ref="GW7" si="291">IF($B$14&gt;GW3,GV12,0)</f>
        <v>0</v>
      </c>
      <c r="GX7" s="7">
        <f t="shared" ref="GX7" si="292">IF($B$14&gt;GX3,GW12,0)</f>
        <v>0</v>
      </c>
      <c r="GY7" s="7">
        <f t="shared" ref="GY7" si="293">IF($B$14&gt;GY3,GX12,0)</f>
        <v>0</v>
      </c>
      <c r="GZ7" s="7">
        <f t="shared" ref="GZ7" si="294">IF($B$14&gt;GZ3,GY12,0)</f>
        <v>0</v>
      </c>
      <c r="HA7" s="7">
        <f t="shared" ref="HA7" si="295">IF($B$14&gt;HA3,GZ12,0)</f>
        <v>0</v>
      </c>
      <c r="HB7" s="7">
        <f t="shared" ref="HB7" si="296">IF($B$14&gt;HB3,HA12,0)</f>
        <v>0</v>
      </c>
      <c r="HC7" s="7">
        <f t="shared" ref="HC7" si="297">IF($B$14&gt;HC3,HB12,0)</f>
        <v>0</v>
      </c>
      <c r="HD7" s="7">
        <f t="shared" ref="HD7" si="298">IF($B$14&gt;HD3,HC12,0)</f>
        <v>0</v>
      </c>
      <c r="HE7" s="7">
        <f t="shared" ref="HE7" si="299">IF($B$14&gt;HE3,HD12,0)</f>
        <v>0</v>
      </c>
      <c r="HF7" s="7">
        <f t="shared" ref="HF7" si="300">IF($B$14&gt;HF3,HE12,0)</f>
        <v>0</v>
      </c>
      <c r="HG7" s="7">
        <f t="shared" ref="HG7" si="301">IF($B$14&gt;HG3,HF12,0)</f>
        <v>0</v>
      </c>
      <c r="HH7" s="7">
        <f t="shared" ref="HH7" si="302">IF($B$14&gt;HH3,HG12,0)</f>
        <v>0</v>
      </c>
      <c r="HI7" s="7">
        <f t="shared" ref="HI7" si="303">IF($B$14&gt;HI3,HH12,0)</f>
        <v>0</v>
      </c>
      <c r="HJ7" s="7">
        <f t="shared" ref="HJ7" si="304">IF($B$14&gt;HJ3,HI12,0)</f>
        <v>0</v>
      </c>
      <c r="HK7" s="7">
        <f t="shared" ref="HK7" si="305">IF($B$14&gt;HK3,HJ12,0)</f>
        <v>0</v>
      </c>
      <c r="HL7" s="7">
        <f t="shared" ref="HL7" si="306">IF($B$14&gt;HL3,HK12,0)</f>
        <v>0</v>
      </c>
      <c r="HM7" s="7">
        <f t="shared" ref="HM7" si="307">IF($B$14&gt;HM3,HL12,0)</f>
        <v>0</v>
      </c>
      <c r="HN7" s="7">
        <f t="shared" ref="HN7" si="308">IF($B$14&gt;HN3,HM12,0)</f>
        <v>0</v>
      </c>
      <c r="HO7" s="7">
        <f t="shared" ref="HO7" si="309">IF($B$14&gt;HO3,HN12,0)</f>
        <v>0</v>
      </c>
      <c r="HP7" s="7">
        <f t="shared" ref="HP7" si="310">IF($B$14&gt;HP3,HO12,0)</f>
        <v>0</v>
      </c>
      <c r="HQ7" s="7">
        <f t="shared" ref="HQ7" si="311">IF($B$14&gt;HQ3,HP12,0)</f>
        <v>0</v>
      </c>
      <c r="HR7" s="7">
        <f t="shared" ref="HR7" si="312">IF($B$14&gt;HR3,HQ12,0)</f>
        <v>0</v>
      </c>
      <c r="HS7" s="7">
        <f t="shared" ref="HS7" si="313">IF($B$14&gt;HS3,HR12,0)</f>
        <v>0</v>
      </c>
      <c r="HT7" s="7">
        <f t="shared" ref="HT7" si="314">IF($B$14&gt;HT3,HS12,0)</f>
        <v>0</v>
      </c>
      <c r="HU7" s="7">
        <f t="shared" ref="HU7" si="315">IF($B$14&gt;HU3,HT12,0)</f>
        <v>0</v>
      </c>
      <c r="HV7" s="7">
        <f t="shared" ref="HV7" si="316">IF($B$14&gt;HV3,HU12,0)</f>
        <v>0</v>
      </c>
      <c r="HW7" s="7">
        <f t="shared" ref="HW7" si="317">IF($B$14&gt;HW3,HV12,0)</f>
        <v>0</v>
      </c>
      <c r="HX7" s="7">
        <f t="shared" ref="HX7" si="318">IF($B$14&gt;HX3,HW12,0)</f>
        <v>0</v>
      </c>
      <c r="HY7" s="7">
        <f t="shared" ref="HY7" si="319">IF($B$14&gt;HY3,HX12,0)</f>
        <v>0</v>
      </c>
      <c r="HZ7" s="7">
        <f t="shared" ref="HZ7" si="320">IF($B$14&gt;HZ3,HY12,0)</f>
        <v>0</v>
      </c>
      <c r="IA7" s="7">
        <f t="shared" ref="IA7" si="321">IF($B$14&gt;IA3,HZ12,0)</f>
        <v>0</v>
      </c>
      <c r="IB7" s="7">
        <f t="shared" ref="IB7" si="322">IF($B$14&gt;IB3,IA12,0)</f>
        <v>0</v>
      </c>
      <c r="IC7" s="7">
        <f t="shared" ref="IC7" si="323">IF($B$14&gt;IC3,IB12,0)</f>
        <v>0</v>
      </c>
      <c r="ID7" s="7">
        <f t="shared" ref="ID7" si="324">IF($B$14&gt;ID3,IC12,0)</f>
        <v>0</v>
      </c>
      <c r="IE7" s="7">
        <f t="shared" ref="IE7" si="325">IF($B$14&gt;IE3,ID12,0)</f>
        <v>0</v>
      </c>
      <c r="IF7" s="7">
        <f t="shared" ref="IF7" si="326">IF($B$14&gt;IF3,IE12,0)</f>
        <v>0</v>
      </c>
      <c r="IG7" s="7">
        <f t="shared" ref="IG7" si="327">IF($B$14&gt;IG3,IF12,0)</f>
        <v>0</v>
      </c>
      <c r="IH7" s="7">
        <f t="shared" ref="IH7" si="328">IF($B$14&gt;IH3,IG12,0)</f>
        <v>0</v>
      </c>
      <c r="II7" s="7">
        <f t="shared" ref="II7" si="329">IF($B$14&gt;II3,IH12,0)</f>
        <v>0</v>
      </c>
      <c r="IJ7" s="7">
        <f t="shared" ref="IJ7" si="330">IF($B$14&gt;IJ3,II12,0)</f>
        <v>0</v>
      </c>
      <c r="IK7" s="7">
        <f t="shared" ref="IK7" si="331">IF($B$14&gt;IK3,IJ12,0)</f>
        <v>0</v>
      </c>
      <c r="IL7" s="7">
        <f t="shared" ref="IL7" si="332">IF($B$14&gt;IL3,IK12,0)</f>
        <v>0</v>
      </c>
      <c r="IM7" s="7">
        <f t="shared" ref="IM7" si="333">IF($B$14&gt;IM3,IL12,0)</f>
        <v>0</v>
      </c>
      <c r="IN7" s="7">
        <f t="shared" ref="IN7" si="334">IF($B$14&gt;IN3,IM12,0)</f>
        <v>0</v>
      </c>
      <c r="IO7" s="7">
        <f t="shared" ref="IO7" si="335">IF($B$14&gt;IO3,IN12,0)</f>
        <v>0</v>
      </c>
      <c r="IP7" s="7">
        <f t="shared" ref="IP7" si="336">IF($B$14&gt;IP3,IO12,0)</f>
        <v>0</v>
      </c>
      <c r="IQ7" s="7">
        <f t="shared" ref="IQ7" si="337">IF($B$14&gt;IQ3,IP12,0)</f>
        <v>0</v>
      </c>
      <c r="IR7" s="7">
        <f t="shared" ref="IR7" si="338">IF($B$14&gt;IR3,IQ12,0)</f>
        <v>0</v>
      </c>
      <c r="IS7" s="7">
        <f t="shared" ref="IS7" si="339">IF($B$14&gt;IS3,IR12,0)</f>
        <v>0</v>
      </c>
      <c r="IT7" s="7">
        <f t="shared" ref="IT7" si="340">IF($B$14&gt;IT3,IS12,0)</f>
        <v>0</v>
      </c>
      <c r="IU7" s="7">
        <f t="shared" ref="IU7" si="341">IF($B$14&gt;IU3,IT12,0)</f>
        <v>0</v>
      </c>
      <c r="IV7" s="7">
        <f t="shared" ref="IV7" si="342">IF($B$14&gt;IV3,IU12,0)</f>
        <v>0</v>
      </c>
      <c r="IW7" s="7">
        <f t="shared" ref="IW7" si="343">IF($B$14&gt;IW3,IV12,0)</f>
        <v>0</v>
      </c>
      <c r="IX7" s="7">
        <f t="shared" ref="IX7" si="344">IF($B$14&gt;IX3,IW12,0)</f>
        <v>0</v>
      </c>
      <c r="IY7" s="7">
        <f t="shared" ref="IY7" si="345">IF($B$14&gt;IY3,IX12,0)</f>
        <v>0</v>
      </c>
      <c r="IZ7" s="7">
        <f t="shared" ref="IZ7" si="346">IF($B$14&gt;IZ3,IY12,0)</f>
        <v>0</v>
      </c>
      <c r="JA7" s="7">
        <f t="shared" ref="JA7" si="347">IF($B$14&gt;JA3,IZ12,0)</f>
        <v>0</v>
      </c>
      <c r="JB7" s="7">
        <f t="shared" ref="JB7" si="348">IF($B$14&gt;JB3,JA12,0)</f>
        <v>0</v>
      </c>
      <c r="JC7" s="7">
        <f t="shared" ref="JC7" si="349">IF($B$14&gt;JC3,JB12,0)</f>
        <v>0</v>
      </c>
      <c r="JD7" s="7">
        <f t="shared" ref="JD7" si="350">IF($B$14&gt;JD3,JC12,0)</f>
        <v>0</v>
      </c>
      <c r="JE7" s="7">
        <f t="shared" ref="JE7" si="351">IF($B$14&gt;JE3,JD12,0)</f>
        <v>0</v>
      </c>
      <c r="JF7" s="7">
        <f t="shared" ref="JF7" si="352">IF($B$14&gt;JF3,JE12,0)</f>
        <v>0</v>
      </c>
      <c r="JG7" s="7">
        <f t="shared" ref="JG7" si="353">IF($B$14&gt;JG3,JF12,0)</f>
        <v>0</v>
      </c>
      <c r="JH7" s="7">
        <f t="shared" ref="JH7" si="354">IF($B$14&gt;JH3,JG12,0)</f>
        <v>0</v>
      </c>
      <c r="JI7" s="7">
        <f t="shared" ref="JI7" si="355">IF($B$14&gt;JI3,JH12,0)</f>
        <v>0</v>
      </c>
      <c r="JJ7" s="7">
        <f t="shared" ref="JJ7" si="356">IF($B$14&gt;JJ3,JI12,0)</f>
        <v>0</v>
      </c>
      <c r="JK7" s="7">
        <f t="shared" ref="JK7" si="357">IF($B$14&gt;JK3,JJ12,0)</f>
        <v>0</v>
      </c>
      <c r="JL7" s="7">
        <f t="shared" ref="JL7" si="358">IF($B$14&gt;JL3,JK12,0)</f>
        <v>0</v>
      </c>
      <c r="JM7" s="7">
        <f t="shared" ref="JM7" si="359">IF($B$14&gt;JM3,JL12,0)</f>
        <v>0</v>
      </c>
      <c r="JN7" s="7">
        <f t="shared" ref="JN7" si="360">IF($B$14&gt;JN3,JM12,0)</f>
        <v>0</v>
      </c>
      <c r="JO7" s="7">
        <f t="shared" ref="JO7" si="361">IF($B$14&gt;JO3,JN12,0)</f>
        <v>0</v>
      </c>
      <c r="JP7" s="7">
        <f t="shared" ref="JP7" si="362">IF($B$14&gt;JP3,JO12,0)</f>
        <v>0</v>
      </c>
      <c r="JQ7" s="7">
        <f t="shared" ref="JQ7" si="363">IF($B$14&gt;JQ3,JP12,0)</f>
        <v>0</v>
      </c>
      <c r="JR7" s="7">
        <f t="shared" ref="JR7" si="364">IF($B$14&gt;JR3,JQ12,0)</f>
        <v>0</v>
      </c>
      <c r="JS7" s="7">
        <f t="shared" ref="JS7" si="365">IF($B$14&gt;JS3,JR12,0)</f>
        <v>0</v>
      </c>
      <c r="JT7" s="7">
        <f t="shared" ref="JT7" si="366">IF($B$14&gt;JT3,JS12,0)</f>
        <v>0</v>
      </c>
    </row>
    <row r="8" spans="1:280" x14ac:dyDescent="0.2">
      <c r="A8" s="1" t="s">
        <v>104</v>
      </c>
      <c r="B8" s="45">
        <f>Summary!D5</f>
        <v>194866984.83765146</v>
      </c>
      <c r="C8" s="40"/>
      <c r="D8" s="3" t="s">
        <v>113</v>
      </c>
      <c r="E8" s="7">
        <f>$B$8*VLOOKUP(E$3,CapEx!$N$11:$P$34,2,0)</f>
        <v>42317472.159759872</v>
      </c>
      <c r="F8" s="7">
        <f>$B$8*VLOOKUP(F$3,CapEx!$N$11:$P$34,2,0)</f>
        <v>13316080.390047802</v>
      </c>
      <c r="G8" s="7">
        <f>$B$8*VLOOKUP(G$3,CapEx!$N$11:$P$34,2,0)</f>
        <v>10733342.685324425</v>
      </c>
      <c r="H8" s="7">
        <f>$B$8*VLOOKUP(H$3,CapEx!$N$11:$P$34,2,0)</f>
        <v>6849326.8666531518</v>
      </c>
      <c r="I8" s="7">
        <f>$B$8*VLOOKUP(I$3,CapEx!$N$11:$P$34,2,0)</f>
        <v>16240724.732472457</v>
      </c>
      <c r="J8" s="7">
        <f>$B$8*VLOOKUP(J$3,CapEx!$N$11:$P$34,2,0)</f>
        <v>20159024.0643491</v>
      </c>
      <c r="K8" s="7">
        <f>$B$8*VLOOKUP(K$3,CapEx!$N$11:$P$34,2,0)</f>
        <v>17657020.846819658</v>
      </c>
      <c r="L8" s="7">
        <f>$B$8*VLOOKUP(L$3,CapEx!$N$11:$P$34,2,0)</f>
        <v>15140491.748711076</v>
      </c>
      <c r="M8" s="7">
        <f>$B$8*VLOOKUP(M$3,CapEx!$N$11:$P$34,2,0)</f>
        <v>13914524.71611272</v>
      </c>
      <c r="N8" s="7">
        <f>$B$8*VLOOKUP(N$3,CapEx!$N$11:$P$34,2,0)</f>
        <v>11364273.276671872</v>
      </c>
      <c r="O8" s="7">
        <f>$B$8*VLOOKUP(O$3,CapEx!$N$11:$P$34,2,0)</f>
        <v>11041533.083580332</v>
      </c>
      <c r="P8" s="7">
        <f>$B$8*VLOOKUP(P$3,CapEx!$N$11:$P$34,2,0)</f>
        <v>16133170.267148936</v>
      </c>
      <c r="Q8" s="7">
        <f>$B$8*VLOOKUP(Q$3,CapEx!$N$11:$P$34,2,0)</f>
        <v>0</v>
      </c>
      <c r="R8" s="7">
        <f>$B$8*VLOOKUP(R$3,CapEx!$N$11:$P$34,2,0)</f>
        <v>0</v>
      </c>
      <c r="S8" s="7">
        <f>$B$8*VLOOKUP(S$3,CapEx!$N$11:$P$34,2,0)</f>
        <v>0</v>
      </c>
      <c r="T8" s="7">
        <f>$B$8*VLOOKUP(T$3,CapEx!$N$11:$P$34,2,0)</f>
        <v>0</v>
      </c>
      <c r="U8" s="7">
        <f>$B$8*VLOOKUP(U$3,CapEx!$N$11:$P$34,2,0)</f>
        <v>0</v>
      </c>
      <c r="V8" s="7">
        <f>$B$8*VLOOKUP(V$3,CapEx!$N$11:$P$34,2,0)</f>
        <v>0</v>
      </c>
      <c r="W8" s="7">
        <f>$B$8*VLOOKUP(W$3,CapEx!$N$11:$P$34,2,0)</f>
        <v>0</v>
      </c>
      <c r="X8" s="7">
        <f>$B$8*VLOOKUP(X$3,CapEx!$N$11:$P$34,2,0)</f>
        <v>0</v>
      </c>
      <c r="Y8" s="7">
        <f>$B$8*VLOOKUP(Y$3,CapEx!$N$11:$P$34,2,0)</f>
        <v>0</v>
      </c>
      <c r="Z8" s="7">
        <f>$B$8*VLOOKUP(Z$3,CapEx!$N$11:$P$34,2,0)</f>
        <v>0</v>
      </c>
      <c r="AA8" s="7">
        <f>$B$8*VLOOKUP(AA$3,CapEx!$N$11:$P$34,2,0)</f>
        <v>0</v>
      </c>
      <c r="AB8" s="7">
        <f>$B$8*VLOOKUP(AB$3,CapEx!$N$11:$P$34,2,0)</f>
        <v>0</v>
      </c>
      <c r="AC8" s="7">
        <f>IFERROR($B$8*VLOOKUP(AC$3,CapEx!$N$11:$P$34,2,0),0)</f>
        <v>0</v>
      </c>
      <c r="AD8" s="7">
        <f>IFERROR($B$8*VLOOKUP(AD$3,CapEx!$N$11:$P$34,2,0),0)</f>
        <v>0</v>
      </c>
      <c r="AE8" s="7">
        <f>IFERROR($B$8*VLOOKUP(AE$3,CapEx!$N$11:$P$34,2,0),0)</f>
        <v>0</v>
      </c>
      <c r="AF8" s="7">
        <f>IFERROR($B$8*VLOOKUP(AF$3,CapEx!$N$11:$P$34,2,0),0)</f>
        <v>0</v>
      </c>
      <c r="AG8" s="7">
        <f>IFERROR($B$8*VLOOKUP(AG$3,CapEx!$N$11:$P$34,2,0),0)</f>
        <v>0</v>
      </c>
      <c r="AH8" s="7">
        <f>IFERROR($B$8*VLOOKUP(AH$3,CapEx!$N$11:$P$34,2,0),0)</f>
        <v>0</v>
      </c>
      <c r="AI8" s="7">
        <f>IFERROR($B$8*VLOOKUP(AI$3,CapEx!$N$11:$P$34,2,0),0)</f>
        <v>0</v>
      </c>
      <c r="AJ8" s="7">
        <f>IFERROR($B$8*VLOOKUP(AJ$3,CapEx!$N$11:$P$34,2,0),0)</f>
        <v>0</v>
      </c>
      <c r="AK8" s="7">
        <f>IFERROR($B$8*VLOOKUP(AK$3,CapEx!$N$11:$P$34,2,0),0)</f>
        <v>0</v>
      </c>
      <c r="AL8" s="7">
        <f>IFERROR($B$8*VLOOKUP(AL$3,CapEx!$N$11:$P$34,2,0),0)</f>
        <v>0</v>
      </c>
      <c r="AM8" s="7">
        <f>IFERROR($B$8*VLOOKUP(AM$3,CapEx!$N$11:$P$34,2,0),0)</f>
        <v>0</v>
      </c>
      <c r="AN8" s="7">
        <f>IFERROR($B$8*VLOOKUP(AN$3,CapEx!$N$11:$P$34,2,0),0)</f>
        <v>0</v>
      </c>
      <c r="AO8" s="7">
        <f>IFERROR($B$8*VLOOKUP(AO$3,CapEx!$N$11:$P$34,2,0),0)</f>
        <v>0</v>
      </c>
      <c r="AP8" s="7">
        <f>IFERROR($B$8*VLOOKUP(AP$3,CapEx!$N$11:$P$34,2,0),0)</f>
        <v>0</v>
      </c>
      <c r="AQ8" s="7">
        <f>IFERROR($B$8*VLOOKUP(AQ$3,CapEx!$N$11:$P$34,2,0),0)</f>
        <v>0</v>
      </c>
      <c r="AR8" s="7">
        <f>IFERROR($B$8*VLOOKUP(AR$3,CapEx!$N$11:$P$34,2,0),0)</f>
        <v>0</v>
      </c>
      <c r="AS8" s="7">
        <f>IFERROR($B$8*VLOOKUP(AS$3,CapEx!$N$11:$P$34,2,0),0)</f>
        <v>0</v>
      </c>
      <c r="AT8" s="7">
        <f>IFERROR($B$8*VLOOKUP(AT$3,CapEx!$N$11:$P$34,2,0),0)</f>
        <v>0</v>
      </c>
      <c r="AU8" s="7">
        <f>IFERROR($B$8*VLOOKUP(AU$3,CapEx!$N$11:$P$34,2,0),0)</f>
        <v>0</v>
      </c>
      <c r="AV8" s="7">
        <f>IFERROR($B$8*VLOOKUP(AV$3,CapEx!$N$11:$P$34,2,0),0)</f>
        <v>0</v>
      </c>
      <c r="AW8" s="7">
        <f>IFERROR($B$8*VLOOKUP(AW$3,CapEx!$N$11:$P$34,2,0),0)</f>
        <v>0</v>
      </c>
      <c r="AX8" s="7">
        <f>IFERROR($B$8*VLOOKUP(AX$3,CapEx!$N$11:$P$34,2,0),0)</f>
        <v>0</v>
      </c>
      <c r="AY8" s="7">
        <f>IFERROR($B$8*VLOOKUP(AY$3,CapEx!$N$11:$P$34,2,0),0)</f>
        <v>0</v>
      </c>
      <c r="AZ8" s="7">
        <f>IFERROR($B$8*VLOOKUP(AZ$3,CapEx!$N$11:$P$34,2,0),0)</f>
        <v>0</v>
      </c>
      <c r="BA8" s="7">
        <f>IFERROR($B$8*VLOOKUP(BA$3,CapEx!$N$11:$P$34,2,0),0)</f>
        <v>0</v>
      </c>
      <c r="BB8" s="7">
        <f>IFERROR($B$8*VLOOKUP(BB$3,CapEx!$N$11:$P$34,2,0),0)</f>
        <v>0</v>
      </c>
      <c r="BC8" s="7">
        <f>IFERROR($B$8*VLOOKUP(BC$3,CapEx!$N$11:$P$34,2,0),0)</f>
        <v>0</v>
      </c>
      <c r="BD8" s="7">
        <f>IFERROR($B$8*VLOOKUP(BD$3,CapEx!$N$11:$P$34,2,0),0)</f>
        <v>0</v>
      </c>
      <c r="BE8" s="7">
        <f>IFERROR($B$8*VLOOKUP(BE$3,CapEx!$N$11:$P$34,2,0),0)</f>
        <v>0</v>
      </c>
      <c r="BF8" s="7">
        <f>IFERROR($B$8*VLOOKUP(BF$3,CapEx!$N$11:$P$34,2,0),0)</f>
        <v>0</v>
      </c>
      <c r="BG8" s="7">
        <f>IFERROR($B$8*VLOOKUP(BG$3,CapEx!$N$11:$P$34,2,0),0)</f>
        <v>0</v>
      </c>
      <c r="BH8" s="7">
        <f>IFERROR($B$8*VLOOKUP(BH$3,CapEx!$N$11:$P$34,2,0),0)</f>
        <v>0</v>
      </c>
      <c r="BI8" s="7">
        <f>IFERROR($B$8*VLOOKUP(BI$3,CapEx!$N$11:$P$34,2,0),0)</f>
        <v>0</v>
      </c>
      <c r="BJ8" s="7">
        <f>IFERROR($B$8*VLOOKUP(BJ$3,CapEx!$N$11:$P$34,2,0),0)</f>
        <v>0</v>
      </c>
      <c r="BK8" s="7">
        <f>IFERROR($B$8*VLOOKUP(BK$3,CapEx!$N$11:$P$34,2,0),0)</f>
        <v>0</v>
      </c>
      <c r="BL8" s="7">
        <f>IFERROR($B$8*VLOOKUP(BL$3,CapEx!$N$11:$P$34,2,0),0)</f>
        <v>0</v>
      </c>
      <c r="BM8" s="7">
        <f>IFERROR($B$8*VLOOKUP(BM$3,CapEx!$N$11:$P$34,2,0),0)</f>
        <v>0</v>
      </c>
      <c r="BN8" s="7">
        <f>IFERROR($B$8*VLOOKUP(BN$3,CapEx!$N$11:$P$34,2,0),0)</f>
        <v>0</v>
      </c>
      <c r="BO8" s="7">
        <f>IFERROR($B$8*VLOOKUP(BO$3,CapEx!$N$11:$P$34,2,0),0)</f>
        <v>0</v>
      </c>
      <c r="BP8" s="7">
        <f>IFERROR($B$8*VLOOKUP(BP$3,CapEx!$N$11:$P$34,2,0),0)</f>
        <v>0</v>
      </c>
      <c r="BQ8" s="7">
        <f>IFERROR($B$8*VLOOKUP(BQ$3,CapEx!$N$11:$P$34,2,0),0)</f>
        <v>0</v>
      </c>
      <c r="BR8" s="7">
        <f>IFERROR($B$8*VLOOKUP(BR$3,CapEx!$N$11:$P$34,2,0),0)</f>
        <v>0</v>
      </c>
      <c r="BS8" s="7">
        <f>IFERROR($B$8*VLOOKUP(BS$3,CapEx!$N$11:$P$34,2,0),0)</f>
        <v>0</v>
      </c>
      <c r="BT8" s="7">
        <f>IFERROR($B$8*VLOOKUP(BT$3,CapEx!$N$11:$P$34,2,0),0)</f>
        <v>0</v>
      </c>
      <c r="BU8" s="7">
        <f>IFERROR($B$8*VLOOKUP(BU$3,CapEx!$N$11:$P$34,2,0),0)</f>
        <v>0</v>
      </c>
      <c r="BV8" s="7">
        <f>IFERROR($B$8*VLOOKUP(BV$3,CapEx!$N$11:$P$34,2,0),0)</f>
        <v>0</v>
      </c>
      <c r="BW8" s="7">
        <f>IFERROR($B$8*VLOOKUP(BW$3,CapEx!$N$11:$P$34,2,0),0)</f>
        <v>0</v>
      </c>
      <c r="BX8" s="7">
        <f>IFERROR($B$8*VLOOKUP(BX$3,CapEx!$N$11:$P$34,2,0),0)</f>
        <v>0</v>
      </c>
      <c r="BY8" s="7">
        <f>IFERROR($B$8*VLOOKUP(BY$3,CapEx!$N$11:$P$34,2,0),0)</f>
        <v>0</v>
      </c>
      <c r="BZ8" s="7">
        <f>IFERROR($B$8*VLOOKUP(BZ$3,CapEx!$N$11:$P$34,2,0),0)</f>
        <v>0</v>
      </c>
      <c r="CA8" s="7">
        <f>IFERROR($B$8*VLOOKUP(CA$3,CapEx!$N$11:$P$34,2,0),0)</f>
        <v>0</v>
      </c>
      <c r="CB8" s="7">
        <f>IFERROR($B$8*VLOOKUP(CB$3,CapEx!$N$11:$P$34,2,0),0)</f>
        <v>0</v>
      </c>
      <c r="CC8" s="7">
        <f>IFERROR($B$8*VLOOKUP(CC$3,CapEx!$N$11:$P$34,2,0),0)</f>
        <v>0</v>
      </c>
      <c r="CD8" s="7">
        <f>IFERROR($B$8*VLOOKUP(CD$3,CapEx!$N$11:$P$34,2,0),0)</f>
        <v>0</v>
      </c>
      <c r="CE8" s="7">
        <f>IFERROR($B$8*VLOOKUP(CE$3,CapEx!$N$11:$P$34,2,0),0)</f>
        <v>0</v>
      </c>
      <c r="CF8" s="7">
        <f>IFERROR($B$8*VLOOKUP(CF$3,CapEx!$N$11:$P$34,2,0),0)</f>
        <v>0</v>
      </c>
      <c r="CG8" s="7">
        <f>IFERROR($B$8*VLOOKUP(CG$3,CapEx!$N$11:$P$34,2,0),0)</f>
        <v>0</v>
      </c>
      <c r="CH8" s="7">
        <f>IFERROR($B$8*VLOOKUP(CH$3,CapEx!$N$11:$P$34,2,0),0)</f>
        <v>0</v>
      </c>
      <c r="CI8" s="7">
        <f>IFERROR($B$8*VLOOKUP(CI$3,CapEx!$N$11:$P$34,2,0),0)</f>
        <v>0</v>
      </c>
      <c r="CJ8" s="7">
        <f>IFERROR($B$8*VLOOKUP(CJ$3,CapEx!$N$11:$P$34,2,0),0)</f>
        <v>0</v>
      </c>
      <c r="CK8" s="7">
        <f>IFERROR($B$8*VLOOKUP(CK$3,CapEx!$N$11:$P$34,2,0),0)</f>
        <v>0</v>
      </c>
      <c r="CL8" s="7">
        <f>IFERROR($B$8*VLOOKUP(CL$3,CapEx!$N$11:$P$34,2,0),0)</f>
        <v>0</v>
      </c>
      <c r="CM8" s="7">
        <f>IFERROR($B$8*VLOOKUP(CM$3,CapEx!$N$11:$P$34,2,0),0)</f>
        <v>0</v>
      </c>
      <c r="CN8" s="7">
        <f>IFERROR($B$8*VLOOKUP(CN$3,CapEx!$N$11:$P$34,2,0),0)</f>
        <v>0</v>
      </c>
      <c r="CO8" s="7">
        <f>IFERROR($B$8*VLOOKUP(CO$3,CapEx!$N$11:$P$34,2,0),0)</f>
        <v>0</v>
      </c>
      <c r="CP8" s="7">
        <f>IFERROR($B$8*VLOOKUP(CP$3,CapEx!$N$11:$P$34,2,0),0)</f>
        <v>0</v>
      </c>
      <c r="CQ8" s="7">
        <f>IFERROR($B$8*VLOOKUP(CQ$3,CapEx!$N$11:$P$34,2,0),0)</f>
        <v>0</v>
      </c>
      <c r="CR8" s="7">
        <f>IFERROR($B$8*VLOOKUP(CR$3,CapEx!$N$11:$P$34,2,0),0)</f>
        <v>0</v>
      </c>
      <c r="CS8" s="7">
        <f>IFERROR($B$8*VLOOKUP(CS$3,CapEx!$N$11:$P$34,2,0),0)</f>
        <v>0</v>
      </c>
      <c r="CT8" s="7">
        <f>IFERROR($B$8*VLOOKUP(CT$3,CapEx!$N$11:$P$34,2,0),0)</f>
        <v>0</v>
      </c>
      <c r="CU8" s="7">
        <f>IFERROR($B$8*VLOOKUP(CU$3,CapEx!$N$11:$P$34,2,0),0)</f>
        <v>0</v>
      </c>
      <c r="CV8" s="7">
        <f>IFERROR($B$8*VLOOKUP(CV$3,CapEx!$N$11:$P$34,2,0),0)</f>
        <v>0</v>
      </c>
      <c r="CW8" s="7">
        <f>IFERROR($B$8*VLOOKUP(CW$3,CapEx!$N$11:$P$34,2,0),0)</f>
        <v>0</v>
      </c>
      <c r="CX8" s="7">
        <f>IFERROR($B$8*VLOOKUP(CX$3,CapEx!$N$11:$P$34,2,0),0)</f>
        <v>0</v>
      </c>
      <c r="CY8" s="7">
        <f>IFERROR($B$8*VLOOKUP(CY$3,CapEx!$N$11:$P$34,2,0),0)</f>
        <v>0</v>
      </c>
      <c r="CZ8" s="7">
        <f>IFERROR($B$8*VLOOKUP(CZ$3,CapEx!$N$11:$P$34,2,0),0)</f>
        <v>0</v>
      </c>
      <c r="DA8" s="7">
        <f>IFERROR($B$8*VLOOKUP(DA$3,CapEx!$N$11:$P$34,2,0),0)</f>
        <v>0</v>
      </c>
      <c r="DB8" s="7">
        <f>IFERROR($B$8*VLOOKUP(DB$3,CapEx!$N$11:$P$34,2,0),0)</f>
        <v>0</v>
      </c>
      <c r="DC8" s="7">
        <f>IFERROR($B$8*VLOOKUP(DC$3,CapEx!$N$11:$P$34,2,0),0)</f>
        <v>0</v>
      </c>
      <c r="DD8" s="7">
        <f>IFERROR($B$8*VLOOKUP(DD$3,CapEx!$N$11:$P$34,2,0),0)</f>
        <v>0</v>
      </c>
      <c r="DE8" s="7">
        <f>IFERROR($B$8*VLOOKUP(DE$3,CapEx!$N$11:$P$34,2,0),0)</f>
        <v>0</v>
      </c>
      <c r="DF8" s="7">
        <f>IFERROR($B$8*VLOOKUP(DF$3,CapEx!$N$11:$P$34,2,0),0)</f>
        <v>0</v>
      </c>
      <c r="DG8" s="7">
        <f>IFERROR($B$8*VLOOKUP(DG$3,CapEx!$N$11:$P$34,2,0),0)</f>
        <v>0</v>
      </c>
      <c r="DH8" s="7">
        <f>IFERROR($B$8*VLOOKUP(DH$3,CapEx!$N$11:$P$34,2,0),0)</f>
        <v>0</v>
      </c>
      <c r="DI8" s="7">
        <f>IFERROR($B$8*VLOOKUP(DI$3,CapEx!$N$11:$P$34,2,0),0)</f>
        <v>0</v>
      </c>
      <c r="DJ8" s="7">
        <f>IFERROR($B$8*VLOOKUP(DJ$3,CapEx!$N$11:$P$34,2,0),0)</f>
        <v>0</v>
      </c>
      <c r="DK8" s="7">
        <f>IFERROR($B$8*VLOOKUP(DK$3,CapEx!$N$11:$P$34,2,0),0)</f>
        <v>0</v>
      </c>
      <c r="DL8" s="7">
        <f>IFERROR($B$8*VLOOKUP(DL$3,CapEx!$N$11:$P$34,2,0),0)</f>
        <v>0</v>
      </c>
      <c r="DM8" s="7">
        <f>IFERROR($B$8*VLOOKUP(DM$3,CapEx!$N$11:$P$34,2,0),0)</f>
        <v>0</v>
      </c>
      <c r="DN8" s="7">
        <f>IFERROR($B$8*VLOOKUP(DN$3,CapEx!$N$11:$P$34,2,0),0)</f>
        <v>0</v>
      </c>
      <c r="DO8" s="7">
        <f>IFERROR($B$8*VLOOKUP(DO$3,CapEx!$N$11:$P$34,2,0),0)</f>
        <v>0</v>
      </c>
      <c r="DP8" s="7">
        <f>IFERROR($B$8*VLOOKUP(DP$3,CapEx!$N$11:$P$34,2,0),0)</f>
        <v>0</v>
      </c>
      <c r="DQ8" s="7">
        <f>IFERROR($B$8*VLOOKUP(DQ$3,CapEx!$N$11:$P$34,2,0),0)</f>
        <v>0</v>
      </c>
      <c r="DR8" s="7">
        <f>IFERROR($B$8*VLOOKUP(DR$3,CapEx!$N$11:$P$34,2,0),0)</f>
        <v>0</v>
      </c>
      <c r="DS8" s="7">
        <f>IFERROR($B$8*VLOOKUP(DS$3,CapEx!$N$11:$P$34,2,0),0)</f>
        <v>0</v>
      </c>
      <c r="DT8" s="7">
        <f>IFERROR($B$8*VLOOKUP(DT$3,CapEx!$N$11:$P$34,2,0),0)</f>
        <v>0</v>
      </c>
      <c r="DU8" s="7">
        <f>IFERROR($B$8*VLOOKUP(DU$3,CapEx!$N$11:$P$34,2,0),0)</f>
        <v>0</v>
      </c>
      <c r="DV8" s="7">
        <f>IFERROR($B$8*VLOOKUP(DV$3,CapEx!$N$11:$P$34,2,0),0)</f>
        <v>0</v>
      </c>
      <c r="DW8" s="7">
        <f>IFERROR($B$8*VLOOKUP(DW$3,CapEx!$N$11:$P$34,2,0),0)</f>
        <v>0</v>
      </c>
      <c r="DX8" s="7">
        <f>IFERROR($B$8*VLOOKUP(DX$3,CapEx!$N$11:$P$34,2,0),0)</f>
        <v>0</v>
      </c>
      <c r="DY8" s="7">
        <f>IFERROR($B$8*VLOOKUP(DY$3,CapEx!$N$11:$P$34,2,0),0)</f>
        <v>0</v>
      </c>
      <c r="DZ8" s="7">
        <f>IFERROR($B$8*VLOOKUP(DZ$3,CapEx!$N$11:$P$34,2,0),0)</f>
        <v>0</v>
      </c>
      <c r="EA8" s="7">
        <f>IFERROR($B$8*VLOOKUP(EA$3,CapEx!$N$11:$P$34,2,0),0)</f>
        <v>0</v>
      </c>
      <c r="EB8" s="7">
        <f>IFERROR($B$8*VLOOKUP(EB$3,CapEx!$N$11:$P$34,2,0),0)</f>
        <v>0</v>
      </c>
      <c r="EC8" s="7">
        <f>IFERROR($B$8*VLOOKUP(EC$3,CapEx!$N$11:$P$34,2,0),0)</f>
        <v>0</v>
      </c>
      <c r="ED8" s="7">
        <f>IFERROR($B$8*VLOOKUP(ED$3,CapEx!$N$11:$P$34,2,0),0)</f>
        <v>0</v>
      </c>
      <c r="EE8" s="7">
        <f>IFERROR($B$8*VLOOKUP(EE$3,CapEx!$N$11:$P$34,2,0),0)</f>
        <v>0</v>
      </c>
      <c r="EF8" s="7">
        <f>IFERROR($B$8*VLOOKUP(EF$3,CapEx!$N$11:$P$34,2,0),0)</f>
        <v>0</v>
      </c>
      <c r="EG8" s="7">
        <f>IFERROR($B$8*VLOOKUP(EG$3,CapEx!$N$11:$P$34,2,0),0)</f>
        <v>0</v>
      </c>
      <c r="EH8" s="7">
        <f>IFERROR($B$8*VLOOKUP(EH$3,CapEx!$N$11:$P$34,2,0),0)</f>
        <v>0</v>
      </c>
      <c r="EI8" s="7">
        <f>IFERROR($B$8*VLOOKUP(EI$3,CapEx!$N$11:$P$34,2,0),0)</f>
        <v>0</v>
      </c>
      <c r="EJ8" s="7">
        <f>IFERROR($B$8*VLOOKUP(EJ$3,CapEx!$N$11:$P$34,2,0),0)</f>
        <v>0</v>
      </c>
      <c r="EK8" s="7">
        <f>IFERROR($B$8*VLOOKUP(EK$3,CapEx!$N$11:$P$34,2,0),0)</f>
        <v>0</v>
      </c>
      <c r="EL8" s="7">
        <f>IFERROR($B$8*VLOOKUP(EL$3,CapEx!$N$11:$P$34,2,0),0)</f>
        <v>0</v>
      </c>
      <c r="EM8" s="7">
        <f>IFERROR($B$8*VLOOKUP(EM$3,CapEx!$N$11:$P$34,2,0),0)</f>
        <v>0</v>
      </c>
      <c r="EN8" s="7">
        <f>IFERROR($B$8*VLOOKUP(EN$3,CapEx!$N$11:$P$34,2,0),0)</f>
        <v>0</v>
      </c>
      <c r="EO8" s="7">
        <f>IFERROR($B$8*VLOOKUP(EO$3,CapEx!$N$11:$P$34,2,0),0)</f>
        <v>0</v>
      </c>
      <c r="EP8" s="7">
        <f>IFERROR($B$8*VLOOKUP(EP$3,CapEx!$N$11:$P$34,2,0),0)</f>
        <v>0</v>
      </c>
      <c r="EQ8" s="7">
        <f>IFERROR($B$8*VLOOKUP(EQ$3,CapEx!$N$11:$P$34,2,0),0)</f>
        <v>0</v>
      </c>
      <c r="ER8" s="7">
        <f>IFERROR($B$8*VLOOKUP(ER$3,CapEx!$N$11:$P$34,2,0),0)</f>
        <v>0</v>
      </c>
      <c r="ES8" s="7">
        <f>IFERROR($B$8*VLOOKUP(ES$3,CapEx!$N$11:$P$34,2,0),0)</f>
        <v>0</v>
      </c>
      <c r="ET8" s="7">
        <f>IFERROR($B$8*VLOOKUP(ET$3,CapEx!$N$11:$P$34,2,0),0)</f>
        <v>0</v>
      </c>
      <c r="EU8" s="7">
        <f>IFERROR($B$8*VLOOKUP(EU$3,CapEx!$N$11:$P$34,2,0),0)</f>
        <v>0</v>
      </c>
      <c r="EV8" s="7">
        <f>IFERROR($B$8*VLOOKUP(EV$3,CapEx!$N$11:$P$34,2,0),0)</f>
        <v>0</v>
      </c>
      <c r="EW8" s="7">
        <f>IFERROR($B$8*VLOOKUP(EW$3,CapEx!$N$11:$P$34,2,0),0)</f>
        <v>0</v>
      </c>
      <c r="EX8" s="7">
        <f>IFERROR($B$8*VLOOKUP(EX$3,CapEx!$N$11:$P$34,2,0),0)</f>
        <v>0</v>
      </c>
      <c r="EY8" s="7">
        <f>IFERROR($B$8*VLOOKUP(EY$3,CapEx!$N$11:$P$34,2,0),0)</f>
        <v>0</v>
      </c>
      <c r="EZ8" s="7">
        <f>IFERROR($B$8*VLOOKUP(EZ$3,CapEx!$N$11:$P$34,2,0),0)</f>
        <v>0</v>
      </c>
      <c r="FA8" s="7">
        <f>IFERROR($B$8*VLOOKUP(FA$3,CapEx!$N$11:$P$34,2,0),0)</f>
        <v>0</v>
      </c>
      <c r="FB8" s="7">
        <f>IFERROR($B$8*VLOOKUP(FB$3,CapEx!$N$11:$P$34,2,0),0)</f>
        <v>0</v>
      </c>
      <c r="FC8" s="7">
        <f>IFERROR($B$8*VLOOKUP(FC$3,CapEx!$N$11:$P$34,2,0),0)</f>
        <v>0</v>
      </c>
      <c r="FD8" s="7">
        <f>IFERROR($B$8*VLOOKUP(FD$3,CapEx!$N$11:$P$34,2,0),0)</f>
        <v>0</v>
      </c>
      <c r="FE8" s="7">
        <f>IFERROR($B$8*VLOOKUP(FE$3,CapEx!$N$11:$P$34,2,0),0)</f>
        <v>0</v>
      </c>
      <c r="FF8" s="7">
        <f>IFERROR($B$8*VLOOKUP(FF$3,CapEx!$N$11:$P$34,2,0),0)</f>
        <v>0</v>
      </c>
      <c r="FG8" s="7">
        <f>IFERROR($B$8*VLOOKUP(FG$3,CapEx!$N$11:$P$34,2,0),0)</f>
        <v>0</v>
      </c>
      <c r="FH8" s="7">
        <f>IFERROR($B$8*VLOOKUP(FH$3,CapEx!$N$11:$P$34,2,0),0)</f>
        <v>0</v>
      </c>
      <c r="FI8" s="7">
        <f>IFERROR($B$8*VLOOKUP(FI$3,CapEx!$N$11:$P$34,2,0),0)</f>
        <v>0</v>
      </c>
      <c r="FJ8" s="7">
        <f>IFERROR($B$8*VLOOKUP(FJ$3,CapEx!$N$11:$P$34,2,0),0)</f>
        <v>0</v>
      </c>
      <c r="FK8" s="7">
        <f>IFERROR($B$8*VLOOKUP(FK$3,CapEx!$N$11:$P$34,2,0),0)</f>
        <v>0</v>
      </c>
      <c r="FL8" s="7">
        <f>IFERROR($B$8*VLOOKUP(FL$3,CapEx!$N$11:$P$34,2,0),0)</f>
        <v>0</v>
      </c>
      <c r="FM8" s="7">
        <f>IFERROR($B$8*VLOOKUP(FM$3,CapEx!$N$11:$P$34,2,0),0)</f>
        <v>0</v>
      </c>
      <c r="FN8" s="7">
        <f>IFERROR($B$8*VLOOKUP(FN$3,CapEx!$N$11:$P$34,2,0),0)</f>
        <v>0</v>
      </c>
      <c r="FO8" s="7">
        <f>IFERROR($B$8*VLOOKUP(FO$3,CapEx!$N$11:$P$34,2,0),0)</f>
        <v>0</v>
      </c>
      <c r="FP8" s="7">
        <f>IFERROR($B$8*VLOOKUP(FP$3,CapEx!$N$11:$P$34,2,0),0)</f>
        <v>0</v>
      </c>
      <c r="FQ8" s="7">
        <f>IFERROR($B$8*VLOOKUP(FQ$3,CapEx!$N$11:$P$34,2,0),0)</f>
        <v>0</v>
      </c>
      <c r="FR8" s="7">
        <f>IFERROR($B$8*VLOOKUP(FR$3,CapEx!$N$11:$P$34,2,0),0)</f>
        <v>0</v>
      </c>
      <c r="FS8" s="7">
        <f>IFERROR($B$8*VLOOKUP(FS$3,CapEx!$N$11:$P$34,2,0),0)</f>
        <v>0</v>
      </c>
      <c r="FT8" s="7">
        <f>IFERROR($B$8*VLOOKUP(FT$3,CapEx!$N$11:$P$34,2,0),0)</f>
        <v>0</v>
      </c>
      <c r="FU8" s="7">
        <f>IFERROR($B$8*VLOOKUP(FU$3,CapEx!$N$11:$P$34,2,0),0)</f>
        <v>0</v>
      </c>
      <c r="FV8" s="7">
        <f>IFERROR($B$8*VLOOKUP(FV$3,CapEx!$N$11:$P$34,2,0),0)</f>
        <v>0</v>
      </c>
      <c r="FW8" s="7">
        <f>IFERROR($B$8*VLOOKUP(FW$3,CapEx!$N$11:$P$34,2,0),0)</f>
        <v>0</v>
      </c>
      <c r="FX8" s="7">
        <f>IFERROR($B$8*VLOOKUP(FX$3,CapEx!$N$11:$P$34,2,0),0)</f>
        <v>0</v>
      </c>
      <c r="FY8" s="7">
        <f>IFERROR($B$8*VLOOKUP(FY$3,CapEx!$N$11:$P$34,2,0),0)</f>
        <v>0</v>
      </c>
      <c r="FZ8" s="7">
        <f>IFERROR($B$8*VLOOKUP(FZ$3,CapEx!$N$11:$P$34,2,0),0)</f>
        <v>0</v>
      </c>
      <c r="GA8" s="7">
        <f>IFERROR($B$8*VLOOKUP(GA$3,CapEx!$N$11:$P$34,2,0),0)</f>
        <v>0</v>
      </c>
      <c r="GB8" s="7">
        <f>IFERROR($B$8*VLOOKUP(GB$3,CapEx!$N$11:$P$34,2,0),0)</f>
        <v>0</v>
      </c>
      <c r="GC8" s="7">
        <f>IFERROR($B$8*VLOOKUP(GC$3,CapEx!$N$11:$P$34,2,0),0)</f>
        <v>0</v>
      </c>
      <c r="GD8" s="7">
        <f>IFERROR($B$8*VLOOKUP(GD$3,CapEx!$N$11:$P$34,2,0),0)</f>
        <v>0</v>
      </c>
      <c r="GE8" s="7">
        <f>IFERROR($B$8*VLOOKUP(GE$3,CapEx!$N$11:$P$34,2,0),0)</f>
        <v>0</v>
      </c>
      <c r="GF8" s="7">
        <f>IFERROR($B$8*VLOOKUP(GF$3,CapEx!$N$11:$P$34,2,0),0)</f>
        <v>0</v>
      </c>
      <c r="GG8" s="7">
        <f>IFERROR($B$8*VLOOKUP(GG$3,CapEx!$N$11:$P$34,2,0),0)</f>
        <v>0</v>
      </c>
      <c r="GH8" s="7">
        <f>IFERROR($B$8*VLOOKUP(GH$3,CapEx!$N$11:$P$34,2,0),0)</f>
        <v>0</v>
      </c>
      <c r="GI8" s="7">
        <f>IFERROR($B$8*VLOOKUP(GI$3,CapEx!$N$11:$P$34,2,0),0)</f>
        <v>0</v>
      </c>
      <c r="GJ8" s="7">
        <f>IFERROR($B$8*VLOOKUP(GJ$3,CapEx!$N$11:$P$34,2,0),0)</f>
        <v>0</v>
      </c>
      <c r="GK8" s="7">
        <f>IFERROR($B$8*VLOOKUP(GK$3,CapEx!$N$11:$P$34,2,0),0)</f>
        <v>0</v>
      </c>
      <c r="GL8" s="7">
        <f>IFERROR($B$8*VLOOKUP(GL$3,CapEx!$N$11:$P$34,2,0),0)</f>
        <v>0</v>
      </c>
      <c r="GM8" s="7">
        <f>IFERROR($B$8*VLOOKUP(GM$3,CapEx!$N$11:$P$34,2,0),0)</f>
        <v>0</v>
      </c>
      <c r="GN8" s="7">
        <f>IFERROR($B$8*VLOOKUP(GN$3,CapEx!$N$11:$P$34,2,0),0)</f>
        <v>0</v>
      </c>
      <c r="GO8" s="7">
        <f>IFERROR($B$8*VLOOKUP(GO$3,CapEx!$N$11:$P$34,2,0),0)</f>
        <v>0</v>
      </c>
      <c r="GP8" s="7">
        <f>IFERROR($B$8*VLOOKUP(GP$3,CapEx!$N$11:$P$34,2,0),0)</f>
        <v>0</v>
      </c>
      <c r="GQ8" s="7">
        <f>IFERROR($B$8*VLOOKUP(GQ$3,CapEx!$N$11:$P$34,2,0),0)</f>
        <v>0</v>
      </c>
      <c r="GR8" s="7">
        <f>IFERROR($B$8*VLOOKUP(GR$3,CapEx!$N$11:$P$34,2,0),0)</f>
        <v>0</v>
      </c>
      <c r="GS8" s="7">
        <f>IFERROR($B$8*VLOOKUP(GS$3,CapEx!$N$11:$P$34,2,0),0)</f>
        <v>0</v>
      </c>
      <c r="GT8" s="7">
        <f>IFERROR($B$8*VLOOKUP(GT$3,CapEx!$N$11:$P$34,2,0),0)</f>
        <v>0</v>
      </c>
      <c r="GU8" s="7">
        <f>IFERROR($B$8*VLOOKUP(GU$3,CapEx!$N$11:$P$34,2,0),0)</f>
        <v>0</v>
      </c>
      <c r="GV8" s="7">
        <f>IFERROR($B$8*VLOOKUP(GV$3,CapEx!$N$11:$P$34,2,0),0)</f>
        <v>0</v>
      </c>
      <c r="GW8" s="7">
        <f>IFERROR($B$8*VLOOKUP(GW$3,CapEx!$N$11:$P$34,2,0),0)</f>
        <v>0</v>
      </c>
      <c r="GX8" s="7">
        <f>IFERROR($B$8*VLOOKUP(GX$3,CapEx!$N$11:$P$34,2,0),0)</f>
        <v>0</v>
      </c>
      <c r="GY8" s="7">
        <f>IFERROR($B$8*VLOOKUP(GY$3,CapEx!$N$11:$P$34,2,0),0)</f>
        <v>0</v>
      </c>
      <c r="GZ8" s="7">
        <f>IFERROR($B$8*VLOOKUP(GZ$3,CapEx!$N$11:$P$34,2,0),0)</f>
        <v>0</v>
      </c>
      <c r="HA8" s="7">
        <f>IFERROR($B$8*VLOOKUP(HA$3,CapEx!$N$11:$P$34,2,0),0)</f>
        <v>0</v>
      </c>
      <c r="HB8" s="7">
        <f>IFERROR($B$8*VLOOKUP(HB$3,CapEx!$N$11:$P$34,2,0),0)</f>
        <v>0</v>
      </c>
      <c r="HC8" s="7">
        <f>IFERROR($B$8*VLOOKUP(HC$3,CapEx!$N$11:$P$34,2,0),0)</f>
        <v>0</v>
      </c>
      <c r="HD8" s="7">
        <f>IFERROR($B$8*VLOOKUP(HD$3,CapEx!$N$11:$P$34,2,0),0)</f>
        <v>0</v>
      </c>
      <c r="HE8" s="7">
        <f>IFERROR($B$8*VLOOKUP(HE$3,CapEx!$N$11:$P$34,2,0),0)</f>
        <v>0</v>
      </c>
      <c r="HF8" s="7">
        <f>IFERROR($B$8*VLOOKUP(HF$3,CapEx!$N$11:$P$34,2,0),0)</f>
        <v>0</v>
      </c>
      <c r="HG8" s="7">
        <f>IFERROR($B$8*VLOOKUP(HG$3,CapEx!$N$11:$P$34,2,0),0)</f>
        <v>0</v>
      </c>
      <c r="HH8" s="7">
        <f>IFERROR($B$8*VLOOKUP(HH$3,CapEx!$N$11:$P$34,2,0),0)</f>
        <v>0</v>
      </c>
      <c r="HI8" s="7">
        <f>IFERROR($B$8*VLOOKUP(HI$3,CapEx!$N$11:$P$34,2,0),0)</f>
        <v>0</v>
      </c>
      <c r="HJ8" s="7">
        <f>IFERROR($B$8*VLOOKUP(HJ$3,CapEx!$N$11:$P$34,2,0),0)</f>
        <v>0</v>
      </c>
      <c r="HK8" s="7">
        <f>IFERROR($B$8*VLOOKUP(HK$3,CapEx!$N$11:$P$34,2,0),0)</f>
        <v>0</v>
      </c>
      <c r="HL8" s="7">
        <f>IFERROR($B$8*VLOOKUP(HL$3,CapEx!$N$11:$P$34,2,0),0)</f>
        <v>0</v>
      </c>
      <c r="HM8" s="7">
        <f>IFERROR($B$8*VLOOKUP(HM$3,CapEx!$N$11:$P$34,2,0),0)</f>
        <v>0</v>
      </c>
      <c r="HN8" s="7">
        <f>IFERROR($B$8*VLOOKUP(HN$3,CapEx!$N$11:$P$34,2,0),0)</f>
        <v>0</v>
      </c>
      <c r="HO8" s="7">
        <f>IFERROR($B$8*VLOOKUP(HO$3,CapEx!$N$11:$P$34,2,0),0)</f>
        <v>0</v>
      </c>
      <c r="HP8" s="7">
        <f>IFERROR($B$8*VLOOKUP(HP$3,CapEx!$N$11:$P$34,2,0),0)</f>
        <v>0</v>
      </c>
      <c r="HQ8" s="7">
        <f>IFERROR($B$8*VLOOKUP(HQ$3,CapEx!$N$11:$P$34,2,0),0)</f>
        <v>0</v>
      </c>
      <c r="HR8" s="7">
        <f>IFERROR($B$8*VLOOKUP(HR$3,CapEx!$N$11:$P$34,2,0),0)</f>
        <v>0</v>
      </c>
      <c r="HS8" s="7">
        <f>IFERROR($B$8*VLOOKUP(HS$3,CapEx!$N$11:$P$34,2,0),0)</f>
        <v>0</v>
      </c>
      <c r="HT8" s="7">
        <f>IFERROR($B$8*VLOOKUP(HT$3,CapEx!$N$11:$P$34,2,0),0)</f>
        <v>0</v>
      </c>
      <c r="HU8" s="7">
        <f>IFERROR($B$8*VLOOKUP(HU$3,CapEx!$N$11:$P$34,2,0),0)</f>
        <v>0</v>
      </c>
      <c r="HV8" s="7">
        <f>IFERROR($B$8*VLOOKUP(HV$3,CapEx!$N$11:$P$34,2,0),0)</f>
        <v>0</v>
      </c>
      <c r="HW8" s="7">
        <f>IFERROR($B$8*VLOOKUP(HW$3,CapEx!$N$11:$P$34,2,0),0)</f>
        <v>0</v>
      </c>
      <c r="HX8" s="7">
        <f>IFERROR($B$8*VLOOKUP(HX$3,CapEx!$N$11:$P$34,2,0),0)</f>
        <v>0</v>
      </c>
      <c r="HY8" s="7">
        <f>IFERROR($B$8*VLOOKUP(HY$3,CapEx!$N$11:$P$34,2,0),0)</f>
        <v>0</v>
      </c>
      <c r="HZ8" s="7">
        <f>IFERROR($B$8*VLOOKUP(HZ$3,CapEx!$N$11:$P$34,2,0),0)</f>
        <v>0</v>
      </c>
      <c r="IA8" s="7">
        <f>IFERROR($B$8*VLOOKUP(IA$3,CapEx!$N$11:$P$34,2,0),0)</f>
        <v>0</v>
      </c>
      <c r="IB8" s="7">
        <f>IFERROR($B$8*VLOOKUP(IB$3,CapEx!$N$11:$P$34,2,0),0)</f>
        <v>0</v>
      </c>
      <c r="IC8" s="7">
        <f>IFERROR($B$8*VLOOKUP(IC$3,CapEx!$N$11:$P$34,2,0),0)</f>
        <v>0</v>
      </c>
      <c r="ID8" s="7">
        <f>IFERROR($B$8*VLOOKUP(ID$3,CapEx!$N$11:$P$34,2,0),0)</f>
        <v>0</v>
      </c>
      <c r="IE8" s="7">
        <f>IFERROR($B$8*VLOOKUP(IE$3,CapEx!$N$11:$P$34,2,0),0)</f>
        <v>0</v>
      </c>
      <c r="IF8" s="7">
        <f>IFERROR($B$8*VLOOKUP(IF$3,CapEx!$N$11:$P$34,2,0),0)</f>
        <v>0</v>
      </c>
      <c r="IG8" s="7">
        <f>IFERROR($B$8*VLOOKUP(IG$3,CapEx!$N$11:$P$34,2,0),0)</f>
        <v>0</v>
      </c>
      <c r="IH8" s="7">
        <f>IFERROR($B$8*VLOOKUP(IH$3,CapEx!$N$11:$P$34,2,0),0)</f>
        <v>0</v>
      </c>
      <c r="II8" s="7">
        <f>IFERROR($B$8*VLOOKUP(II$3,CapEx!$N$11:$P$34,2,0),0)</f>
        <v>0</v>
      </c>
      <c r="IJ8" s="7">
        <f>IFERROR($B$8*VLOOKUP(IJ$3,CapEx!$N$11:$P$34,2,0),0)</f>
        <v>0</v>
      </c>
      <c r="IK8" s="7">
        <f>IFERROR($B$8*VLOOKUP(IK$3,CapEx!$N$11:$P$34,2,0),0)</f>
        <v>0</v>
      </c>
      <c r="IL8" s="7">
        <f>IFERROR($B$8*VLOOKUP(IL$3,CapEx!$N$11:$P$34,2,0),0)</f>
        <v>0</v>
      </c>
      <c r="IM8" s="7">
        <f>IFERROR($B$8*VLOOKUP(IM$3,CapEx!$N$11:$P$34,2,0),0)</f>
        <v>0</v>
      </c>
      <c r="IN8" s="7">
        <f>IFERROR($B$8*VLOOKUP(IN$3,CapEx!$N$11:$P$34,2,0),0)</f>
        <v>0</v>
      </c>
      <c r="IO8" s="7">
        <f>IFERROR($B$8*VLOOKUP(IO$3,CapEx!$N$11:$P$34,2,0),0)</f>
        <v>0</v>
      </c>
      <c r="IP8" s="7">
        <f>IFERROR($B$8*VLOOKUP(IP$3,CapEx!$N$11:$P$34,2,0),0)</f>
        <v>0</v>
      </c>
      <c r="IQ8" s="7">
        <f>IFERROR($B$8*VLOOKUP(IQ$3,CapEx!$N$11:$P$34,2,0),0)</f>
        <v>0</v>
      </c>
      <c r="IR8" s="7">
        <f>IFERROR($B$8*VLOOKUP(IR$3,CapEx!$N$11:$P$34,2,0),0)</f>
        <v>0</v>
      </c>
      <c r="IS8" s="7">
        <f>IFERROR($B$8*VLOOKUP(IS$3,CapEx!$N$11:$P$34,2,0),0)</f>
        <v>0</v>
      </c>
      <c r="IT8" s="7">
        <f>IFERROR($B$8*VLOOKUP(IT$3,CapEx!$N$11:$P$34,2,0),0)</f>
        <v>0</v>
      </c>
      <c r="IU8" s="7">
        <f>IFERROR($B$8*VLOOKUP(IU$3,CapEx!$N$11:$P$34,2,0),0)</f>
        <v>0</v>
      </c>
      <c r="IV8" s="7">
        <f>IFERROR($B$8*VLOOKUP(IV$3,CapEx!$N$11:$P$34,2,0),0)</f>
        <v>0</v>
      </c>
      <c r="IW8" s="7">
        <f>IFERROR($B$8*VLOOKUP(IW$3,CapEx!$N$11:$P$34,2,0),0)</f>
        <v>0</v>
      </c>
      <c r="IX8" s="7">
        <f>IFERROR($B$8*VLOOKUP(IX$3,CapEx!$N$11:$P$34,2,0),0)</f>
        <v>0</v>
      </c>
      <c r="IY8" s="7">
        <f>IFERROR($B$8*VLOOKUP(IY$3,CapEx!$N$11:$P$34,2,0),0)</f>
        <v>0</v>
      </c>
      <c r="IZ8" s="7">
        <f>IFERROR($B$8*VLOOKUP(IZ$3,CapEx!$N$11:$P$34,2,0),0)</f>
        <v>0</v>
      </c>
      <c r="JA8" s="7">
        <f>IFERROR($B$8*VLOOKUP(JA$3,CapEx!$N$11:$P$34,2,0),0)</f>
        <v>0</v>
      </c>
      <c r="JB8" s="7">
        <f>IFERROR($B$8*VLOOKUP(JB$3,CapEx!$N$11:$P$34,2,0),0)</f>
        <v>0</v>
      </c>
      <c r="JC8" s="7">
        <f>IFERROR($B$8*VLOOKUP(JC$3,CapEx!$N$11:$P$34,2,0),0)</f>
        <v>0</v>
      </c>
      <c r="JD8" s="7">
        <f>IFERROR($B$8*VLOOKUP(JD$3,CapEx!$N$11:$P$34,2,0),0)</f>
        <v>0</v>
      </c>
      <c r="JE8" s="7">
        <f>IFERROR($B$8*VLOOKUP(JE$3,CapEx!$N$11:$P$34,2,0),0)</f>
        <v>0</v>
      </c>
      <c r="JF8" s="7">
        <f>IFERROR($B$8*VLOOKUP(JF$3,CapEx!$N$11:$P$34,2,0),0)</f>
        <v>0</v>
      </c>
      <c r="JG8" s="7">
        <f>IFERROR($B$8*VLOOKUP(JG$3,CapEx!$N$11:$P$34,2,0),0)</f>
        <v>0</v>
      </c>
      <c r="JH8" s="7">
        <f>IFERROR($B$8*VLOOKUP(JH$3,CapEx!$N$11:$P$34,2,0),0)</f>
        <v>0</v>
      </c>
      <c r="JI8" s="7">
        <f>IFERROR($B$8*VLOOKUP(JI$3,CapEx!$N$11:$P$34,2,0),0)</f>
        <v>0</v>
      </c>
      <c r="JJ8" s="7">
        <f>IFERROR($B$8*VLOOKUP(JJ$3,CapEx!$N$11:$P$34,2,0),0)</f>
        <v>0</v>
      </c>
      <c r="JK8" s="7">
        <f>IFERROR($B$8*VLOOKUP(JK$3,CapEx!$N$11:$P$34,2,0),0)</f>
        <v>0</v>
      </c>
      <c r="JL8" s="7">
        <f>IFERROR($B$8*VLOOKUP(JL$3,CapEx!$N$11:$P$34,2,0),0)</f>
        <v>0</v>
      </c>
      <c r="JM8" s="7">
        <f>IFERROR($B$8*VLOOKUP(JM$3,CapEx!$N$11:$P$34,2,0),0)</f>
        <v>0</v>
      </c>
      <c r="JN8" s="7">
        <f>IFERROR($B$8*VLOOKUP(JN$3,CapEx!$N$11:$P$34,2,0),0)</f>
        <v>0</v>
      </c>
      <c r="JO8" s="7">
        <f>IFERROR($B$8*VLOOKUP(JO$3,CapEx!$N$11:$P$34,2,0),0)</f>
        <v>0</v>
      </c>
      <c r="JP8" s="7">
        <f>IFERROR($B$8*VLOOKUP(JP$3,CapEx!$N$11:$P$34,2,0),0)</f>
        <v>0</v>
      </c>
      <c r="JQ8" s="7">
        <f>IFERROR($B$8*VLOOKUP(JQ$3,CapEx!$N$11:$P$34,2,0),0)</f>
        <v>0</v>
      </c>
      <c r="JR8" s="7">
        <f>IFERROR($B$8*VLOOKUP(JR$3,CapEx!$N$11:$P$34,2,0),0)</f>
        <v>0</v>
      </c>
      <c r="JS8" s="7">
        <f>IFERROR($B$8*VLOOKUP(JS$3,CapEx!$N$11:$P$34,2,0),0)</f>
        <v>0</v>
      </c>
      <c r="JT8" s="7">
        <f>IFERROR($B$8*VLOOKUP(JT$3,CapEx!$N$11:$P$34,2,0),0)</f>
        <v>0</v>
      </c>
    </row>
    <row r="9" spans="1:280" x14ac:dyDescent="0.2">
      <c r="A9" s="1" t="s">
        <v>105</v>
      </c>
      <c r="B9" s="205">
        <v>8.5000000000000006E-2</v>
      </c>
      <c r="C9" s="41"/>
      <c r="D9" s="3" t="s">
        <v>108</v>
      </c>
      <c r="E9" s="7">
        <f>E10</f>
        <v>149874.38056581622</v>
      </c>
      <c r="F9" s="7">
        <f t="shared" ref="F9:BQ9" si="367">F10</f>
        <v>346909.87917971844</v>
      </c>
      <c r="G9" s="7">
        <f t="shared" si="367"/>
        <v>432084.91923832841</v>
      </c>
      <c r="H9" s="7">
        <f t="shared" si="367"/>
        <v>494356.87390158226</v>
      </c>
      <c r="I9" s="7">
        <f t="shared" si="367"/>
        <v>576134.13998181873</v>
      </c>
      <c r="J9" s="7">
        <f t="shared" si="367"/>
        <v>705049.91697056184</v>
      </c>
      <c r="K9" s="7">
        <f t="shared" si="367"/>
        <v>838981.74269761785</v>
      </c>
      <c r="L9" s="7">
        <f t="shared" si="367"/>
        <v>955139.59980678908</v>
      </c>
      <c r="M9" s="7">
        <f t="shared" si="367"/>
        <v>1058042.7831197069</v>
      </c>
      <c r="N9" s="7">
        <f t="shared" si="367"/>
        <v>1147571.8593441523</v>
      </c>
      <c r="O9" s="7">
        <f t="shared" si="367"/>
        <v>1226925.7568700456</v>
      </c>
      <c r="P9" s="7">
        <f t="shared" si="367"/>
        <v>1323169.4979038786</v>
      </c>
      <c r="Q9" s="7">
        <f t="shared" si="367"/>
        <v>1380307.8092666978</v>
      </c>
      <c r="R9" s="7">
        <f t="shared" si="367"/>
        <v>1380307.8092666978</v>
      </c>
      <c r="S9" s="7">
        <f t="shared" si="367"/>
        <v>1380307.8092666978</v>
      </c>
      <c r="T9" s="7">
        <f t="shared" si="367"/>
        <v>0</v>
      </c>
      <c r="U9" s="7">
        <f t="shared" si="367"/>
        <v>0</v>
      </c>
      <c r="V9" s="7">
        <f t="shared" si="367"/>
        <v>0</v>
      </c>
      <c r="W9" s="7">
        <f t="shared" si="367"/>
        <v>0</v>
      </c>
      <c r="X9" s="7">
        <f t="shared" si="367"/>
        <v>0</v>
      </c>
      <c r="Y9" s="7">
        <f t="shared" si="367"/>
        <v>0</v>
      </c>
      <c r="Z9" s="7">
        <f t="shared" si="367"/>
        <v>0</v>
      </c>
      <c r="AA9" s="7">
        <f t="shared" si="367"/>
        <v>0</v>
      </c>
      <c r="AB9" s="7">
        <f t="shared" si="367"/>
        <v>0</v>
      </c>
      <c r="AC9" s="7">
        <f t="shared" si="367"/>
        <v>0</v>
      </c>
      <c r="AD9" s="7">
        <f t="shared" si="367"/>
        <v>0</v>
      </c>
      <c r="AE9" s="7">
        <f t="shared" si="367"/>
        <v>0</v>
      </c>
      <c r="AF9" s="7">
        <f t="shared" si="367"/>
        <v>0</v>
      </c>
      <c r="AG9" s="7">
        <f t="shared" si="367"/>
        <v>0</v>
      </c>
      <c r="AH9" s="7">
        <f t="shared" si="367"/>
        <v>0</v>
      </c>
      <c r="AI9" s="7">
        <f t="shared" si="367"/>
        <v>0</v>
      </c>
      <c r="AJ9" s="7">
        <f t="shared" si="367"/>
        <v>0</v>
      </c>
      <c r="AK9" s="7">
        <f t="shared" si="367"/>
        <v>0</v>
      </c>
      <c r="AL9" s="7">
        <f t="shared" si="367"/>
        <v>0</v>
      </c>
      <c r="AM9" s="7">
        <f t="shared" si="367"/>
        <v>0</v>
      </c>
      <c r="AN9" s="7">
        <f t="shared" si="367"/>
        <v>0</v>
      </c>
      <c r="AO9" s="7">
        <f t="shared" si="367"/>
        <v>0</v>
      </c>
      <c r="AP9" s="7">
        <f t="shared" si="367"/>
        <v>0</v>
      </c>
      <c r="AQ9" s="7">
        <f t="shared" si="367"/>
        <v>0</v>
      </c>
      <c r="AR9" s="7">
        <f t="shared" si="367"/>
        <v>0</v>
      </c>
      <c r="AS9" s="7">
        <f t="shared" si="367"/>
        <v>0</v>
      </c>
      <c r="AT9" s="7">
        <f t="shared" si="367"/>
        <v>0</v>
      </c>
      <c r="AU9" s="7">
        <f t="shared" si="367"/>
        <v>0</v>
      </c>
      <c r="AV9" s="7">
        <f t="shared" si="367"/>
        <v>0</v>
      </c>
      <c r="AW9" s="7">
        <f t="shared" si="367"/>
        <v>0</v>
      </c>
      <c r="AX9" s="7">
        <f t="shared" si="367"/>
        <v>0</v>
      </c>
      <c r="AY9" s="7">
        <f t="shared" si="367"/>
        <v>0</v>
      </c>
      <c r="AZ9" s="7">
        <f t="shared" si="367"/>
        <v>0</v>
      </c>
      <c r="BA9" s="7">
        <f t="shared" si="367"/>
        <v>0</v>
      </c>
      <c r="BB9" s="7">
        <f t="shared" si="367"/>
        <v>0</v>
      </c>
      <c r="BC9" s="7">
        <f t="shared" si="367"/>
        <v>0</v>
      </c>
      <c r="BD9" s="7">
        <f t="shared" si="367"/>
        <v>0</v>
      </c>
      <c r="BE9" s="7">
        <f t="shared" si="367"/>
        <v>0</v>
      </c>
      <c r="BF9" s="7">
        <f t="shared" si="367"/>
        <v>0</v>
      </c>
      <c r="BG9" s="7">
        <f t="shared" si="367"/>
        <v>0</v>
      </c>
      <c r="BH9" s="7">
        <f t="shared" si="367"/>
        <v>0</v>
      </c>
      <c r="BI9" s="7">
        <f t="shared" si="367"/>
        <v>0</v>
      </c>
      <c r="BJ9" s="7">
        <f t="shared" si="367"/>
        <v>0</v>
      </c>
      <c r="BK9" s="7">
        <f t="shared" si="367"/>
        <v>0</v>
      </c>
      <c r="BL9" s="7">
        <f t="shared" si="367"/>
        <v>0</v>
      </c>
      <c r="BM9" s="7">
        <f t="shared" si="367"/>
        <v>0</v>
      </c>
      <c r="BN9" s="7">
        <f t="shared" si="367"/>
        <v>0</v>
      </c>
      <c r="BO9" s="7">
        <f t="shared" si="367"/>
        <v>0</v>
      </c>
      <c r="BP9" s="7">
        <f t="shared" si="367"/>
        <v>0</v>
      </c>
      <c r="BQ9" s="7">
        <f t="shared" si="367"/>
        <v>0</v>
      </c>
      <c r="BR9" s="7">
        <f t="shared" ref="BR9:EC9" si="368">BR10</f>
        <v>0</v>
      </c>
      <c r="BS9" s="7">
        <f t="shared" si="368"/>
        <v>0</v>
      </c>
      <c r="BT9" s="7">
        <f t="shared" si="368"/>
        <v>0</v>
      </c>
      <c r="BU9" s="7">
        <f t="shared" si="368"/>
        <v>0</v>
      </c>
      <c r="BV9" s="7">
        <f t="shared" si="368"/>
        <v>0</v>
      </c>
      <c r="BW9" s="7">
        <f t="shared" si="368"/>
        <v>0</v>
      </c>
      <c r="BX9" s="7">
        <f t="shared" si="368"/>
        <v>0</v>
      </c>
      <c r="BY9" s="7">
        <f t="shared" si="368"/>
        <v>0</v>
      </c>
      <c r="BZ9" s="7">
        <f t="shared" si="368"/>
        <v>0</v>
      </c>
      <c r="CA9" s="7">
        <f t="shared" si="368"/>
        <v>0</v>
      </c>
      <c r="CB9" s="7">
        <f t="shared" si="368"/>
        <v>0</v>
      </c>
      <c r="CC9" s="7">
        <f t="shared" si="368"/>
        <v>0</v>
      </c>
      <c r="CD9" s="7">
        <f t="shared" si="368"/>
        <v>0</v>
      </c>
      <c r="CE9" s="7">
        <f t="shared" si="368"/>
        <v>0</v>
      </c>
      <c r="CF9" s="7">
        <f t="shared" si="368"/>
        <v>0</v>
      </c>
      <c r="CG9" s="7">
        <f t="shared" si="368"/>
        <v>0</v>
      </c>
      <c r="CH9" s="7">
        <f t="shared" si="368"/>
        <v>0</v>
      </c>
      <c r="CI9" s="7">
        <f t="shared" si="368"/>
        <v>0</v>
      </c>
      <c r="CJ9" s="7">
        <f t="shared" si="368"/>
        <v>0</v>
      </c>
      <c r="CK9" s="7">
        <f t="shared" si="368"/>
        <v>0</v>
      </c>
      <c r="CL9" s="7">
        <f t="shared" si="368"/>
        <v>0</v>
      </c>
      <c r="CM9" s="7">
        <f t="shared" si="368"/>
        <v>0</v>
      </c>
      <c r="CN9" s="7">
        <f t="shared" si="368"/>
        <v>0</v>
      </c>
      <c r="CO9" s="7">
        <f t="shared" si="368"/>
        <v>0</v>
      </c>
      <c r="CP9" s="7">
        <f t="shared" si="368"/>
        <v>0</v>
      </c>
      <c r="CQ9" s="7">
        <f t="shared" si="368"/>
        <v>0</v>
      </c>
      <c r="CR9" s="7">
        <f t="shared" si="368"/>
        <v>0</v>
      </c>
      <c r="CS9" s="7">
        <f t="shared" si="368"/>
        <v>0</v>
      </c>
      <c r="CT9" s="7">
        <f t="shared" si="368"/>
        <v>0</v>
      </c>
      <c r="CU9" s="7">
        <f t="shared" si="368"/>
        <v>0</v>
      </c>
      <c r="CV9" s="7">
        <f t="shared" si="368"/>
        <v>0</v>
      </c>
      <c r="CW9" s="7">
        <f t="shared" si="368"/>
        <v>0</v>
      </c>
      <c r="CX9" s="7">
        <f t="shared" si="368"/>
        <v>0</v>
      </c>
      <c r="CY9" s="7">
        <f t="shared" si="368"/>
        <v>0</v>
      </c>
      <c r="CZ9" s="7">
        <f t="shared" si="368"/>
        <v>0</v>
      </c>
      <c r="DA9" s="7">
        <f t="shared" si="368"/>
        <v>0</v>
      </c>
      <c r="DB9" s="7">
        <f t="shared" si="368"/>
        <v>0</v>
      </c>
      <c r="DC9" s="7">
        <f t="shared" si="368"/>
        <v>0</v>
      </c>
      <c r="DD9" s="7">
        <f t="shared" si="368"/>
        <v>0</v>
      </c>
      <c r="DE9" s="7">
        <f t="shared" si="368"/>
        <v>0</v>
      </c>
      <c r="DF9" s="7">
        <f t="shared" si="368"/>
        <v>0</v>
      </c>
      <c r="DG9" s="7">
        <f t="shared" si="368"/>
        <v>0</v>
      </c>
      <c r="DH9" s="7">
        <f t="shared" si="368"/>
        <v>0</v>
      </c>
      <c r="DI9" s="7">
        <f t="shared" si="368"/>
        <v>0</v>
      </c>
      <c r="DJ9" s="7">
        <f t="shared" si="368"/>
        <v>0</v>
      </c>
      <c r="DK9" s="7">
        <f t="shared" si="368"/>
        <v>0</v>
      </c>
      <c r="DL9" s="7">
        <f t="shared" si="368"/>
        <v>0</v>
      </c>
      <c r="DM9" s="7">
        <f t="shared" si="368"/>
        <v>0</v>
      </c>
      <c r="DN9" s="7">
        <f t="shared" si="368"/>
        <v>0</v>
      </c>
      <c r="DO9" s="7">
        <f t="shared" si="368"/>
        <v>0</v>
      </c>
      <c r="DP9" s="7">
        <f t="shared" si="368"/>
        <v>0</v>
      </c>
      <c r="DQ9" s="7">
        <f t="shared" si="368"/>
        <v>0</v>
      </c>
      <c r="DR9" s="7">
        <f t="shared" si="368"/>
        <v>0</v>
      </c>
      <c r="DS9" s="7">
        <f t="shared" si="368"/>
        <v>0</v>
      </c>
      <c r="DT9" s="7">
        <f t="shared" si="368"/>
        <v>0</v>
      </c>
      <c r="DU9" s="7">
        <f t="shared" si="368"/>
        <v>0</v>
      </c>
      <c r="DV9" s="7">
        <f t="shared" si="368"/>
        <v>0</v>
      </c>
      <c r="DW9" s="7">
        <f t="shared" si="368"/>
        <v>0</v>
      </c>
      <c r="DX9" s="7">
        <f t="shared" si="368"/>
        <v>0</v>
      </c>
      <c r="DY9" s="7">
        <f t="shared" si="368"/>
        <v>0</v>
      </c>
      <c r="DZ9" s="7">
        <f t="shared" si="368"/>
        <v>0</v>
      </c>
      <c r="EA9" s="7">
        <f t="shared" si="368"/>
        <v>0</v>
      </c>
      <c r="EB9" s="7">
        <f t="shared" si="368"/>
        <v>0</v>
      </c>
      <c r="EC9" s="7">
        <f t="shared" si="368"/>
        <v>0</v>
      </c>
      <c r="ED9" s="7">
        <f t="shared" ref="ED9:GO9" si="369">ED10</f>
        <v>0</v>
      </c>
      <c r="EE9" s="7">
        <f t="shared" si="369"/>
        <v>0</v>
      </c>
      <c r="EF9" s="7">
        <f t="shared" si="369"/>
        <v>0</v>
      </c>
      <c r="EG9" s="7">
        <f t="shared" si="369"/>
        <v>0</v>
      </c>
      <c r="EH9" s="7">
        <f t="shared" si="369"/>
        <v>0</v>
      </c>
      <c r="EI9" s="7">
        <f t="shared" si="369"/>
        <v>0</v>
      </c>
      <c r="EJ9" s="7">
        <f t="shared" si="369"/>
        <v>0</v>
      </c>
      <c r="EK9" s="7">
        <f t="shared" si="369"/>
        <v>0</v>
      </c>
      <c r="EL9" s="7">
        <f t="shared" si="369"/>
        <v>0</v>
      </c>
      <c r="EM9" s="7">
        <f t="shared" si="369"/>
        <v>0</v>
      </c>
      <c r="EN9" s="7">
        <f t="shared" si="369"/>
        <v>0</v>
      </c>
      <c r="EO9" s="7">
        <f t="shared" si="369"/>
        <v>0</v>
      </c>
      <c r="EP9" s="7">
        <f t="shared" si="369"/>
        <v>0</v>
      </c>
      <c r="EQ9" s="7">
        <f t="shared" si="369"/>
        <v>0</v>
      </c>
      <c r="ER9" s="7">
        <f t="shared" si="369"/>
        <v>0</v>
      </c>
      <c r="ES9" s="7">
        <f t="shared" si="369"/>
        <v>0</v>
      </c>
      <c r="ET9" s="7">
        <f t="shared" si="369"/>
        <v>0</v>
      </c>
      <c r="EU9" s="7">
        <f t="shared" si="369"/>
        <v>0</v>
      </c>
      <c r="EV9" s="7">
        <f t="shared" si="369"/>
        <v>0</v>
      </c>
      <c r="EW9" s="7">
        <f t="shared" si="369"/>
        <v>0</v>
      </c>
      <c r="EX9" s="7">
        <f t="shared" si="369"/>
        <v>0</v>
      </c>
      <c r="EY9" s="7">
        <f t="shared" si="369"/>
        <v>0</v>
      </c>
      <c r="EZ9" s="7">
        <f t="shared" si="369"/>
        <v>0</v>
      </c>
      <c r="FA9" s="7">
        <f t="shared" si="369"/>
        <v>0</v>
      </c>
      <c r="FB9" s="7">
        <f t="shared" si="369"/>
        <v>0</v>
      </c>
      <c r="FC9" s="7">
        <f t="shared" si="369"/>
        <v>0</v>
      </c>
      <c r="FD9" s="7">
        <f t="shared" si="369"/>
        <v>0</v>
      </c>
      <c r="FE9" s="7">
        <f t="shared" si="369"/>
        <v>0</v>
      </c>
      <c r="FF9" s="7">
        <f t="shared" si="369"/>
        <v>0</v>
      </c>
      <c r="FG9" s="7">
        <f t="shared" si="369"/>
        <v>0</v>
      </c>
      <c r="FH9" s="7">
        <f t="shared" si="369"/>
        <v>0</v>
      </c>
      <c r="FI9" s="7">
        <f t="shared" si="369"/>
        <v>0</v>
      </c>
      <c r="FJ9" s="7">
        <f t="shared" si="369"/>
        <v>0</v>
      </c>
      <c r="FK9" s="7">
        <f t="shared" si="369"/>
        <v>0</v>
      </c>
      <c r="FL9" s="7">
        <f t="shared" si="369"/>
        <v>0</v>
      </c>
      <c r="FM9" s="7">
        <f t="shared" si="369"/>
        <v>0</v>
      </c>
      <c r="FN9" s="7">
        <f t="shared" si="369"/>
        <v>0</v>
      </c>
      <c r="FO9" s="7">
        <f t="shared" si="369"/>
        <v>0</v>
      </c>
      <c r="FP9" s="7">
        <f t="shared" si="369"/>
        <v>0</v>
      </c>
      <c r="FQ9" s="7">
        <f t="shared" si="369"/>
        <v>0</v>
      </c>
      <c r="FR9" s="7">
        <f t="shared" si="369"/>
        <v>0</v>
      </c>
      <c r="FS9" s="7">
        <f t="shared" si="369"/>
        <v>0</v>
      </c>
      <c r="FT9" s="7">
        <f t="shared" si="369"/>
        <v>0</v>
      </c>
      <c r="FU9" s="7">
        <f t="shared" si="369"/>
        <v>0</v>
      </c>
      <c r="FV9" s="7">
        <f t="shared" si="369"/>
        <v>0</v>
      </c>
      <c r="FW9" s="7">
        <f t="shared" si="369"/>
        <v>0</v>
      </c>
      <c r="FX9" s="7">
        <f t="shared" si="369"/>
        <v>0</v>
      </c>
      <c r="FY9" s="7">
        <f t="shared" si="369"/>
        <v>0</v>
      </c>
      <c r="FZ9" s="7">
        <f t="shared" si="369"/>
        <v>0</v>
      </c>
      <c r="GA9" s="7">
        <f t="shared" si="369"/>
        <v>0</v>
      </c>
      <c r="GB9" s="7">
        <f t="shared" si="369"/>
        <v>0</v>
      </c>
      <c r="GC9" s="7">
        <f t="shared" si="369"/>
        <v>0</v>
      </c>
      <c r="GD9" s="7">
        <f t="shared" si="369"/>
        <v>0</v>
      </c>
      <c r="GE9" s="7">
        <f t="shared" si="369"/>
        <v>0</v>
      </c>
      <c r="GF9" s="7">
        <f t="shared" si="369"/>
        <v>0</v>
      </c>
      <c r="GG9" s="7">
        <f t="shared" si="369"/>
        <v>0</v>
      </c>
      <c r="GH9" s="7">
        <f t="shared" si="369"/>
        <v>0</v>
      </c>
      <c r="GI9" s="7">
        <f t="shared" si="369"/>
        <v>0</v>
      </c>
      <c r="GJ9" s="7">
        <f t="shared" si="369"/>
        <v>0</v>
      </c>
      <c r="GK9" s="7">
        <f t="shared" si="369"/>
        <v>0</v>
      </c>
      <c r="GL9" s="7">
        <f t="shared" si="369"/>
        <v>0</v>
      </c>
      <c r="GM9" s="7">
        <f t="shared" si="369"/>
        <v>0</v>
      </c>
      <c r="GN9" s="7">
        <f t="shared" si="369"/>
        <v>0</v>
      </c>
      <c r="GO9" s="7">
        <f t="shared" si="369"/>
        <v>0</v>
      </c>
      <c r="GP9" s="7">
        <f t="shared" ref="GP9:JA9" si="370">GP10</f>
        <v>0</v>
      </c>
      <c r="GQ9" s="7">
        <f t="shared" si="370"/>
        <v>0</v>
      </c>
      <c r="GR9" s="7">
        <f t="shared" si="370"/>
        <v>0</v>
      </c>
      <c r="GS9" s="7">
        <f t="shared" si="370"/>
        <v>0</v>
      </c>
      <c r="GT9" s="7">
        <f t="shared" si="370"/>
        <v>0</v>
      </c>
      <c r="GU9" s="7">
        <f t="shared" si="370"/>
        <v>0</v>
      </c>
      <c r="GV9" s="7">
        <f t="shared" si="370"/>
        <v>0</v>
      </c>
      <c r="GW9" s="7">
        <f t="shared" si="370"/>
        <v>0</v>
      </c>
      <c r="GX9" s="7">
        <f t="shared" si="370"/>
        <v>0</v>
      </c>
      <c r="GY9" s="7">
        <f t="shared" si="370"/>
        <v>0</v>
      </c>
      <c r="GZ9" s="7">
        <f t="shared" si="370"/>
        <v>0</v>
      </c>
      <c r="HA9" s="7">
        <f t="shared" si="370"/>
        <v>0</v>
      </c>
      <c r="HB9" s="7">
        <f t="shared" si="370"/>
        <v>0</v>
      </c>
      <c r="HC9" s="7">
        <f t="shared" si="370"/>
        <v>0</v>
      </c>
      <c r="HD9" s="7">
        <f t="shared" si="370"/>
        <v>0</v>
      </c>
      <c r="HE9" s="7">
        <f t="shared" si="370"/>
        <v>0</v>
      </c>
      <c r="HF9" s="7">
        <f t="shared" si="370"/>
        <v>0</v>
      </c>
      <c r="HG9" s="7">
        <f t="shared" si="370"/>
        <v>0</v>
      </c>
      <c r="HH9" s="7">
        <f t="shared" si="370"/>
        <v>0</v>
      </c>
      <c r="HI9" s="7">
        <f t="shared" si="370"/>
        <v>0</v>
      </c>
      <c r="HJ9" s="7">
        <f t="shared" si="370"/>
        <v>0</v>
      </c>
      <c r="HK9" s="7">
        <f t="shared" si="370"/>
        <v>0</v>
      </c>
      <c r="HL9" s="7">
        <f t="shared" si="370"/>
        <v>0</v>
      </c>
      <c r="HM9" s="7">
        <f t="shared" si="370"/>
        <v>0</v>
      </c>
      <c r="HN9" s="7">
        <f t="shared" si="370"/>
        <v>0</v>
      </c>
      <c r="HO9" s="7">
        <f t="shared" si="370"/>
        <v>0</v>
      </c>
      <c r="HP9" s="7">
        <f t="shared" si="370"/>
        <v>0</v>
      </c>
      <c r="HQ9" s="7">
        <f t="shared" si="370"/>
        <v>0</v>
      </c>
      <c r="HR9" s="7">
        <f t="shared" si="370"/>
        <v>0</v>
      </c>
      <c r="HS9" s="7">
        <f t="shared" si="370"/>
        <v>0</v>
      </c>
      <c r="HT9" s="7">
        <f t="shared" si="370"/>
        <v>0</v>
      </c>
      <c r="HU9" s="7">
        <f t="shared" si="370"/>
        <v>0</v>
      </c>
      <c r="HV9" s="7">
        <f t="shared" si="370"/>
        <v>0</v>
      </c>
      <c r="HW9" s="7">
        <f t="shared" si="370"/>
        <v>0</v>
      </c>
      <c r="HX9" s="7">
        <f t="shared" si="370"/>
        <v>0</v>
      </c>
      <c r="HY9" s="7">
        <f t="shared" si="370"/>
        <v>0</v>
      </c>
      <c r="HZ9" s="7">
        <f t="shared" si="370"/>
        <v>0</v>
      </c>
      <c r="IA9" s="7">
        <f t="shared" si="370"/>
        <v>0</v>
      </c>
      <c r="IB9" s="7">
        <f t="shared" si="370"/>
        <v>0</v>
      </c>
      <c r="IC9" s="7">
        <f t="shared" si="370"/>
        <v>0</v>
      </c>
      <c r="ID9" s="7">
        <f t="shared" si="370"/>
        <v>0</v>
      </c>
      <c r="IE9" s="7">
        <f t="shared" si="370"/>
        <v>0</v>
      </c>
      <c r="IF9" s="7">
        <f t="shared" si="370"/>
        <v>0</v>
      </c>
      <c r="IG9" s="7">
        <f t="shared" si="370"/>
        <v>0</v>
      </c>
      <c r="IH9" s="7">
        <f t="shared" si="370"/>
        <v>0</v>
      </c>
      <c r="II9" s="7">
        <f t="shared" si="370"/>
        <v>0</v>
      </c>
      <c r="IJ9" s="7">
        <f t="shared" si="370"/>
        <v>0</v>
      </c>
      <c r="IK9" s="7">
        <f t="shared" si="370"/>
        <v>0</v>
      </c>
      <c r="IL9" s="7">
        <f t="shared" si="370"/>
        <v>0</v>
      </c>
      <c r="IM9" s="7">
        <f t="shared" si="370"/>
        <v>0</v>
      </c>
      <c r="IN9" s="7">
        <f t="shared" si="370"/>
        <v>0</v>
      </c>
      <c r="IO9" s="7">
        <f t="shared" si="370"/>
        <v>0</v>
      </c>
      <c r="IP9" s="7">
        <f t="shared" si="370"/>
        <v>0</v>
      </c>
      <c r="IQ9" s="7">
        <f t="shared" si="370"/>
        <v>0</v>
      </c>
      <c r="IR9" s="7">
        <f t="shared" si="370"/>
        <v>0</v>
      </c>
      <c r="IS9" s="7">
        <f t="shared" si="370"/>
        <v>0</v>
      </c>
      <c r="IT9" s="7">
        <f t="shared" si="370"/>
        <v>0</v>
      </c>
      <c r="IU9" s="7">
        <f t="shared" si="370"/>
        <v>0</v>
      </c>
      <c r="IV9" s="7">
        <f t="shared" si="370"/>
        <v>0</v>
      </c>
      <c r="IW9" s="7">
        <f t="shared" si="370"/>
        <v>0</v>
      </c>
      <c r="IX9" s="7">
        <f t="shared" si="370"/>
        <v>0</v>
      </c>
      <c r="IY9" s="7">
        <f t="shared" si="370"/>
        <v>0</v>
      </c>
      <c r="IZ9" s="7">
        <f t="shared" si="370"/>
        <v>0</v>
      </c>
      <c r="JA9" s="7">
        <f t="shared" si="370"/>
        <v>0</v>
      </c>
      <c r="JB9" s="7">
        <f t="shared" ref="JB9:JT9" si="371">JB10</f>
        <v>0</v>
      </c>
      <c r="JC9" s="7">
        <f t="shared" si="371"/>
        <v>0</v>
      </c>
      <c r="JD9" s="7">
        <f t="shared" si="371"/>
        <v>0</v>
      </c>
      <c r="JE9" s="7">
        <f t="shared" si="371"/>
        <v>0</v>
      </c>
      <c r="JF9" s="7">
        <f t="shared" si="371"/>
        <v>0</v>
      </c>
      <c r="JG9" s="7">
        <f t="shared" si="371"/>
        <v>0</v>
      </c>
      <c r="JH9" s="7">
        <f t="shared" si="371"/>
        <v>0</v>
      </c>
      <c r="JI9" s="7">
        <f t="shared" si="371"/>
        <v>0</v>
      </c>
      <c r="JJ9" s="7">
        <f t="shared" si="371"/>
        <v>0</v>
      </c>
      <c r="JK9" s="7">
        <f t="shared" si="371"/>
        <v>0</v>
      </c>
      <c r="JL9" s="7">
        <f t="shared" si="371"/>
        <v>0</v>
      </c>
      <c r="JM9" s="7">
        <f t="shared" si="371"/>
        <v>0</v>
      </c>
      <c r="JN9" s="7">
        <f t="shared" si="371"/>
        <v>0</v>
      </c>
      <c r="JO9" s="7">
        <f t="shared" si="371"/>
        <v>0</v>
      </c>
      <c r="JP9" s="7">
        <f t="shared" si="371"/>
        <v>0</v>
      </c>
      <c r="JQ9" s="7">
        <f t="shared" si="371"/>
        <v>0</v>
      </c>
      <c r="JR9" s="7">
        <f t="shared" si="371"/>
        <v>0</v>
      </c>
      <c r="JS9" s="7">
        <f t="shared" si="371"/>
        <v>0</v>
      </c>
      <c r="JT9" s="7">
        <f t="shared" si="371"/>
        <v>0</v>
      </c>
    </row>
    <row r="10" spans="1:280" x14ac:dyDescent="0.2">
      <c r="A10" s="1" t="s">
        <v>106</v>
      </c>
      <c r="B10" s="41" t="s">
        <v>117</v>
      </c>
      <c r="C10" s="41"/>
      <c r="D10" s="3" t="s">
        <v>109</v>
      </c>
      <c r="E10" s="7">
        <f>(E7+(E8/2))*($B$9/12)</f>
        <v>149874.38056581622</v>
      </c>
      <c r="F10" s="7">
        <f t="shared" ref="F10:AB10" si="372">(F7+(F8/2))*($B$9/12)</f>
        <v>346909.87917971844</v>
      </c>
      <c r="G10" s="7">
        <f t="shared" si="372"/>
        <v>432084.91923832841</v>
      </c>
      <c r="H10" s="7">
        <f t="shared" si="372"/>
        <v>494356.87390158226</v>
      </c>
      <c r="I10" s="7">
        <f t="shared" si="372"/>
        <v>576134.13998181873</v>
      </c>
      <c r="J10" s="7">
        <f t="shared" si="372"/>
        <v>705049.91697056184</v>
      </c>
      <c r="K10" s="7">
        <f>(K7+(K8/2))*($B$9/12)</f>
        <v>838981.74269761785</v>
      </c>
      <c r="L10" s="7">
        <f t="shared" si="372"/>
        <v>955139.59980678908</v>
      </c>
      <c r="M10" s="7">
        <f>(M7+(M8/2))*($B$9/12)</f>
        <v>1058042.7831197069</v>
      </c>
      <c r="N10" s="7">
        <f t="shared" si="372"/>
        <v>1147571.8593441523</v>
      </c>
      <c r="O10" s="7">
        <f t="shared" si="372"/>
        <v>1226925.7568700456</v>
      </c>
      <c r="P10" s="7">
        <f t="shared" si="372"/>
        <v>1323169.4979038786</v>
      </c>
      <c r="Q10" s="7">
        <f t="shared" si="372"/>
        <v>1380307.8092666978</v>
      </c>
      <c r="R10" s="7">
        <f t="shared" si="372"/>
        <v>1380307.8092666978</v>
      </c>
      <c r="S10" s="7">
        <f t="shared" si="372"/>
        <v>1380307.8092666978</v>
      </c>
      <c r="T10" s="7">
        <f t="shared" si="372"/>
        <v>0</v>
      </c>
      <c r="U10" s="7">
        <f t="shared" si="372"/>
        <v>0</v>
      </c>
      <c r="V10" s="7">
        <f t="shared" si="372"/>
        <v>0</v>
      </c>
      <c r="W10" s="7">
        <f t="shared" si="372"/>
        <v>0</v>
      </c>
      <c r="X10" s="7">
        <f t="shared" si="372"/>
        <v>0</v>
      </c>
      <c r="Y10" s="7">
        <f t="shared" si="372"/>
        <v>0</v>
      </c>
      <c r="Z10" s="7">
        <f t="shared" si="372"/>
        <v>0</v>
      </c>
      <c r="AA10" s="7">
        <f t="shared" si="372"/>
        <v>0</v>
      </c>
      <c r="AB10" s="7">
        <f t="shared" si="372"/>
        <v>0</v>
      </c>
      <c r="AC10" s="7">
        <f t="shared" ref="AC10" si="373">(AC7+(AC8/2))*($B$9/12)</f>
        <v>0</v>
      </c>
      <c r="AD10" s="7">
        <f t="shared" ref="AD10:CO10" si="374">(AD7+(AD8/2))*($B$9/12)</f>
        <v>0</v>
      </c>
      <c r="AE10" s="7">
        <f t="shared" si="374"/>
        <v>0</v>
      </c>
      <c r="AF10" s="7">
        <f t="shared" si="374"/>
        <v>0</v>
      </c>
      <c r="AG10" s="7">
        <f t="shared" si="374"/>
        <v>0</v>
      </c>
      <c r="AH10" s="7">
        <f t="shared" si="374"/>
        <v>0</v>
      </c>
      <c r="AI10" s="7">
        <f t="shared" si="374"/>
        <v>0</v>
      </c>
      <c r="AJ10" s="7">
        <f t="shared" si="374"/>
        <v>0</v>
      </c>
      <c r="AK10" s="7">
        <f t="shared" si="374"/>
        <v>0</v>
      </c>
      <c r="AL10" s="7">
        <f t="shared" si="374"/>
        <v>0</v>
      </c>
      <c r="AM10" s="7">
        <f t="shared" si="374"/>
        <v>0</v>
      </c>
      <c r="AN10" s="7">
        <f t="shared" si="374"/>
        <v>0</v>
      </c>
      <c r="AO10" s="7">
        <f t="shared" si="374"/>
        <v>0</v>
      </c>
      <c r="AP10" s="7">
        <f t="shared" si="374"/>
        <v>0</v>
      </c>
      <c r="AQ10" s="7">
        <f t="shared" si="374"/>
        <v>0</v>
      </c>
      <c r="AR10" s="7">
        <f t="shared" si="374"/>
        <v>0</v>
      </c>
      <c r="AS10" s="7">
        <f t="shared" si="374"/>
        <v>0</v>
      </c>
      <c r="AT10" s="7">
        <f t="shared" si="374"/>
        <v>0</v>
      </c>
      <c r="AU10" s="7">
        <f t="shared" si="374"/>
        <v>0</v>
      </c>
      <c r="AV10" s="7">
        <f t="shared" si="374"/>
        <v>0</v>
      </c>
      <c r="AW10" s="7">
        <f t="shared" si="374"/>
        <v>0</v>
      </c>
      <c r="AX10" s="7">
        <f t="shared" si="374"/>
        <v>0</v>
      </c>
      <c r="AY10" s="7">
        <f t="shared" si="374"/>
        <v>0</v>
      </c>
      <c r="AZ10" s="7">
        <f t="shared" si="374"/>
        <v>0</v>
      </c>
      <c r="BA10" s="7">
        <f t="shared" si="374"/>
        <v>0</v>
      </c>
      <c r="BB10" s="7">
        <f t="shared" si="374"/>
        <v>0</v>
      </c>
      <c r="BC10" s="7">
        <f t="shared" si="374"/>
        <v>0</v>
      </c>
      <c r="BD10" s="7">
        <f t="shared" si="374"/>
        <v>0</v>
      </c>
      <c r="BE10" s="7">
        <f t="shared" si="374"/>
        <v>0</v>
      </c>
      <c r="BF10" s="7">
        <f t="shared" si="374"/>
        <v>0</v>
      </c>
      <c r="BG10" s="7">
        <f t="shared" si="374"/>
        <v>0</v>
      </c>
      <c r="BH10" s="7">
        <f t="shared" si="374"/>
        <v>0</v>
      </c>
      <c r="BI10" s="7">
        <f t="shared" si="374"/>
        <v>0</v>
      </c>
      <c r="BJ10" s="7">
        <f t="shared" si="374"/>
        <v>0</v>
      </c>
      <c r="BK10" s="7">
        <f t="shared" si="374"/>
        <v>0</v>
      </c>
      <c r="BL10" s="7">
        <f t="shared" si="374"/>
        <v>0</v>
      </c>
      <c r="BM10" s="7">
        <f t="shared" si="374"/>
        <v>0</v>
      </c>
      <c r="BN10" s="7">
        <f t="shared" si="374"/>
        <v>0</v>
      </c>
      <c r="BO10" s="7">
        <f t="shared" si="374"/>
        <v>0</v>
      </c>
      <c r="BP10" s="7">
        <f t="shared" si="374"/>
        <v>0</v>
      </c>
      <c r="BQ10" s="7">
        <f t="shared" si="374"/>
        <v>0</v>
      </c>
      <c r="BR10" s="7">
        <f t="shared" si="374"/>
        <v>0</v>
      </c>
      <c r="BS10" s="7">
        <f t="shared" si="374"/>
        <v>0</v>
      </c>
      <c r="BT10" s="7">
        <f t="shared" si="374"/>
        <v>0</v>
      </c>
      <c r="BU10" s="7">
        <f t="shared" si="374"/>
        <v>0</v>
      </c>
      <c r="BV10" s="7">
        <f t="shared" si="374"/>
        <v>0</v>
      </c>
      <c r="BW10" s="7">
        <f t="shared" si="374"/>
        <v>0</v>
      </c>
      <c r="BX10" s="7">
        <f t="shared" si="374"/>
        <v>0</v>
      </c>
      <c r="BY10" s="7">
        <f t="shared" si="374"/>
        <v>0</v>
      </c>
      <c r="BZ10" s="7">
        <f t="shared" si="374"/>
        <v>0</v>
      </c>
      <c r="CA10" s="7">
        <f t="shared" si="374"/>
        <v>0</v>
      </c>
      <c r="CB10" s="7">
        <f t="shared" si="374"/>
        <v>0</v>
      </c>
      <c r="CC10" s="7">
        <f t="shared" si="374"/>
        <v>0</v>
      </c>
      <c r="CD10" s="7">
        <f t="shared" si="374"/>
        <v>0</v>
      </c>
      <c r="CE10" s="7">
        <f t="shared" si="374"/>
        <v>0</v>
      </c>
      <c r="CF10" s="7">
        <f t="shared" si="374"/>
        <v>0</v>
      </c>
      <c r="CG10" s="7">
        <f t="shared" si="374"/>
        <v>0</v>
      </c>
      <c r="CH10" s="7">
        <f t="shared" si="374"/>
        <v>0</v>
      </c>
      <c r="CI10" s="7">
        <f t="shared" si="374"/>
        <v>0</v>
      </c>
      <c r="CJ10" s="7">
        <f t="shared" si="374"/>
        <v>0</v>
      </c>
      <c r="CK10" s="7">
        <f t="shared" si="374"/>
        <v>0</v>
      </c>
      <c r="CL10" s="7">
        <f t="shared" si="374"/>
        <v>0</v>
      </c>
      <c r="CM10" s="7">
        <f t="shared" si="374"/>
        <v>0</v>
      </c>
      <c r="CN10" s="7">
        <f t="shared" si="374"/>
        <v>0</v>
      </c>
      <c r="CO10" s="7">
        <f t="shared" si="374"/>
        <v>0</v>
      </c>
      <c r="CP10" s="7">
        <f t="shared" ref="CP10:DA10" si="375">(CP7+(CP8/2))*($B$9/12)</f>
        <v>0</v>
      </c>
      <c r="CQ10" s="7">
        <f t="shared" si="375"/>
        <v>0</v>
      </c>
      <c r="CR10" s="7">
        <f t="shared" si="375"/>
        <v>0</v>
      </c>
      <c r="CS10" s="7">
        <f t="shared" si="375"/>
        <v>0</v>
      </c>
      <c r="CT10" s="7">
        <f t="shared" si="375"/>
        <v>0</v>
      </c>
      <c r="CU10" s="7">
        <f t="shared" si="375"/>
        <v>0</v>
      </c>
      <c r="CV10" s="7">
        <f t="shared" si="375"/>
        <v>0</v>
      </c>
      <c r="CW10" s="7">
        <f t="shared" si="375"/>
        <v>0</v>
      </c>
      <c r="CX10" s="7">
        <f t="shared" si="375"/>
        <v>0</v>
      </c>
      <c r="CY10" s="7">
        <f t="shared" si="375"/>
        <v>0</v>
      </c>
      <c r="CZ10" s="7">
        <f t="shared" si="375"/>
        <v>0</v>
      </c>
      <c r="DA10" s="7">
        <f t="shared" si="375"/>
        <v>0</v>
      </c>
      <c r="DB10" s="7">
        <f t="shared" ref="DB10:DM10" si="376">(DB7+(DB8/2))*($B$9/12)</f>
        <v>0</v>
      </c>
      <c r="DC10" s="7">
        <f t="shared" si="376"/>
        <v>0</v>
      </c>
      <c r="DD10" s="7">
        <f t="shared" si="376"/>
        <v>0</v>
      </c>
      <c r="DE10" s="7">
        <f t="shared" si="376"/>
        <v>0</v>
      </c>
      <c r="DF10" s="7">
        <f t="shared" si="376"/>
        <v>0</v>
      </c>
      <c r="DG10" s="7">
        <f t="shared" si="376"/>
        <v>0</v>
      </c>
      <c r="DH10" s="7">
        <f t="shared" si="376"/>
        <v>0</v>
      </c>
      <c r="DI10" s="7">
        <f t="shared" si="376"/>
        <v>0</v>
      </c>
      <c r="DJ10" s="7">
        <f t="shared" si="376"/>
        <v>0</v>
      </c>
      <c r="DK10" s="7">
        <f t="shared" si="376"/>
        <v>0</v>
      </c>
      <c r="DL10" s="7">
        <f t="shared" si="376"/>
        <v>0</v>
      </c>
      <c r="DM10" s="7">
        <f t="shared" si="376"/>
        <v>0</v>
      </c>
      <c r="DN10" s="7">
        <f t="shared" ref="DN10:DY10" si="377">(DN7+(DN8/2))*($B$9/12)</f>
        <v>0</v>
      </c>
      <c r="DO10" s="7">
        <f t="shared" si="377"/>
        <v>0</v>
      </c>
      <c r="DP10" s="7">
        <f t="shared" si="377"/>
        <v>0</v>
      </c>
      <c r="DQ10" s="7">
        <f t="shared" si="377"/>
        <v>0</v>
      </c>
      <c r="DR10" s="7">
        <f t="shared" si="377"/>
        <v>0</v>
      </c>
      <c r="DS10" s="7">
        <f t="shared" si="377"/>
        <v>0</v>
      </c>
      <c r="DT10" s="7">
        <f t="shared" si="377"/>
        <v>0</v>
      </c>
      <c r="DU10" s="7">
        <f t="shared" si="377"/>
        <v>0</v>
      </c>
      <c r="DV10" s="7">
        <f t="shared" si="377"/>
        <v>0</v>
      </c>
      <c r="DW10" s="7">
        <f t="shared" si="377"/>
        <v>0</v>
      </c>
      <c r="DX10" s="7">
        <f t="shared" si="377"/>
        <v>0</v>
      </c>
      <c r="DY10" s="7">
        <f t="shared" si="377"/>
        <v>0</v>
      </c>
      <c r="DZ10" s="7">
        <f t="shared" ref="DZ10:EK10" si="378">(DZ7+(DZ8/2))*($B$9/12)</f>
        <v>0</v>
      </c>
      <c r="EA10" s="7">
        <f t="shared" si="378"/>
        <v>0</v>
      </c>
      <c r="EB10" s="7">
        <f t="shared" si="378"/>
        <v>0</v>
      </c>
      <c r="EC10" s="7">
        <f t="shared" si="378"/>
        <v>0</v>
      </c>
      <c r="ED10" s="7">
        <f t="shared" si="378"/>
        <v>0</v>
      </c>
      <c r="EE10" s="7">
        <f t="shared" si="378"/>
        <v>0</v>
      </c>
      <c r="EF10" s="7">
        <f t="shared" si="378"/>
        <v>0</v>
      </c>
      <c r="EG10" s="7">
        <f t="shared" si="378"/>
        <v>0</v>
      </c>
      <c r="EH10" s="7">
        <f t="shared" si="378"/>
        <v>0</v>
      </c>
      <c r="EI10" s="7">
        <f t="shared" si="378"/>
        <v>0</v>
      </c>
      <c r="EJ10" s="7">
        <f t="shared" si="378"/>
        <v>0</v>
      </c>
      <c r="EK10" s="7">
        <f t="shared" si="378"/>
        <v>0</v>
      </c>
      <c r="EL10" s="7">
        <f t="shared" ref="EL10:EW10" si="379">(EL7+(EL8/2))*($B$9/12)</f>
        <v>0</v>
      </c>
      <c r="EM10" s="7">
        <f t="shared" si="379"/>
        <v>0</v>
      </c>
      <c r="EN10" s="7">
        <f t="shared" si="379"/>
        <v>0</v>
      </c>
      <c r="EO10" s="7">
        <f t="shared" si="379"/>
        <v>0</v>
      </c>
      <c r="EP10" s="7">
        <f t="shared" si="379"/>
        <v>0</v>
      </c>
      <c r="EQ10" s="7">
        <f t="shared" si="379"/>
        <v>0</v>
      </c>
      <c r="ER10" s="7">
        <f t="shared" si="379"/>
        <v>0</v>
      </c>
      <c r="ES10" s="7">
        <f t="shared" si="379"/>
        <v>0</v>
      </c>
      <c r="ET10" s="7">
        <f t="shared" si="379"/>
        <v>0</v>
      </c>
      <c r="EU10" s="7">
        <f t="shared" si="379"/>
        <v>0</v>
      </c>
      <c r="EV10" s="7">
        <f t="shared" si="379"/>
        <v>0</v>
      </c>
      <c r="EW10" s="7">
        <f t="shared" si="379"/>
        <v>0</v>
      </c>
      <c r="EX10" s="7">
        <f t="shared" ref="EX10:FI10" si="380">(EX7+(EX8/2))*($B$9/12)</f>
        <v>0</v>
      </c>
      <c r="EY10" s="7">
        <f t="shared" si="380"/>
        <v>0</v>
      </c>
      <c r="EZ10" s="7">
        <f t="shared" si="380"/>
        <v>0</v>
      </c>
      <c r="FA10" s="7">
        <f t="shared" si="380"/>
        <v>0</v>
      </c>
      <c r="FB10" s="7">
        <f t="shared" si="380"/>
        <v>0</v>
      </c>
      <c r="FC10" s="7">
        <f t="shared" si="380"/>
        <v>0</v>
      </c>
      <c r="FD10" s="7">
        <f t="shared" si="380"/>
        <v>0</v>
      </c>
      <c r="FE10" s="7">
        <f t="shared" si="380"/>
        <v>0</v>
      </c>
      <c r="FF10" s="7">
        <f t="shared" si="380"/>
        <v>0</v>
      </c>
      <c r="FG10" s="7">
        <f t="shared" si="380"/>
        <v>0</v>
      </c>
      <c r="FH10" s="7">
        <f t="shared" si="380"/>
        <v>0</v>
      </c>
      <c r="FI10" s="7">
        <f t="shared" si="380"/>
        <v>0</v>
      </c>
      <c r="FJ10" s="7">
        <f t="shared" ref="FJ10:GG10" si="381">(FJ7+(FJ8/2))*($B$9/12)</f>
        <v>0</v>
      </c>
      <c r="FK10" s="7">
        <f t="shared" si="381"/>
        <v>0</v>
      </c>
      <c r="FL10" s="7">
        <f t="shared" si="381"/>
        <v>0</v>
      </c>
      <c r="FM10" s="7">
        <f t="shared" si="381"/>
        <v>0</v>
      </c>
      <c r="FN10" s="7">
        <f t="shared" si="381"/>
        <v>0</v>
      </c>
      <c r="FO10" s="7">
        <f t="shared" si="381"/>
        <v>0</v>
      </c>
      <c r="FP10" s="7">
        <f t="shared" si="381"/>
        <v>0</v>
      </c>
      <c r="FQ10" s="7">
        <f t="shared" si="381"/>
        <v>0</v>
      </c>
      <c r="FR10" s="7">
        <f t="shared" si="381"/>
        <v>0</v>
      </c>
      <c r="FS10" s="7">
        <f t="shared" si="381"/>
        <v>0</v>
      </c>
      <c r="FT10" s="7">
        <f t="shared" si="381"/>
        <v>0</v>
      </c>
      <c r="FU10" s="7">
        <f t="shared" si="381"/>
        <v>0</v>
      </c>
      <c r="FV10" s="7">
        <f t="shared" si="381"/>
        <v>0</v>
      </c>
      <c r="FW10" s="7">
        <f t="shared" si="381"/>
        <v>0</v>
      </c>
      <c r="FX10" s="7">
        <f t="shared" si="381"/>
        <v>0</v>
      </c>
      <c r="FY10" s="7">
        <f t="shared" si="381"/>
        <v>0</v>
      </c>
      <c r="FZ10" s="7">
        <f t="shared" si="381"/>
        <v>0</v>
      </c>
      <c r="GA10" s="7">
        <f t="shared" si="381"/>
        <v>0</v>
      </c>
      <c r="GB10" s="7">
        <f t="shared" si="381"/>
        <v>0</v>
      </c>
      <c r="GC10" s="7">
        <f t="shared" si="381"/>
        <v>0</v>
      </c>
      <c r="GD10" s="7">
        <f t="shared" si="381"/>
        <v>0</v>
      </c>
      <c r="GE10" s="7">
        <f t="shared" si="381"/>
        <v>0</v>
      </c>
      <c r="GF10" s="7">
        <f t="shared" si="381"/>
        <v>0</v>
      </c>
      <c r="GG10" s="7">
        <f t="shared" si="381"/>
        <v>0</v>
      </c>
      <c r="GH10" s="7">
        <f t="shared" ref="GH10:GS10" si="382">(GH7+(GH8/2))*($B$9/12)</f>
        <v>0</v>
      </c>
      <c r="GI10" s="7">
        <f t="shared" si="382"/>
        <v>0</v>
      </c>
      <c r="GJ10" s="7">
        <f t="shared" si="382"/>
        <v>0</v>
      </c>
      <c r="GK10" s="7">
        <f t="shared" si="382"/>
        <v>0</v>
      </c>
      <c r="GL10" s="7">
        <f t="shared" si="382"/>
        <v>0</v>
      </c>
      <c r="GM10" s="7">
        <f t="shared" si="382"/>
        <v>0</v>
      </c>
      <c r="GN10" s="7">
        <f t="shared" si="382"/>
        <v>0</v>
      </c>
      <c r="GO10" s="7">
        <f t="shared" si="382"/>
        <v>0</v>
      </c>
      <c r="GP10" s="7">
        <f t="shared" si="382"/>
        <v>0</v>
      </c>
      <c r="GQ10" s="7">
        <f t="shared" si="382"/>
        <v>0</v>
      </c>
      <c r="GR10" s="7">
        <f t="shared" si="382"/>
        <v>0</v>
      </c>
      <c r="GS10" s="7">
        <f t="shared" si="382"/>
        <v>0</v>
      </c>
      <c r="GT10" s="7">
        <f t="shared" ref="GT10:HE10" si="383">(GT7+(GT8/2))*($B$9/12)</f>
        <v>0</v>
      </c>
      <c r="GU10" s="7">
        <f t="shared" si="383"/>
        <v>0</v>
      </c>
      <c r="GV10" s="7">
        <f t="shared" si="383"/>
        <v>0</v>
      </c>
      <c r="GW10" s="7">
        <f t="shared" si="383"/>
        <v>0</v>
      </c>
      <c r="GX10" s="7">
        <f t="shared" si="383"/>
        <v>0</v>
      </c>
      <c r="GY10" s="7">
        <f t="shared" si="383"/>
        <v>0</v>
      </c>
      <c r="GZ10" s="7">
        <f t="shared" si="383"/>
        <v>0</v>
      </c>
      <c r="HA10" s="7">
        <f t="shared" si="383"/>
        <v>0</v>
      </c>
      <c r="HB10" s="7">
        <f t="shared" si="383"/>
        <v>0</v>
      </c>
      <c r="HC10" s="7">
        <f t="shared" si="383"/>
        <v>0</v>
      </c>
      <c r="HD10" s="7">
        <f t="shared" si="383"/>
        <v>0</v>
      </c>
      <c r="HE10" s="7">
        <f t="shared" si="383"/>
        <v>0</v>
      </c>
      <c r="HF10" s="7">
        <f t="shared" ref="HF10:HQ10" si="384">(HF7+(HF8/2))*($B$9/12)</f>
        <v>0</v>
      </c>
      <c r="HG10" s="7">
        <f t="shared" si="384"/>
        <v>0</v>
      </c>
      <c r="HH10" s="7">
        <f t="shared" si="384"/>
        <v>0</v>
      </c>
      <c r="HI10" s="7">
        <f t="shared" si="384"/>
        <v>0</v>
      </c>
      <c r="HJ10" s="7">
        <f t="shared" si="384"/>
        <v>0</v>
      </c>
      <c r="HK10" s="7">
        <f t="shared" si="384"/>
        <v>0</v>
      </c>
      <c r="HL10" s="7">
        <f t="shared" si="384"/>
        <v>0</v>
      </c>
      <c r="HM10" s="7">
        <f t="shared" si="384"/>
        <v>0</v>
      </c>
      <c r="HN10" s="7">
        <f t="shared" si="384"/>
        <v>0</v>
      </c>
      <c r="HO10" s="7">
        <f t="shared" si="384"/>
        <v>0</v>
      </c>
      <c r="HP10" s="7">
        <f t="shared" si="384"/>
        <v>0</v>
      </c>
      <c r="HQ10" s="7">
        <f t="shared" si="384"/>
        <v>0</v>
      </c>
      <c r="HR10" s="7">
        <f t="shared" ref="HR10:IC10" si="385">(HR7+(HR8/2))*($B$9/12)</f>
        <v>0</v>
      </c>
      <c r="HS10" s="7">
        <f t="shared" si="385"/>
        <v>0</v>
      </c>
      <c r="HT10" s="7">
        <f t="shared" si="385"/>
        <v>0</v>
      </c>
      <c r="HU10" s="7">
        <f t="shared" si="385"/>
        <v>0</v>
      </c>
      <c r="HV10" s="7">
        <f t="shared" si="385"/>
        <v>0</v>
      </c>
      <c r="HW10" s="7">
        <f t="shared" si="385"/>
        <v>0</v>
      </c>
      <c r="HX10" s="7">
        <f t="shared" si="385"/>
        <v>0</v>
      </c>
      <c r="HY10" s="7">
        <f t="shared" si="385"/>
        <v>0</v>
      </c>
      <c r="HZ10" s="7">
        <f t="shared" si="385"/>
        <v>0</v>
      </c>
      <c r="IA10" s="7">
        <f t="shared" si="385"/>
        <v>0</v>
      </c>
      <c r="IB10" s="7">
        <f t="shared" si="385"/>
        <v>0</v>
      </c>
      <c r="IC10" s="7">
        <f t="shared" si="385"/>
        <v>0</v>
      </c>
      <c r="ID10" s="7">
        <f t="shared" ref="ID10:IO10" si="386">(ID7+(ID8/2))*($B$9/12)</f>
        <v>0</v>
      </c>
      <c r="IE10" s="7">
        <f t="shared" si="386"/>
        <v>0</v>
      </c>
      <c r="IF10" s="7">
        <f t="shared" si="386"/>
        <v>0</v>
      </c>
      <c r="IG10" s="7">
        <f t="shared" si="386"/>
        <v>0</v>
      </c>
      <c r="IH10" s="7">
        <f t="shared" si="386"/>
        <v>0</v>
      </c>
      <c r="II10" s="7">
        <f t="shared" si="386"/>
        <v>0</v>
      </c>
      <c r="IJ10" s="7">
        <f t="shared" si="386"/>
        <v>0</v>
      </c>
      <c r="IK10" s="7">
        <f t="shared" si="386"/>
        <v>0</v>
      </c>
      <c r="IL10" s="7">
        <f t="shared" si="386"/>
        <v>0</v>
      </c>
      <c r="IM10" s="7">
        <f t="shared" si="386"/>
        <v>0</v>
      </c>
      <c r="IN10" s="7">
        <f t="shared" si="386"/>
        <v>0</v>
      </c>
      <c r="IO10" s="7">
        <f t="shared" si="386"/>
        <v>0</v>
      </c>
      <c r="IP10" s="7">
        <f t="shared" ref="IP10:JA10" si="387">(IP7+(IP8/2))*($B$9/12)</f>
        <v>0</v>
      </c>
      <c r="IQ10" s="7">
        <f t="shared" si="387"/>
        <v>0</v>
      </c>
      <c r="IR10" s="7">
        <f t="shared" si="387"/>
        <v>0</v>
      </c>
      <c r="IS10" s="7">
        <f t="shared" si="387"/>
        <v>0</v>
      </c>
      <c r="IT10" s="7">
        <f t="shared" si="387"/>
        <v>0</v>
      </c>
      <c r="IU10" s="7">
        <f t="shared" si="387"/>
        <v>0</v>
      </c>
      <c r="IV10" s="7">
        <f t="shared" si="387"/>
        <v>0</v>
      </c>
      <c r="IW10" s="7">
        <f t="shared" si="387"/>
        <v>0</v>
      </c>
      <c r="IX10" s="7">
        <f t="shared" si="387"/>
        <v>0</v>
      </c>
      <c r="IY10" s="7">
        <f t="shared" si="387"/>
        <v>0</v>
      </c>
      <c r="IZ10" s="7">
        <f t="shared" si="387"/>
        <v>0</v>
      </c>
      <c r="JA10" s="7">
        <f t="shared" si="387"/>
        <v>0</v>
      </c>
      <c r="JB10" s="7">
        <f t="shared" ref="JB10:JM10" si="388">(JB7+(JB8/2))*($B$9/12)</f>
        <v>0</v>
      </c>
      <c r="JC10" s="7">
        <f t="shared" si="388"/>
        <v>0</v>
      </c>
      <c r="JD10" s="7">
        <f t="shared" si="388"/>
        <v>0</v>
      </c>
      <c r="JE10" s="7">
        <f t="shared" si="388"/>
        <v>0</v>
      </c>
      <c r="JF10" s="7">
        <f t="shared" si="388"/>
        <v>0</v>
      </c>
      <c r="JG10" s="7">
        <f t="shared" si="388"/>
        <v>0</v>
      </c>
      <c r="JH10" s="7">
        <f t="shared" si="388"/>
        <v>0</v>
      </c>
      <c r="JI10" s="7">
        <f t="shared" si="388"/>
        <v>0</v>
      </c>
      <c r="JJ10" s="7">
        <f t="shared" si="388"/>
        <v>0</v>
      </c>
      <c r="JK10" s="7">
        <f t="shared" si="388"/>
        <v>0</v>
      </c>
      <c r="JL10" s="7">
        <f t="shared" si="388"/>
        <v>0</v>
      </c>
      <c r="JM10" s="7">
        <f t="shared" si="388"/>
        <v>0</v>
      </c>
      <c r="JN10" s="7">
        <f t="shared" ref="JN10:JT10" si="389">(JN7+(JN8/2))*($B$9/12)</f>
        <v>0</v>
      </c>
      <c r="JO10" s="7">
        <f t="shared" si="389"/>
        <v>0</v>
      </c>
      <c r="JP10" s="7">
        <f t="shared" si="389"/>
        <v>0</v>
      </c>
      <c r="JQ10" s="7">
        <f t="shared" si="389"/>
        <v>0</v>
      </c>
      <c r="JR10" s="7">
        <f t="shared" si="389"/>
        <v>0</v>
      </c>
      <c r="JS10" s="7">
        <f t="shared" si="389"/>
        <v>0</v>
      </c>
      <c r="JT10" s="7">
        <f t="shared" si="389"/>
        <v>0</v>
      </c>
    </row>
    <row r="11" spans="1:280" x14ac:dyDescent="0.2">
      <c r="A11" s="1" t="s">
        <v>115</v>
      </c>
      <c r="B11" s="41" t="s">
        <v>107</v>
      </c>
      <c r="D11" s="3" t="s">
        <v>110</v>
      </c>
    </row>
    <row r="12" spans="1:280" x14ac:dyDescent="0.2">
      <c r="D12" s="39" t="s">
        <v>112</v>
      </c>
      <c r="E12" s="7">
        <f>E7+E8-E11</f>
        <v>42317472.159759872</v>
      </c>
      <c r="F12" s="7">
        <f t="shared" ref="F12:P12" si="390">F7+F8-F11</f>
        <v>55633552.549807675</v>
      </c>
      <c r="G12" s="7">
        <f>G7+G8-G11</f>
        <v>66366895.235132098</v>
      </c>
      <c r="H12" s="7">
        <f t="shared" si="390"/>
        <v>73216222.101785243</v>
      </c>
      <c r="I12" s="7">
        <f t="shared" si="390"/>
        <v>89456946.834257692</v>
      </c>
      <c r="J12" s="7">
        <f t="shared" si="390"/>
        <v>109615970.89860679</v>
      </c>
      <c r="K12" s="7">
        <f t="shared" si="390"/>
        <v>127272991.74542645</v>
      </c>
      <c r="L12" s="7">
        <f t="shared" si="390"/>
        <v>142413483.49413753</v>
      </c>
      <c r="M12" s="7">
        <f t="shared" si="390"/>
        <v>156328008.21025026</v>
      </c>
      <c r="N12" s="7">
        <f t="shared" si="390"/>
        <v>167692281.48692214</v>
      </c>
      <c r="O12" s="7">
        <f t="shared" si="390"/>
        <v>178733814.57050249</v>
      </c>
      <c r="P12" s="7">
        <f t="shared" si="390"/>
        <v>194866984.83765143</v>
      </c>
      <c r="Q12" s="7">
        <f t="shared" ref="Q12" si="391">Q7+Q8-Q11</f>
        <v>194866984.83765143</v>
      </c>
      <c r="R12" s="7">
        <f t="shared" ref="R12" si="392">R7+R8-R11</f>
        <v>194866984.83765143</v>
      </c>
      <c r="S12" s="7">
        <f t="shared" ref="S12" si="393">S7+S8-S11</f>
        <v>194866984.83765143</v>
      </c>
      <c r="T12" s="7">
        <f t="shared" ref="T12" si="394">T7+T8-T11</f>
        <v>0</v>
      </c>
      <c r="U12" s="7">
        <f t="shared" ref="U12" si="395">U7+U8-U11</f>
        <v>0</v>
      </c>
      <c r="V12" s="7">
        <f t="shared" ref="V12" si="396">V7+V8-V11</f>
        <v>0</v>
      </c>
      <c r="W12" s="7">
        <f t="shared" ref="W12" si="397">W7+W8-W11</f>
        <v>0</v>
      </c>
      <c r="X12" s="7">
        <f t="shared" ref="X12" si="398">X7+X8-X11</f>
        <v>0</v>
      </c>
      <c r="Y12" s="7">
        <f t="shared" ref="Y12" si="399">Y7+Y8-Y11</f>
        <v>0</v>
      </c>
      <c r="Z12" s="7">
        <f t="shared" ref="Z12" si="400">Z7+Z8-Z11</f>
        <v>0</v>
      </c>
      <c r="AA12" s="7">
        <f t="shared" ref="AA12" si="401">AA7+AA8-AA11</f>
        <v>0</v>
      </c>
      <c r="AB12" s="7">
        <f t="shared" ref="AB12" si="402">AB7+AB8-AB11</f>
        <v>0</v>
      </c>
      <c r="AC12" s="7">
        <f t="shared" ref="AC12" si="403">AC7+AC8-AC11</f>
        <v>0</v>
      </c>
      <c r="AD12" s="7">
        <f t="shared" ref="AD12" si="404">AD7+AD8-AD11</f>
        <v>0</v>
      </c>
      <c r="AE12" s="7">
        <f t="shared" ref="AE12" si="405">AE7+AE8-AE11</f>
        <v>0</v>
      </c>
      <c r="AF12" s="7">
        <f t="shared" ref="AF12" si="406">AF7+AF8-AF11</f>
        <v>0</v>
      </c>
      <c r="AG12" s="7">
        <f t="shared" ref="AG12" si="407">AG7+AG8-AG11</f>
        <v>0</v>
      </c>
      <c r="AH12" s="7">
        <f t="shared" ref="AH12" si="408">AH7+AH8-AH11</f>
        <v>0</v>
      </c>
      <c r="AI12" s="7">
        <f t="shared" ref="AI12" si="409">AI7+AI8-AI11</f>
        <v>0</v>
      </c>
      <c r="AJ12" s="7">
        <f t="shared" ref="AJ12" si="410">AJ7+AJ8-AJ11</f>
        <v>0</v>
      </c>
      <c r="AK12" s="7">
        <f t="shared" ref="AK12" si="411">AK7+AK8-AK11</f>
        <v>0</v>
      </c>
      <c r="AL12" s="7">
        <f t="shared" ref="AL12" si="412">AL7+AL8-AL11</f>
        <v>0</v>
      </c>
      <c r="AM12" s="7">
        <f t="shared" ref="AM12" si="413">AM7+AM8-AM11</f>
        <v>0</v>
      </c>
      <c r="AN12" s="7">
        <f t="shared" ref="AN12" si="414">AN7+AN8-AN11</f>
        <v>0</v>
      </c>
      <c r="AO12" s="7">
        <f t="shared" ref="AO12" si="415">AO7+AO8-AO11</f>
        <v>0</v>
      </c>
      <c r="AP12" s="7">
        <f t="shared" ref="AP12" si="416">AP7+AP8-AP11</f>
        <v>0</v>
      </c>
      <c r="AQ12" s="7">
        <f t="shared" ref="AQ12" si="417">AQ7+AQ8-AQ11</f>
        <v>0</v>
      </c>
      <c r="AR12" s="7">
        <f t="shared" ref="AR12" si="418">AR7+AR8-AR11</f>
        <v>0</v>
      </c>
      <c r="AS12" s="7">
        <f t="shared" ref="AS12" si="419">AS7+AS8-AS11</f>
        <v>0</v>
      </c>
      <c r="AT12" s="7">
        <f t="shared" ref="AT12" si="420">AT7+AT8-AT11</f>
        <v>0</v>
      </c>
      <c r="AU12" s="7">
        <f t="shared" ref="AU12" si="421">AU7+AU8-AU11</f>
        <v>0</v>
      </c>
      <c r="AV12" s="7">
        <f t="shared" ref="AV12" si="422">AV7+AV8-AV11</f>
        <v>0</v>
      </c>
      <c r="AW12" s="7">
        <f t="shared" ref="AW12" si="423">AW7+AW8-AW11</f>
        <v>0</v>
      </c>
      <c r="AX12" s="7">
        <f t="shared" ref="AX12" si="424">AX7+AX8-AX11</f>
        <v>0</v>
      </c>
      <c r="AY12" s="7">
        <f t="shared" ref="AY12" si="425">AY7+AY8-AY11</f>
        <v>0</v>
      </c>
      <c r="AZ12" s="7">
        <f t="shared" ref="AZ12" si="426">AZ7+AZ8-AZ11</f>
        <v>0</v>
      </c>
      <c r="BA12" s="7">
        <f t="shared" ref="BA12" si="427">BA7+BA8-BA11</f>
        <v>0</v>
      </c>
      <c r="BB12" s="7">
        <f t="shared" ref="BB12" si="428">BB7+BB8-BB11</f>
        <v>0</v>
      </c>
      <c r="BC12" s="7">
        <f t="shared" ref="BC12" si="429">BC7+BC8-BC11</f>
        <v>0</v>
      </c>
      <c r="BD12" s="7">
        <f t="shared" ref="BD12" si="430">BD7+BD8-BD11</f>
        <v>0</v>
      </c>
      <c r="BE12" s="7">
        <f t="shared" ref="BE12" si="431">BE7+BE8-BE11</f>
        <v>0</v>
      </c>
      <c r="BF12" s="7">
        <f t="shared" ref="BF12" si="432">BF7+BF8-BF11</f>
        <v>0</v>
      </c>
      <c r="BG12" s="7">
        <f t="shared" ref="BG12" si="433">BG7+BG8-BG11</f>
        <v>0</v>
      </c>
      <c r="BH12" s="7">
        <f t="shared" ref="BH12" si="434">BH7+BH8-BH11</f>
        <v>0</v>
      </c>
      <c r="BI12" s="7">
        <f t="shared" ref="BI12" si="435">BI7+BI8-BI11</f>
        <v>0</v>
      </c>
      <c r="BJ12" s="7">
        <f t="shared" ref="BJ12" si="436">BJ7+BJ8-BJ11</f>
        <v>0</v>
      </c>
      <c r="BK12" s="7">
        <f t="shared" ref="BK12" si="437">BK7+BK8-BK11</f>
        <v>0</v>
      </c>
      <c r="BL12" s="7">
        <f t="shared" ref="BL12" si="438">BL7+BL8-BL11</f>
        <v>0</v>
      </c>
      <c r="BM12" s="7">
        <f t="shared" ref="BM12" si="439">BM7+BM8-BM11</f>
        <v>0</v>
      </c>
      <c r="BN12" s="7">
        <f t="shared" ref="BN12" si="440">BN7+BN8-BN11</f>
        <v>0</v>
      </c>
      <c r="BO12" s="7">
        <f t="shared" ref="BO12" si="441">BO7+BO8-BO11</f>
        <v>0</v>
      </c>
      <c r="BP12" s="7">
        <f t="shared" ref="BP12" si="442">BP7+BP8-BP11</f>
        <v>0</v>
      </c>
      <c r="BQ12" s="7">
        <f t="shared" ref="BQ12" si="443">BQ7+BQ8-BQ11</f>
        <v>0</v>
      </c>
      <c r="BR12" s="7">
        <f t="shared" ref="BR12" si="444">BR7+BR8-BR11</f>
        <v>0</v>
      </c>
      <c r="BS12" s="7">
        <f t="shared" ref="BS12" si="445">BS7+BS8-BS11</f>
        <v>0</v>
      </c>
      <c r="BT12" s="7">
        <f t="shared" ref="BT12" si="446">BT7+BT8-BT11</f>
        <v>0</v>
      </c>
      <c r="BU12" s="7">
        <f t="shared" ref="BU12" si="447">BU7+BU8-BU11</f>
        <v>0</v>
      </c>
      <c r="BV12" s="7">
        <f t="shared" ref="BV12" si="448">BV7+BV8-BV11</f>
        <v>0</v>
      </c>
      <c r="BW12" s="7">
        <f t="shared" ref="BW12" si="449">BW7+BW8-BW11</f>
        <v>0</v>
      </c>
      <c r="BX12" s="7">
        <f t="shared" ref="BX12" si="450">BX7+BX8-BX11</f>
        <v>0</v>
      </c>
      <c r="BY12" s="7">
        <f t="shared" ref="BY12" si="451">BY7+BY8-BY11</f>
        <v>0</v>
      </c>
      <c r="BZ12" s="7">
        <f t="shared" ref="BZ12" si="452">BZ7+BZ8-BZ11</f>
        <v>0</v>
      </c>
      <c r="CA12" s="7">
        <f t="shared" ref="CA12" si="453">CA7+CA8-CA11</f>
        <v>0</v>
      </c>
      <c r="CB12" s="7">
        <f t="shared" ref="CB12" si="454">CB7+CB8-CB11</f>
        <v>0</v>
      </c>
      <c r="CC12" s="7">
        <f t="shared" ref="CC12" si="455">CC7+CC8-CC11</f>
        <v>0</v>
      </c>
      <c r="CD12" s="7">
        <f t="shared" ref="CD12" si="456">CD7+CD8-CD11</f>
        <v>0</v>
      </c>
      <c r="CE12" s="7">
        <f t="shared" ref="CE12" si="457">CE7+CE8-CE11</f>
        <v>0</v>
      </c>
      <c r="CF12" s="7">
        <f t="shared" ref="CF12" si="458">CF7+CF8-CF11</f>
        <v>0</v>
      </c>
      <c r="CG12" s="7">
        <f t="shared" ref="CG12" si="459">CG7+CG8-CG11</f>
        <v>0</v>
      </c>
      <c r="CH12" s="7">
        <f t="shared" ref="CH12" si="460">CH7+CH8-CH11</f>
        <v>0</v>
      </c>
      <c r="CI12" s="7">
        <f t="shared" ref="CI12" si="461">CI7+CI8-CI11</f>
        <v>0</v>
      </c>
      <c r="CJ12" s="7">
        <f t="shared" ref="CJ12" si="462">CJ7+CJ8-CJ11</f>
        <v>0</v>
      </c>
      <c r="CK12" s="7">
        <f t="shared" ref="CK12" si="463">CK7+CK8-CK11</f>
        <v>0</v>
      </c>
      <c r="CL12" s="7">
        <f t="shared" ref="CL12" si="464">CL7+CL8-CL11</f>
        <v>0</v>
      </c>
      <c r="CM12" s="7">
        <f t="shared" ref="CM12" si="465">CM7+CM8-CM11</f>
        <v>0</v>
      </c>
      <c r="CN12" s="7">
        <f t="shared" ref="CN12" si="466">CN7+CN8-CN11</f>
        <v>0</v>
      </c>
      <c r="CO12" s="7">
        <f t="shared" ref="CO12" si="467">CO7+CO8-CO11</f>
        <v>0</v>
      </c>
      <c r="CP12" s="7">
        <f t="shared" ref="CP12" si="468">CP7+CP8-CP11</f>
        <v>0</v>
      </c>
      <c r="CQ12" s="7">
        <f t="shared" ref="CQ12" si="469">CQ7+CQ8-CQ11</f>
        <v>0</v>
      </c>
      <c r="CR12" s="7">
        <f t="shared" ref="CR12" si="470">CR7+CR8-CR11</f>
        <v>0</v>
      </c>
      <c r="CS12" s="7">
        <f t="shared" ref="CS12" si="471">CS7+CS8-CS11</f>
        <v>0</v>
      </c>
      <c r="CT12" s="7">
        <f t="shared" ref="CT12" si="472">CT7+CT8-CT11</f>
        <v>0</v>
      </c>
      <c r="CU12" s="7">
        <f t="shared" ref="CU12" si="473">CU7+CU8-CU11</f>
        <v>0</v>
      </c>
      <c r="CV12" s="7">
        <f t="shared" ref="CV12:DG12" si="474">CV7+CV8-CV11</f>
        <v>0</v>
      </c>
      <c r="CW12" s="7">
        <f t="shared" si="474"/>
        <v>0</v>
      </c>
      <c r="CX12" s="7">
        <f t="shared" si="474"/>
        <v>0</v>
      </c>
      <c r="CY12" s="7">
        <f t="shared" si="474"/>
        <v>0</v>
      </c>
      <c r="CZ12" s="7">
        <f t="shared" si="474"/>
        <v>0</v>
      </c>
      <c r="DA12" s="7">
        <f t="shared" si="474"/>
        <v>0</v>
      </c>
      <c r="DB12" s="7">
        <f t="shared" si="474"/>
        <v>0</v>
      </c>
      <c r="DC12" s="7">
        <f t="shared" si="474"/>
        <v>0</v>
      </c>
      <c r="DD12" s="7">
        <f t="shared" si="474"/>
        <v>0</v>
      </c>
      <c r="DE12" s="7">
        <f t="shared" si="474"/>
        <v>0</v>
      </c>
      <c r="DF12" s="7">
        <f t="shared" si="474"/>
        <v>0</v>
      </c>
      <c r="DG12" s="7">
        <f t="shared" si="474"/>
        <v>0</v>
      </c>
      <c r="DH12" s="7">
        <f t="shared" ref="DH12:DS12" si="475">DH7+DH8-DH11</f>
        <v>0</v>
      </c>
      <c r="DI12" s="7">
        <f t="shared" si="475"/>
        <v>0</v>
      </c>
      <c r="DJ12" s="7">
        <f t="shared" si="475"/>
        <v>0</v>
      </c>
      <c r="DK12" s="7">
        <f t="shared" si="475"/>
        <v>0</v>
      </c>
      <c r="DL12" s="7">
        <f t="shared" si="475"/>
        <v>0</v>
      </c>
      <c r="DM12" s="7">
        <f t="shared" si="475"/>
        <v>0</v>
      </c>
      <c r="DN12" s="7">
        <f t="shared" si="475"/>
        <v>0</v>
      </c>
      <c r="DO12" s="7">
        <f t="shared" si="475"/>
        <v>0</v>
      </c>
      <c r="DP12" s="7">
        <f t="shared" si="475"/>
        <v>0</v>
      </c>
      <c r="DQ12" s="7">
        <f t="shared" si="475"/>
        <v>0</v>
      </c>
      <c r="DR12" s="7">
        <f t="shared" si="475"/>
        <v>0</v>
      </c>
      <c r="DS12" s="7">
        <f t="shared" si="475"/>
        <v>0</v>
      </c>
      <c r="DT12" s="7">
        <f t="shared" ref="DT12:EE12" si="476">DT7+DT8-DT11</f>
        <v>0</v>
      </c>
      <c r="DU12" s="7">
        <f t="shared" si="476"/>
        <v>0</v>
      </c>
      <c r="DV12" s="7">
        <f t="shared" si="476"/>
        <v>0</v>
      </c>
      <c r="DW12" s="7">
        <f t="shared" si="476"/>
        <v>0</v>
      </c>
      <c r="DX12" s="7">
        <f t="shared" si="476"/>
        <v>0</v>
      </c>
      <c r="DY12" s="7">
        <f t="shared" si="476"/>
        <v>0</v>
      </c>
      <c r="DZ12" s="7">
        <f t="shared" si="476"/>
        <v>0</v>
      </c>
      <c r="EA12" s="7">
        <f t="shared" si="476"/>
        <v>0</v>
      </c>
      <c r="EB12" s="7">
        <f t="shared" si="476"/>
        <v>0</v>
      </c>
      <c r="EC12" s="7">
        <f t="shared" si="476"/>
        <v>0</v>
      </c>
      <c r="ED12" s="7">
        <f t="shared" si="476"/>
        <v>0</v>
      </c>
      <c r="EE12" s="7">
        <f t="shared" si="476"/>
        <v>0</v>
      </c>
      <c r="EF12" s="7">
        <f t="shared" ref="EF12:EQ12" si="477">EF7+EF8-EF11</f>
        <v>0</v>
      </c>
      <c r="EG12" s="7">
        <f t="shared" si="477"/>
        <v>0</v>
      </c>
      <c r="EH12" s="7">
        <f t="shared" si="477"/>
        <v>0</v>
      </c>
      <c r="EI12" s="7">
        <f t="shared" si="477"/>
        <v>0</v>
      </c>
      <c r="EJ12" s="7">
        <f t="shared" si="477"/>
        <v>0</v>
      </c>
      <c r="EK12" s="7">
        <f t="shared" si="477"/>
        <v>0</v>
      </c>
      <c r="EL12" s="7">
        <f t="shared" si="477"/>
        <v>0</v>
      </c>
      <c r="EM12" s="7">
        <f t="shared" si="477"/>
        <v>0</v>
      </c>
      <c r="EN12" s="7">
        <f t="shared" si="477"/>
        <v>0</v>
      </c>
      <c r="EO12" s="7">
        <f t="shared" si="477"/>
        <v>0</v>
      </c>
      <c r="EP12" s="7">
        <f t="shared" si="477"/>
        <v>0</v>
      </c>
      <c r="EQ12" s="7">
        <f t="shared" si="477"/>
        <v>0</v>
      </c>
      <c r="ER12" s="7">
        <f t="shared" ref="ER12:FC12" si="478">ER7+ER8-ER11</f>
        <v>0</v>
      </c>
      <c r="ES12" s="7">
        <f t="shared" si="478"/>
        <v>0</v>
      </c>
      <c r="ET12" s="7">
        <f t="shared" si="478"/>
        <v>0</v>
      </c>
      <c r="EU12" s="7">
        <f t="shared" si="478"/>
        <v>0</v>
      </c>
      <c r="EV12" s="7">
        <f t="shared" si="478"/>
        <v>0</v>
      </c>
      <c r="EW12" s="7">
        <f t="shared" si="478"/>
        <v>0</v>
      </c>
      <c r="EX12" s="7">
        <f t="shared" si="478"/>
        <v>0</v>
      </c>
      <c r="EY12" s="7">
        <f t="shared" si="478"/>
        <v>0</v>
      </c>
      <c r="EZ12" s="7">
        <f t="shared" si="478"/>
        <v>0</v>
      </c>
      <c r="FA12" s="7">
        <f t="shared" si="478"/>
        <v>0</v>
      </c>
      <c r="FB12" s="7">
        <f t="shared" si="478"/>
        <v>0</v>
      </c>
      <c r="FC12" s="7">
        <f t="shared" si="478"/>
        <v>0</v>
      </c>
      <c r="FD12" s="7">
        <f t="shared" ref="FD12:FO12" si="479">FD7+FD8-FD11</f>
        <v>0</v>
      </c>
      <c r="FE12" s="7">
        <f t="shared" si="479"/>
        <v>0</v>
      </c>
      <c r="FF12" s="7">
        <f t="shared" si="479"/>
        <v>0</v>
      </c>
      <c r="FG12" s="7">
        <f t="shared" si="479"/>
        <v>0</v>
      </c>
      <c r="FH12" s="7">
        <f t="shared" si="479"/>
        <v>0</v>
      </c>
      <c r="FI12" s="7">
        <f t="shared" si="479"/>
        <v>0</v>
      </c>
      <c r="FJ12" s="7">
        <f t="shared" si="479"/>
        <v>0</v>
      </c>
      <c r="FK12" s="7">
        <f t="shared" si="479"/>
        <v>0</v>
      </c>
      <c r="FL12" s="7">
        <f t="shared" si="479"/>
        <v>0</v>
      </c>
      <c r="FM12" s="7">
        <f t="shared" si="479"/>
        <v>0</v>
      </c>
      <c r="FN12" s="7">
        <f t="shared" si="479"/>
        <v>0</v>
      </c>
      <c r="FO12" s="7">
        <f t="shared" si="479"/>
        <v>0</v>
      </c>
      <c r="FP12" s="7">
        <f t="shared" ref="FP12:GM12" si="480">FP7+FP8-FP11</f>
        <v>0</v>
      </c>
      <c r="FQ12" s="7">
        <f t="shared" si="480"/>
        <v>0</v>
      </c>
      <c r="FR12" s="7">
        <f t="shared" si="480"/>
        <v>0</v>
      </c>
      <c r="FS12" s="7">
        <f t="shared" si="480"/>
        <v>0</v>
      </c>
      <c r="FT12" s="7">
        <f t="shared" si="480"/>
        <v>0</v>
      </c>
      <c r="FU12" s="7">
        <f t="shared" si="480"/>
        <v>0</v>
      </c>
      <c r="FV12" s="7">
        <f t="shared" si="480"/>
        <v>0</v>
      </c>
      <c r="FW12" s="7">
        <f t="shared" si="480"/>
        <v>0</v>
      </c>
      <c r="FX12" s="7">
        <f t="shared" si="480"/>
        <v>0</v>
      </c>
      <c r="FY12" s="7">
        <f t="shared" si="480"/>
        <v>0</v>
      </c>
      <c r="FZ12" s="7">
        <f t="shared" si="480"/>
        <v>0</v>
      </c>
      <c r="GA12" s="7">
        <f t="shared" si="480"/>
        <v>0</v>
      </c>
      <c r="GB12" s="7">
        <f t="shared" si="480"/>
        <v>0</v>
      </c>
      <c r="GC12" s="7">
        <f t="shared" si="480"/>
        <v>0</v>
      </c>
      <c r="GD12" s="7">
        <f t="shared" si="480"/>
        <v>0</v>
      </c>
      <c r="GE12" s="7">
        <f t="shared" si="480"/>
        <v>0</v>
      </c>
      <c r="GF12" s="7">
        <f t="shared" si="480"/>
        <v>0</v>
      </c>
      <c r="GG12" s="7">
        <f t="shared" si="480"/>
        <v>0</v>
      </c>
      <c r="GH12" s="7">
        <f t="shared" si="480"/>
        <v>0</v>
      </c>
      <c r="GI12" s="7">
        <f t="shared" si="480"/>
        <v>0</v>
      </c>
      <c r="GJ12" s="7">
        <f t="shared" si="480"/>
        <v>0</v>
      </c>
      <c r="GK12" s="7">
        <f t="shared" si="480"/>
        <v>0</v>
      </c>
      <c r="GL12" s="7">
        <f t="shared" si="480"/>
        <v>0</v>
      </c>
      <c r="GM12" s="7">
        <f t="shared" si="480"/>
        <v>0</v>
      </c>
      <c r="GN12" s="7">
        <f t="shared" ref="GN12:GY12" si="481">GN7+GN8-GN11</f>
        <v>0</v>
      </c>
      <c r="GO12" s="7">
        <f t="shared" si="481"/>
        <v>0</v>
      </c>
      <c r="GP12" s="7">
        <f t="shared" si="481"/>
        <v>0</v>
      </c>
      <c r="GQ12" s="7">
        <f t="shared" si="481"/>
        <v>0</v>
      </c>
      <c r="GR12" s="7">
        <f t="shared" si="481"/>
        <v>0</v>
      </c>
      <c r="GS12" s="7">
        <f t="shared" si="481"/>
        <v>0</v>
      </c>
      <c r="GT12" s="7">
        <f t="shared" si="481"/>
        <v>0</v>
      </c>
      <c r="GU12" s="7">
        <f t="shared" si="481"/>
        <v>0</v>
      </c>
      <c r="GV12" s="7">
        <f t="shared" si="481"/>
        <v>0</v>
      </c>
      <c r="GW12" s="7">
        <f t="shared" si="481"/>
        <v>0</v>
      </c>
      <c r="GX12" s="7">
        <f t="shared" si="481"/>
        <v>0</v>
      </c>
      <c r="GY12" s="7">
        <f t="shared" si="481"/>
        <v>0</v>
      </c>
      <c r="GZ12" s="7">
        <f t="shared" ref="GZ12:HK12" si="482">GZ7+GZ8-GZ11</f>
        <v>0</v>
      </c>
      <c r="HA12" s="7">
        <f t="shared" si="482"/>
        <v>0</v>
      </c>
      <c r="HB12" s="7">
        <f t="shared" si="482"/>
        <v>0</v>
      </c>
      <c r="HC12" s="7">
        <f t="shared" si="482"/>
        <v>0</v>
      </c>
      <c r="HD12" s="7">
        <f t="shared" si="482"/>
        <v>0</v>
      </c>
      <c r="HE12" s="7">
        <f t="shared" si="482"/>
        <v>0</v>
      </c>
      <c r="HF12" s="7">
        <f t="shared" si="482"/>
        <v>0</v>
      </c>
      <c r="HG12" s="7">
        <f t="shared" si="482"/>
        <v>0</v>
      </c>
      <c r="HH12" s="7">
        <f t="shared" si="482"/>
        <v>0</v>
      </c>
      <c r="HI12" s="7">
        <f t="shared" si="482"/>
        <v>0</v>
      </c>
      <c r="HJ12" s="7">
        <f t="shared" si="482"/>
        <v>0</v>
      </c>
      <c r="HK12" s="7">
        <f t="shared" si="482"/>
        <v>0</v>
      </c>
      <c r="HL12" s="7">
        <f t="shared" ref="HL12:HW12" si="483">HL7+HL8-HL11</f>
        <v>0</v>
      </c>
      <c r="HM12" s="7">
        <f t="shared" si="483"/>
        <v>0</v>
      </c>
      <c r="HN12" s="7">
        <f t="shared" si="483"/>
        <v>0</v>
      </c>
      <c r="HO12" s="7">
        <f t="shared" si="483"/>
        <v>0</v>
      </c>
      <c r="HP12" s="7">
        <f t="shared" si="483"/>
        <v>0</v>
      </c>
      <c r="HQ12" s="7">
        <f t="shared" si="483"/>
        <v>0</v>
      </c>
      <c r="HR12" s="7">
        <f t="shared" si="483"/>
        <v>0</v>
      </c>
      <c r="HS12" s="7">
        <f t="shared" si="483"/>
        <v>0</v>
      </c>
      <c r="HT12" s="7">
        <f t="shared" si="483"/>
        <v>0</v>
      </c>
      <c r="HU12" s="7">
        <f t="shared" si="483"/>
        <v>0</v>
      </c>
      <c r="HV12" s="7">
        <f t="shared" si="483"/>
        <v>0</v>
      </c>
      <c r="HW12" s="7">
        <f t="shared" si="483"/>
        <v>0</v>
      </c>
      <c r="HX12" s="7">
        <f t="shared" ref="HX12:II12" si="484">HX7+HX8-HX11</f>
        <v>0</v>
      </c>
      <c r="HY12" s="7">
        <f t="shared" si="484"/>
        <v>0</v>
      </c>
      <c r="HZ12" s="7">
        <f t="shared" si="484"/>
        <v>0</v>
      </c>
      <c r="IA12" s="7">
        <f t="shared" si="484"/>
        <v>0</v>
      </c>
      <c r="IB12" s="7">
        <f t="shared" si="484"/>
        <v>0</v>
      </c>
      <c r="IC12" s="7">
        <f t="shared" si="484"/>
        <v>0</v>
      </c>
      <c r="ID12" s="7">
        <f t="shared" si="484"/>
        <v>0</v>
      </c>
      <c r="IE12" s="7">
        <f t="shared" si="484"/>
        <v>0</v>
      </c>
      <c r="IF12" s="7">
        <f t="shared" si="484"/>
        <v>0</v>
      </c>
      <c r="IG12" s="7">
        <f t="shared" si="484"/>
        <v>0</v>
      </c>
      <c r="IH12" s="7">
        <f t="shared" si="484"/>
        <v>0</v>
      </c>
      <c r="II12" s="7">
        <f t="shared" si="484"/>
        <v>0</v>
      </c>
      <c r="IJ12" s="7">
        <f t="shared" ref="IJ12:IU12" si="485">IJ7+IJ8-IJ11</f>
        <v>0</v>
      </c>
      <c r="IK12" s="7">
        <f t="shared" si="485"/>
        <v>0</v>
      </c>
      <c r="IL12" s="7">
        <f t="shared" si="485"/>
        <v>0</v>
      </c>
      <c r="IM12" s="7">
        <f t="shared" si="485"/>
        <v>0</v>
      </c>
      <c r="IN12" s="7">
        <f t="shared" si="485"/>
        <v>0</v>
      </c>
      <c r="IO12" s="7">
        <f t="shared" si="485"/>
        <v>0</v>
      </c>
      <c r="IP12" s="7">
        <f t="shared" si="485"/>
        <v>0</v>
      </c>
      <c r="IQ12" s="7">
        <f t="shared" si="485"/>
        <v>0</v>
      </c>
      <c r="IR12" s="7">
        <f t="shared" si="485"/>
        <v>0</v>
      </c>
      <c r="IS12" s="7">
        <f t="shared" si="485"/>
        <v>0</v>
      </c>
      <c r="IT12" s="7">
        <f t="shared" si="485"/>
        <v>0</v>
      </c>
      <c r="IU12" s="7">
        <f t="shared" si="485"/>
        <v>0</v>
      </c>
      <c r="IV12" s="7">
        <f t="shared" ref="IV12:JG12" si="486">IV7+IV8-IV11</f>
        <v>0</v>
      </c>
      <c r="IW12" s="7">
        <f t="shared" si="486"/>
        <v>0</v>
      </c>
      <c r="IX12" s="7">
        <f t="shared" si="486"/>
        <v>0</v>
      </c>
      <c r="IY12" s="7">
        <f t="shared" si="486"/>
        <v>0</v>
      </c>
      <c r="IZ12" s="7">
        <f t="shared" si="486"/>
        <v>0</v>
      </c>
      <c r="JA12" s="7">
        <f t="shared" si="486"/>
        <v>0</v>
      </c>
      <c r="JB12" s="7">
        <f t="shared" si="486"/>
        <v>0</v>
      </c>
      <c r="JC12" s="7">
        <f t="shared" si="486"/>
        <v>0</v>
      </c>
      <c r="JD12" s="7">
        <f t="shared" si="486"/>
        <v>0</v>
      </c>
      <c r="JE12" s="7">
        <f t="shared" si="486"/>
        <v>0</v>
      </c>
      <c r="JF12" s="7">
        <f t="shared" si="486"/>
        <v>0</v>
      </c>
      <c r="JG12" s="7">
        <f t="shared" si="486"/>
        <v>0</v>
      </c>
      <c r="JH12" s="7">
        <f t="shared" ref="JH12:JS12" si="487">JH7+JH8-JH11</f>
        <v>0</v>
      </c>
      <c r="JI12" s="7">
        <f t="shared" si="487"/>
        <v>0</v>
      </c>
      <c r="JJ12" s="7">
        <f t="shared" si="487"/>
        <v>0</v>
      </c>
      <c r="JK12" s="7">
        <f t="shared" si="487"/>
        <v>0</v>
      </c>
      <c r="JL12" s="7">
        <f t="shared" si="487"/>
        <v>0</v>
      </c>
      <c r="JM12" s="7">
        <f t="shared" si="487"/>
        <v>0</v>
      </c>
      <c r="JN12" s="7">
        <f t="shared" si="487"/>
        <v>0</v>
      </c>
      <c r="JO12" s="7">
        <f t="shared" si="487"/>
        <v>0</v>
      </c>
      <c r="JP12" s="7">
        <f t="shared" si="487"/>
        <v>0</v>
      </c>
      <c r="JQ12" s="7">
        <f t="shared" si="487"/>
        <v>0</v>
      </c>
      <c r="JR12" s="7">
        <f t="shared" si="487"/>
        <v>0</v>
      </c>
      <c r="JS12" s="7">
        <f t="shared" si="487"/>
        <v>0</v>
      </c>
      <c r="JT12" s="7">
        <f t="shared" ref="JT12" si="488">JT7+JT8-JT11</f>
        <v>0</v>
      </c>
    </row>
    <row r="13" spans="1:280" x14ac:dyDescent="0.2">
      <c r="A13" s="826" t="s">
        <v>877</v>
      </c>
      <c r="B13" s="826"/>
    </row>
    <row r="14" spans="1:280" x14ac:dyDescent="0.2">
      <c r="A14" s="1" t="s">
        <v>98</v>
      </c>
      <c r="B14" s="1">
        <f>CapEx!$O$7</f>
        <v>16</v>
      </c>
      <c r="D14" s="39" t="s">
        <v>111</v>
      </c>
      <c r="E14" s="7">
        <f>_xlfn.IFS(E$3&lt;$B$14,0,E$3=$B$14,$B$16,E$3&lt;$B$19,D$19,$E$3&lt;=$JT$3,0)</f>
        <v>0</v>
      </c>
      <c r="F14" s="7">
        <f t="shared" ref="F14:BQ14" si="489">_xlfn.IFS(F$3&lt;$B$14,0,F$3=$B$14,$B$16,F$3&lt;$B$19,E$19,$E$3&lt;=$JT$3,0)</f>
        <v>0</v>
      </c>
      <c r="G14" s="7">
        <f t="shared" si="489"/>
        <v>0</v>
      </c>
      <c r="H14" s="7">
        <f t="shared" si="489"/>
        <v>0</v>
      </c>
      <c r="I14" s="7">
        <f t="shared" si="489"/>
        <v>0</v>
      </c>
      <c r="J14" s="7">
        <f t="shared" si="489"/>
        <v>0</v>
      </c>
      <c r="K14" s="7">
        <f t="shared" si="489"/>
        <v>0</v>
      </c>
      <c r="L14" s="7">
        <f t="shared" si="489"/>
        <v>0</v>
      </c>
      <c r="M14" s="7">
        <f t="shared" si="489"/>
        <v>0</v>
      </c>
      <c r="N14" s="7">
        <f t="shared" si="489"/>
        <v>0</v>
      </c>
      <c r="O14" s="7">
        <f t="shared" si="489"/>
        <v>0</v>
      </c>
      <c r="P14" s="7">
        <f t="shared" si="489"/>
        <v>0</v>
      </c>
      <c r="Q14" s="7">
        <f t="shared" si="489"/>
        <v>0</v>
      </c>
      <c r="R14" s="7">
        <f t="shared" si="489"/>
        <v>0</v>
      </c>
      <c r="S14" s="7">
        <f t="shared" si="489"/>
        <v>0</v>
      </c>
      <c r="T14" s="7">
        <f t="shared" si="489"/>
        <v>95626233.929653734</v>
      </c>
      <c r="U14" s="7">
        <f t="shared" si="489"/>
        <v>95324538.002665505</v>
      </c>
      <c r="V14" s="7">
        <f t="shared" si="489"/>
        <v>95021082.18276985</v>
      </c>
      <c r="W14" s="7">
        <f t="shared" si="489"/>
        <v>94715856.203924805</v>
      </c>
      <c r="X14" s="7">
        <f t="shared" si="489"/>
        <v>94408849.740203157</v>
      </c>
      <c r="Y14" s="7">
        <f t="shared" si="489"/>
        <v>94100052.405443132</v>
      </c>
      <c r="Z14" s="7">
        <f t="shared" si="489"/>
        <v>93789453.752897009</v>
      </c>
      <c r="AA14" s="7">
        <f t="shared" si="489"/>
        <v>93477043.274877712</v>
      </c>
      <c r="AB14" s="7">
        <f t="shared" si="489"/>
        <v>93162810.402403295</v>
      </c>
      <c r="AC14" s="7">
        <f t="shared" si="489"/>
        <v>92846744.50483945</v>
      </c>
      <c r="AD14" s="7">
        <f t="shared" si="489"/>
        <v>92528834.889539808</v>
      </c>
      <c r="AE14" s="7">
        <f t="shared" si="489"/>
        <v>92209070.801484257</v>
      </c>
      <c r="AF14" s="7">
        <f t="shared" si="489"/>
        <v>91887441.422915041</v>
      </c>
      <c r="AG14" s="7">
        <f t="shared" si="489"/>
        <v>91563935.872970849</v>
      </c>
      <c r="AH14" s="7">
        <f t="shared" si="489"/>
        <v>91238543.207318649</v>
      </c>
      <c r="AI14" s="7">
        <f t="shared" si="489"/>
        <v>90911252.417783469</v>
      </c>
      <c r="AJ14" s="7">
        <f t="shared" si="489"/>
        <v>90582052.431976005</v>
      </c>
      <c r="AK14" s="7">
        <f t="shared" si="489"/>
        <v>90250932.112917989</v>
      </c>
      <c r="AL14" s="7">
        <f t="shared" si="489"/>
        <v>89917880.258665472</v>
      </c>
      <c r="AM14" s="7">
        <f t="shared" si="489"/>
        <v>89582885.601929814</v>
      </c>
      <c r="AN14" s="7">
        <f t="shared" si="489"/>
        <v>89245936.80969654</v>
      </c>
      <c r="AO14" s="7">
        <f t="shared" si="489"/>
        <v>88907022.482841894</v>
      </c>
      <c r="AP14" s="7">
        <f t="shared" si="489"/>
        <v>88566131.155747265</v>
      </c>
      <c r="AQ14" s="7">
        <f t="shared" si="489"/>
        <v>88223251.295911252</v>
      </c>
      <c r="AR14" s="7">
        <f t="shared" si="489"/>
        <v>87878371.303559527</v>
      </c>
      <c r="AS14" s="7">
        <f t="shared" si="489"/>
        <v>87531479.511252418</v>
      </c>
      <c r="AT14" s="7">
        <f t="shared" si="489"/>
        <v>87182564.183490187</v>
      </c>
      <c r="AU14" s="7">
        <f t="shared" si="489"/>
        <v>86831613.516316012</v>
      </c>
      <c r="AV14" s="7">
        <f t="shared" si="489"/>
        <v>86478615.636916652</v>
      </c>
      <c r="AW14" s="7">
        <f t="shared" si="489"/>
        <v>86123558.603220791</v>
      </c>
      <c r="AX14" s="7">
        <f t="shared" si="489"/>
        <v>85766430.403495044</v>
      </c>
      <c r="AY14" s="7">
        <f t="shared" si="489"/>
        <v>85407218.955937564</v>
      </c>
      <c r="AZ14" s="7">
        <f t="shared" si="489"/>
        <v>85045912.108269334</v>
      </c>
      <c r="BA14" s="7">
        <f t="shared" si="489"/>
        <v>84682497.637323037</v>
      </c>
      <c r="BB14" s="7">
        <f t="shared" si="489"/>
        <v>84316963.248629555</v>
      </c>
      <c r="BC14" s="7">
        <f t="shared" si="489"/>
        <v>83949296.576002017</v>
      </c>
      <c r="BD14" s="7">
        <f t="shared" si="489"/>
        <v>83579485.18111749</v>
      </c>
      <c r="BE14" s="7">
        <f t="shared" si="489"/>
        <v>83207516.553096145</v>
      </c>
      <c r="BF14" s="7">
        <f t="shared" si="489"/>
        <v>82833378.108078003</v>
      </c>
      <c r="BG14" s="7">
        <f t="shared" si="489"/>
        <v>82457057.18879725</v>
      </c>
      <c r="BH14" s="7">
        <f t="shared" si="489"/>
        <v>82078541.064154029</v>
      </c>
      <c r="BI14" s="7">
        <f t="shared" si="489"/>
        <v>81697816.92878373</v>
      </c>
      <c r="BJ14" s="7">
        <f t="shared" si="489"/>
        <v>81314871.902623758</v>
      </c>
      <c r="BK14" s="7">
        <f t="shared" si="489"/>
        <v>80929693.030477867</v>
      </c>
      <c r="BL14" s="7">
        <f t="shared" si="489"/>
        <v>80542267.281577781</v>
      </c>
      <c r="BM14" s="7">
        <f t="shared" si="489"/>
        <v>80152581.54914245</v>
      </c>
      <c r="BN14" s="7">
        <f t="shared" si="489"/>
        <v>79760622.649934575</v>
      </c>
      <c r="BO14" s="7">
        <f t="shared" si="489"/>
        <v>79366377.32381466</v>
      </c>
      <c r="BP14" s="7">
        <f t="shared" si="489"/>
        <v>78969832.233292371</v>
      </c>
      <c r="BQ14" s="7">
        <f t="shared" si="489"/>
        <v>78570973.96307537</v>
      </c>
      <c r="BR14" s="7">
        <f t="shared" ref="BR14:EC14" si="490">_xlfn.IFS(BR$3&lt;$B$14,0,BR$3=$B$14,$B$16,BR$3&lt;$B$19,BQ$19,$E$3&lt;=$JT$3,0)</f>
        <v>78169789.019615442</v>
      </c>
      <c r="BS14" s="7">
        <f t="shared" si="490"/>
        <v>77766263.830651999</v>
      </c>
      <c r="BT14" s="7">
        <f t="shared" si="490"/>
        <v>77360384.744752929</v>
      </c>
      <c r="BU14" s="7">
        <f t="shared" si="490"/>
        <v>76952138.03085278</v>
      </c>
      <c r="BV14" s="7">
        <f t="shared" si="490"/>
        <v>76541509.877788216</v>
      </c>
      <c r="BW14" s="7">
        <f t="shared" si="490"/>
        <v>76128486.393830776</v>
      </c>
      <c r="BX14" s="7">
        <f t="shared" si="490"/>
        <v>75713053.606216922</v>
      </c>
      <c r="BY14" s="7">
        <f t="shared" si="490"/>
        <v>75295197.460675314</v>
      </c>
      <c r="BZ14" s="7">
        <f t="shared" si="490"/>
        <v>74874903.820951387</v>
      </c>
      <c r="CA14" s="7">
        <f t="shared" si="490"/>
        <v>74452158.468329072</v>
      </c>
      <c r="CB14" s="7">
        <f t="shared" si="490"/>
        <v>74026947.101149783</v>
      </c>
      <c r="CC14" s="7">
        <f t="shared" si="490"/>
        <v>73599255.334328622</v>
      </c>
      <c r="CD14" s="7">
        <f t="shared" si="490"/>
        <v>73169068.698867664</v>
      </c>
      <c r="CE14" s="7">
        <f t="shared" si="490"/>
        <v>72736372.641366526</v>
      </c>
      <c r="CF14" s="7">
        <f t="shared" si="490"/>
        <v>72301152.523529962</v>
      </c>
      <c r="CG14" s="7">
        <f t="shared" si="490"/>
        <v>71863393.62167269</v>
      </c>
      <c r="CH14" s="7">
        <f t="shared" si="490"/>
        <v>71423081.12622124</v>
      </c>
      <c r="CI14" s="7">
        <f t="shared" si="490"/>
        <v>70980200.141213</v>
      </c>
      <c r="CJ14" s="7">
        <f t="shared" si="490"/>
        <v>70534735.683792204</v>
      </c>
      <c r="CK14" s="7">
        <f t="shared" si="490"/>
        <v>70086672.683703125</v>
      </c>
      <c r="CL14" s="7">
        <f t="shared" si="490"/>
        <v>69635995.982780188</v>
      </c>
      <c r="CM14" s="7">
        <f t="shared" si="490"/>
        <v>69182690.33443521</v>
      </c>
      <c r="CN14" s="7">
        <f t="shared" si="490"/>
        <v>68726740.403141543</v>
      </c>
      <c r="CO14" s="7">
        <f t="shared" si="490"/>
        <v>68268130.76391533</v>
      </c>
      <c r="CP14" s="7">
        <f t="shared" si="490"/>
        <v>67806845.901793629</v>
      </c>
      <c r="CQ14" s="7">
        <f t="shared" si="490"/>
        <v>67342870.211309552</v>
      </c>
      <c r="CR14" s="7">
        <f t="shared" si="490"/>
        <v>66876187.995964319</v>
      </c>
      <c r="CS14" s="7">
        <f t="shared" si="490"/>
        <v>66406783.467696242</v>
      </c>
      <c r="CT14" s="7">
        <f t="shared" si="490"/>
        <v>65934640.7463466</v>
      </c>
      <c r="CU14" s="7">
        <f t="shared" si="490"/>
        <v>65459743.859122418</v>
      </c>
      <c r="CV14" s="7">
        <f t="shared" si="490"/>
        <v>64982076.740056098</v>
      </c>
      <c r="CW14" s="7">
        <f t="shared" si="490"/>
        <v>64501623.229461886</v>
      </c>
      <c r="CX14" s="7">
        <f t="shared" si="490"/>
        <v>64018367.07338921</v>
      </c>
      <c r="CY14" s="7">
        <f t="shared" si="490"/>
        <v>63532291.923072778</v>
      </c>
      <c r="CZ14" s="7">
        <f t="shared" si="490"/>
        <v>63043381.334379502</v>
      </c>
      <c r="DA14" s="7">
        <f t="shared" si="490"/>
        <v>62551618.767252177</v>
      </c>
      <c r="DB14" s="7">
        <f t="shared" si="490"/>
        <v>62056987.585149944</v>
      </c>
      <c r="DC14" s="7">
        <f t="shared" si="490"/>
        <v>61559471.054485448</v>
      </c>
      <c r="DD14" s="7">
        <f t="shared" si="490"/>
        <v>61059052.344058745</v>
      </c>
      <c r="DE14" s="7">
        <f t="shared" si="490"/>
        <v>60555714.524487883</v>
      </c>
      <c r="DF14" s="7">
        <f t="shared" si="490"/>
        <v>60049440.567636192</v>
      </c>
      <c r="DG14" s="7">
        <f t="shared" si="490"/>
        <v>59540213.346036196</v>
      </c>
      <c r="DH14" s="7">
        <f t="shared" si="490"/>
        <v>59028015.632310204</v>
      </c>
      <c r="DI14" s="7">
        <f t="shared" si="490"/>
        <v>58512830.098587476</v>
      </c>
      <c r="DJ14" s="7">
        <f t="shared" si="490"/>
        <v>57994639.315918036</v>
      </c>
      <c r="DK14" s="7">
        <f t="shared" si="490"/>
        <v>57473425.753683023</v>
      </c>
      <c r="DL14" s="7">
        <f t="shared" si="490"/>
        <v>56949171.779001638</v>
      </c>
      <c r="DM14" s="7">
        <f t="shared" si="490"/>
        <v>56421859.656134613</v>
      </c>
      <c r="DN14" s="7">
        <f t="shared" si="490"/>
        <v>55891471.545884192</v>
      </c>
      <c r="DO14" s="7">
        <f t="shared" si="490"/>
        <v>55357989.504990645</v>
      </c>
      <c r="DP14" s="7">
        <f t="shared" si="490"/>
        <v>54821395.485525221</v>
      </c>
      <c r="DQ14" s="7">
        <f t="shared" si="490"/>
        <v>54281671.334279582</v>
      </c>
      <c r="DR14" s="7">
        <f t="shared" si="490"/>
        <v>53738798.792151675</v>
      </c>
      <c r="DS14" s="7">
        <f t="shared" si="490"/>
        <v>53192759.493528023</v>
      </c>
      <c r="DT14" s="7">
        <f t="shared" si="490"/>
        <v>52643534.965662397</v>
      </c>
      <c r="DU14" s="7">
        <f t="shared" si="490"/>
        <v>52091106.628050894</v>
      </c>
      <c r="DV14" s="7">
        <f t="shared" si="490"/>
        <v>51535455.791803323</v>
      </c>
      <c r="DW14" s="7">
        <f t="shared" si="490"/>
        <v>50976563.659010969</v>
      </c>
      <c r="DX14" s="7">
        <f t="shared" si="490"/>
        <v>50414411.32211066</v>
      </c>
      <c r="DY14" s="7">
        <f t="shared" si="490"/>
        <v>49848979.763245106</v>
      </c>
      <c r="DZ14" s="7">
        <f t="shared" si="490"/>
        <v>49280249.853619501</v>
      </c>
      <c r="EA14" s="7">
        <f t="shared" si="490"/>
        <v>48708202.352854408</v>
      </c>
      <c r="EB14" s="7">
        <f t="shared" si="490"/>
        <v>48132817.908334859</v>
      </c>
      <c r="EC14" s="7">
        <f t="shared" si="490"/>
        <v>47554077.05455561</v>
      </c>
      <c r="ED14" s="7">
        <f t="shared" ref="ED14:GO14" si="491">_xlfn.IFS(ED$3&lt;$B$14,0,ED$3=$B$14,$B$16,ED$3&lt;$B$19,EC$19,$E$3&lt;=$JT$3,0)</f>
        <v>46971960.212462649</v>
      </c>
      <c r="EE14" s="7">
        <f t="shared" si="491"/>
        <v>46386447.688790813</v>
      </c>
      <c r="EF14" s="7">
        <f t="shared" si="491"/>
        <v>45797519.675397553</v>
      </c>
      <c r="EG14" s="7">
        <f t="shared" si="491"/>
        <v>45205156.248592831</v>
      </c>
      <c r="EH14" s="7">
        <f t="shared" si="491"/>
        <v>44609337.368465088</v>
      </c>
      <c r="EI14" s="7">
        <f t="shared" si="491"/>
        <v>44010042.878203265</v>
      </c>
      <c r="EJ14" s="7">
        <f t="shared" si="491"/>
        <v>43407252.503414914</v>
      </c>
      <c r="EK14" s="7">
        <f t="shared" si="491"/>
        <v>42800945.851440296</v>
      </c>
      <c r="EL14" s="7">
        <f t="shared" si="491"/>
        <v>42191102.410662495</v>
      </c>
      <c r="EM14" s="7">
        <f t="shared" si="491"/>
        <v>41577701.549813487</v>
      </c>
      <c r="EN14" s="7">
        <f t="shared" si="491"/>
        <v>40960722.517276198</v>
      </c>
      <c r="EO14" s="7">
        <f t="shared" si="491"/>
        <v>40340144.440382436</v>
      </c>
      <c r="EP14" s="7">
        <f t="shared" si="491"/>
        <v>39715946.324706793</v>
      </c>
      <c r="EQ14" s="7">
        <f t="shared" si="491"/>
        <v>39088107.053356379</v>
      </c>
      <c r="ER14" s="7">
        <f t="shared" si="491"/>
        <v>38456605.386256419</v>
      </c>
      <c r="ES14" s="7">
        <f t="shared" si="491"/>
        <v>37821419.959431708</v>
      </c>
      <c r="ET14" s="7">
        <f t="shared" si="491"/>
        <v>37182529.284283854</v>
      </c>
      <c r="EU14" s="7">
        <f t="shared" si="491"/>
        <v>36539911.746864304</v>
      </c>
      <c r="EV14" s="7">
        <f t="shared" si="491"/>
        <v>35893545.607143141</v>
      </c>
      <c r="EW14" s="7">
        <f t="shared" si="491"/>
        <v>35243408.998273604</v>
      </c>
      <c r="EX14" s="7">
        <f t="shared" si="491"/>
        <v>34589479.925852329</v>
      </c>
      <c r="EY14" s="7">
        <f t="shared" si="491"/>
        <v>33931736.267175265</v>
      </c>
      <c r="EZ14" s="7">
        <f t="shared" si="491"/>
        <v>33270155.770489249</v>
      </c>
      <c r="FA14" s="7">
        <f t="shared" si="491"/>
        <v>32604716.054239232</v>
      </c>
      <c r="FB14" s="7">
        <f t="shared" si="491"/>
        <v>31935394.60631109</v>
      </c>
      <c r="FC14" s="7">
        <f t="shared" si="491"/>
        <v>31262168.783270035</v>
      </c>
      <c r="FD14" s="7">
        <f t="shared" si="491"/>
        <v>30585015.809594572</v>
      </c>
      <c r="FE14" s="7">
        <f t="shared" si="491"/>
        <v>29903912.776906002</v>
      </c>
      <c r="FF14" s="7">
        <f t="shared" si="491"/>
        <v>29218836.643193416</v>
      </c>
      <c r="FG14" s="7">
        <f t="shared" si="491"/>
        <v>28529764.232034173</v>
      </c>
      <c r="FH14" s="7">
        <f t="shared" si="491"/>
        <v>27836672.231809836</v>
      </c>
      <c r="FI14" s="7">
        <f t="shared" si="491"/>
        <v>27139537.194917522</v>
      </c>
      <c r="FJ14" s="7">
        <f t="shared" si="491"/>
        <v>26438335.536976673</v>
      </c>
      <c r="FK14" s="7">
        <f t="shared" si="491"/>
        <v>25733043.536031168</v>
      </c>
      <c r="FL14" s="7">
        <f t="shared" si="491"/>
        <v>25023637.331746813</v>
      </c>
      <c r="FM14" s="7">
        <f t="shared" si="491"/>
        <v>24310092.924604133</v>
      </c>
      <c r="FN14" s="7">
        <f t="shared" si="491"/>
        <v>23592386.175086454</v>
      </c>
      <c r="FO14" s="7">
        <f t="shared" si="491"/>
        <v>22870492.802863255</v>
      </c>
      <c r="FP14" s="7">
        <f t="shared" si="491"/>
        <v>22144388.385968752</v>
      </c>
      <c r="FQ14" s="7">
        <f t="shared" si="491"/>
        <v>21414048.359975699</v>
      </c>
      <c r="FR14" s="7">
        <f t="shared" si="491"/>
        <v>20679448.017164353</v>
      </c>
      <c r="FS14" s="7">
        <f t="shared" si="491"/>
        <v>19940562.505686607</v>
      </c>
      <c r="FT14" s="7">
        <f t="shared" si="491"/>
        <v>19197366.828725241</v>
      </c>
      <c r="FU14" s="7">
        <f t="shared" si="491"/>
        <v>18449835.84364827</v>
      </c>
      <c r="FV14" s="7">
        <f t="shared" si="491"/>
        <v>17697944.261158347</v>
      </c>
      <c r="FW14" s="7">
        <f t="shared" si="491"/>
        <v>16941666.644437235</v>
      </c>
      <c r="FX14" s="7">
        <f t="shared" si="491"/>
        <v>16180977.408285249</v>
      </c>
      <c r="FY14" s="7">
        <f t="shared" si="491"/>
        <v>15415850.818255709</v>
      </c>
      <c r="FZ14" s="7">
        <f t="shared" si="491"/>
        <v>14646260.98978433</v>
      </c>
      <c r="GA14" s="7">
        <f t="shared" si="491"/>
        <v>13872181.887313535</v>
      </c>
      <c r="GB14" s="7">
        <f t="shared" si="491"/>
        <v>13093587.32341166</v>
      </c>
      <c r="GC14" s="7">
        <f t="shared" si="491"/>
        <v>12310450.957887026</v>
      </c>
      <c r="GD14" s="7">
        <f t="shared" si="491"/>
        <v>11522746.29689683</v>
      </c>
      <c r="GE14" s="7">
        <f t="shared" si="491"/>
        <v>10730446.692050857</v>
      </c>
      <c r="GF14" s="7">
        <f t="shared" si="491"/>
        <v>9933525.339509951</v>
      </c>
      <c r="GG14" s="7">
        <f t="shared" si="491"/>
        <v>9131955.2790792212</v>
      </c>
      <c r="GH14" s="7">
        <f t="shared" si="491"/>
        <v>8325709.3932959801</v>
      </c>
      <c r="GI14" s="7">
        <f t="shared" si="491"/>
        <v>7514760.4065123368</v>
      </c>
      <c r="GJ14" s="7">
        <f t="shared" si="491"/>
        <v>6699080.8839724548</v>
      </c>
      <c r="GK14" s="7">
        <f t="shared" si="491"/>
        <v>5878643.2308844235</v>
      </c>
      <c r="GL14" s="7">
        <f t="shared" si="491"/>
        <v>5053419.6914867125</v>
      </c>
      <c r="GM14" s="7">
        <f t="shared" si="491"/>
        <v>4223382.348109182</v>
      </c>
      <c r="GN14" s="7">
        <f t="shared" si="491"/>
        <v>3388503.1202286156</v>
      </c>
      <c r="GO14" s="7">
        <f t="shared" si="491"/>
        <v>2548753.7635187455</v>
      </c>
      <c r="GP14" s="7">
        <f t="shared" ref="GP14:JA14" si="492">_xlfn.IFS(GP$3&lt;$B$14,0,GP$3=$B$14,$B$16,GP$3&lt;$B$19,GO$19,$E$3&lt;=$JT$3,0)</f>
        <v>1704105.8688947349</v>
      </c>
      <c r="GQ14" s="7">
        <f t="shared" si="492"/>
        <v>854530.86155208398</v>
      </c>
      <c r="GR14" s="7">
        <f t="shared" si="492"/>
        <v>0</v>
      </c>
      <c r="GS14" s="7">
        <f t="shared" si="492"/>
        <v>0</v>
      </c>
      <c r="GT14" s="7">
        <f t="shared" si="492"/>
        <v>0</v>
      </c>
      <c r="GU14" s="7">
        <f t="shared" si="492"/>
        <v>0</v>
      </c>
      <c r="GV14" s="7">
        <f t="shared" si="492"/>
        <v>0</v>
      </c>
      <c r="GW14" s="7">
        <f t="shared" si="492"/>
        <v>0</v>
      </c>
      <c r="GX14" s="7">
        <f t="shared" si="492"/>
        <v>0</v>
      </c>
      <c r="GY14" s="7">
        <f t="shared" si="492"/>
        <v>0</v>
      </c>
      <c r="GZ14" s="7">
        <f t="shared" si="492"/>
        <v>0</v>
      </c>
      <c r="HA14" s="7">
        <f t="shared" si="492"/>
        <v>0</v>
      </c>
      <c r="HB14" s="7">
        <f t="shared" si="492"/>
        <v>0</v>
      </c>
      <c r="HC14" s="7">
        <f t="shared" si="492"/>
        <v>0</v>
      </c>
      <c r="HD14" s="7">
        <f t="shared" si="492"/>
        <v>0</v>
      </c>
      <c r="HE14" s="7">
        <f t="shared" si="492"/>
        <v>0</v>
      </c>
      <c r="HF14" s="7">
        <f t="shared" si="492"/>
        <v>0</v>
      </c>
      <c r="HG14" s="7">
        <f t="shared" si="492"/>
        <v>0</v>
      </c>
      <c r="HH14" s="7">
        <f t="shared" si="492"/>
        <v>0</v>
      </c>
      <c r="HI14" s="7">
        <f t="shared" si="492"/>
        <v>0</v>
      </c>
      <c r="HJ14" s="7">
        <f t="shared" si="492"/>
        <v>0</v>
      </c>
      <c r="HK14" s="7">
        <f t="shared" si="492"/>
        <v>0</v>
      </c>
      <c r="HL14" s="7">
        <f t="shared" si="492"/>
        <v>0</v>
      </c>
      <c r="HM14" s="7">
        <f t="shared" si="492"/>
        <v>0</v>
      </c>
      <c r="HN14" s="7">
        <f t="shared" si="492"/>
        <v>0</v>
      </c>
      <c r="HO14" s="7">
        <f t="shared" si="492"/>
        <v>0</v>
      </c>
      <c r="HP14" s="7">
        <f t="shared" si="492"/>
        <v>0</v>
      </c>
      <c r="HQ14" s="7">
        <f t="shared" si="492"/>
        <v>0</v>
      </c>
      <c r="HR14" s="7">
        <f t="shared" si="492"/>
        <v>0</v>
      </c>
      <c r="HS14" s="7">
        <f t="shared" si="492"/>
        <v>0</v>
      </c>
      <c r="HT14" s="7">
        <f t="shared" si="492"/>
        <v>0</v>
      </c>
      <c r="HU14" s="7">
        <f t="shared" si="492"/>
        <v>0</v>
      </c>
      <c r="HV14" s="7">
        <f t="shared" si="492"/>
        <v>0</v>
      </c>
      <c r="HW14" s="7">
        <f t="shared" si="492"/>
        <v>0</v>
      </c>
      <c r="HX14" s="7">
        <f t="shared" si="492"/>
        <v>0</v>
      </c>
      <c r="HY14" s="7">
        <f t="shared" si="492"/>
        <v>0</v>
      </c>
      <c r="HZ14" s="7">
        <f t="shared" si="492"/>
        <v>0</v>
      </c>
      <c r="IA14" s="7">
        <f t="shared" si="492"/>
        <v>0</v>
      </c>
      <c r="IB14" s="7">
        <f t="shared" si="492"/>
        <v>0</v>
      </c>
      <c r="IC14" s="7">
        <f t="shared" si="492"/>
        <v>0</v>
      </c>
      <c r="ID14" s="7">
        <f t="shared" si="492"/>
        <v>0</v>
      </c>
      <c r="IE14" s="7">
        <f t="shared" si="492"/>
        <v>0</v>
      </c>
      <c r="IF14" s="7">
        <f t="shared" si="492"/>
        <v>0</v>
      </c>
      <c r="IG14" s="7">
        <f t="shared" si="492"/>
        <v>0</v>
      </c>
      <c r="IH14" s="7">
        <f t="shared" si="492"/>
        <v>0</v>
      </c>
      <c r="II14" s="7">
        <f t="shared" si="492"/>
        <v>0</v>
      </c>
      <c r="IJ14" s="7">
        <f t="shared" si="492"/>
        <v>0</v>
      </c>
      <c r="IK14" s="7">
        <f t="shared" si="492"/>
        <v>0</v>
      </c>
      <c r="IL14" s="7">
        <f t="shared" si="492"/>
        <v>0</v>
      </c>
      <c r="IM14" s="7">
        <f t="shared" si="492"/>
        <v>0</v>
      </c>
      <c r="IN14" s="7">
        <f t="shared" si="492"/>
        <v>0</v>
      </c>
      <c r="IO14" s="7">
        <f t="shared" si="492"/>
        <v>0</v>
      </c>
      <c r="IP14" s="7">
        <f t="shared" si="492"/>
        <v>0</v>
      </c>
      <c r="IQ14" s="7">
        <f t="shared" si="492"/>
        <v>0</v>
      </c>
      <c r="IR14" s="7">
        <f t="shared" si="492"/>
        <v>0</v>
      </c>
      <c r="IS14" s="7">
        <f t="shared" si="492"/>
        <v>0</v>
      </c>
      <c r="IT14" s="7">
        <f t="shared" si="492"/>
        <v>0</v>
      </c>
      <c r="IU14" s="7">
        <f t="shared" si="492"/>
        <v>0</v>
      </c>
      <c r="IV14" s="7">
        <f t="shared" si="492"/>
        <v>0</v>
      </c>
      <c r="IW14" s="7">
        <f t="shared" si="492"/>
        <v>0</v>
      </c>
      <c r="IX14" s="7">
        <f t="shared" si="492"/>
        <v>0</v>
      </c>
      <c r="IY14" s="7">
        <f t="shared" si="492"/>
        <v>0</v>
      </c>
      <c r="IZ14" s="7">
        <f t="shared" si="492"/>
        <v>0</v>
      </c>
      <c r="JA14" s="7">
        <f t="shared" si="492"/>
        <v>0</v>
      </c>
      <c r="JB14" s="7">
        <f t="shared" ref="JB14:JT14" si="493">_xlfn.IFS(JB$3&lt;$B$14,0,JB$3=$B$14,$B$16,JB$3&lt;$B$19,JA$19,$E$3&lt;=$JT$3,0)</f>
        <v>0</v>
      </c>
      <c r="JC14" s="7">
        <f t="shared" si="493"/>
        <v>0</v>
      </c>
      <c r="JD14" s="7">
        <f t="shared" si="493"/>
        <v>0</v>
      </c>
      <c r="JE14" s="7">
        <f t="shared" si="493"/>
        <v>0</v>
      </c>
      <c r="JF14" s="7">
        <f t="shared" si="493"/>
        <v>0</v>
      </c>
      <c r="JG14" s="7">
        <f t="shared" si="493"/>
        <v>0</v>
      </c>
      <c r="JH14" s="7">
        <f t="shared" si="493"/>
        <v>0</v>
      </c>
      <c r="JI14" s="7">
        <f t="shared" si="493"/>
        <v>0</v>
      </c>
      <c r="JJ14" s="7">
        <f t="shared" si="493"/>
        <v>0</v>
      </c>
      <c r="JK14" s="7">
        <f t="shared" si="493"/>
        <v>0</v>
      </c>
      <c r="JL14" s="7">
        <f t="shared" si="493"/>
        <v>0</v>
      </c>
      <c r="JM14" s="7">
        <f t="shared" si="493"/>
        <v>0</v>
      </c>
      <c r="JN14" s="7">
        <f t="shared" si="493"/>
        <v>0</v>
      </c>
      <c r="JO14" s="7">
        <f t="shared" si="493"/>
        <v>0</v>
      </c>
      <c r="JP14" s="7">
        <f t="shared" si="493"/>
        <v>0</v>
      </c>
      <c r="JQ14" s="7">
        <f t="shared" si="493"/>
        <v>0</v>
      </c>
      <c r="JR14" s="7">
        <f t="shared" si="493"/>
        <v>0</v>
      </c>
      <c r="JS14" s="7">
        <f t="shared" si="493"/>
        <v>0</v>
      </c>
      <c r="JT14" s="7">
        <f t="shared" si="493"/>
        <v>0</v>
      </c>
    </row>
    <row r="15" spans="1:280" x14ac:dyDescent="0.2">
      <c r="A15" s="1" t="s">
        <v>116</v>
      </c>
      <c r="B15" s="24">
        <v>0.35</v>
      </c>
      <c r="D15" s="3" t="s">
        <v>113</v>
      </c>
    </row>
    <row r="16" spans="1:280" x14ac:dyDescent="0.2">
      <c r="A16" s="1" t="s">
        <v>104</v>
      </c>
      <c r="B16" s="45">
        <f>Summary!$I$7*'Capital Contributions'!$B$15</f>
        <v>95626233.929653734</v>
      </c>
      <c r="D16" s="3" t="s">
        <v>108</v>
      </c>
      <c r="E16" s="33">
        <f>_xlfn.IFS(E$3&lt;$B$14,0,E$3&lt;$B$19,PMT(($B$17/12),($B$18*12),-$B$16),E$3&lt;=$JT$3,0)</f>
        <v>0</v>
      </c>
      <c r="F16" s="33">
        <f t="shared" ref="F16:BQ16" si="494">_xlfn.IFS(F$3&lt;$B$14,0,F$3&lt;$B$19,PMT(($B$17/12),($B$18*12),-$B$16),F$3&lt;=$JT$3,0)</f>
        <v>0</v>
      </c>
      <c r="G16" s="33">
        <f t="shared" si="494"/>
        <v>0</v>
      </c>
      <c r="H16" s="33">
        <f t="shared" si="494"/>
        <v>0</v>
      </c>
      <c r="I16" s="33">
        <f t="shared" si="494"/>
        <v>0</v>
      </c>
      <c r="J16" s="33">
        <f t="shared" si="494"/>
        <v>0</v>
      </c>
      <c r="K16" s="33">
        <f t="shared" si="494"/>
        <v>0</v>
      </c>
      <c r="L16" s="33">
        <f t="shared" si="494"/>
        <v>0</v>
      </c>
      <c r="M16" s="33">
        <f t="shared" si="494"/>
        <v>0</v>
      </c>
      <c r="N16" s="33">
        <f t="shared" si="494"/>
        <v>0</v>
      </c>
      <c r="O16" s="33">
        <f t="shared" si="494"/>
        <v>0</v>
      </c>
      <c r="P16" s="33">
        <f t="shared" si="494"/>
        <v>0</v>
      </c>
      <c r="Q16" s="33">
        <f t="shared" si="494"/>
        <v>0</v>
      </c>
      <c r="R16" s="33">
        <f t="shared" si="494"/>
        <v>0</v>
      </c>
      <c r="S16" s="33">
        <f t="shared" si="494"/>
        <v>0</v>
      </c>
      <c r="T16" s="33">
        <f t="shared" si="494"/>
        <v>859515.62491120351</v>
      </c>
      <c r="U16" s="33">
        <f t="shared" si="494"/>
        <v>859515.62491120351</v>
      </c>
      <c r="V16" s="33">
        <f t="shared" si="494"/>
        <v>859515.62491120351</v>
      </c>
      <c r="W16" s="33">
        <f t="shared" si="494"/>
        <v>859515.62491120351</v>
      </c>
      <c r="X16" s="33">
        <f t="shared" si="494"/>
        <v>859515.62491120351</v>
      </c>
      <c r="Y16" s="33">
        <f t="shared" si="494"/>
        <v>859515.62491120351</v>
      </c>
      <c r="Z16" s="33">
        <f t="shared" si="494"/>
        <v>859515.62491120351</v>
      </c>
      <c r="AA16" s="33">
        <f t="shared" si="494"/>
        <v>859515.62491120351</v>
      </c>
      <c r="AB16" s="33">
        <f t="shared" si="494"/>
        <v>859515.62491120351</v>
      </c>
      <c r="AC16" s="33">
        <f t="shared" si="494"/>
        <v>859515.62491120351</v>
      </c>
      <c r="AD16" s="33">
        <f t="shared" si="494"/>
        <v>859515.62491120351</v>
      </c>
      <c r="AE16" s="33">
        <f t="shared" si="494"/>
        <v>859515.62491120351</v>
      </c>
      <c r="AF16" s="33">
        <f t="shared" si="494"/>
        <v>859515.62491120351</v>
      </c>
      <c r="AG16" s="33">
        <f t="shared" si="494"/>
        <v>859515.62491120351</v>
      </c>
      <c r="AH16" s="33">
        <f t="shared" si="494"/>
        <v>859515.62491120351</v>
      </c>
      <c r="AI16" s="33">
        <f t="shared" si="494"/>
        <v>859515.62491120351</v>
      </c>
      <c r="AJ16" s="33">
        <f t="shared" si="494"/>
        <v>859515.62491120351</v>
      </c>
      <c r="AK16" s="33">
        <f t="shared" si="494"/>
        <v>859515.62491120351</v>
      </c>
      <c r="AL16" s="33">
        <f t="shared" si="494"/>
        <v>859515.62491120351</v>
      </c>
      <c r="AM16" s="33">
        <f t="shared" si="494"/>
        <v>859515.62491120351</v>
      </c>
      <c r="AN16" s="33">
        <f t="shared" si="494"/>
        <v>859515.62491120351</v>
      </c>
      <c r="AO16" s="33">
        <f t="shared" si="494"/>
        <v>859515.62491120351</v>
      </c>
      <c r="AP16" s="33">
        <f t="shared" si="494"/>
        <v>859515.62491120351</v>
      </c>
      <c r="AQ16" s="33">
        <f t="shared" si="494"/>
        <v>859515.62491120351</v>
      </c>
      <c r="AR16" s="33">
        <f t="shared" si="494"/>
        <v>859515.62491120351</v>
      </c>
      <c r="AS16" s="33">
        <f t="shared" si="494"/>
        <v>859515.62491120351</v>
      </c>
      <c r="AT16" s="33">
        <f t="shared" si="494"/>
        <v>859515.62491120351</v>
      </c>
      <c r="AU16" s="33">
        <f t="shared" si="494"/>
        <v>859515.62491120351</v>
      </c>
      <c r="AV16" s="33">
        <f t="shared" si="494"/>
        <v>859515.62491120351</v>
      </c>
      <c r="AW16" s="33">
        <f t="shared" si="494"/>
        <v>859515.62491120351</v>
      </c>
      <c r="AX16" s="33">
        <f t="shared" si="494"/>
        <v>859515.62491120351</v>
      </c>
      <c r="AY16" s="33">
        <f t="shared" si="494"/>
        <v>859515.62491120351</v>
      </c>
      <c r="AZ16" s="33">
        <f t="shared" si="494"/>
        <v>859515.62491120351</v>
      </c>
      <c r="BA16" s="33">
        <f t="shared" si="494"/>
        <v>859515.62491120351</v>
      </c>
      <c r="BB16" s="33">
        <f t="shared" si="494"/>
        <v>859515.62491120351</v>
      </c>
      <c r="BC16" s="33">
        <f t="shared" si="494"/>
        <v>859515.62491120351</v>
      </c>
      <c r="BD16" s="33">
        <f t="shared" si="494"/>
        <v>859515.62491120351</v>
      </c>
      <c r="BE16" s="33">
        <f t="shared" si="494"/>
        <v>859515.62491120351</v>
      </c>
      <c r="BF16" s="33">
        <f t="shared" si="494"/>
        <v>859515.62491120351</v>
      </c>
      <c r="BG16" s="33">
        <f t="shared" si="494"/>
        <v>859515.62491120351</v>
      </c>
      <c r="BH16" s="33">
        <f t="shared" si="494"/>
        <v>859515.62491120351</v>
      </c>
      <c r="BI16" s="33">
        <f t="shared" si="494"/>
        <v>859515.62491120351</v>
      </c>
      <c r="BJ16" s="33">
        <f t="shared" si="494"/>
        <v>859515.62491120351</v>
      </c>
      <c r="BK16" s="33">
        <f t="shared" si="494"/>
        <v>859515.62491120351</v>
      </c>
      <c r="BL16" s="33">
        <f t="shared" si="494"/>
        <v>859515.62491120351</v>
      </c>
      <c r="BM16" s="33">
        <f t="shared" si="494"/>
        <v>859515.62491120351</v>
      </c>
      <c r="BN16" s="33">
        <f t="shared" si="494"/>
        <v>859515.62491120351</v>
      </c>
      <c r="BO16" s="33">
        <f t="shared" si="494"/>
        <v>859515.62491120351</v>
      </c>
      <c r="BP16" s="33">
        <f t="shared" si="494"/>
        <v>859515.62491120351</v>
      </c>
      <c r="BQ16" s="33">
        <f t="shared" si="494"/>
        <v>859515.62491120351</v>
      </c>
      <c r="BR16" s="33">
        <f t="shared" ref="BR16:EC16" si="495">_xlfn.IFS(BR$3&lt;$B$14,0,BR$3&lt;$B$19,PMT(($B$17/12),($B$18*12),-$B$16),BR$3&lt;=$JT$3,0)</f>
        <v>859515.62491120351</v>
      </c>
      <c r="BS16" s="33">
        <f t="shared" si="495"/>
        <v>859515.62491120351</v>
      </c>
      <c r="BT16" s="33">
        <f t="shared" si="495"/>
        <v>859515.62491120351</v>
      </c>
      <c r="BU16" s="33">
        <f t="shared" si="495"/>
        <v>859515.62491120351</v>
      </c>
      <c r="BV16" s="33">
        <f t="shared" si="495"/>
        <v>859515.62491120351</v>
      </c>
      <c r="BW16" s="33">
        <f t="shared" si="495"/>
        <v>859515.62491120351</v>
      </c>
      <c r="BX16" s="33">
        <f t="shared" si="495"/>
        <v>859515.62491120351</v>
      </c>
      <c r="BY16" s="33">
        <f t="shared" si="495"/>
        <v>859515.62491120351</v>
      </c>
      <c r="BZ16" s="33">
        <f t="shared" si="495"/>
        <v>859515.62491120351</v>
      </c>
      <c r="CA16" s="33">
        <f t="shared" si="495"/>
        <v>859515.62491120351</v>
      </c>
      <c r="CB16" s="33">
        <f t="shared" si="495"/>
        <v>859515.62491120351</v>
      </c>
      <c r="CC16" s="33">
        <f t="shared" si="495"/>
        <v>859515.62491120351</v>
      </c>
      <c r="CD16" s="33">
        <f t="shared" si="495"/>
        <v>859515.62491120351</v>
      </c>
      <c r="CE16" s="33">
        <f t="shared" si="495"/>
        <v>859515.62491120351</v>
      </c>
      <c r="CF16" s="33">
        <f t="shared" si="495"/>
        <v>859515.62491120351</v>
      </c>
      <c r="CG16" s="33">
        <f t="shared" si="495"/>
        <v>859515.62491120351</v>
      </c>
      <c r="CH16" s="33">
        <f t="shared" si="495"/>
        <v>859515.62491120351</v>
      </c>
      <c r="CI16" s="33">
        <f t="shared" si="495"/>
        <v>859515.62491120351</v>
      </c>
      <c r="CJ16" s="33">
        <f t="shared" si="495"/>
        <v>859515.62491120351</v>
      </c>
      <c r="CK16" s="33">
        <f t="shared" si="495"/>
        <v>859515.62491120351</v>
      </c>
      <c r="CL16" s="33">
        <f t="shared" si="495"/>
        <v>859515.62491120351</v>
      </c>
      <c r="CM16" s="33">
        <f t="shared" si="495"/>
        <v>859515.62491120351</v>
      </c>
      <c r="CN16" s="33">
        <f t="shared" si="495"/>
        <v>859515.62491120351</v>
      </c>
      <c r="CO16" s="33">
        <f t="shared" si="495"/>
        <v>859515.62491120351</v>
      </c>
      <c r="CP16" s="33">
        <f t="shared" si="495"/>
        <v>859515.62491120351</v>
      </c>
      <c r="CQ16" s="33">
        <f t="shared" si="495"/>
        <v>859515.62491120351</v>
      </c>
      <c r="CR16" s="33">
        <f t="shared" si="495"/>
        <v>859515.62491120351</v>
      </c>
      <c r="CS16" s="33">
        <f t="shared" si="495"/>
        <v>859515.62491120351</v>
      </c>
      <c r="CT16" s="33">
        <f t="shared" si="495"/>
        <v>859515.62491120351</v>
      </c>
      <c r="CU16" s="33">
        <f t="shared" si="495"/>
        <v>859515.62491120351</v>
      </c>
      <c r="CV16" s="33">
        <f t="shared" si="495"/>
        <v>859515.62491120351</v>
      </c>
      <c r="CW16" s="33">
        <f t="shared" si="495"/>
        <v>859515.62491120351</v>
      </c>
      <c r="CX16" s="33">
        <f t="shared" si="495"/>
        <v>859515.62491120351</v>
      </c>
      <c r="CY16" s="33">
        <f t="shared" si="495"/>
        <v>859515.62491120351</v>
      </c>
      <c r="CZ16" s="33">
        <f t="shared" si="495"/>
        <v>859515.62491120351</v>
      </c>
      <c r="DA16" s="33">
        <f t="shared" si="495"/>
        <v>859515.62491120351</v>
      </c>
      <c r="DB16" s="33">
        <f t="shared" si="495"/>
        <v>859515.62491120351</v>
      </c>
      <c r="DC16" s="33">
        <f t="shared" si="495"/>
        <v>859515.62491120351</v>
      </c>
      <c r="DD16" s="33">
        <f t="shared" si="495"/>
        <v>859515.62491120351</v>
      </c>
      <c r="DE16" s="33">
        <f t="shared" si="495"/>
        <v>859515.62491120351</v>
      </c>
      <c r="DF16" s="33">
        <f t="shared" si="495"/>
        <v>859515.62491120351</v>
      </c>
      <c r="DG16" s="33">
        <f t="shared" si="495"/>
        <v>859515.62491120351</v>
      </c>
      <c r="DH16" s="33">
        <f t="shared" si="495"/>
        <v>859515.62491120351</v>
      </c>
      <c r="DI16" s="33">
        <f t="shared" si="495"/>
        <v>859515.62491120351</v>
      </c>
      <c r="DJ16" s="33">
        <f t="shared" si="495"/>
        <v>859515.62491120351</v>
      </c>
      <c r="DK16" s="33">
        <f t="shared" si="495"/>
        <v>859515.62491120351</v>
      </c>
      <c r="DL16" s="33">
        <f t="shared" si="495"/>
        <v>859515.62491120351</v>
      </c>
      <c r="DM16" s="33">
        <f t="shared" si="495"/>
        <v>859515.62491120351</v>
      </c>
      <c r="DN16" s="33">
        <f t="shared" si="495"/>
        <v>859515.62491120351</v>
      </c>
      <c r="DO16" s="33">
        <f t="shared" si="495"/>
        <v>859515.62491120351</v>
      </c>
      <c r="DP16" s="33">
        <f t="shared" si="495"/>
        <v>859515.62491120351</v>
      </c>
      <c r="DQ16" s="33">
        <f t="shared" si="495"/>
        <v>859515.62491120351</v>
      </c>
      <c r="DR16" s="33">
        <f t="shared" si="495"/>
        <v>859515.62491120351</v>
      </c>
      <c r="DS16" s="33">
        <f t="shared" si="495"/>
        <v>859515.62491120351</v>
      </c>
      <c r="DT16" s="33">
        <f t="shared" si="495"/>
        <v>859515.62491120351</v>
      </c>
      <c r="DU16" s="33">
        <f t="shared" si="495"/>
        <v>859515.62491120351</v>
      </c>
      <c r="DV16" s="33">
        <f t="shared" si="495"/>
        <v>859515.62491120351</v>
      </c>
      <c r="DW16" s="33">
        <f t="shared" si="495"/>
        <v>859515.62491120351</v>
      </c>
      <c r="DX16" s="33">
        <f t="shared" si="495"/>
        <v>859515.62491120351</v>
      </c>
      <c r="DY16" s="33">
        <f t="shared" si="495"/>
        <v>859515.62491120351</v>
      </c>
      <c r="DZ16" s="33">
        <f t="shared" si="495"/>
        <v>859515.62491120351</v>
      </c>
      <c r="EA16" s="33">
        <f t="shared" si="495"/>
        <v>859515.62491120351</v>
      </c>
      <c r="EB16" s="33">
        <f t="shared" si="495"/>
        <v>859515.62491120351</v>
      </c>
      <c r="EC16" s="33">
        <f t="shared" si="495"/>
        <v>859515.62491120351</v>
      </c>
      <c r="ED16" s="33">
        <f t="shared" ref="ED16:GO16" si="496">_xlfn.IFS(ED$3&lt;$B$14,0,ED$3&lt;$B$19,PMT(($B$17/12),($B$18*12),-$B$16),ED$3&lt;=$JT$3,0)</f>
        <v>859515.62491120351</v>
      </c>
      <c r="EE16" s="33">
        <f t="shared" si="496"/>
        <v>859515.62491120351</v>
      </c>
      <c r="EF16" s="33">
        <f t="shared" si="496"/>
        <v>859515.62491120351</v>
      </c>
      <c r="EG16" s="33">
        <f t="shared" si="496"/>
        <v>859515.62491120351</v>
      </c>
      <c r="EH16" s="33">
        <f t="shared" si="496"/>
        <v>859515.62491120351</v>
      </c>
      <c r="EI16" s="33">
        <f t="shared" si="496"/>
        <v>859515.62491120351</v>
      </c>
      <c r="EJ16" s="33">
        <f t="shared" si="496"/>
        <v>859515.62491120351</v>
      </c>
      <c r="EK16" s="33">
        <f t="shared" si="496"/>
        <v>859515.62491120351</v>
      </c>
      <c r="EL16" s="33">
        <f t="shared" si="496"/>
        <v>859515.62491120351</v>
      </c>
      <c r="EM16" s="33">
        <f t="shared" si="496"/>
        <v>859515.62491120351</v>
      </c>
      <c r="EN16" s="33">
        <f t="shared" si="496"/>
        <v>859515.62491120351</v>
      </c>
      <c r="EO16" s="33">
        <f t="shared" si="496"/>
        <v>859515.62491120351</v>
      </c>
      <c r="EP16" s="33">
        <f t="shared" si="496"/>
        <v>859515.62491120351</v>
      </c>
      <c r="EQ16" s="33">
        <f t="shared" si="496"/>
        <v>859515.62491120351</v>
      </c>
      <c r="ER16" s="33">
        <f t="shared" si="496"/>
        <v>859515.62491120351</v>
      </c>
      <c r="ES16" s="33">
        <f t="shared" si="496"/>
        <v>859515.62491120351</v>
      </c>
      <c r="ET16" s="33">
        <f t="shared" si="496"/>
        <v>859515.62491120351</v>
      </c>
      <c r="EU16" s="33">
        <f t="shared" si="496"/>
        <v>859515.62491120351</v>
      </c>
      <c r="EV16" s="33">
        <f t="shared" si="496"/>
        <v>859515.62491120351</v>
      </c>
      <c r="EW16" s="33">
        <f t="shared" si="496"/>
        <v>859515.62491120351</v>
      </c>
      <c r="EX16" s="33">
        <f t="shared" si="496"/>
        <v>859515.62491120351</v>
      </c>
      <c r="EY16" s="33">
        <f t="shared" si="496"/>
        <v>859515.62491120351</v>
      </c>
      <c r="EZ16" s="33">
        <f t="shared" si="496"/>
        <v>859515.62491120351</v>
      </c>
      <c r="FA16" s="33">
        <f t="shared" si="496"/>
        <v>859515.62491120351</v>
      </c>
      <c r="FB16" s="33">
        <f t="shared" si="496"/>
        <v>859515.62491120351</v>
      </c>
      <c r="FC16" s="33">
        <f t="shared" si="496"/>
        <v>859515.62491120351</v>
      </c>
      <c r="FD16" s="33">
        <f t="shared" si="496"/>
        <v>859515.62491120351</v>
      </c>
      <c r="FE16" s="33">
        <f t="shared" si="496"/>
        <v>859515.62491120351</v>
      </c>
      <c r="FF16" s="33">
        <f t="shared" si="496"/>
        <v>859515.62491120351</v>
      </c>
      <c r="FG16" s="33">
        <f t="shared" si="496"/>
        <v>859515.62491120351</v>
      </c>
      <c r="FH16" s="33">
        <f t="shared" si="496"/>
        <v>859515.62491120351</v>
      </c>
      <c r="FI16" s="33">
        <f t="shared" si="496"/>
        <v>859515.62491120351</v>
      </c>
      <c r="FJ16" s="33">
        <f t="shared" si="496"/>
        <v>859515.62491120351</v>
      </c>
      <c r="FK16" s="33">
        <f t="shared" si="496"/>
        <v>859515.62491120351</v>
      </c>
      <c r="FL16" s="33">
        <f t="shared" si="496"/>
        <v>859515.62491120351</v>
      </c>
      <c r="FM16" s="33">
        <f t="shared" si="496"/>
        <v>859515.62491120351</v>
      </c>
      <c r="FN16" s="33">
        <f t="shared" si="496"/>
        <v>859515.62491120351</v>
      </c>
      <c r="FO16" s="33">
        <f t="shared" si="496"/>
        <v>859515.62491120351</v>
      </c>
      <c r="FP16" s="33">
        <f t="shared" si="496"/>
        <v>859515.62491120351</v>
      </c>
      <c r="FQ16" s="33">
        <f t="shared" si="496"/>
        <v>859515.62491120351</v>
      </c>
      <c r="FR16" s="33">
        <f t="shared" si="496"/>
        <v>859515.62491120351</v>
      </c>
      <c r="FS16" s="33">
        <f t="shared" si="496"/>
        <v>859515.62491120351</v>
      </c>
      <c r="FT16" s="33">
        <f t="shared" si="496"/>
        <v>859515.62491120351</v>
      </c>
      <c r="FU16" s="33">
        <f t="shared" si="496"/>
        <v>859515.62491120351</v>
      </c>
      <c r="FV16" s="33">
        <f t="shared" si="496"/>
        <v>859515.62491120351</v>
      </c>
      <c r="FW16" s="33">
        <f t="shared" si="496"/>
        <v>859515.62491120351</v>
      </c>
      <c r="FX16" s="33">
        <f t="shared" si="496"/>
        <v>859515.62491120351</v>
      </c>
      <c r="FY16" s="33">
        <f t="shared" si="496"/>
        <v>859515.62491120351</v>
      </c>
      <c r="FZ16" s="33">
        <f t="shared" si="496"/>
        <v>859515.62491120351</v>
      </c>
      <c r="GA16" s="33">
        <f t="shared" si="496"/>
        <v>859515.62491120351</v>
      </c>
      <c r="GB16" s="33">
        <f t="shared" si="496"/>
        <v>859515.62491120351</v>
      </c>
      <c r="GC16" s="33">
        <f t="shared" si="496"/>
        <v>859515.62491120351</v>
      </c>
      <c r="GD16" s="33">
        <f t="shared" si="496"/>
        <v>859515.62491120351</v>
      </c>
      <c r="GE16" s="33">
        <f t="shared" si="496"/>
        <v>859515.62491120351</v>
      </c>
      <c r="GF16" s="33">
        <f t="shared" si="496"/>
        <v>859515.62491120351</v>
      </c>
      <c r="GG16" s="33">
        <f t="shared" si="496"/>
        <v>859515.62491120351</v>
      </c>
      <c r="GH16" s="33">
        <f t="shared" si="496"/>
        <v>859515.62491120351</v>
      </c>
      <c r="GI16" s="33">
        <f t="shared" si="496"/>
        <v>859515.62491120351</v>
      </c>
      <c r="GJ16" s="33">
        <f t="shared" si="496"/>
        <v>859515.62491120351</v>
      </c>
      <c r="GK16" s="33">
        <f t="shared" si="496"/>
        <v>859515.62491120351</v>
      </c>
      <c r="GL16" s="33">
        <f t="shared" si="496"/>
        <v>859515.62491120351</v>
      </c>
      <c r="GM16" s="33">
        <f t="shared" si="496"/>
        <v>859515.62491120351</v>
      </c>
      <c r="GN16" s="33">
        <f t="shared" si="496"/>
        <v>859515.62491120351</v>
      </c>
      <c r="GO16" s="33">
        <f t="shared" si="496"/>
        <v>859515.62491120351</v>
      </c>
      <c r="GP16" s="33">
        <f t="shared" ref="GP16:JA16" si="497">_xlfn.IFS(GP$3&lt;$B$14,0,GP$3&lt;$B$19,PMT(($B$17/12),($B$18*12),-$B$16),GP$3&lt;=$JT$3,0)</f>
        <v>859515.62491120351</v>
      </c>
      <c r="GQ16" s="33">
        <f t="shared" si="497"/>
        <v>859515.62491120351</v>
      </c>
      <c r="GR16" s="33">
        <f t="shared" si="497"/>
        <v>0</v>
      </c>
      <c r="GS16" s="33">
        <f t="shared" si="497"/>
        <v>0</v>
      </c>
      <c r="GT16" s="33">
        <f t="shared" si="497"/>
        <v>0</v>
      </c>
      <c r="GU16" s="33">
        <f t="shared" si="497"/>
        <v>0</v>
      </c>
      <c r="GV16" s="33">
        <f t="shared" si="497"/>
        <v>0</v>
      </c>
      <c r="GW16" s="33">
        <f t="shared" si="497"/>
        <v>0</v>
      </c>
      <c r="GX16" s="33">
        <f t="shared" si="497"/>
        <v>0</v>
      </c>
      <c r="GY16" s="33">
        <f t="shared" si="497"/>
        <v>0</v>
      </c>
      <c r="GZ16" s="33">
        <f t="shared" si="497"/>
        <v>0</v>
      </c>
      <c r="HA16" s="33">
        <f t="shared" si="497"/>
        <v>0</v>
      </c>
      <c r="HB16" s="33">
        <f t="shared" si="497"/>
        <v>0</v>
      </c>
      <c r="HC16" s="33">
        <f t="shared" si="497"/>
        <v>0</v>
      </c>
      <c r="HD16" s="33">
        <f t="shared" si="497"/>
        <v>0</v>
      </c>
      <c r="HE16" s="33">
        <f t="shared" si="497"/>
        <v>0</v>
      </c>
      <c r="HF16" s="33">
        <f t="shared" si="497"/>
        <v>0</v>
      </c>
      <c r="HG16" s="33">
        <f t="shared" si="497"/>
        <v>0</v>
      </c>
      <c r="HH16" s="33">
        <f t="shared" si="497"/>
        <v>0</v>
      </c>
      <c r="HI16" s="33">
        <f t="shared" si="497"/>
        <v>0</v>
      </c>
      <c r="HJ16" s="33">
        <f t="shared" si="497"/>
        <v>0</v>
      </c>
      <c r="HK16" s="33">
        <f t="shared" si="497"/>
        <v>0</v>
      </c>
      <c r="HL16" s="33">
        <f t="shared" si="497"/>
        <v>0</v>
      </c>
      <c r="HM16" s="33">
        <f t="shared" si="497"/>
        <v>0</v>
      </c>
      <c r="HN16" s="33">
        <f t="shared" si="497"/>
        <v>0</v>
      </c>
      <c r="HO16" s="33">
        <f t="shared" si="497"/>
        <v>0</v>
      </c>
      <c r="HP16" s="33">
        <f t="shared" si="497"/>
        <v>0</v>
      </c>
      <c r="HQ16" s="33">
        <f t="shared" si="497"/>
        <v>0</v>
      </c>
      <c r="HR16" s="33">
        <f t="shared" si="497"/>
        <v>0</v>
      </c>
      <c r="HS16" s="33">
        <f t="shared" si="497"/>
        <v>0</v>
      </c>
      <c r="HT16" s="33">
        <f t="shared" si="497"/>
        <v>0</v>
      </c>
      <c r="HU16" s="33">
        <f t="shared" si="497"/>
        <v>0</v>
      </c>
      <c r="HV16" s="33">
        <f t="shared" si="497"/>
        <v>0</v>
      </c>
      <c r="HW16" s="33">
        <f t="shared" si="497"/>
        <v>0</v>
      </c>
      <c r="HX16" s="33">
        <f t="shared" si="497"/>
        <v>0</v>
      </c>
      <c r="HY16" s="33">
        <f t="shared" si="497"/>
        <v>0</v>
      </c>
      <c r="HZ16" s="33">
        <f t="shared" si="497"/>
        <v>0</v>
      </c>
      <c r="IA16" s="33">
        <f t="shared" si="497"/>
        <v>0</v>
      </c>
      <c r="IB16" s="33">
        <f t="shared" si="497"/>
        <v>0</v>
      </c>
      <c r="IC16" s="33">
        <f t="shared" si="497"/>
        <v>0</v>
      </c>
      <c r="ID16" s="33">
        <f t="shared" si="497"/>
        <v>0</v>
      </c>
      <c r="IE16" s="33">
        <f t="shared" si="497"/>
        <v>0</v>
      </c>
      <c r="IF16" s="33">
        <f t="shared" si="497"/>
        <v>0</v>
      </c>
      <c r="IG16" s="33">
        <f t="shared" si="497"/>
        <v>0</v>
      </c>
      <c r="IH16" s="33">
        <f t="shared" si="497"/>
        <v>0</v>
      </c>
      <c r="II16" s="33">
        <f t="shared" si="497"/>
        <v>0</v>
      </c>
      <c r="IJ16" s="33">
        <f t="shared" si="497"/>
        <v>0</v>
      </c>
      <c r="IK16" s="33">
        <f t="shared" si="497"/>
        <v>0</v>
      </c>
      <c r="IL16" s="33">
        <f t="shared" si="497"/>
        <v>0</v>
      </c>
      <c r="IM16" s="33">
        <f t="shared" si="497"/>
        <v>0</v>
      </c>
      <c r="IN16" s="33">
        <f t="shared" si="497"/>
        <v>0</v>
      </c>
      <c r="IO16" s="33">
        <f t="shared" si="497"/>
        <v>0</v>
      </c>
      <c r="IP16" s="33">
        <f t="shared" si="497"/>
        <v>0</v>
      </c>
      <c r="IQ16" s="33">
        <f t="shared" si="497"/>
        <v>0</v>
      </c>
      <c r="IR16" s="33">
        <f t="shared" si="497"/>
        <v>0</v>
      </c>
      <c r="IS16" s="33">
        <f t="shared" si="497"/>
        <v>0</v>
      </c>
      <c r="IT16" s="33">
        <f t="shared" si="497"/>
        <v>0</v>
      </c>
      <c r="IU16" s="33">
        <f t="shared" si="497"/>
        <v>0</v>
      </c>
      <c r="IV16" s="33">
        <f t="shared" si="497"/>
        <v>0</v>
      </c>
      <c r="IW16" s="33">
        <f t="shared" si="497"/>
        <v>0</v>
      </c>
      <c r="IX16" s="33">
        <f t="shared" si="497"/>
        <v>0</v>
      </c>
      <c r="IY16" s="33">
        <f t="shared" si="497"/>
        <v>0</v>
      </c>
      <c r="IZ16" s="33">
        <f t="shared" si="497"/>
        <v>0</v>
      </c>
      <c r="JA16" s="33">
        <f t="shared" si="497"/>
        <v>0</v>
      </c>
      <c r="JB16" s="33">
        <f t="shared" ref="JB16:JT16" si="498">_xlfn.IFS(JB$3&lt;$B$14,0,JB$3&lt;$B$19,PMT(($B$17/12),($B$18*12),-$B$16),JB$3&lt;=$JT$3,0)</f>
        <v>0</v>
      </c>
      <c r="JC16" s="33">
        <f t="shared" si="498"/>
        <v>0</v>
      </c>
      <c r="JD16" s="33">
        <f t="shared" si="498"/>
        <v>0</v>
      </c>
      <c r="JE16" s="33">
        <f t="shared" si="498"/>
        <v>0</v>
      </c>
      <c r="JF16" s="33">
        <f t="shared" si="498"/>
        <v>0</v>
      </c>
      <c r="JG16" s="33">
        <f t="shared" si="498"/>
        <v>0</v>
      </c>
      <c r="JH16" s="33">
        <f t="shared" si="498"/>
        <v>0</v>
      </c>
      <c r="JI16" s="33">
        <f t="shared" si="498"/>
        <v>0</v>
      </c>
      <c r="JJ16" s="33">
        <f t="shared" si="498"/>
        <v>0</v>
      </c>
      <c r="JK16" s="33">
        <f t="shared" si="498"/>
        <v>0</v>
      </c>
      <c r="JL16" s="33">
        <f t="shared" si="498"/>
        <v>0</v>
      </c>
      <c r="JM16" s="33">
        <f t="shared" si="498"/>
        <v>0</v>
      </c>
      <c r="JN16" s="33">
        <f t="shared" si="498"/>
        <v>0</v>
      </c>
      <c r="JO16" s="33">
        <f t="shared" si="498"/>
        <v>0</v>
      </c>
      <c r="JP16" s="33">
        <f t="shared" si="498"/>
        <v>0</v>
      </c>
      <c r="JQ16" s="33">
        <f t="shared" si="498"/>
        <v>0</v>
      </c>
      <c r="JR16" s="33">
        <f t="shared" si="498"/>
        <v>0</v>
      </c>
      <c r="JS16" s="33">
        <f t="shared" si="498"/>
        <v>0</v>
      </c>
      <c r="JT16" s="33">
        <f t="shared" si="498"/>
        <v>0</v>
      </c>
    </row>
    <row r="17" spans="1:280" x14ac:dyDescent="0.2">
      <c r="A17" s="1" t="s">
        <v>105</v>
      </c>
      <c r="B17" s="205">
        <v>7.0000000000000007E-2</v>
      </c>
      <c r="D17" s="3" t="s">
        <v>109</v>
      </c>
      <c r="E17" s="33">
        <f t="shared" ref="E17:AC17" si="499">E14*($B$17/12)</f>
        <v>0</v>
      </c>
      <c r="F17" s="33">
        <f t="shared" si="499"/>
        <v>0</v>
      </c>
      <c r="G17" s="33">
        <f t="shared" si="499"/>
        <v>0</v>
      </c>
      <c r="H17" s="33">
        <f t="shared" si="499"/>
        <v>0</v>
      </c>
      <c r="I17" s="33">
        <f t="shared" si="499"/>
        <v>0</v>
      </c>
      <c r="J17" s="33">
        <f t="shared" si="499"/>
        <v>0</v>
      </c>
      <c r="K17" s="33">
        <f t="shared" si="499"/>
        <v>0</v>
      </c>
      <c r="L17" s="33">
        <f t="shared" si="499"/>
        <v>0</v>
      </c>
      <c r="M17" s="33">
        <f t="shared" si="499"/>
        <v>0</v>
      </c>
      <c r="N17" s="33">
        <f t="shared" si="499"/>
        <v>0</v>
      </c>
      <c r="O17" s="33">
        <f t="shared" si="499"/>
        <v>0</v>
      </c>
      <c r="P17" s="33">
        <f t="shared" si="499"/>
        <v>0</v>
      </c>
      <c r="Q17" s="33">
        <f t="shared" si="499"/>
        <v>0</v>
      </c>
      <c r="R17" s="33">
        <f t="shared" si="499"/>
        <v>0</v>
      </c>
      <c r="S17" s="33">
        <f t="shared" si="499"/>
        <v>0</v>
      </c>
      <c r="T17" s="33">
        <f t="shared" si="499"/>
        <v>557819.69792298018</v>
      </c>
      <c r="U17" s="33">
        <f t="shared" si="499"/>
        <v>556059.80501554883</v>
      </c>
      <c r="V17" s="33">
        <f t="shared" si="499"/>
        <v>554289.6460661575</v>
      </c>
      <c r="W17" s="33">
        <f t="shared" si="499"/>
        <v>552509.16118956136</v>
      </c>
      <c r="X17" s="33">
        <f t="shared" si="499"/>
        <v>550718.29015118512</v>
      </c>
      <c r="Y17" s="33">
        <f t="shared" si="499"/>
        <v>548916.97236508492</v>
      </c>
      <c r="Z17" s="33">
        <f t="shared" si="499"/>
        <v>547105.14689189929</v>
      </c>
      <c r="AA17" s="33">
        <f t="shared" si="499"/>
        <v>545282.75243678666</v>
      </c>
      <c r="AB17" s="33">
        <f t="shared" si="499"/>
        <v>543449.72734735254</v>
      </c>
      <c r="AC17" s="33">
        <f t="shared" si="499"/>
        <v>541606.00961156352</v>
      </c>
      <c r="AD17" s="33">
        <f t="shared" ref="AD17:CJ17" si="500">AD14*($B$17/12)</f>
        <v>539751.53685564885</v>
      </c>
      <c r="AE17" s="33">
        <f t="shared" si="500"/>
        <v>537886.24634199147</v>
      </c>
      <c r="AF17" s="33">
        <f t="shared" si="500"/>
        <v>536010.07496700448</v>
      </c>
      <c r="AG17" s="33">
        <f t="shared" si="500"/>
        <v>534122.95925899665</v>
      </c>
      <c r="AH17" s="33">
        <f t="shared" si="500"/>
        <v>532224.83537602553</v>
      </c>
      <c r="AI17" s="33">
        <f t="shared" si="500"/>
        <v>530315.63910373696</v>
      </c>
      <c r="AJ17" s="33">
        <f t="shared" si="500"/>
        <v>528395.30585319339</v>
      </c>
      <c r="AK17" s="33">
        <f t="shared" si="500"/>
        <v>526463.77065868827</v>
      </c>
      <c r="AL17" s="33">
        <f t="shared" si="500"/>
        <v>524520.96817554859</v>
      </c>
      <c r="AM17" s="33">
        <f t="shared" si="500"/>
        <v>522566.83267792396</v>
      </c>
      <c r="AN17" s="33">
        <f t="shared" si="500"/>
        <v>520601.29805656319</v>
      </c>
      <c r="AO17" s="33">
        <f t="shared" si="500"/>
        <v>518624.29781657772</v>
      </c>
      <c r="AP17" s="33">
        <f t="shared" si="500"/>
        <v>516635.76507519238</v>
      </c>
      <c r="AQ17" s="33">
        <f t="shared" si="500"/>
        <v>514635.63255948236</v>
      </c>
      <c r="AR17" s="33">
        <f t="shared" si="500"/>
        <v>512623.83260409726</v>
      </c>
      <c r="AS17" s="33">
        <f t="shared" si="500"/>
        <v>510600.29714897246</v>
      </c>
      <c r="AT17" s="33">
        <f t="shared" si="500"/>
        <v>508564.9577370261</v>
      </c>
      <c r="AU17" s="33">
        <f t="shared" si="500"/>
        <v>506517.74551184342</v>
      </c>
      <c r="AV17" s="33">
        <f t="shared" si="500"/>
        <v>504458.59121534717</v>
      </c>
      <c r="AW17" s="33">
        <f t="shared" si="500"/>
        <v>502387.42518545466</v>
      </c>
      <c r="AX17" s="33">
        <f t="shared" si="500"/>
        <v>500304.17735372111</v>
      </c>
      <c r="AY17" s="33">
        <f t="shared" si="500"/>
        <v>498208.77724296914</v>
      </c>
      <c r="AZ17" s="33">
        <f t="shared" si="500"/>
        <v>496101.15396490449</v>
      </c>
      <c r="BA17" s="33">
        <f t="shared" si="500"/>
        <v>493981.23621771776</v>
      </c>
      <c r="BB17" s="33">
        <f t="shared" si="500"/>
        <v>491848.95228367241</v>
      </c>
      <c r="BC17" s="33">
        <f t="shared" si="500"/>
        <v>489704.23002667847</v>
      </c>
      <c r="BD17" s="33">
        <f t="shared" si="500"/>
        <v>487546.99688985205</v>
      </c>
      <c r="BE17" s="33">
        <f t="shared" si="500"/>
        <v>485377.17989306088</v>
      </c>
      <c r="BF17" s="33">
        <f t="shared" si="500"/>
        <v>483194.70563045505</v>
      </c>
      <c r="BG17" s="33">
        <f t="shared" si="500"/>
        <v>480999.500267984</v>
      </c>
      <c r="BH17" s="33">
        <f t="shared" si="500"/>
        <v>478791.48954089853</v>
      </c>
      <c r="BI17" s="33">
        <f t="shared" si="500"/>
        <v>476570.59875123843</v>
      </c>
      <c r="BJ17" s="33">
        <f t="shared" si="500"/>
        <v>474336.75276530528</v>
      </c>
      <c r="BK17" s="33">
        <f t="shared" si="500"/>
        <v>472089.87601112091</v>
      </c>
      <c r="BL17" s="33">
        <f t="shared" si="500"/>
        <v>469829.89247587044</v>
      </c>
      <c r="BM17" s="33">
        <f t="shared" si="500"/>
        <v>467556.725703331</v>
      </c>
      <c r="BN17" s="33">
        <f t="shared" si="500"/>
        <v>465270.29879128502</v>
      </c>
      <c r="BO17" s="33">
        <f t="shared" si="500"/>
        <v>462970.5343889189</v>
      </c>
      <c r="BP17" s="33">
        <f t="shared" si="500"/>
        <v>460657.35469420551</v>
      </c>
      <c r="BQ17" s="33">
        <f t="shared" si="500"/>
        <v>458330.68145127303</v>
      </c>
      <c r="BR17" s="33">
        <f t="shared" si="500"/>
        <v>455990.43594775675</v>
      </c>
      <c r="BS17" s="33">
        <f t="shared" si="500"/>
        <v>453636.53901213669</v>
      </c>
      <c r="BT17" s="33">
        <f t="shared" si="500"/>
        <v>451268.91101105878</v>
      </c>
      <c r="BU17" s="33">
        <f t="shared" si="500"/>
        <v>448887.47184664122</v>
      </c>
      <c r="BV17" s="33">
        <f t="shared" si="500"/>
        <v>446492.14095376461</v>
      </c>
      <c r="BW17" s="33">
        <f t="shared" si="500"/>
        <v>444082.83729734621</v>
      </c>
      <c r="BX17" s="33">
        <f t="shared" si="500"/>
        <v>441659.47936959873</v>
      </c>
      <c r="BY17" s="33">
        <f t="shared" si="500"/>
        <v>439221.98518727266</v>
      </c>
      <c r="BZ17" s="33">
        <f t="shared" si="500"/>
        <v>436770.2722888831</v>
      </c>
      <c r="CA17" s="33">
        <f t="shared" si="500"/>
        <v>434304.25773191958</v>
      </c>
      <c r="CB17" s="33">
        <f t="shared" si="500"/>
        <v>431823.85809004039</v>
      </c>
      <c r="CC17" s="33">
        <f t="shared" si="500"/>
        <v>429328.98945025029</v>
      </c>
      <c r="CD17" s="33">
        <f t="shared" si="500"/>
        <v>426819.56741006137</v>
      </c>
      <c r="CE17" s="33">
        <f t="shared" si="500"/>
        <v>424295.5070746381</v>
      </c>
      <c r="CF17" s="33">
        <f t="shared" si="500"/>
        <v>421756.7230539248</v>
      </c>
      <c r="CG17" s="33">
        <f t="shared" si="500"/>
        <v>419203.12945975736</v>
      </c>
      <c r="CH17" s="33">
        <f t="shared" si="500"/>
        <v>416634.63990295725</v>
      </c>
      <c r="CI17" s="33">
        <f t="shared" si="500"/>
        <v>414051.16749040916</v>
      </c>
      <c r="CJ17" s="33">
        <f t="shared" si="500"/>
        <v>411452.62482212123</v>
      </c>
      <c r="CK17" s="33">
        <f t="shared" ref="CK17:EV17" si="501">CK14*($B$17/12)</f>
        <v>408838.92398826825</v>
      </c>
      <c r="CL17" s="33">
        <f t="shared" si="501"/>
        <v>406209.97656621778</v>
      </c>
      <c r="CM17" s="33">
        <f t="shared" si="501"/>
        <v>403565.69361753872</v>
      </c>
      <c r="CN17" s="33">
        <f t="shared" si="501"/>
        <v>400905.98568499234</v>
      </c>
      <c r="CO17" s="33">
        <f t="shared" si="501"/>
        <v>398230.76278950612</v>
      </c>
      <c r="CP17" s="33">
        <f t="shared" si="501"/>
        <v>395539.93442712951</v>
      </c>
      <c r="CQ17" s="33">
        <f t="shared" si="501"/>
        <v>392833.4095659724</v>
      </c>
      <c r="CR17" s="33">
        <f t="shared" si="501"/>
        <v>390111.09664312523</v>
      </c>
      <c r="CS17" s="33">
        <f t="shared" si="501"/>
        <v>387372.90356156143</v>
      </c>
      <c r="CT17" s="33">
        <f t="shared" si="501"/>
        <v>384618.73768702184</v>
      </c>
      <c r="CU17" s="33">
        <f t="shared" si="501"/>
        <v>381848.50584488077</v>
      </c>
      <c r="CV17" s="33">
        <f t="shared" si="501"/>
        <v>379062.11431699392</v>
      </c>
      <c r="CW17" s="33">
        <f t="shared" si="501"/>
        <v>376259.46883852768</v>
      </c>
      <c r="CX17" s="33">
        <f t="shared" si="501"/>
        <v>373440.47459477041</v>
      </c>
      <c r="CY17" s="33">
        <f t="shared" si="501"/>
        <v>370605.03621792456</v>
      </c>
      <c r="CZ17" s="33">
        <f t="shared" si="501"/>
        <v>367753.05778388045</v>
      </c>
      <c r="DA17" s="33">
        <f t="shared" si="501"/>
        <v>364884.44280897104</v>
      </c>
      <c r="DB17" s="33">
        <f t="shared" si="501"/>
        <v>361999.09424670803</v>
      </c>
      <c r="DC17" s="33">
        <f t="shared" si="501"/>
        <v>359096.91448449844</v>
      </c>
      <c r="DD17" s="33">
        <f t="shared" si="501"/>
        <v>356177.80534034269</v>
      </c>
      <c r="DE17" s="33">
        <f t="shared" si="501"/>
        <v>353241.66805951268</v>
      </c>
      <c r="DF17" s="33">
        <f t="shared" si="501"/>
        <v>350288.40331121115</v>
      </c>
      <c r="DG17" s="33">
        <f t="shared" si="501"/>
        <v>347317.91118521115</v>
      </c>
      <c r="DH17" s="33">
        <f t="shared" si="501"/>
        <v>344330.09118847619</v>
      </c>
      <c r="DI17" s="33">
        <f t="shared" si="501"/>
        <v>341324.84224176029</v>
      </c>
      <c r="DJ17" s="33">
        <f t="shared" si="501"/>
        <v>338302.06267618854</v>
      </c>
      <c r="DK17" s="33">
        <f t="shared" si="501"/>
        <v>335261.65022981766</v>
      </c>
      <c r="DL17" s="33">
        <f t="shared" si="501"/>
        <v>332203.50204417622</v>
      </c>
      <c r="DM17" s="33">
        <f t="shared" si="501"/>
        <v>329127.51466078527</v>
      </c>
      <c r="DN17" s="33">
        <f t="shared" si="501"/>
        <v>326033.58401765779</v>
      </c>
      <c r="DO17" s="33">
        <f t="shared" si="501"/>
        <v>322921.60544577875</v>
      </c>
      <c r="DP17" s="33">
        <f t="shared" si="501"/>
        <v>319791.4736655638</v>
      </c>
      <c r="DQ17" s="33">
        <f t="shared" si="501"/>
        <v>316643.08278329758</v>
      </c>
      <c r="DR17" s="33">
        <f t="shared" si="501"/>
        <v>313476.32628755143</v>
      </c>
      <c r="DS17" s="33">
        <f t="shared" si="501"/>
        <v>310291.09704558016</v>
      </c>
      <c r="DT17" s="33">
        <f t="shared" si="501"/>
        <v>307087.28729969735</v>
      </c>
      <c r="DU17" s="33">
        <f t="shared" si="501"/>
        <v>303864.7886636302</v>
      </c>
      <c r="DV17" s="33">
        <f t="shared" si="501"/>
        <v>300623.49211885274</v>
      </c>
      <c r="DW17" s="33">
        <f t="shared" si="501"/>
        <v>297363.28801089735</v>
      </c>
      <c r="DX17" s="33">
        <f t="shared" si="501"/>
        <v>294084.06604564551</v>
      </c>
      <c r="DY17" s="33">
        <f t="shared" si="501"/>
        <v>290785.71528559644</v>
      </c>
      <c r="DZ17" s="33">
        <f t="shared" si="501"/>
        <v>287468.12414611375</v>
      </c>
      <c r="EA17" s="33">
        <f t="shared" si="501"/>
        <v>284131.18039165071</v>
      </c>
      <c r="EB17" s="33">
        <f t="shared" si="501"/>
        <v>280774.77113195334</v>
      </c>
      <c r="EC17" s="33">
        <f t="shared" si="501"/>
        <v>277398.78281824104</v>
      </c>
      <c r="ED17" s="33">
        <f t="shared" si="501"/>
        <v>274003.10123936547</v>
      </c>
      <c r="EE17" s="33">
        <f t="shared" si="501"/>
        <v>270587.61151794641</v>
      </c>
      <c r="EF17" s="33">
        <f t="shared" si="501"/>
        <v>267152.19810648571</v>
      </c>
      <c r="EG17" s="33">
        <f t="shared" si="501"/>
        <v>263696.74478345818</v>
      </c>
      <c r="EH17" s="33">
        <f t="shared" si="501"/>
        <v>260221.1346493797</v>
      </c>
      <c r="EI17" s="33">
        <f t="shared" si="501"/>
        <v>256725.25012285239</v>
      </c>
      <c r="EJ17" s="33">
        <f t="shared" si="501"/>
        <v>253208.972936587</v>
      </c>
      <c r="EK17" s="33">
        <f t="shared" si="501"/>
        <v>249672.18413340172</v>
      </c>
      <c r="EL17" s="33">
        <f t="shared" si="501"/>
        <v>246114.76406219791</v>
      </c>
      <c r="EM17" s="33">
        <f t="shared" si="501"/>
        <v>242536.59237391202</v>
      </c>
      <c r="EN17" s="33">
        <f t="shared" si="501"/>
        <v>238937.5480174445</v>
      </c>
      <c r="EO17" s="33">
        <f t="shared" si="501"/>
        <v>235317.50923556421</v>
      </c>
      <c r="EP17" s="33">
        <f t="shared" si="501"/>
        <v>231676.35356078963</v>
      </c>
      <c r="EQ17" s="33">
        <f t="shared" si="501"/>
        <v>228013.95781124555</v>
      </c>
      <c r="ER17" s="33">
        <f t="shared" si="501"/>
        <v>224330.1980864958</v>
      </c>
      <c r="ES17" s="33">
        <f t="shared" si="501"/>
        <v>220624.94976335164</v>
      </c>
      <c r="ET17" s="33">
        <f t="shared" si="501"/>
        <v>216898.08749165584</v>
      </c>
      <c r="EU17" s="33">
        <f t="shared" si="501"/>
        <v>213149.48519004177</v>
      </c>
      <c r="EV17" s="33">
        <f t="shared" si="501"/>
        <v>209379.01604166834</v>
      </c>
      <c r="EW17" s="33">
        <f t="shared" ref="EW17:HH17" si="502">EW14*($B$17/12)</f>
        <v>205586.55248992937</v>
      </c>
      <c r="EX17" s="33">
        <f t="shared" si="502"/>
        <v>201771.96623413858</v>
      </c>
      <c r="EY17" s="33">
        <f t="shared" si="502"/>
        <v>197935.12822518905</v>
      </c>
      <c r="EZ17" s="33">
        <f t="shared" si="502"/>
        <v>194075.90866118731</v>
      </c>
      <c r="FA17" s="33">
        <f t="shared" si="502"/>
        <v>190194.17698306221</v>
      </c>
      <c r="FB17" s="33">
        <f t="shared" si="502"/>
        <v>186289.80187014805</v>
      </c>
      <c r="FC17" s="33">
        <f t="shared" si="502"/>
        <v>182362.65123574188</v>
      </c>
      <c r="FD17" s="33">
        <f t="shared" si="502"/>
        <v>178412.59222263502</v>
      </c>
      <c r="FE17" s="33">
        <f t="shared" si="502"/>
        <v>174439.49119861834</v>
      </c>
      <c r="FF17" s="33">
        <f t="shared" si="502"/>
        <v>170443.21375196159</v>
      </c>
      <c r="FG17" s="33">
        <f t="shared" si="502"/>
        <v>166423.62468686601</v>
      </c>
      <c r="FH17" s="33">
        <f t="shared" si="502"/>
        <v>162380.5880188907</v>
      </c>
      <c r="FI17" s="33">
        <f t="shared" si="502"/>
        <v>158313.96697035222</v>
      </c>
      <c r="FJ17" s="33">
        <f t="shared" si="502"/>
        <v>154223.62396569728</v>
      </c>
      <c r="FK17" s="33">
        <f t="shared" si="502"/>
        <v>150109.4206268485</v>
      </c>
      <c r="FL17" s="33">
        <f t="shared" si="502"/>
        <v>145971.21776852309</v>
      </c>
      <c r="FM17" s="33">
        <f t="shared" si="502"/>
        <v>141808.87539352413</v>
      </c>
      <c r="FN17" s="33">
        <f t="shared" si="502"/>
        <v>137622.25268800432</v>
      </c>
      <c r="FO17" s="33">
        <f t="shared" si="502"/>
        <v>133411.20801670232</v>
      </c>
      <c r="FP17" s="33">
        <f t="shared" si="502"/>
        <v>129175.59891815107</v>
      </c>
      <c r="FQ17" s="33">
        <f t="shared" si="502"/>
        <v>124915.28209985825</v>
      </c>
      <c r="FR17" s="33">
        <f t="shared" si="502"/>
        <v>120630.11343345873</v>
      </c>
      <c r="FS17" s="33">
        <f t="shared" si="502"/>
        <v>116319.94794983855</v>
      </c>
      <c r="FT17" s="33">
        <f t="shared" si="502"/>
        <v>111984.63983423058</v>
      </c>
      <c r="FU17" s="33">
        <f t="shared" si="502"/>
        <v>107624.04242128159</v>
      </c>
      <c r="FV17" s="33">
        <f t="shared" si="502"/>
        <v>103238.00819009036</v>
      </c>
      <c r="FW17" s="33">
        <f t="shared" si="502"/>
        <v>98826.38875921721</v>
      </c>
      <c r="FX17" s="33">
        <f t="shared" si="502"/>
        <v>94389.03488166396</v>
      </c>
      <c r="FY17" s="33">
        <f t="shared" si="502"/>
        <v>89925.796439824975</v>
      </c>
      <c r="FZ17" s="33">
        <f t="shared" si="502"/>
        <v>85436.522440408589</v>
      </c>
      <c r="GA17" s="33">
        <f t="shared" si="502"/>
        <v>80921.061009328958</v>
      </c>
      <c r="GB17" s="33">
        <f t="shared" si="502"/>
        <v>76379.259386568025</v>
      </c>
      <c r="GC17" s="33">
        <f t="shared" si="502"/>
        <v>71810.963921007657</v>
      </c>
      <c r="GD17" s="33">
        <f t="shared" si="502"/>
        <v>67216.020065231511</v>
      </c>
      <c r="GE17" s="33">
        <f t="shared" si="502"/>
        <v>62594.272370296669</v>
      </c>
      <c r="GF17" s="33">
        <f t="shared" si="502"/>
        <v>57945.564480474713</v>
      </c>
      <c r="GG17" s="33">
        <f t="shared" si="502"/>
        <v>53269.739127962122</v>
      </c>
      <c r="GH17" s="33">
        <f t="shared" si="502"/>
        <v>48566.638127559883</v>
      </c>
      <c r="GI17" s="33">
        <f t="shared" si="502"/>
        <v>43836.102371321969</v>
      </c>
      <c r="GJ17" s="33">
        <f t="shared" si="502"/>
        <v>39077.971823172658</v>
      </c>
      <c r="GK17" s="33">
        <f t="shared" si="502"/>
        <v>34292.085513492471</v>
      </c>
      <c r="GL17" s="33">
        <f t="shared" si="502"/>
        <v>29478.281533672493</v>
      </c>
      <c r="GM17" s="33">
        <f t="shared" si="502"/>
        <v>24636.397030636897</v>
      </c>
      <c r="GN17" s="33">
        <f t="shared" si="502"/>
        <v>19766.268201333591</v>
      </c>
      <c r="GO17" s="33">
        <f t="shared" si="502"/>
        <v>14867.730287192682</v>
      </c>
      <c r="GP17" s="33">
        <f t="shared" si="502"/>
        <v>9940.6175685526214</v>
      </c>
      <c r="GQ17" s="33">
        <f t="shared" si="502"/>
        <v>4984.7633590538235</v>
      </c>
      <c r="GR17" s="33">
        <f t="shared" si="502"/>
        <v>0</v>
      </c>
      <c r="GS17" s="33">
        <f t="shared" si="502"/>
        <v>0</v>
      </c>
      <c r="GT17" s="33">
        <f t="shared" si="502"/>
        <v>0</v>
      </c>
      <c r="GU17" s="33">
        <f t="shared" si="502"/>
        <v>0</v>
      </c>
      <c r="GV17" s="33">
        <f t="shared" si="502"/>
        <v>0</v>
      </c>
      <c r="GW17" s="33">
        <f t="shared" si="502"/>
        <v>0</v>
      </c>
      <c r="GX17" s="33">
        <f t="shared" si="502"/>
        <v>0</v>
      </c>
      <c r="GY17" s="33">
        <f t="shared" si="502"/>
        <v>0</v>
      </c>
      <c r="GZ17" s="33">
        <f t="shared" si="502"/>
        <v>0</v>
      </c>
      <c r="HA17" s="33">
        <f t="shared" si="502"/>
        <v>0</v>
      </c>
      <c r="HB17" s="33">
        <f t="shared" si="502"/>
        <v>0</v>
      </c>
      <c r="HC17" s="33">
        <f t="shared" si="502"/>
        <v>0</v>
      </c>
      <c r="HD17" s="33">
        <f t="shared" si="502"/>
        <v>0</v>
      </c>
      <c r="HE17" s="33">
        <f t="shared" si="502"/>
        <v>0</v>
      </c>
      <c r="HF17" s="33">
        <f t="shared" si="502"/>
        <v>0</v>
      </c>
      <c r="HG17" s="33">
        <f t="shared" si="502"/>
        <v>0</v>
      </c>
      <c r="HH17" s="33">
        <f t="shared" si="502"/>
        <v>0</v>
      </c>
      <c r="HI17" s="33">
        <f t="shared" ref="HI17:JT17" si="503">HI14*($B$17/12)</f>
        <v>0</v>
      </c>
      <c r="HJ17" s="33">
        <f t="shared" si="503"/>
        <v>0</v>
      </c>
      <c r="HK17" s="33">
        <f t="shared" si="503"/>
        <v>0</v>
      </c>
      <c r="HL17" s="33">
        <f t="shared" si="503"/>
        <v>0</v>
      </c>
      <c r="HM17" s="33">
        <f t="shared" si="503"/>
        <v>0</v>
      </c>
      <c r="HN17" s="33">
        <f t="shared" si="503"/>
        <v>0</v>
      </c>
      <c r="HO17" s="33">
        <f t="shared" si="503"/>
        <v>0</v>
      </c>
      <c r="HP17" s="33">
        <f t="shared" si="503"/>
        <v>0</v>
      </c>
      <c r="HQ17" s="33">
        <f t="shared" si="503"/>
        <v>0</v>
      </c>
      <c r="HR17" s="33">
        <f t="shared" si="503"/>
        <v>0</v>
      </c>
      <c r="HS17" s="33">
        <f t="shared" si="503"/>
        <v>0</v>
      </c>
      <c r="HT17" s="33">
        <f t="shared" si="503"/>
        <v>0</v>
      </c>
      <c r="HU17" s="33">
        <f t="shared" si="503"/>
        <v>0</v>
      </c>
      <c r="HV17" s="33">
        <f t="shared" si="503"/>
        <v>0</v>
      </c>
      <c r="HW17" s="33">
        <f t="shared" si="503"/>
        <v>0</v>
      </c>
      <c r="HX17" s="33">
        <f t="shared" si="503"/>
        <v>0</v>
      </c>
      <c r="HY17" s="33">
        <f t="shared" si="503"/>
        <v>0</v>
      </c>
      <c r="HZ17" s="33">
        <f t="shared" si="503"/>
        <v>0</v>
      </c>
      <c r="IA17" s="33">
        <f t="shared" si="503"/>
        <v>0</v>
      </c>
      <c r="IB17" s="33">
        <f t="shared" si="503"/>
        <v>0</v>
      </c>
      <c r="IC17" s="33">
        <f t="shared" si="503"/>
        <v>0</v>
      </c>
      <c r="ID17" s="33">
        <f t="shared" si="503"/>
        <v>0</v>
      </c>
      <c r="IE17" s="33">
        <f t="shared" si="503"/>
        <v>0</v>
      </c>
      <c r="IF17" s="33">
        <f t="shared" si="503"/>
        <v>0</v>
      </c>
      <c r="IG17" s="33">
        <f t="shared" si="503"/>
        <v>0</v>
      </c>
      <c r="IH17" s="33">
        <f t="shared" si="503"/>
        <v>0</v>
      </c>
      <c r="II17" s="33">
        <f t="shared" si="503"/>
        <v>0</v>
      </c>
      <c r="IJ17" s="33">
        <f t="shared" si="503"/>
        <v>0</v>
      </c>
      <c r="IK17" s="33">
        <f t="shared" si="503"/>
        <v>0</v>
      </c>
      <c r="IL17" s="33">
        <f t="shared" si="503"/>
        <v>0</v>
      </c>
      <c r="IM17" s="33">
        <f t="shared" si="503"/>
        <v>0</v>
      </c>
      <c r="IN17" s="33">
        <f t="shared" si="503"/>
        <v>0</v>
      </c>
      <c r="IO17" s="33">
        <f t="shared" si="503"/>
        <v>0</v>
      </c>
      <c r="IP17" s="33">
        <f t="shared" si="503"/>
        <v>0</v>
      </c>
      <c r="IQ17" s="33">
        <f t="shared" si="503"/>
        <v>0</v>
      </c>
      <c r="IR17" s="33">
        <f t="shared" si="503"/>
        <v>0</v>
      </c>
      <c r="IS17" s="33">
        <f t="shared" si="503"/>
        <v>0</v>
      </c>
      <c r="IT17" s="33">
        <f t="shared" si="503"/>
        <v>0</v>
      </c>
      <c r="IU17" s="33">
        <f t="shared" si="503"/>
        <v>0</v>
      </c>
      <c r="IV17" s="33">
        <f t="shared" si="503"/>
        <v>0</v>
      </c>
      <c r="IW17" s="33">
        <f t="shared" si="503"/>
        <v>0</v>
      </c>
      <c r="IX17" s="33">
        <f t="shared" si="503"/>
        <v>0</v>
      </c>
      <c r="IY17" s="33">
        <f t="shared" si="503"/>
        <v>0</v>
      </c>
      <c r="IZ17" s="33">
        <f t="shared" si="503"/>
        <v>0</v>
      </c>
      <c r="JA17" s="33">
        <f t="shared" si="503"/>
        <v>0</v>
      </c>
      <c r="JB17" s="33">
        <f t="shared" si="503"/>
        <v>0</v>
      </c>
      <c r="JC17" s="33">
        <f t="shared" si="503"/>
        <v>0</v>
      </c>
      <c r="JD17" s="33">
        <f t="shared" si="503"/>
        <v>0</v>
      </c>
      <c r="JE17" s="33">
        <f t="shared" si="503"/>
        <v>0</v>
      </c>
      <c r="JF17" s="33">
        <f t="shared" si="503"/>
        <v>0</v>
      </c>
      <c r="JG17" s="33">
        <f t="shared" si="503"/>
        <v>0</v>
      </c>
      <c r="JH17" s="33">
        <f t="shared" si="503"/>
        <v>0</v>
      </c>
      <c r="JI17" s="33">
        <f t="shared" si="503"/>
        <v>0</v>
      </c>
      <c r="JJ17" s="33">
        <f t="shared" si="503"/>
        <v>0</v>
      </c>
      <c r="JK17" s="33">
        <f t="shared" si="503"/>
        <v>0</v>
      </c>
      <c r="JL17" s="33">
        <f t="shared" si="503"/>
        <v>0</v>
      </c>
      <c r="JM17" s="33">
        <f t="shared" si="503"/>
        <v>0</v>
      </c>
      <c r="JN17" s="33">
        <f t="shared" si="503"/>
        <v>0</v>
      </c>
      <c r="JO17" s="33">
        <f t="shared" si="503"/>
        <v>0</v>
      </c>
      <c r="JP17" s="33">
        <f t="shared" si="503"/>
        <v>0</v>
      </c>
      <c r="JQ17" s="33">
        <f t="shared" si="503"/>
        <v>0</v>
      </c>
      <c r="JR17" s="33">
        <f t="shared" si="503"/>
        <v>0</v>
      </c>
      <c r="JS17" s="33">
        <f t="shared" si="503"/>
        <v>0</v>
      </c>
      <c r="JT17" s="33">
        <f t="shared" si="503"/>
        <v>0</v>
      </c>
    </row>
    <row r="18" spans="1:280" x14ac:dyDescent="0.2">
      <c r="A18" s="1" t="s">
        <v>106</v>
      </c>
      <c r="B18" s="41">
        <v>15</v>
      </c>
      <c r="D18" s="3" t="s">
        <v>110</v>
      </c>
      <c r="E18" s="33">
        <f t="shared" ref="E18:AC18" si="504">E16-E17</f>
        <v>0</v>
      </c>
      <c r="F18" s="33">
        <f t="shared" si="504"/>
        <v>0</v>
      </c>
      <c r="G18" s="33">
        <f t="shared" si="504"/>
        <v>0</v>
      </c>
      <c r="H18" s="33">
        <f t="shared" si="504"/>
        <v>0</v>
      </c>
      <c r="I18" s="33">
        <f t="shared" si="504"/>
        <v>0</v>
      </c>
      <c r="J18" s="33">
        <f t="shared" si="504"/>
        <v>0</v>
      </c>
      <c r="K18" s="33">
        <f t="shared" si="504"/>
        <v>0</v>
      </c>
      <c r="L18" s="33">
        <f t="shared" si="504"/>
        <v>0</v>
      </c>
      <c r="M18" s="33">
        <f t="shared" si="504"/>
        <v>0</v>
      </c>
      <c r="N18" s="33">
        <f t="shared" si="504"/>
        <v>0</v>
      </c>
      <c r="O18" s="33">
        <f t="shared" si="504"/>
        <v>0</v>
      </c>
      <c r="P18" s="33">
        <f t="shared" si="504"/>
        <v>0</v>
      </c>
      <c r="Q18" s="33">
        <f t="shared" si="504"/>
        <v>0</v>
      </c>
      <c r="R18" s="33">
        <f t="shared" si="504"/>
        <v>0</v>
      </c>
      <c r="S18" s="33">
        <f t="shared" si="504"/>
        <v>0</v>
      </c>
      <c r="T18" s="33">
        <f t="shared" si="504"/>
        <v>301695.92698822333</v>
      </c>
      <c r="U18" s="33">
        <f t="shared" si="504"/>
        <v>303455.81989565468</v>
      </c>
      <c r="V18" s="33">
        <f t="shared" si="504"/>
        <v>305225.97884504602</v>
      </c>
      <c r="W18" s="33">
        <f t="shared" si="504"/>
        <v>307006.46372164215</v>
      </c>
      <c r="X18" s="33">
        <f t="shared" si="504"/>
        <v>308797.33476001839</v>
      </c>
      <c r="Y18" s="33">
        <f t="shared" si="504"/>
        <v>310598.6525461186</v>
      </c>
      <c r="Z18" s="33">
        <f t="shared" si="504"/>
        <v>312410.47801930422</v>
      </c>
      <c r="AA18" s="33">
        <f t="shared" si="504"/>
        <v>314232.87247441686</v>
      </c>
      <c r="AB18" s="33">
        <f t="shared" si="504"/>
        <v>316065.89756385097</v>
      </c>
      <c r="AC18" s="33">
        <f t="shared" si="504"/>
        <v>317909.61529963999</v>
      </c>
      <c r="AD18" s="33">
        <f t="shared" ref="AD18:CJ18" si="505">AD16-AD17</f>
        <v>319764.08805555466</v>
      </c>
      <c r="AE18" s="33">
        <f t="shared" si="505"/>
        <v>321629.37856921204</v>
      </c>
      <c r="AF18" s="33">
        <f t="shared" si="505"/>
        <v>323505.54994419904</v>
      </c>
      <c r="AG18" s="33">
        <f t="shared" si="505"/>
        <v>325392.66565220687</v>
      </c>
      <c r="AH18" s="33">
        <f t="shared" si="505"/>
        <v>327290.78953517799</v>
      </c>
      <c r="AI18" s="33">
        <f t="shared" si="505"/>
        <v>329199.98580746655</v>
      </c>
      <c r="AJ18" s="33">
        <f t="shared" si="505"/>
        <v>331120.31905801012</v>
      </c>
      <c r="AK18" s="33">
        <f t="shared" si="505"/>
        <v>333051.85425251524</v>
      </c>
      <c r="AL18" s="33">
        <f t="shared" si="505"/>
        <v>334994.65673565492</v>
      </c>
      <c r="AM18" s="33">
        <f t="shared" si="505"/>
        <v>336948.79223327956</v>
      </c>
      <c r="AN18" s="33">
        <f t="shared" si="505"/>
        <v>338914.32685464033</v>
      </c>
      <c r="AO18" s="33">
        <f t="shared" si="505"/>
        <v>340891.3270946258</v>
      </c>
      <c r="AP18" s="33">
        <f t="shared" si="505"/>
        <v>342879.85983601114</v>
      </c>
      <c r="AQ18" s="33">
        <f t="shared" si="505"/>
        <v>344879.99235172116</v>
      </c>
      <c r="AR18" s="33">
        <f t="shared" si="505"/>
        <v>346891.79230710625</v>
      </c>
      <c r="AS18" s="33">
        <f t="shared" si="505"/>
        <v>348915.32776223106</v>
      </c>
      <c r="AT18" s="33">
        <f t="shared" si="505"/>
        <v>350950.66717417742</v>
      </c>
      <c r="AU18" s="33">
        <f t="shared" si="505"/>
        <v>352997.8793993601</v>
      </c>
      <c r="AV18" s="33">
        <f t="shared" si="505"/>
        <v>355057.03369585634</v>
      </c>
      <c r="AW18" s="33">
        <f t="shared" si="505"/>
        <v>357128.19972574885</v>
      </c>
      <c r="AX18" s="33">
        <f t="shared" si="505"/>
        <v>359211.4475574824</v>
      </c>
      <c r="AY18" s="33">
        <f t="shared" si="505"/>
        <v>361306.84766823438</v>
      </c>
      <c r="AZ18" s="33">
        <f t="shared" si="505"/>
        <v>363414.47094629903</v>
      </c>
      <c r="BA18" s="33">
        <f t="shared" si="505"/>
        <v>365534.38869348576</v>
      </c>
      <c r="BB18" s="33">
        <f t="shared" si="505"/>
        <v>367666.67262753111</v>
      </c>
      <c r="BC18" s="33">
        <f t="shared" si="505"/>
        <v>369811.39488452504</v>
      </c>
      <c r="BD18" s="33">
        <f t="shared" si="505"/>
        <v>371968.62802135147</v>
      </c>
      <c r="BE18" s="33">
        <f t="shared" si="505"/>
        <v>374138.44501814264</v>
      </c>
      <c r="BF18" s="33">
        <f t="shared" si="505"/>
        <v>376320.91928074847</v>
      </c>
      <c r="BG18" s="33">
        <f t="shared" si="505"/>
        <v>378516.12464321952</v>
      </c>
      <c r="BH18" s="33">
        <f t="shared" si="505"/>
        <v>380724.13537030498</v>
      </c>
      <c r="BI18" s="33">
        <f t="shared" si="505"/>
        <v>382945.02615996508</v>
      </c>
      <c r="BJ18" s="33">
        <f t="shared" si="505"/>
        <v>385178.87214589823</v>
      </c>
      <c r="BK18" s="33">
        <f t="shared" si="505"/>
        <v>387425.7489000826</v>
      </c>
      <c r="BL18" s="33">
        <f t="shared" si="505"/>
        <v>389685.73243533308</v>
      </c>
      <c r="BM18" s="33">
        <f t="shared" si="505"/>
        <v>391958.89920787251</v>
      </c>
      <c r="BN18" s="33">
        <f t="shared" si="505"/>
        <v>394245.32611991849</v>
      </c>
      <c r="BO18" s="33">
        <f t="shared" si="505"/>
        <v>396545.09052228462</v>
      </c>
      <c r="BP18" s="33">
        <f t="shared" si="505"/>
        <v>398858.270216998</v>
      </c>
      <c r="BQ18" s="33">
        <f t="shared" si="505"/>
        <v>401184.94345993048</v>
      </c>
      <c r="BR18" s="33">
        <f t="shared" si="505"/>
        <v>403525.18896344677</v>
      </c>
      <c r="BS18" s="33">
        <f t="shared" si="505"/>
        <v>405879.08589906682</v>
      </c>
      <c r="BT18" s="33">
        <f t="shared" si="505"/>
        <v>408246.71390014474</v>
      </c>
      <c r="BU18" s="33">
        <f t="shared" si="505"/>
        <v>410628.1530645623</v>
      </c>
      <c r="BV18" s="33">
        <f t="shared" si="505"/>
        <v>413023.4839574389</v>
      </c>
      <c r="BW18" s="33">
        <f t="shared" si="505"/>
        <v>415432.7876138573</v>
      </c>
      <c r="BX18" s="33">
        <f t="shared" si="505"/>
        <v>417856.14554160478</v>
      </c>
      <c r="BY18" s="33">
        <f t="shared" si="505"/>
        <v>420293.63972393086</v>
      </c>
      <c r="BZ18" s="33">
        <f t="shared" si="505"/>
        <v>422745.35262232041</v>
      </c>
      <c r="CA18" s="33">
        <f t="shared" si="505"/>
        <v>425211.36717928393</v>
      </c>
      <c r="CB18" s="33">
        <f t="shared" si="505"/>
        <v>427691.76682116312</v>
      </c>
      <c r="CC18" s="33">
        <f t="shared" si="505"/>
        <v>430186.63546095323</v>
      </c>
      <c r="CD18" s="33">
        <f t="shared" si="505"/>
        <v>432696.05750114215</v>
      </c>
      <c r="CE18" s="33">
        <f t="shared" si="505"/>
        <v>435220.11783656542</v>
      </c>
      <c r="CF18" s="33">
        <f t="shared" si="505"/>
        <v>437758.90185727872</v>
      </c>
      <c r="CG18" s="33">
        <f t="shared" si="505"/>
        <v>440312.49545144616</v>
      </c>
      <c r="CH18" s="33">
        <f t="shared" si="505"/>
        <v>442880.98500824627</v>
      </c>
      <c r="CI18" s="33">
        <f t="shared" si="505"/>
        <v>445464.45742079435</v>
      </c>
      <c r="CJ18" s="33">
        <f t="shared" si="505"/>
        <v>448063.00008908228</v>
      </c>
      <c r="CK18" s="33">
        <f t="shared" ref="CK18:EV18" si="506">CK16-CK17</f>
        <v>450676.70092293527</v>
      </c>
      <c r="CL18" s="33">
        <f t="shared" si="506"/>
        <v>453305.64834498573</v>
      </c>
      <c r="CM18" s="33">
        <f t="shared" si="506"/>
        <v>455949.93129366479</v>
      </c>
      <c r="CN18" s="33">
        <f t="shared" si="506"/>
        <v>458609.63922621118</v>
      </c>
      <c r="CO18" s="33">
        <f t="shared" si="506"/>
        <v>461284.8621216974</v>
      </c>
      <c r="CP18" s="33">
        <f t="shared" si="506"/>
        <v>463975.690484074</v>
      </c>
      <c r="CQ18" s="33">
        <f t="shared" si="506"/>
        <v>466682.21534523112</v>
      </c>
      <c r="CR18" s="33">
        <f t="shared" si="506"/>
        <v>469404.52826807828</v>
      </c>
      <c r="CS18" s="33">
        <f t="shared" si="506"/>
        <v>472142.72134964209</v>
      </c>
      <c r="CT18" s="33">
        <f t="shared" si="506"/>
        <v>474896.88722418167</v>
      </c>
      <c r="CU18" s="33">
        <f t="shared" si="506"/>
        <v>477667.11906632275</v>
      </c>
      <c r="CV18" s="33">
        <f t="shared" si="506"/>
        <v>480453.5105942096</v>
      </c>
      <c r="CW18" s="33">
        <f t="shared" si="506"/>
        <v>483256.15607267583</v>
      </c>
      <c r="CX18" s="33">
        <f t="shared" si="506"/>
        <v>486075.15031643311</v>
      </c>
      <c r="CY18" s="33">
        <f t="shared" si="506"/>
        <v>488910.58869327896</v>
      </c>
      <c r="CZ18" s="33">
        <f t="shared" si="506"/>
        <v>491762.56712732307</v>
      </c>
      <c r="DA18" s="33">
        <f t="shared" si="506"/>
        <v>494631.18210223247</v>
      </c>
      <c r="DB18" s="33">
        <f t="shared" si="506"/>
        <v>497516.53066449548</v>
      </c>
      <c r="DC18" s="33">
        <f t="shared" si="506"/>
        <v>500418.71042670507</v>
      </c>
      <c r="DD18" s="33">
        <f t="shared" si="506"/>
        <v>503337.81957086083</v>
      </c>
      <c r="DE18" s="33">
        <f t="shared" si="506"/>
        <v>506273.95685169083</v>
      </c>
      <c r="DF18" s="33">
        <f t="shared" si="506"/>
        <v>509227.22159999236</v>
      </c>
      <c r="DG18" s="33">
        <f t="shared" si="506"/>
        <v>512197.71372599236</v>
      </c>
      <c r="DH18" s="33">
        <f t="shared" si="506"/>
        <v>515185.53372272733</v>
      </c>
      <c r="DI18" s="33">
        <f t="shared" si="506"/>
        <v>518190.78266944323</v>
      </c>
      <c r="DJ18" s="33">
        <f t="shared" si="506"/>
        <v>521213.56223501498</v>
      </c>
      <c r="DK18" s="33">
        <f t="shared" si="506"/>
        <v>524253.97468138585</v>
      </c>
      <c r="DL18" s="33">
        <f t="shared" si="506"/>
        <v>527312.1228670273</v>
      </c>
      <c r="DM18" s="33">
        <f t="shared" si="506"/>
        <v>530388.11025041831</v>
      </c>
      <c r="DN18" s="33">
        <f t="shared" si="506"/>
        <v>533482.04089354572</v>
      </c>
      <c r="DO18" s="33">
        <f t="shared" si="506"/>
        <v>536594.01946542482</v>
      </c>
      <c r="DP18" s="33">
        <f t="shared" si="506"/>
        <v>539724.15124563966</v>
      </c>
      <c r="DQ18" s="33">
        <f t="shared" si="506"/>
        <v>542872.54212790588</v>
      </c>
      <c r="DR18" s="33">
        <f t="shared" si="506"/>
        <v>546039.29862365208</v>
      </c>
      <c r="DS18" s="33">
        <f t="shared" si="506"/>
        <v>549224.52786562336</v>
      </c>
      <c r="DT18" s="33">
        <f t="shared" si="506"/>
        <v>552428.33761150623</v>
      </c>
      <c r="DU18" s="33">
        <f t="shared" si="506"/>
        <v>555650.83624757337</v>
      </c>
      <c r="DV18" s="33">
        <f t="shared" si="506"/>
        <v>558892.13279235084</v>
      </c>
      <c r="DW18" s="33">
        <f t="shared" si="506"/>
        <v>562152.33690030617</v>
      </c>
      <c r="DX18" s="33">
        <f t="shared" si="506"/>
        <v>565431.55886555801</v>
      </c>
      <c r="DY18" s="33">
        <f t="shared" si="506"/>
        <v>568729.90962560708</v>
      </c>
      <c r="DZ18" s="33">
        <f t="shared" si="506"/>
        <v>572047.50076508976</v>
      </c>
      <c r="EA18" s="33">
        <f t="shared" si="506"/>
        <v>575384.44451955287</v>
      </c>
      <c r="EB18" s="33">
        <f t="shared" si="506"/>
        <v>578740.85377925017</v>
      </c>
      <c r="EC18" s="33">
        <f t="shared" si="506"/>
        <v>582116.84209296247</v>
      </c>
      <c r="ED18" s="33">
        <f t="shared" si="506"/>
        <v>585512.52367183799</v>
      </c>
      <c r="EE18" s="33">
        <f t="shared" si="506"/>
        <v>588928.01339325705</v>
      </c>
      <c r="EF18" s="33">
        <f t="shared" si="506"/>
        <v>592363.42680471786</v>
      </c>
      <c r="EG18" s="33">
        <f t="shared" si="506"/>
        <v>595818.88012774533</v>
      </c>
      <c r="EH18" s="33">
        <f t="shared" si="506"/>
        <v>599294.49026182387</v>
      </c>
      <c r="EI18" s="33">
        <f t="shared" si="506"/>
        <v>602790.37478835112</v>
      </c>
      <c r="EJ18" s="33">
        <f t="shared" si="506"/>
        <v>606306.65197461657</v>
      </c>
      <c r="EK18" s="33">
        <f t="shared" si="506"/>
        <v>609843.44077780179</v>
      </c>
      <c r="EL18" s="33">
        <f t="shared" si="506"/>
        <v>613400.86084900564</v>
      </c>
      <c r="EM18" s="33">
        <f t="shared" si="506"/>
        <v>616979.03253729152</v>
      </c>
      <c r="EN18" s="33">
        <f t="shared" si="506"/>
        <v>620578.07689375896</v>
      </c>
      <c r="EO18" s="33">
        <f t="shared" si="506"/>
        <v>624198.11567563936</v>
      </c>
      <c r="EP18" s="33">
        <f t="shared" si="506"/>
        <v>627839.27135041391</v>
      </c>
      <c r="EQ18" s="33">
        <f t="shared" si="506"/>
        <v>631501.66709995794</v>
      </c>
      <c r="ER18" s="33">
        <f t="shared" si="506"/>
        <v>635185.42682470777</v>
      </c>
      <c r="ES18" s="33">
        <f t="shared" si="506"/>
        <v>638890.67514785193</v>
      </c>
      <c r="ET18" s="33">
        <f t="shared" si="506"/>
        <v>642617.53741954768</v>
      </c>
      <c r="EU18" s="33">
        <f t="shared" si="506"/>
        <v>646366.13972116169</v>
      </c>
      <c r="EV18" s="33">
        <f t="shared" si="506"/>
        <v>650136.60886953515</v>
      </c>
      <c r="EW18" s="33">
        <f t="shared" ref="EW18:HH18" si="507">EW16-EW17</f>
        <v>653929.07242127415</v>
      </c>
      <c r="EX18" s="33">
        <f t="shared" si="507"/>
        <v>657743.65867706493</v>
      </c>
      <c r="EY18" s="33">
        <f t="shared" si="507"/>
        <v>661580.49668601446</v>
      </c>
      <c r="EZ18" s="33">
        <f t="shared" si="507"/>
        <v>665439.71625001624</v>
      </c>
      <c r="FA18" s="33">
        <f t="shared" si="507"/>
        <v>669321.44792814134</v>
      </c>
      <c r="FB18" s="33">
        <f t="shared" si="507"/>
        <v>673225.82304105547</v>
      </c>
      <c r="FC18" s="33">
        <f t="shared" si="507"/>
        <v>677152.9736754616</v>
      </c>
      <c r="FD18" s="33">
        <f t="shared" si="507"/>
        <v>681103.03268856846</v>
      </c>
      <c r="FE18" s="33">
        <f t="shared" si="507"/>
        <v>685076.1337125852</v>
      </c>
      <c r="FF18" s="33">
        <f t="shared" si="507"/>
        <v>689072.41115924192</v>
      </c>
      <c r="FG18" s="33">
        <f t="shared" si="507"/>
        <v>693092.00022433745</v>
      </c>
      <c r="FH18" s="33">
        <f t="shared" si="507"/>
        <v>697135.03689231281</v>
      </c>
      <c r="FI18" s="33">
        <f t="shared" si="507"/>
        <v>701201.65794085129</v>
      </c>
      <c r="FJ18" s="33">
        <f t="shared" si="507"/>
        <v>705292.00094550627</v>
      </c>
      <c r="FK18" s="33">
        <f t="shared" si="507"/>
        <v>709406.20428435504</v>
      </c>
      <c r="FL18" s="33">
        <f t="shared" si="507"/>
        <v>713544.40714268037</v>
      </c>
      <c r="FM18" s="33">
        <f t="shared" si="507"/>
        <v>717706.74951767945</v>
      </c>
      <c r="FN18" s="33">
        <f t="shared" si="507"/>
        <v>721893.37222319923</v>
      </c>
      <c r="FO18" s="33">
        <f t="shared" si="507"/>
        <v>726104.41689450119</v>
      </c>
      <c r="FP18" s="33">
        <f t="shared" si="507"/>
        <v>730340.0259930524</v>
      </c>
      <c r="FQ18" s="33">
        <f t="shared" si="507"/>
        <v>734600.34281134524</v>
      </c>
      <c r="FR18" s="33">
        <f t="shared" si="507"/>
        <v>738885.51147774479</v>
      </c>
      <c r="FS18" s="33">
        <f t="shared" si="507"/>
        <v>743195.67696136492</v>
      </c>
      <c r="FT18" s="33">
        <f t="shared" si="507"/>
        <v>747530.98507697298</v>
      </c>
      <c r="FU18" s="33">
        <f t="shared" si="507"/>
        <v>751891.58248992194</v>
      </c>
      <c r="FV18" s="33">
        <f t="shared" si="507"/>
        <v>756277.61672111321</v>
      </c>
      <c r="FW18" s="33">
        <f t="shared" si="507"/>
        <v>760689.23615198629</v>
      </c>
      <c r="FX18" s="33">
        <f t="shared" si="507"/>
        <v>765126.59002953954</v>
      </c>
      <c r="FY18" s="33">
        <f t="shared" si="507"/>
        <v>769589.82847137854</v>
      </c>
      <c r="FZ18" s="33">
        <f t="shared" si="507"/>
        <v>774079.10247079493</v>
      </c>
      <c r="GA18" s="33">
        <f t="shared" si="507"/>
        <v>778594.56390187459</v>
      </c>
      <c r="GB18" s="33">
        <f t="shared" si="507"/>
        <v>783136.36552463553</v>
      </c>
      <c r="GC18" s="33">
        <f t="shared" si="507"/>
        <v>787704.66099019581</v>
      </c>
      <c r="GD18" s="33">
        <f t="shared" si="507"/>
        <v>792299.60484597203</v>
      </c>
      <c r="GE18" s="33">
        <f t="shared" si="507"/>
        <v>796921.35254090687</v>
      </c>
      <c r="GF18" s="33">
        <f t="shared" si="507"/>
        <v>801570.06043072883</v>
      </c>
      <c r="GG18" s="33">
        <f t="shared" si="507"/>
        <v>806245.88578324136</v>
      </c>
      <c r="GH18" s="33">
        <f t="shared" si="507"/>
        <v>810948.9867836436</v>
      </c>
      <c r="GI18" s="33">
        <f t="shared" si="507"/>
        <v>815679.52253988152</v>
      </c>
      <c r="GJ18" s="33">
        <f t="shared" si="507"/>
        <v>820437.65308803087</v>
      </c>
      <c r="GK18" s="33">
        <f t="shared" si="507"/>
        <v>825223.53939771105</v>
      </c>
      <c r="GL18" s="33">
        <f t="shared" si="507"/>
        <v>830037.34337753104</v>
      </c>
      <c r="GM18" s="33">
        <f t="shared" si="507"/>
        <v>834879.22788056661</v>
      </c>
      <c r="GN18" s="33">
        <f t="shared" si="507"/>
        <v>839749.35670986993</v>
      </c>
      <c r="GO18" s="33">
        <f t="shared" si="507"/>
        <v>844647.89462401078</v>
      </c>
      <c r="GP18" s="33">
        <f t="shared" si="507"/>
        <v>849575.0073426509</v>
      </c>
      <c r="GQ18" s="33">
        <f t="shared" si="507"/>
        <v>854530.86155214964</v>
      </c>
      <c r="GR18" s="33">
        <f t="shared" si="507"/>
        <v>0</v>
      </c>
      <c r="GS18" s="33">
        <f t="shared" si="507"/>
        <v>0</v>
      </c>
      <c r="GT18" s="33">
        <f t="shared" si="507"/>
        <v>0</v>
      </c>
      <c r="GU18" s="33">
        <f t="shared" si="507"/>
        <v>0</v>
      </c>
      <c r="GV18" s="33">
        <f t="shared" si="507"/>
        <v>0</v>
      </c>
      <c r="GW18" s="33">
        <f t="shared" si="507"/>
        <v>0</v>
      </c>
      <c r="GX18" s="33">
        <f t="shared" si="507"/>
        <v>0</v>
      </c>
      <c r="GY18" s="33">
        <f t="shared" si="507"/>
        <v>0</v>
      </c>
      <c r="GZ18" s="33">
        <f t="shared" si="507"/>
        <v>0</v>
      </c>
      <c r="HA18" s="33">
        <f t="shared" si="507"/>
        <v>0</v>
      </c>
      <c r="HB18" s="33">
        <f t="shared" si="507"/>
        <v>0</v>
      </c>
      <c r="HC18" s="33">
        <f t="shared" si="507"/>
        <v>0</v>
      </c>
      <c r="HD18" s="33">
        <f t="shared" si="507"/>
        <v>0</v>
      </c>
      <c r="HE18" s="33">
        <f t="shared" si="507"/>
        <v>0</v>
      </c>
      <c r="HF18" s="33">
        <f t="shared" si="507"/>
        <v>0</v>
      </c>
      <c r="HG18" s="33">
        <f t="shared" si="507"/>
        <v>0</v>
      </c>
      <c r="HH18" s="33">
        <f t="shared" si="507"/>
        <v>0</v>
      </c>
      <c r="HI18" s="33">
        <f t="shared" ref="HI18:JT18" si="508">HI16-HI17</f>
        <v>0</v>
      </c>
      <c r="HJ18" s="33">
        <f t="shared" si="508"/>
        <v>0</v>
      </c>
      <c r="HK18" s="33">
        <f t="shared" si="508"/>
        <v>0</v>
      </c>
      <c r="HL18" s="33">
        <f t="shared" si="508"/>
        <v>0</v>
      </c>
      <c r="HM18" s="33">
        <f t="shared" si="508"/>
        <v>0</v>
      </c>
      <c r="HN18" s="33">
        <f t="shared" si="508"/>
        <v>0</v>
      </c>
      <c r="HO18" s="33">
        <f t="shared" si="508"/>
        <v>0</v>
      </c>
      <c r="HP18" s="33">
        <f t="shared" si="508"/>
        <v>0</v>
      </c>
      <c r="HQ18" s="33">
        <f t="shared" si="508"/>
        <v>0</v>
      </c>
      <c r="HR18" s="33">
        <f t="shared" si="508"/>
        <v>0</v>
      </c>
      <c r="HS18" s="33">
        <f t="shared" si="508"/>
        <v>0</v>
      </c>
      <c r="HT18" s="33">
        <f t="shared" si="508"/>
        <v>0</v>
      </c>
      <c r="HU18" s="33">
        <f t="shared" si="508"/>
        <v>0</v>
      </c>
      <c r="HV18" s="33">
        <f t="shared" si="508"/>
        <v>0</v>
      </c>
      <c r="HW18" s="33">
        <f t="shared" si="508"/>
        <v>0</v>
      </c>
      <c r="HX18" s="33">
        <f t="shared" si="508"/>
        <v>0</v>
      </c>
      <c r="HY18" s="33">
        <f t="shared" si="508"/>
        <v>0</v>
      </c>
      <c r="HZ18" s="33">
        <f t="shared" si="508"/>
        <v>0</v>
      </c>
      <c r="IA18" s="33">
        <f t="shared" si="508"/>
        <v>0</v>
      </c>
      <c r="IB18" s="33">
        <f t="shared" si="508"/>
        <v>0</v>
      </c>
      <c r="IC18" s="33">
        <f t="shared" si="508"/>
        <v>0</v>
      </c>
      <c r="ID18" s="33">
        <f t="shared" si="508"/>
        <v>0</v>
      </c>
      <c r="IE18" s="33">
        <f t="shared" si="508"/>
        <v>0</v>
      </c>
      <c r="IF18" s="33">
        <f t="shared" si="508"/>
        <v>0</v>
      </c>
      <c r="IG18" s="33">
        <f t="shared" si="508"/>
        <v>0</v>
      </c>
      <c r="IH18" s="33">
        <f t="shared" si="508"/>
        <v>0</v>
      </c>
      <c r="II18" s="33">
        <f t="shared" si="508"/>
        <v>0</v>
      </c>
      <c r="IJ18" s="33">
        <f t="shared" si="508"/>
        <v>0</v>
      </c>
      <c r="IK18" s="33">
        <f t="shared" si="508"/>
        <v>0</v>
      </c>
      <c r="IL18" s="33">
        <f t="shared" si="508"/>
        <v>0</v>
      </c>
      <c r="IM18" s="33">
        <f t="shared" si="508"/>
        <v>0</v>
      </c>
      <c r="IN18" s="33">
        <f t="shared" si="508"/>
        <v>0</v>
      </c>
      <c r="IO18" s="33">
        <f t="shared" si="508"/>
        <v>0</v>
      </c>
      <c r="IP18" s="33">
        <f t="shared" si="508"/>
        <v>0</v>
      </c>
      <c r="IQ18" s="33">
        <f t="shared" si="508"/>
        <v>0</v>
      </c>
      <c r="IR18" s="33">
        <f t="shared" si="508"/>
        <v>0</v>
      </c>
      <c r="IS18" s="33">
        <f t="shared" si="508"/>
        <v>0</v>
      </c>
      <c r="IT18" s="33">
        <f t="shared" si="508"/>
        <v>0</v>
      </c>
      <c r="IU18" s="33">
        <f t="shared" si="508"/>
        <v>0</v>
      </c>
      <c r="IV18" s="33">
        <f t="shared" si="508"/>
        <v>0</v>
      </c>
      <c r="IW18" s="33">
        <f t="shared" si="508"/>
        <v>0</v>
      </c>
      <c r="IX18" s="33">
        <f t="shared" si="508"/>
        <v>0</v>
      </c>
      <c r="IY18" s="33">
        <f t="shared" si="508"/>
        <v>0</v>
      </c>
      <c r="IZ18" s="33">
        <f t="shared" si="508"/>
        <v>0</v>
      </c>
      <c r="JA18" s="33">
        <f t="shared" si="508"/>
        <v>0</v>
      </c>
      <c r="JB18" s="33">
        <f t="shared" si="508"/>
        <v>0</v>
      </c>
      <c r="JC18" s="33">
        <f t="shared" si="508"/>
        <v>0</v>
      </c>
      <c r="JD18" s="33">
        <f t="shared" si="508"/>
        <v>0</v>
      </c>
      <c r="JE18" s="33">
        <f t="shared" si="508"/>
        <v>0</v>
      </c>
      <c r="JF18" s="33">
        <f t="shared" si="508"/>
        <v>0</v>
      </c>
      <c r="JG18" s="33">
        <f t="shared" si="508"/>
        <v>0</v>
      </c>
      <c r="JH18" s="33">
        <f t="shared" si="508"/>
        <v>0</v>
      </c>
      <c r="JI18" s="33">
        <f t="shared" si="508"/>
        <v>0</v>
      </c>
      <c r="JJ18" s="33">
        <f t="shared" si="508"/>
        <v>0</v>
      </c>
      <c r="JK18" s="33">
        <f t="shared" si="508"/>
        <v>0</v>
      </c>
      <c r="JL18" s="33">
        <f t="shared" si="508"/>
        <v>0</v>
      </c>
      <c r="JM18" s="33">
        <f t="shared" si="508"/>
        <v>0</v>
      </c>
      <c r="JN18" s="33">
        <f t="shared" si="508"/>
        <v>0</v>
      </c>
      <c r="JO18" s="33">
        <f t="shared" si="508"/>
        <v>0</v>
      </c>
      <c r="JP18" s="33">
        <f t="shared" si="508"/>
        <v>0</v>
      </c>
      <c r="JQ18" s="33">
        <f t="shared" si="508"/>
        <v>0</v>
      </c>
      <c r="JR18" s="33">
        <f t="shared" si="508"/>
        <v>0</v>
      </c>
      <c r="JS18" s="33">
        <f t="shared" si="508"/>
        <v>0</v>
      </c>
      <c r="JT18" s="33">
        <f t="shared" si="508"/>
        <v>0</v>
      </c>
    </row>
    <row r="19" spans="1:280" x14ac:dyDescent="0.2">
      <c r="A19" s="1" t="s">
        <v>170</v>
      </c>
      <c r="B19" s="41">
        <f>B14+(B18*12)</f>
        <v>196</v>
      </c>
      <c r="D19" s="39" t="s">
        <v>112</v>
      </c>
      <c r="E19" s="7">
        <f t="shared" ref="E19:AC19" si="509">E14+E15-E18</f>
        <v>0</v>
      </c>
      <c r="F19" s="7">
        <f t="shared" si="509"/>
        <v>0</v>
      </c>
      <c r="G19" s="7">
        <f t="shared" si="509"/>
        <v>0</v>
      </c>
      <c r="H19" s="7">
        <f t="shared" si="509"/>
        <v>0</v>
      </c>
      <c r="I19" s="7">
        <f t="shared" si="509"/>
        <v>0</v>
      </c>
      <c r="J19" s="7">
        <f t="shared" si="509"/>
        <v>0</v>
      </c>
      <c r="K19" s="7">
        <f t="shared" si="509"/>
        <v>0</v>
      </c>
      <c r="L19" s="7">
        <f t="shared" si="509"/>
        <v>0</v>
      </c>
      <c r="M19" s="7">
        <f t="shared" si="509"/>
        <v>0</v>
      </c>
      <c r="N19" s="7">
        <f t="shared" si="509"/>
        <v>0</v>
      </c>
      <c r="O19" s="7">
        <f t="shared" si="509"/>
        <v>0</v>
      </c>
      <c r="P19" s="7">
        <f t="shared" si="509"/>
        <v>0</v>
      </c>
      <c r="Q19" s="7">
        <f t="shared" si="509"/>
        <v>0</v>
      </c>
      <c r="R19" s="7">
        <f t="shared" si="509"/>
        <v>0</v>
      </c>
      <c r="S19" s="7">
        <f t="shared" si="509"/>
        <v>0</v>
      </c>
      <c r="T19" s="7">
        <f t="shared" si="509"/>
        <v>95324538.002665505</v>
      </c>
      <c r="U19" s="7">
        <f t="shared" si="509"/>
        <v>95021082.18276985</v>
      </c>
      <c r="V19" s="7">
        <f t="shared" si="509"/>
        <v>94715856.203924805</v>
      </c>
      <c r="W19" s="7">
        <f t="shared" si="509"/>
        <v>94408849.740203157</v>
      </c>
      <c r="X19" s="7">
        <f t="shared" si="509"/>
        <v>94100052.405443132</v>
      </c>
      <c r="Y19" s="7">
        <f t="shared" si="509"/>
        <v>93789453.752897009</v>
      </c>
      <c r="Z19" s="7">
        <f t="shared" si="509"/>
        <v>93477043.274877712</v>
      </c>
      <c r="AA19" s="7">
        <f t="shared" si="509"/>
        <v>93162810.402403295</v>
      </c>
      <c r="AB19" s="7">
        <f t="shared" si="509"/>
        <v>92846744.50483945</v>
      </c>
      <c r="AC19" s="7">
        <f t="shared" si="509"/>
        <v>92528834.889539808</v>
      </c>
      <c r="AD19" s="7">
        <f t="shared" ref="AD19:CJ19" si="510">AD14+AD15-AD18</f>
        <v>92209070.801484257</v>
      </c>
      <c r="AE19" s="7">
        <f t="shared" si="510"/>
        <v>91887441.422915041</v>
      </c>
      <c r="AF19" s="7">
        <f t="shared" si="510"/>
        <v>91563935.872970849</v>
      </c>
      <c r="AG19" s="7">
        <f t="shared" si="510"/>
        <v>91238543.207318649</v>
      </c>
      <c r="AH19" s="7">
        <f t="shared" si="510"/>
        <v>90911252.417783469</v>
      </c>
      <c r="AI19" s="7">
        <f t="shared" si="510"/>
        <v>90582052.431976005</v>
      </c>
      <c r="AJ19" s="7">
        <f t="shared" si="510"/>
        <v>90250932.112917989</v>
      </c>
      <c r="AK19" s="7">
        <f t="shared" si="510"/>
        <v>89917880.258665472</v>
      </c>
      <c r="AL19" s="7">
        <f t="shared" si="510"/>
        <v>89582885.601929814</v>
      </c>
      <c r="AM19" s="7">
        <f t="shared" si="510"/>
        <v>89245936.80969654</v>
      </c>
      <c r="AN19" s="7">
        <f t="shared" si="510"/>
        <v>88907022.482841894</v>
      </c>
      <c r="AO19" s="7">
        <f t="shared" si="510"/>
        <v>88566131.155747265</v>
      </c>
      <c r="AP19" s="7">
        <f t="shared" si="510"/>
        <v>88223251.295911252</v>
      </c>
      <c r="AQ19" s="7">
        <f t="shared" si="510"/>
        <v>87878371.303559527</v>
      </c>
      <c r="AR19" s="7">
        <f t="shared" si="510"/>
        <v>87531479.511252418</v>
      </c>
      <c r="AS19" s="7">
        <f t="shared" si="510"/>
        <v>87182564.183490187</v>
      </c>
      <c r="AT19" s="7">
        <f t="shared" si="510"/>
        <v>86831613.516316012</v>
      </c>
      <c r="AU19" s="7">
        <f t="shared" si="510"/>
        <v>86478615.636916652</v>
      </c>
      <c r="AV19" s="7">
        <f t="shared" si="510"/>
        <v>86123558.603220791</v>
      </c>
      <c r="AW19" s="7">
        <f t="shared" si="510"/>
        <v>85766430.403495044</v>
      </c>
      <c r="AX19" s="7">
        <f t="shared" si="510"/>
        <v>85407218.955937564</v>
      </c>
      <c r="AY19" s="7">
        <f t="shared" si="510"/>
        <v>85045912.108269334</v>
      </c>
      <c r="AZ19" s="7">
        <f t="shared" si="510"/>
        <v>84682497.637323037</v>
      </c>
      <c r="BA19" s="7">
        <f t="shared" si="510"/>
        <v>84316963.248629555</v>
      </c>
      <c r="BB19" s="7">
        <f t="shared" si="510"/>
        <v>83949296.576002017</v>
      </c>
      <c r="BC19" s="7">
        <f t="shared" si="510"/>
        <v>83579485.18111749</v>
      </c>
      <c r="BD19" s="7">
        <f t="shared" si="510"/>
        <v>83207516.553096145</v>
      </c>
      <c r="BE19" s="7">
        <f t="shared" si="510"/>
        <v>82833378.108078003</v>
      </c>
      <c r="BF19" s="7">
        <f t="shared" si="510"/>
        <v>82457057.18879725</v>
      </c>
      <c r="BG19" s="7">
        <f t="shared" si="510"/>
        <v>82078541.064154029</v>
      </c>
      <c r="BH19" s="7">
        <f t="shared" si="510"/>
        <v>81697816.92878373</v>
      </c>
      <c r="BI19" s="7">
        <f t="shared" si="510"/>
        <v>81314871.902623758</v>
      </c>
      <c r="BJ19" s="7">
        <f t="shared" si="510"/>
        <v>80929693.030477867</v>
      </c>
      <c r="BK19" s="7">
        <f t="shared" si="510"/>
        <v>80542267.281577781</v>
      </c>
      <c r="BL19" s="7">
        <f t="shared" si="510"/>
        <v>80152581.54914245</v>
      </c>
      <c r="BM19" s="7">
        <f t="shared" si="510"/>
        <v>79760622.649934575</v>
      </c>
      <c r="BN19" s="7">
        <f t="shared" si="510"/>
        <v>79366377.32381466</v>
      </c>
      <c r="BO19" s="7">
        <f t="shared" si="510"/>
        <v>78969832.233292371</v>
      </c>
      <c r="BP19" s="7">
        <f t="shared" si="510"/>
        <v>78570973.96307537</v>
      </c>
      <c r="BQ19" s="7">
        <f t="shared" si="510"/>
        <v>78169789.019615442</v>
      </c>
      <c r="BR19" s="7">
        <f t="shared" si="510"/>
        <v>77766263.830651999</v>
      </c>
      <c r="BS19" s="7">
        <f t="shared" si="510"/>
        <v>77360384.744752929</v>
      </c>
      <c r="BT19" s="7">
        <f t="shared" si="510"/>
        <v>76952138.03085278</v>
      </c>
      <c r="BU19" s="7">
        <f t="shared" si="510"/>
        <v>76541509.877788216</v>
      </c>
      <c r="BV19" s="7">
        <f t="shared" si="510"/>
        <v>76128486.393830776</v>
      </c>
      <c r="BW19" s="7">
        <f t="shared" si="510"/>
        <v>75713053.606216922</v>
      </c>
      <c r="BX19" s="7">
        <f t="shared" si="510"/>
        <v>75295197.460675314</v>
      </c>
      <c r="BY19" s="7">
        <f t="shared" si="510"/>
        <v>74874903.820951387</v>
      </c>
      <c r="BZ19" s="7">
        <f t="shared" si="510"/>
        <v>74452158.468329072</v>
      </c>
      <c r="CA19" s="7">
        <f t="shared" si="510"/>
        <v>74026947.101149783</v>
      </c>
      <c r="CB19" s="7">
        <f t="shared" si="510"/>
        <v>73599255.334328622</v>
      </c>
      <c r="CC19" s="7">
        <f t="shared" si="510"/>
        <v>73169068.698867664</v>
      </c>
      <c r="CD19" s="7">
        <f t="shared" si="510"/>
        <v>72736372.641366526</v>
      </c>
      <c r="CE19" s="7">
        <f t="shared" si="510"/>
        <v>72301152.523529962</v>
      </c>
      <c r="CF19" s="7">
        <f t="shared" si="510"/>
        <v>71863393.62167269</v>
      </c>
      <c r="CG19" s="7">
        <f t="shared" si="510"/>
        <v>71423081.12622124</v>
      </c>
      <c r="CH19" s="7">
        <f t="shared" si="510"/>
        <v>70980200.141213</v>
      </c>
      <c r="CI19" s="7">
        <f t="shared" si="510"/>
        <v>70534735.683792204</v>
      </c>
      <c r="CJ19" s="7">
        <f t="shared" si="510"/>
        <v>70086672.683703125</v>
      </c>
      <c r="CK19" s="7">
        <f t="shared" ref="CK19:EV19" si="511">CK14+CK15-CK18</f>
        <v>69635995.982780188</v>
      </c>
      <c r="CL19" s="7">
        <f t="shared" si="511"/>
        <v>69182690.33443521</v>
      </c>
      <c r="CM19" s="7">
        <f t="shared" si="511"/>
        <v>68726740.403141543</v>
      </c>
      <c r="CN19" s="7">
        <f t="shared" si="511"/>
        <v>68268130.76391533</v>
      </c>
      <c r="CO19" s="7">
        <f t="shared" si="511"/>
        <v>67806845.901793629</v>
      </c>
      <c r="CP19" s="7">
        <f t="shared" si="511"/>
        <v>67342870.211309552</v>
      </c>
      <c r="CQ19" s="7">
        <f t="shared" si="511"/>
        <v>66876187.995964319</v>
      </c>
      <c r="CR19" s="7">
        <f t="shared" si="511"/>
        <v>66406783.467696242</v>
      </c>
      <c r="CS19" s="7">
        <f t="shared" si="511"/>
        <v>65934640.7463466</v>
      </c>
      <c r="CT19" s="7">
        <f t="shared" si="511"/>
        <v>65459743.859122418</v>
      </c>
      <c r="CU19" s="7">
        <f t="shared" si="511"/>
        <v>64982076.740056098</v>
      </c>
      <c r="CV19" s="7">
        <f t="shared" si="511"/>
        <v>64501623.229461886</v>
      </c>
      <c r="CW19" s="7">
        <f t="shared" si="511"/>
        <v>64018367.07338921</v>
      </c>
      <c r="CX19" s="7">
        <f t="shared" si="511"/>
        <v>63532291.923072778</v>
      </c>
      <c r="CY19" s="7">
        <f t="shared" si="511"/>
        <v>63043381.334379502</v>
      </c>
      <c r="CZ19" s="7">
        <f t="shared" si="511"/>
        <v>62551618.767252177</v>
      </c>
      <c r="DA19" s="7">
        <f t="shared" si="511"/>
        <v>62056987.585149944</v>
      </c>
      <c r="DB19" s="7">
        <f t="shared" si="511"/>
        <v>61559471.054485448</v>
      </c>
      <c r="DC19" s="7">
        <f t="shared" si="511"/>
        <v>61059052.344058745</v>
      </c>
      <c r="DD19" s="7">
        <f t="shared" si="511"/>
        <v>60555714.524487883</v>
      </c>
      <c r="DE19" s="7">
        <f t="shared" si="511"/>
        <v>60049440.567636192</v>
      </c>
      <c r="DF19" s="7">
        <f t="shared" si="511"/>
        <v>59540213.346036196</v>
      </c>
      <c r="DG19" s="7">
        <f t="shared" si="511"/>
        <v>59028015.632310204</v>
      </c>
      <c r="DH19" s="7">
        <f t="shared" si="511"/>
        <v>58512830.098587476</v>
      </c>
      <c r="DI19" s="7">
        <f t="shared" si="511"/>
        <v>57994639.315918036</v>
      </c>
      <c r="DJ19" s="7">
        <f t="shared" si="511"/>
        <v>57473425.753683023</v>
      </c>
      <c r="DK19" s="7">
        <f t="shared" si="511"/>
        <v>56949171.779001638</v>
      </c>
      <c r="DL19" s="7">
        <f t="shared" si="511"/>
        <v>56421859.656134613</v>
      </c>
      <c r="DM19" s="7">
        <f t="shared" si="511"/>
        <v>55891471.545884192</v>
      </c>
      <c r="DN19" s="7">
        <f t="shared" si="511"/>
        <v>55357989.504990645</v>
      </c>
      <c r="DO19" s="7">
        <f t="shared" si="511"/>
        <v>54821395.485525221</v>
      </c>
      <c r="DP19" s="7">
        <f t="shared" si="511"/>
        <v>54281671.334279582</v>
      </c>
      <c r="DQ19" s="7">
        <f t="shared" si="511"/>
        <v>53738798.792151675</v>
      </c>
      <c r="DR19" s="7">
        <f t="shared" si="511"/>
        <v>53192759.493528023</v>
      </c>
      <c r="DS19" s="7">
        <f t="shared" si="511"/>
        <v>52643534.965662397</v>
      </c>
      <c r="DT19" s="7">
        <f t="shared" si="511"/>
        <v>52091106.628050894</v>
      </c>
      <c r="DU19" s="7">
        <f t="shared" si="511"/>
        <v>51535455.791803323</v>
      </c>
      <c r="DV19" s="7">
        <f t="shared" si="511"/>
        <v>50976563.659010969</v>
      </c>
      <c r="DW19" s="7">
        <f t="shared" si="511"/>
        <v>50414411.32211066</v>
      </c>
      <c r="DX19" s="7">
        <f t="shared" si="511"/>
        <v>49848979.763245106</v>
      </c>
      <c r="DY19" s="7">
        <f t="shared" si="511"/>
        <v>49280249.853619501</v>
      </c>
      <c r="DZ19" s="7">
        <f t="shared" si="511"/>
        <v>48708202.352854408</v>
      </c>
      <c r="EA19" s="7">
        <f t="shared" si="511"/>
        <v>48132817.908334859</v>
      </c>
      <c r="EB19" s="7">
        <f t="shared" si="511"/>
        <v>47554077.05455561</v>
      </c>
      <c r="EC19" s="7">
        <f t="shared" si="511"/>
        <v>46971960.212462649</v>
      </c>
      <c r="ED19" s="7">
        <f t="shared" si="511"/>
        <v>46386447.688790813</v>
      </c>
      <c r="EE19" s="7">
        <f t="shared" si="511"/>
        <v>45797519.675397553</v>
      </c>
      <c r="EF19" s="7">
        <f t="shared" si="511"/>
        <v>45205156.248592831</v>
      </c>
      <c r="EG19" s="7">
        <f t="shared" si="511"/>
        <v>44609337.368465088</v>
      </c>
      <c r="EH19" s="7">
        <f t="shared" si="511"/>
        <v>44010042.878203265</v>
      </c>
      <c r="EI19" s="7">
        <f t="shared" si="511"/>
        <v>43407252.503414914</v>
      </c>
      <c r="EJ19" s="7">
        <f t="shared" si="511"/>
        <v>42800945.851440296</v>
      </c>
      <c r="EK19" s="7">
        <f t="shared" si="511"/>
        <v>42191102.410662495</v>
      </c>
      <c r="EL19" s="7">
        <f t="shared" si="511"/>
        <v>41577701.549813487</v>
      </c>
      <c r="EM19" s="7">
        <f t="shared" si="511"/>
        <v>40960722.517276198</v>
      </c>
      <c r="EN19" s="7">
        <f t="shared" si="511"/>
        <v>40340144.440382436</v>
      </c>
      <c r="EO19" s="7">
        <f t="shared" si="511"/>
        <v>39715946.324706793</v>
      </c>
      <c r="EP19" s="7">
        <f t="shared" si="511"/>
        <v>39088107.053356379</v>
      </c>
      <c r="EQ19" s="7">
        <f t="shared" si="511"/>
        <v>38456605.386256419</v>
      </c>
      <c r="ER19" s="7">
        <f t="shared" si="511"/>
        <v>37821419.959431708</v>
      </c>
      <c r="ES19" s="7">
        <f t="shared" si="511"/>
        <v>37182529.284283854</v>
      </c>
      <c r="ET19" s="7">
        <f t="shared" si="511"/>
        <v>36539911.746864304</v>
      </c>
      <c r="EU19" s="7">
        <f t="shared" si="511"/>
        <v>35893545.607143141</v>
      </c>
      <c r="EV19" s="7">
        <f t="shared" si="511"/>
        <v>35243408.998273604</v>
      </c>
      <c r="EW19" s="7">
        <f t="shared" ref="EW19:HH19" si="512">EW14+EW15-EW18</f>
        <v>34589479.925852329</v>
      </c>
      <c r="EX19" s="7">
        <f t="shared" si="512"/>
        <v>33931736.267175265</v>
      </c>
      <c r="EY19" s="7">
        <f t="shared" si="512"/>
        <v>33270155.770489249</v>
      </c>
      <c r="EZ19" s="7">
        <f t="shared" si="512"/>
        <v>32604716.054239232</v>
      </c>
      <c r="FA19" s="7">
        <f t="shared" si="512"/>
        <v>31935394.60631109</v>
      </c>
      <c r="FB19" s="7">
        <f t="shared" si="512"/>
        <v>31262168.783270035</v>
      </c>
      <c r="FC19" s="7">
        <f t="shared" si="512"/>
        <v>30585015.809594572</v>
      </c>
      <c r="FD19" s="7">
        <f t="shared" si="512"/>
        <v>29903912.776906002</v>
      </c>
      <c r="FE19" s="7">
        <f t="shared" si="512"/>
        <v>29218836.643193416</v>
      </c>
      <c r="FF19" s="7">
        <f t="shared" si="512"/>
        <v>28529764.232034173</v>
      </c>
      <c r="FG19" s="7">
        <f t="shared" si="512"/>
        <v>27836672.231809836</v>
      </c>
      <c r="FH19" s="7">
        <f t="shared" si="512"/>
        <v>27139537.194917522</v>
      </c>
      <c r="FI19" s="7">
        <f t="shared" si="512"/>
        <v>26438335.536976673</v>
      </c>
      <c r="FJ19" s="7">
        <f t="shared" si="512"/>
        <v>25733043.536031168</v>
      </c>
      <c r="FK19" s="7">
        <f t="shared" si="512"/>
        <v>25023637.331746813</v>
      </c>
      <c r="FL19" s="7">
        <f t="shared" si="512"/>
        <v>24310092.924604133</v>
      </c>
      <c r="FM19" s="7">
        <f t="shared" si="512"/>
        <v>23592386.175086454</v>
      </c>
      <c r="FN19" s="7">
        <f t="shared" si="512"/>
        <v>22870492.802863255</v>
      </c>
      <c r="FO19" s="7">
        <f t="shared" si="512"/>
        <v>22144388.385968752</v>
      </c>
      <c r="FP19" s="7">
        <f t="shared" si="512"/>
        <v>21414048.359975699</v>
      </c>
      <c r="FQ19" s="7">
        <f t="shared" si="512"/>
        <v>20679448.017164353</v>
      </c>
      <c r="FR19" s="7">
        <f t="shared" si="512"/>
        <v>19940562.505686607</v>
      </c>
      <c r="FS19" s="7">
        <f t="shared" si="512"/>
        <v>19197366.828725241</v>
      </c>
      <c r="FT19" s="7">
        <f t="shared" si="512"/>
        <v>18449835.84364827</v>
      </c>
      <c r="FU19" s="7">
        <f t="shared" si="512"/>
        <v>17697944.261158347</v>
      </c>
      <c r="FV19" s="7">
        <f t="shared" si="512"/>
        <v>16941666.644437235</v>
      </c>
      <c r="FW19" s="7">
        <f t="shared" si="512"/>
        <v>16180977.408285249</v>
      </c>
      <c r="FX19" s="7">
        <f t="shared" si="512"/>
        <v>15415850.818255709</v>
      </c>
      <c r="FY19" s="7">
        <f t="shared" si="512"/>
        <v>14646260.98978433</v>
      </c>
      <c r="FZ19" s="7">
        <f t="shared" si="512"/>
        <v>13872181.887313535</v>
      </c>
      <c r="GA19" s="7">
        <f t="shared" si="512"/>
        <v>13093587.32341166</v>
      </c>
      <c r="GB19" s="7">
        <f t="shared" si="512"/>
        <v>12310450.957887026</v>
      </c>
      <c r="GC19" s="7">
        <f t="shared" si="512"/>
        <v>11522746.29689683</v>
      </c>
      <c r="GD19" s="7">
        <f t="shared" si="512"/>
        <v>10730446.692050857</v>
      </c>
      <c r="GE19" s="7">
        <f t="shared" si="512"/>
        <v>9933525.339509951</v>
      </c>
      <c r="GF19" s="7">
        <f t="shared" si="512"/>
        <v>9131955.2790792212</v>
      </c>
      <c r="GG19" s="7">
        <f t="shared" si="512"/>
        <v>8325709.3932959801</v>
      </c>
      <c r="GH19" s="7">
        <f t="shared" si="512"/>
        <v>7514760.4065123368</v>
      </c>
      <c r="GI19" s="7">
        <f t="shared" si="512"/>
        <v>6699080.8839724548</v>
      </c>
      <c r="GJ19" s="7">
        <f t="shared" si="512"/>
        <v>5878643.2308844235</v>
      </c>
      <c r="GK19" s="7">
        <f t="shared" si="512"/>
        <v>5053419.6914867125</v>
      </c>
      <c r="GL19" s="7">
        <f t="shared" si="512"/>
        <v>4223382.348109182</v>
      </c>
      <c r="GM19" s="7">
        <f t="shared" si="512"/>
        <v>3388503.1202286156</v>
      </c>
      <c r="GN19" s="7">
        <f t="shared" si="512"/>
        <v>2548753.7635187455</v>
      </c>
      <c r="GO19" s="7">
        <f t="shared" si="512"/>
        <v>1704105.8688947349</v>
      </c>
      <c r="GP19" s="7">
        <f t="shared" si="512"/>
        <v>854530.86155208398</v>
      </c>
      <c r="GQ19" s="7">
        <f t="shared" si="512"/>
        <v>-6.5658241510391235E-8</v>
      </c>
      <c r="GR19" s="7">
        <f t="shared" si="512"/>
        <v>0</v>
      </c>
      <c r="GS19" s="7">
        <f t="shared" si="512"/>
        <v>0</v>
      </c>
      <c r="GT19" s="7">
        <f t="shared" si="512"/>
        <v>0</v>
      </c>
      <c r="GU19" s="7">
        <f t="shared" si="512"/>
        <v>0</v>
      </c>
      <c r="GV19" s="7">
        <f t="shared" si="512"/>
        <v>0</v>
      </c>
      <c r="GW19" s="7">
        <f t="shared" si="512"/>
        <v>0</v>
      </c>
      <c r="GX19" s="7">
        <f t="shared" si="512"/>
        <v>0</v>
      </c>
      <c r="GY19" s="7">
        <f t="shared" si="512"/>
        <v>0</v>
      </c>
      <c r="GZ19" s="7">
        <f t="shared" si="512"/>
        <v>0</v>
      </c>
      <c r="HA19" s="7">
        <f t="shared" si="512"/>
        <v>0</v>
      </c>
      <c r="HB19" s="7">
        <f t="shared" si="512"/>
        <v>0</v>
      </c>
      <c r="HC19" s="7">
        <f t="shared" si="512"/>
        <v>0</v>
      </c>
      <c r="HD19" s="7">
        <f t="shared" si="512"/>
        <v>0</v>
      </c>
      <c r="HE19" s="7">
        <f t="shared" si="512"/>
        <v>0</v>
      </c>
      <c r="HF19" s="7">
        <f t="shared" si="512"/>
        <v>0</v>
      </c>
      <c r="HG19" s="7">
        <f t="shared" si="512"/>
        <v>0</v>
      </c>
      <c r="HH19" s="7">
        <f t="shared" si="512"/>
        <v>0</v>
      </c>
      <c r="HI19" s="7">
        <f t="shared" ref="HI19:JT19" si="513">HI14+HI15-HI18</f>
        <v>0</v>
      </c>
      <c r="HJ19" s="7">
        <f t="shared" si="513"/>
        <v>0</v>
      </c>
      <c r="HK19" s="7">
        <f t="shared" si="513"/>
        <v>0</v>
      </c>
      <c r="HL19" s="7">
        <f t="shared" si="513"/>
        <v>0</v>
      </c>
      <c r="HM19" s="7">
        <f t="shared" si="513"/>
        <v>0</v>
      </c>
      <c r="HN19" s="7">
        <f t="shared" si="513"/>
        <v>0</v>
      </c>
      <c r="HO19" s="7">
        <f t="shared" si="513"/>
        <v>0</v>
      </c>
      <c r="HP19" s="7">
        <f t="shared" si="513"/>
        <v>0</v>
      </c>
      <c r="HQ19" s="7">
        <f t="shared" si="513"/>
        <v>0</v>
      </c>
      <c r="HR19" s="7">
        <f t="shared" si="513"/>
        <v>0</v>
      </c>
      <c r="HS19" s="7">
        <f t="shared" si="513"/>
        <v>0</v>
      </c>
      <c r="HT19" s="7">
        <f t="shared" si="513"/>
        <v>0</v>
      </c>
      <c r="HU19" s="7">
        <f t="shared" si="513"/>
        <v>0</v>
      </c>
      <c r="HV19" s="7">
        <f t="shared" si="513"/>
        <v>0</v>
      </c>
      <c r="HW19" s="7">
        <f t="shared" si="513"/>
        <v>0</v>
      </c>
      <c r="HX19" s="7">
        <f t="shared" si="513"/>
        <v>0</v>
      </c>
      <c r="HY19" s="7">
        <f t="shared" si="513"/>
        <v>0</v>
      </c>
      <c r="HZ19" s="7">
        <f t="shared" si="513"/>
        <v>0</v>
      </c>
      <c r="IA19" s="7">
        <f t="shared" si="513"/>
        <v>0</v>
      </c>
      <c r="IB19" s="7">
        <f t="shared" si="513"/>
        <v>0</v>
      </c>
      <c r="IC19" s="7">
        <f t="shared" si="513"/>
        <v>0</v>
      </c>
      <c r="ID19" s="7">
        <f t="shared" si="513"/>
        <v>0</v>
      </c>
      <c r="IE19" s="7">
        <f t="shared" si="513"/>
        <v>0</v>
      </c>
      <c r="IF19" s="7">
        <f t="shared" si="513"/>
        <v>0</v>
      </c>
      <c r="IG19" s="7">
        <f t="shared" si="513"/>
        <v>0</v>
      </c>
      <c r="IH19" s="7">
        <f t="shared" si="513"/>
        <v>0</v>
      </c>
      <c r="II19" s="7">
        <f t="shared" si="513"/>
        <v>0</v>
      </c>
      <c r="IJ19" s="7">
        <f t="shared" si="513"/>
        <v>0</v>
      </c>
      <c r="IK19" s="7">
        <f t="shared" si="513"/>
        <v>0</v>
      </c>
      <c r="IL19" s="7">
        <f t="shared" si="513"/>
        <v>0</v>
      </c>
      <c r="IM19" s="7">
        <f t="shared" si="513"/>
        <v>0</v>
      </c>
      <c r="IN19" s="7">
        <f t="shared" si="513"/>
        <v>0</v>
      </c>
      <c r="IO19" s="7">
        <f t="shared" si="513"/>
        <v>0</v>
      </c>
      <c r="IP19" s="7">
        <f t="shared" si="513"/>
        <v>0</v>
      </c>
      <c r="IQ19" s="7">
        <f t="shared" si="513"/>
        <v>0</v>
      </c>
      <c r="IR19" s="7">
        <f t="shared" si="513"/>
        <v>0</v>
      </c>
      <c r="IS19" s="7">
        <f t="shared" si="513"/>
        <v>0</v>
      </c>
      <c r="IT19" s="7">
        <f t="shared" si="513"/>
        <v>0</v>
      </c>
      <c r="IU19" s="7">
        <f t="shared" si="513"/>
        <v>0</v>
      </c>
      <c r="IV19" s="7">
        <f t="shared" si="513"/>
        <v>0</v>
      </c>
      <c r="IW19" s="7">
        <f t="shared" si="513"/>
        <v>0</v>
      </c>
      <c r="IX19" s="7">
        <f t="shared" si="513"/>
        <v>0</v>
      </c>
      <c r="IY19" s="7">
        <f t="shared" si="513"/>
        <v>0</v>
      </c>
      <c r="IZ19" s="7">
        <f t="shared" si="513"/>
        <v>0</v>
      </c>
      <c r="JA19" s="7">
        <f t="shared" si="513"/>
        <v>0</v>
      </c>
      <c r="JB19" s="7">
        <f t="shared" si="513"/>
        <v>0</v>
      </c>
      <c r="JC19" s="7">
        <f t="shared" si="513"/>
        <v>0</v>
      </c>
      <c r="JD19" s="7">
        <f t="shared" si="513"/>
        <v>0</v>
      </c>
      <c r="JE19" s="7">
        <f t="shared" si="513"/>
        <v>0</v>
      </c>
      <c r="JF19" s="7">
        <f t="shared" si="513"/>
        <v>0</v>
      </c>
      <c r="JG19" s="7">
        <f t="shared" si="513"/>
        <v>0</v>
      </c>
      <c r="JH19" s="7">
        <f t="shared" si="513"/>
        <v>0</v>
      </c>
      <c r="JI19" s="7">
        <f t="shared" si="513"/>
        <v>0</v>
      </c>
      <c r="JJ19" s="7">
        <f t="shared" si="513"/>
        <v>0</v>
      </c>
      <c r="JK19" s="7">
        <f t="shared" si="513"/>
        <v>0</v>
      </c>
      <c r="JL19" s="7">
        <f t="shared" si="513"/>
        <v>0</v>
      </c>
      <c r="JM19" s="7">
        <f t="shared" si="513"/>
        <v>0</v>
      </c>
      <c r="JN19" s="7">
        <f t="shared" si="513"/>
        <v>0</v>
      </c>
      <c r="JO19" s="7">
        <f t="shared" si="513"/>
        <v>0</v>
      </c>
      <c r="JP19" s="7">
        <f t="shared" si="513"/>
        <v>0</v>
      </c>
      <c r="JQ19" s="7">
        <f t="shared" si="513"/>
        <v>0</v>
      </c>
      <c r="JR19" s="7">
        <f t="shared" si="513"/>
        <v>0</v>
      </c>
      <c r="JS19" s="7">
        <f t="shared" si="513"/>
        <v>0</v>
      </c>
      <c r="JT19" s="7">
        <f t="shared" si="513"/>
        <v>0</v>
      </c>
    </row>
    <row r="21" spans="1:280" x14ac:dyDescent="0.2">
      <c r="A21" s="826" t="s">
        <v>137</v>
      </c>
      <c r="B21" s="826"/>
    </row>
    <row r="22" spans="1:280" x14ac:dyDescent="0.2">
      <c r="A22" s="1" t="s">
        <v>98</v>
      </c>
      <c r="B22" s="1">
        <f>B14</f>
        <v>16</v>
      </c>
      <c r="D22" s="39" t="s">
        <v>111</v>
      </c>
      <c r="E22" s="7">
        <f>_xlfn.IFS(E$3&lt;$B$22,0,E$3=$B$22,$B$24,E$3&lt;$B$27,D$27,$E$3&lt;=$JT$3,0)</f>
        <v>0</v>
      </c>
      <c r="F22" s="7">
        <f t="shared" ref="F22:BQ22" si="514">_xlfn.IFS(F$3&lt;$B$22,0,F$3=$B$22,$B$24,F$3&lt;$B$27,E$27,$E$3&lt;=$JT$3,0)</f>
        <v>0</v>
      </c>
      <c r="G22" s="7">
        <f t="shared" si="514"/>
        <v>0</v>
      </c>
      <c r="H22" s="7">
        <f t="shared" si="514"/>
        <v>0</v>
      </c>
      <c r="I22" s="7">
        <f t="shared" si="514"/>
        <v>0</v>
      </c>
      <c r="J22" s="7">
        <f t="shared" si="514"/>
        <v>0</v>
      </c>
      <c r="K22" s="7">
        <f t="shared" si="514"/>
        <v>0</v>
      </c>
      <c r="L22" s="7">
        <f t="shared" si="514"/>
        <v>0</v>
      </c>
      <c r="M22" s="7">
        <f t="shared" si="514"/>
        <v>0</v>
      </c>
      <c r="N22" s="7">
        <f t="shared" si="514"/>
        <v>0</v>
      </c>
      <c r="O22" s="7">
        <f t="shared" si="514"/>
        <v>0</v>
      </c>
      <c r="P22" s="7">
        <f t="shared" si="514"/>
        <v>0</v>
      </c>
      <c r="Q22" s="7">
        <f t="shared" si="514"/>
        <v>0</v>
      </c>
      <c r="R22" s="7">
        <f t="shared" si="514"/>
        <v>0</v>
      </c>
      <c r="S22" s="7">
        <f t="shared" si="514"/>
        <v>0</v>
      </c>
      <c r="T22" s="7">
        <f t="shared" si="514"/>
        <v>99240750.907997727</v>
      </c>
      <c r="U22" s="7">
        <f t="shared" si="514"/>
        <v>98667386.021850184</v>
      </c>
      <c r="V22" s="7">
        <f t="shared" si="514"/>
        <v>98090676.507200122</v>
      </c>
      <c r="W22" s="7">
        <f t="shared" si="514"/>
        <v>97510602.8537146</v>
      </c>
      <c r="X22" s="7">
        <f t="shared" si="514"/>
        <v>96927145.437250406</v>
      </c>
      <c r="Y22" s="7">
        <f t="shared" si="514"/>
        <v>96340284.519190177</v>
      </c>
      <c r="Z22" s="7">
        <f t="shared" si="514"/>
        <v>95750000.245774597</v>
      </c>
      <c r="AA22" s="7">
        <f t="shared" si="514"/>
        <v>95156272.647430763</v>
      </c>
      <c r="AB22" s="7">
        <f t="shared" si="514"/>
        <v>94559081.638096586</v>
      </c>
      <c r="AC22" s="7">
        <f t="shared" si="514"/>
        <v>93958407.014541298</v>
      </c>
      <c r="AD22" s="7">
        <f t="shared" si="514"/>
        <v>93354228.455681935</v>
      </c>
      <c r="AE22" s="7">
        <f t="shared" si="514"/>
        <v>92746525.521895885</v>
      </c>
      <c r="AF22" s="7">
        <f t="shared" si="514"/>
        <v>92135277.654329419</v>
      </c>
      <c r="AG22" s="7">
        <f t="shared" si="514"/>
        <v>91520464.174202144</v>
      </c>
      <c r="AH22" s="7">
        <f t="shared" si="514"/>
        <v>90902064.282107472</v>
      </c>
      <c r="AI22" s="7">
        <f t="shared" si="514"/>
        <v>90280057.057308912</v>
      </c>
      <c r="AJ22" s="7">
        <f t="shared" si="514"/>
        <v>89654421.457032353</v>
      </c>
      <c r="AK22" s="7">
        <f t="shared" si="514"/>
        <v>89025136.31575419</v>
      </c>
      <c r="AL22" s="7">
        <f t="shared" si="514"/>
        <v>88392180.344485238</v>
      </c>
      <c r="AM22" s="7">
        <f t="shared" si="514"/>
        <v>87755532.13005054</v>
      </c>
      <c r="AN22" s="7">
        <f t="shared" si="514"/>
        <v>87115170.134364977</v>
      </c>
      <c r="AO22" s="7">
        <f t="shared" si="514"/>
        <v>86471072.69370459</v>
      </c>
      <c r="AP22" s="7">
        <f t="shared" si="514"/>
        <v>85823218.017973676</v>
      </c>
      <c r="AQ22" s="7">
        <f t="shared" si="514"/>
        <v>85171584.189967662</v>
      </c>
      <c r="AR22" s="7">
        <f t="shared" si="514"/>
        <v>84516149.16463162</v>
      </c>
      <c r="AS22" s="7">
        <f t="shared" si="514"/>
        <v>83856890.768314451</v>
      </c>
      <c r="AT22" s="7">
        <f t="shared" si="514"/>
        <v>83193786.698018759</v>
      </c>
      <c r="AU22" s="7">
        <f t="shared" si="514"/>
        <v>82526814.520646349</v>
      </c>
      <c r="AV22" s="7">
        <f t="shared" si="514"/>
        <v>81855951.672239259</v>
      </c>
      <c r="AW22" s="7">
        <f t="shared" si="514"/>
        <v>81181175.457216471</v>
      </c>
      <c r="AX22" s="7">
        <f t="shared" si="514"/>
        <v>80502463.047606051</v>
      </c>
      <c r="AY22" s="7">
        <f t="shared" si="514"/>
        <v>79819791.482272893</v>
      </c>
      <c r="AZ22" s="7">
        <f t="shared" si="514"/>
        <v>79133137.666141957</v>
      </c>
      <c r="BA22" s="7">
        <f t="shared" si="514"/>
        <v>78442478.369416922</v>
      </c>
      <c r="BB22" s="7">
        <f t="shared" si="514"/>
        <v>77747790.226794332</v>
      </c>
      <c r="BC22" s="7">
        <f t="shared" si="514"/>
        <v>77049049.736673102</v>
      </c>
      <c r="BD22" s="7">
        <f t="shared" si="514"/>
        <v>76346233.260359511</v>
      </c>
      <c r="BE22" s="7">
        <f t="shared" si="514"/>
        <v>75639317.021267414</v>
      </c>
      <c r="BF22" s="7">
        <f t="shared" si="514"/>
        <v>74928277.104113951</v>
      </c>
      <c r="BG22" s="7">
        <f t="shared" si="514"/>
        <v>74213089.454110429</v>
      </c>
      <c r="BH22" s="7">
        <f t="shared" si="514"/>
        <v>73493729.876148552</v>
      </c>
      <c r="BI22" s="7">
        <f t="shared" si="514"/>
        <v>72770174.033981889</v>
      </c>
      <c r="BJ22" s="7">
        <f t="shared" si="514"/>
        <v>72042397.449402601</v>
      </c>
      <c r="BK22" s="7">
        <f t="shared" si="514"/>
        <v>71310375.501413256</v>
      </c>
      <c r="BL22" s="7">
        <f t="shared" si="514"/>
        <v>70574083.425393984</v>
      </c>
      <c r="BM22" s="7">
        <f t="shared" si="514"/>
        <v>69833496.312264591</v>
      </c>
      <c r="BN22" s="7">
        <f t="shared" si="514"/>
        <v>69088589.10764195</v>
      </c>
      <c r="BO22" s="7">
        <f t="shared" si="514"/>
        <v>68339336.610992342</v>
      </c>
      <c r="BP22" s="7">
        <f t="shared" si="514"/>
        <v>67585713.474778935</v>
      </c>
      <c r="BQ22" s="7">
        <f t="shared" si="514"/>
        <v>66827694.203604288</v>
      </c>
      <c r="BR22" s="7">
        <f t="shared" ref="BR22:EC22" si="515">_xlfn.IFS(BR$3&lt;$B$22,0,BR$3=$B$22,$B$24,BR$3&lt;$B$27,BQ$27,$E$3&lt;=$JT$3,0)</f>
        <v>66065253.15334779</v>
      </c>
      <c r="BS22" s="7">
        <f t="shared" si="515"/>
        <v>65298364.530298129</v>
      </c>
      <c r="BT22" s="7">
        <f t="shared" si="515"/>
        <v>64527002.390280679</v>
      </c>
      <c r="BU22" s="7">
        <f t="shared" si="515"/>
        <v>63751140.637779795</v>
      </c>
      <c r="BV22" s="7">
        <f t="shared" si="515"/>
        <v>62970753.02505599</v>
      </c>
      <c r="BW22" s="7">
        <f t="shared" si="515"/>
        <v>62185813.151257962</v>
      </c>
      <c r="BX22" s="7">
        <f t="shared" si="515"/>
        <v>61396294.461529441</v>
      </c>
      <c r="BY22" s="7">
        <f t="shared" si="515"/>
        <v>60602170.246110842</v>
      </c>
      <c r="BZ22" s="7">
        <f t="shared" si="515"/>
        <v>59803413.639435634</v>
      </c>
      <c r="CA22" s="7">
        <f t="shared" si="515"/>
        <v>58999997.619221486</v>
      </c>
      <c r="CB22" s="7">
        <f t="shared" si="515"/>
        <v>58191895.005556092</v>
      </c>
      <c r="CC22" s="7">
        <f t="shared" si="515"/>
        <v>57379078.459977642</v>
      </c>
      <c r="CD22" s="7">
        <f t="shared" si="515"/>
        <v>56561520.484549984</v>
      </c>
      <c r="CE22" s="7">
        <f t="shared" si="515"/>
        <v>55739193.420932338</v>
      </c>
      <c r="CF22" s="7">
        <f t="shared" si="515"/>
        <v>54912069.449443586</v>
      </c>
      <c r="CG22" s="7">
        <f t="shared" si="515"/>
        <v>54080120.588121153</v>
      </c>
      <c r="CH22" s="7">
        <f t="shared" si="515"/>
        <v>53243318.691774338</v>
      </c>
      <c r="CI22" s="7">
        <f t="shared" si="515"/>
        <v>52401635.451032162</v>
      </c>
      <c r="CJ22" s="7">
        <f t="shared" si="515"/>
        <v>51555042.39138566</v>
      </c>
      <c r="CK22" s="7">
        <f t="shared" si="515"/>
        <v>50703510.872224554</v>
      </c>
      <c r="CL22" s="7">
        <f t="shared" si="515"/>
        <v>49847012.085868344</v>
      </c>
      <c r="CM22" s="7">
        <f t="shared" si="515"/>
        <v>48985517.056591719</v>
      </c>
      <c r="CN22" s="7">
        <f t="shared" si="515"/>
        <v>48118996.639644317</v>
      </c>
      <c r="CO22" s="7">
        <f t="shared" si="515"/>
        <v>47247421.520264722</v>
      </c>
      <c r="CP22" s="7">
        <f t="shared" si="515"/>
        <v>46370762.212688744</v>
      </c>
      <c r="CQ22" s="7">
        <f t="shared" si="515"/>
        <v>45488989.059151903</v>
      </c>
      <c r="CR22" s="7">
        <f t="shared" si="515"/>
        <v>44602072.228886098</v>
      </c>
      <c r="CS22" s="7">
        <f t="shared" si="515"/>
        <v>43709981.71711041</v>
      </c>
      <c r="CT22" s="7">
        <f t="shared" si="515"/>
        <v>42812687.34401603</v>
      </c>
      <c r="CU22" s="7">
        <f t="shared" si="515"/>
        <v>41910158.753745265</v>
      </c>
      <c r="CV22" s="7">
        <f t="shared" si="515"/>
        <v>41002365.413364589</v>
      </c>
      <c r="CW22" s="7">
        <f t="shared" si="515"/>
        <v>40089276.611831695</v>
      </c>
      <c r="CX22" s="7">
        <f t="shared" si="515"/>
        <v>39170861.458956525</v>
      </c>
      <c r="CY22" s="7">
        <f t="shared" si="515"/>
        <v>38247088.884356245</v>
      </c>
      <c r="CZ22" s="7">
        <f t="shared" si="515"/>
        <v>37317927.636404134</v>
      </c>
      <c r="DA22" s="7">
        <f t="shared" si="515"/>
        <v>36383346.281172305</v>
      </c>
      <c r="DB22" s="7">
        <f t="shared" si="515"/>
        <v>35443313.201368287</v>
      </c>
      <c r="DC22" s="7">
        <f t="shared" si="515"/>
        <v>34497796.595265411</v>
      </c>
      <c r="DD22" s="7">
        <f t="shared" si="515"/>
        <v>33546764.475626934</v>
      </c>
      <c r="DE22" s="7">
        <f t="shared" si="515"/>
        <v>32590184.668623902</v>
      </c>
      <c r="DF22" s="7">
        <f t="shared" si="515"/>
        <v>31628024.812746685</v>
      </c>
      <c r="DG22" s="7">
        <f t="shared" si="515"/>
        <v>30660252.357710183</v>
      </c>
      <c r="DH22" s="7">
        <f t="shared" si="515"/>
        <v>29686834.563352637</v>
      </c>
      <c r="DI22" s="7">
        <f t="shared" si="515"/>
        <v>28707738.498528004</v>
      </c>
      <c r="DJ22" s="7">
        <f t="shared" si="515"/>
        <v>27722931.039991893</v>
      </c>
      <c r="DK22" s="7">
        <f t="shared" si="515"/>
        <v>26732378.871280991</v>
      </c>
      <c r="DL22" s="7">
        <f t="shared" si="515"/>
        <v>25736048.481585938</v>
      </c>
      <c r="DM22" s="7">
        <f t="shared" si="515"/>
        <v>24733906.164617665</v>
      </c>
      <c r="DN22" s="7">
        <f t="shared" si="515"/>
        <v>23725918.017467078</v>
      </c>
      <c r="DO22" s="7">
        <f t="shared" si="515"/>
        <v>22712049.939458113</v>
      </c>
      <c r="DP22" s="7">
        <f t="shared" si="515"/>
        <v>21692267.630994096</v>
      </c>
      <c r="DQ22" s="7">
        <f t="shared" si="515"/>
        <v>20666536.592397373</v>
      </c>
      <c r="DR22" s="7">
        <f t="shared" si="515"/>
        <v>19634822.122742169</v>
      </c>
      <c r="DS22" s="7">
        <f t="shared" si="515"/>
        <v>18597089.31868064</v>
      </c>
      <c r="DT22" s="7">
        <f t="shared" si="515"/>
        <v>17553303.073262088</v>
      </c>
      <c r="DU22" s="7">
        <f t="shared" si="515"/>
        <v>16503428.07474526</v>
      </c>
      <c r="DV22" s="7">
        <f t="shared" si="515"/>
        <v>15447428.80540375</v>
      </c>
      <c r="DW22" s="7">
        <f t="shared" si="515"/>
        <v>14385269.540324416</v>
      </c>
      <c r="DX22" s="7">
        <f t="shared" si="515"/>
        <v>13316914.346198784</v>
      </c>
      <c r="DY22" s="7">
        <f t="shared" si="515"/>
        <v>12242327.080107421</v>
      </c>
      <c r="DZ22" s="7">
        <f t="shared" si="515"/>
        <v>11161471.388297191</v>
      </c>
      <c r="EA22" s="7">
        <f t="shared" si="515"/>
        <v>10074310.704951402</v>
      </c>
      <c r="EB22" s="7">
        <f t="shared" si="515"/>
        <v>8980808.2509527616</v>
      </c>
      <c r="EC22" s="7">
        <f t="shared" si="515"/>
        <v>7880927.0326391291</v>
      </c>
      <c r="ED22" s="7">
        <f t="shared" ref="ED22:GO22" si="516">_xlfn.IFS(ED$3&lt;$B$22,0,ED$3=$B$22,$B$24,ED$3&lt;$B$27,EC$27,$E$3&lt;=$JT$3,0)</f>
        <v>6774629.8405520003</v>
      </c>
      <c r="EE22" s="7">
        <f t="shared" si="516"/>
        <v>5661879.248177697</v>
      </c>
      <c r="EF22" s="7">
        <f t="shared" si="516"/>
        <v>4542637.6106812097</v>
      </c>
      <c r="EG22" s="7">
        <f t="shared" si="516"/>
        <v>3416867.0636326596</v>
      </c>
      <c r="EH22" s="7">
        <f t="shared" si="516"/>
        <v>2284529.5217263266</v>
      </c>
      <c r="EI22" s="7">
        <f t="shared" si="516"/>
        <v>1145586.6774922067</v>
      </c>
      <c r="EJ22" s="7">
        <f t="shared" si="516"/>
        <v>0</v>
      </c>
      <c r="EK22" s="7">
        <f t="shared" si="516"/>
        <v>0</v>
      </c>
      <c r="EL22" s="7">
        <f t="shared" si="516"/>
        <v>0</v>
      </c>
      <c r="EM22" s="7">
        <f t="shared" si="516"/>
        <v>0</v>
      </c>
      <c r="EN22" s="7">
        <f t="shared" si="516"/>
        <v>0</v>
      </c>
      <c r="EO22" s="7">
        <f t="shared" si="516"/>
        <v>0</v>
      </c>
      <c r="EP22" s="7">
        <f t="shared" si="516"/>
        <v>0</v>
      </c>
      <c r="EQ22" s="7">
        <f t="shared" si="516"/>
        <v>0</v>
      </c>
      <c r="ER22" s="7">
        <f t="shared" si="516"/>
        <v>0</v>
      </c>
      <c r="ES22" s="7">
        <f t="shared" si="516"/>
        <v>0</v>
      </c>
      <c r="ET22" s="7">
        <f t="shared" si="516"/>
        <v>0</v>
      </c>
      <c r="EU22" s="7">
        <f t="shared" si="516"/>
        <v>0</v>
      </c>
      <c r="EV22" s="7">
        <f t="shared" si="516"/>
        <v>0</v>
      </c>
      <c r="EW22" s="7">
        <f t="shared" si="516"/>
        <v>0</v>
      </c>
      <c r="EX22" s="7">
        <f t="shared" si="516"/>
        <v>0</v>
      </c>
      <c r="EY22" s="7">
        <f t="shared" si="516"/>
        <v>0</v>
      </c>
      <c r="EZ22" s="7">
        <f t="shared" si="516"/>
        <v>0</v>
      </c>
      <c r="FA22" s="7">
        <f t="shared" si="516"/>
        <v>0</v>
      </c>
      <c r="FB22" s="7">
        <f t="shared" si="516"/>
        <v>0</v>
      </c>
      <c r="FC22" s="7">
        <f t="shared" si="516"/>
        <v>0</v>
      </c>
      <c r="FD22" s="7">
        <f t="shared" si="516"/>
        <v>0</v>
      </c>
      <c r="FE22" s="7">
        <f t="shared" si="516"/>
        <v>0</v>
      </c>
      <c r="FF22" s="7">
        <f t="shared" si="516"/>
        <v>0</v>
      </c>
      <c r="FG22" s="7">
        <f t="shared" si="516"/>
        <v>0</v>
      </c>
      <c r="FH22" s="7">
        <f t="shared" si="516"/>
        <v>0</v>
      </c>
      <c r="FI22" s="7">
        <f t="shared" si="516"/>
        <v>0</v>
      </c>
      <c r="FJ22" s="7">
        <f t="shared" si="516"/>
        <v>0</v>
      </c>
      <c r="FK22" s="7">
        <f t="shared" si="516"/>
        <v>0</v>
      </c>
      <c r="FL22" s="7">
        <f t="shared" si="516"/>
        <v>0</v>
      </c>
      <c r="FM22" s="7">
        <f t="shared" si="516"/>
        <v>0</v>
      </c>
      <c r="FN22" s="7">
        <f t="shared" si="516"/>
        <v>0</v>
      </c>
      <c r="FO22" s="7">
        <f t="shared" si="516"/>
        <v>0</v>
      </c>
      <c r="FP22" s="7">
        <f t="shared" si="516"/>
        <v>0</v>
      </c>
      <c r="FQ22" s="7">
        <f t="shared" si="516"/>
        <v>0</v>
      </c>
      <c r="FR22" s="7">
        <f t="shared" si="516"/>
        <v>0</v>
      </c>
      <c r="FS22" s="7">
        <f t="shared" si="516"/>
        <v>0</v>
      </c>
      <c r="FT22" s="7">
        <f t="shared" si="516"/>
        <v>0</v>
      </c>
      <c r="FU22" s="7">
        <f t="shared" si="516"/>
        <v>0</v>
      </c>
      <c r="FV22" s="7">
        <f t="shared" si="516"/>
        <v>0</v>
      </c>
      <c r="FW22" s="7">
        <f t="shared" si="516"/>
        <v>0</v>
      </c>
      <c r="FX22" s="7">
        <f t="shared" si="516"/>
        <v>0</v>
      </c>
      <c r="FY22" s="7">
        <f t="shared" si="516"/>
        <v>0</v>
      </c>
      <c r="FZ22" s="7">
        <f t="shared" si="516"/>
        <v>0</v>
      </c>
      <c r="GA22" s="7">
        <f t="shared" si="516"/>
        <v>0</v>
      </c>
      <c r="GB22" s="7">
        <f t="shared" si="516"/>
        <v>0</v>
      </c>
      <c r="GC22" s="7">
        <f t="shared" si="516"/>
        <v>0</v>
      </c>
      <c r="GD22" s="7">
        <f t="shared" si="516"/>
        <v>0</v>
      </c>
      <c r="GE22" s="7">
        <f t="shared" si="516"/>
        <v>0</v>
      </c>
      <c r="GF22" s="7">
        <f t="shared" si="516"/>
        <v>0</v>
      </c>
      <c r="GG22" s="7">
        <f t="shared" si="516"/>
        <v>0</v>
      </c>
      <c r="GH22" s="7">
        <f t="shared" si="516"/>
        <v>0</v>
      </c>
      <c r="GI22" s="7">
        <f t="shared" si="516"/>
        <v>0</v>
      </c>
      <c r="GJ22" s="7">
        <f t="shared" si="516"/>
        <v>0</v>
      </c>
      <c r="GK22" s="7">
        <f t="shared" si="516"/>
        <v>0</v>
      </c>
      <c r="GL22" s="7">
        <f t="shared" si="516"/>
        <v>0</v>
      </c>
      <c r="GM22" s="7">
        <f t="shared" si="516"/>
        <v>0</v>
      </c>
      <c r="GN22" s="7">
        <f t="shared" si="516"/>
        <v>0</v>
      </c>
      <c r="GO22" s="7">
        <f t="shared" si="516"/>
        <v>0</v>
      </c>
      <c r="GP22" s="7">
        <f t="shared" ref="GP22:JA22" si="517">_xlfn.IFS(GP$3&lt;$B$22,0,GP$3=$B$22,$B$24,GP$3&lt;$B$27,GO$27,$E$3&lt;=$JT$3,0)</f>
        <v>0</v>
      </c>
      <c r="GQ22" s="7">
        <f t="shared" si="517"/>
        <v>0</v>
      </c>
      <c r="GR22" s="7">
        <f t="shared" si="517"/>
        <v>0</v>
      </c>
      <c r="GS22" s="7">
        <f t="shared" si="517"/>
        <v>0</v>
      </c>
      <c r="GT22" s="7">
        <f t="shared" si="517"/>
        <v>0</v>
      </c>
      <c r="GU22" s="7">
        <f t="shared" si="517"/>
        <v>0</v>
      </c>
      <c r="GV22" s="7">
        <f t="shared" si="517"/>
        <v>0</v>
      </c>
      <c r="GW22" s="7">
        <f t="shared" si="517"/>
        <v>0</v>
      </c>
      <c r="GX22" s="7">
        <f t="shared" si="517"/>
        <v>0</v>
      </c>
      <c r="GY22" s="7">
        <f t="shared" si="517"/>
        <v>0</v>
      </c>
      <c r="GZ22" s="7">
        <f t="shared" si="517"/>
        <v>0</v>
      </c>
      <c r="HA22" s="7">
        <f t="shared" si="517"/>
        <v>0</v>
      </c>
      <c r="HB22" s="7">
        <f t="shared" si="517"/>
        <v>0</v>
      </c>
      <c r="HC22" s="7">
        <f t="shared" si="517"/>
        <v>0</v>
      </c>
      <c r="HD22" s="7">
        <f t="shared" si="517"/>
        <v>0</v>
      </c>
      <c r="HE22" s="7">
        <f t="shared" si="517"/>
        <v>0</v>
      </c>
      <c r="HF22" s="7">
        <f t="shared" si="517"/>
        <v>0</v>
      </c>
      <c r="HG22" s="7">
        <f t="shared" si="517"/>
        <v>0</v>
      </c>
      <c r="HH22" s="7">
        <f t="shared" si="517"/>
        <v>0</v>
      </c>
      <c r="HI22" s="7">
        <f t="shared" si="517"/>
        <v>0</v>
      </c>
      <c r="HJ22" s="7">
        <f t="shared" si="517"/>
        <v>0</v>
      </c>
      <c r="HK22" s="7">
        <f t="shared" si="517"/>
        <v>0</v>
      </c>
      <c r="HL22" s="7">
        <f t="shared" si="517"/>
        <v>0</v>
      </c>
      <c r="HM22" s="7">
        <f t="shared" si="517"/>
        <v>0</v>
      </c>
      <c r="HN22" s="7">
        <f t="shared" si="517"/>
        <v>0</v>
      </c>
      <c r="HO22" s="7">
        <f t="shared" si="517"/>
        <v>0</v>
      </c>
      <c r="HP22" s="7">
        <f t="shared" si="517"/>
        <v>0</v>
      </c>
      <c r="HQ22" s="7">
        <f t="shared" si="517"/>
        <v>0</v>
      </c>
      <c r="HR22" s="7">
        <f t="shared" si="517"/>
        <v>0</v>
      </c>
      <c r="HS22" s="7">
        <f t="shared" si="517"/>
        <v>0</v>
      </c>
      <c r="HT22" s="7">
        <f t="shared" si="517"/>
        <v>0</v>
      </c>
      <c r="HU22" s="7">
        <f t="shared" si="517"/>
        <v>0</v>
      </c>
      <c r="HV22" s="7">
        <f t="shared" si="517"/>
        <v>0</v>
      </c>
      <c r="HW22" s="7">
        <f t="shared" si="517"/>
        <v>0</v>
      </c>
      <c r="HX22" s="7">
        <f t="shared" si="517"/>
        <v>0</v>
      </c>
      <c r="HY22" s="7">
        <f t="shared" si="517"/>
        <v>0</v>
      </c>
      <c r="HZ22" s="7">
        <f t="shared" si="517"/>
        <v>0</v>
      </c>
      <c r="IA22" s="7">
        <f t="shared" si="517"/>
        <v>0</v>
      </c>
      <c r="IB22" s="7">
        <f t="shared" si="517"/>
        <v>0</v>
      </c>
      <c r="IC22" s="7">
        <f t="shared" si="517"/>
        <v>0</v>
      </c>
      <c r="ID22" s="7">
        <f t="shared" si="517"/>
        <v>0</v>
      </c>
      <c r="IE22" s="7">
        <f t="shared" si="517"/>
        <v>0</v>
      </c>
      <c r="IF22" s="7">
        <f t="shared" si="517"/>
        <v>0</v>
      </c>
      <c r="IG22" s="7">
        <f t="shared" si="517"/>
        <v>0</v>
      </c>
      <c r="IH22" s="7">
        <f t="shared" si="517"/>
        <v>0</v>
      </c>
      <c r="II22" s="7">
        <f t="shared" si="517"/>
        <v>0</v>
      </c>
      <c r="IJ22" s="7">
        <f t="shared" si="517"/>
        <v>0</v>
      </c>
      <c r="IK22" s="7">
        <f t="shared" si="517"/>
        <v>0</v>
      </c>
      <c r="IL22" s="7">
        <f t="shared" si="517"/>
        <v>0</v>
      </c>
      <c r="IM22" s="7">
        <f t="shared" si="517"/>
        <v>0</v>
      </c>
      <c r="IN22" s="7">
        <f t="shared" si="517"/>
        <v>0</v>
      </c>
      <c r="IO22" s="7">
        <f t="shared" si="517"/>
        <v>0</v>
      </c>
      <c r="IP22" s="7">
        <f t="shared" si="517"/>
        <v>0</v>
      </c>
      <c r="IQ22" s="7">
        <f t="shared" si="517"/>
        <v>0</v>
      </c>
      <c r="IR22" s="7">
        <f t="shared" si="517"/>
        <v>0</v>
      </c>
      <c r="IS22" s="7">
        <f t="shared" si="517"/>
        <v>0</v>
      </c>
      <c r="IT22" s="7">
        <f t="shared" si="517"/>
        <v>0</v>
      </c>
      <c r="IU22" s="7">
        <f t="shared" si="517"/>
        <v>0</v>
      </c>
      <c r="IV22" s="7">
        <f t="shared" si="517"/>
        <v>0</v>
      </c>
      <c r="IW22" s="7">
        <f t="shared" si="517"/>
        <v>0</v>
      </c>
      <c r="IX22" s="7">
        <f t="shared" si="517"/>
        <v>0</v>
      </c>
      <c r="IY22" s="7">
        <f t="shared" si="517"/>
        <v>0</v>
      </c>
      <c r="IZ22" s="7">
        <f t="shared" si="517"/>
        <v>0</v>
      </c>
      <c r="JA22" s="7">
        <f t="shared" si="517"/>
        <v>0</v>
      </c>
      <c r="JB22" s="7">
        <f t="shared" ref="JB22:JT22" si="518">_xlfn.IFS(JB$3&lt;$B$22,0,JB$3=$B$22,$B$24,JB$3&lt;$B$27,JA$27,$E$3&lt;=$JT$3,0)</f>
        <v>0</v>
      </c>
      <c r="JC22" s="7">
        <f t="shared" si="518"/>
        <v>0</v>
      </c>
      <c r="JD22" s="7">
        <f t="shared" si="518"/>
        <v>0</v>
      </c>
      <c r="JE22" s="7">
        <f t="shared" si="518"/>
        <v>0</v>
      </c>
      <c r="JF22" s="7">
        <f t="shared" si="518"/>
        <v>0</v>
      </c>
      <c r="JG22" s="7">
        <f t="shared" si="518"/>
        <v>0</v>
      </c>
      <c r="JH22" s="7">
        <f t="shared" si="518"/>
        <v>0</v>
      </c>
      <c r="JI22" s="7">
        <f t="shared" si="518"/>
        <v>0</v>
      </c>
      <c r="JJ22" s="7">
        <f t="shared" si="518"/>
        <v>0</v>
      </c>
      <c r="JK22" s="7">
        <f t="shared" si="518"/>
        <v>0</v>
      </c>
      <c r="JL22" s="7">
        <f t="shared" si="518"/>
        <v>0</v>
      </c>
      <c r="JM22" s="7">
        <f t="shared" si="518"/>
        <v>0</v>
      </c>
      <c r="JN22" s="7">
        <f t="shared" si="518"/>
        <v>0</v>
      </c>
      <c r="JO22" s="7">
        <f t="shared" si="518"/>
        <v>0</v>
      </c>
      <c r="JP22" s="7">
        <f t="shared" si="518"/>
        <v>0</v>
      </c>
      <c r="JQ22" s="7">
        <f t="shared" si="518"/>
        <v>0</v>
      </c>
      <c r="JR22" s="7">
        <f t="shared" si="518"/>
        <v>0</v>
      </c>
      <c r="JS22" s="7">
        <f t="shared" si="518"/>
        <v>0</v>
      </c>
      <c r="JT22" s="7">
        <f t="shared" si="518"/>
        <v>0</v>
      </c>
    </row>
    <row r="23" spans="1:280" x14ac:dyDescent="0.2">
      <c r="A23" s="1" t="s">
        <v>116</v>
      </c>
      <c r="B23" s="26">
        <f>B7-B15</f>
        <v>0.36322943391612639</v>
      </c>
      <c r="D23" s="3" t="s">
        <v>113</v>
      </c>
    </row>
    <row r="24" spans="1:280" x14ac:dyDescent="0.2">
      <c r="A24" s="1" t="s">
        <v>104</v>
      </c>
      <c r="B24" s="45">
        <f>Summary!$I$7*'Capital Contributions'!$B$23</f>
        <v>99240750.907997727</v>
      </c>
      <c r="D24" s="3" t="s">
        <v>108</v>
      </c>
      <c r="E24" s="33">
        <f>_xlfn.IFS(E$3&lt;$B$22,0,E$3&lt;$B$27,PMT(($B$25/12),($B$26*12),-$B$24),E$3&lt;=$JT$3,0)</f>
        <v>0</v>
      </c>
      <c r="F24" s="33">
        <f t="shared" ref="F24:BQ24" si="519">_xlfn.IFS(F$3&lt;$B$22,0,F$3&lt;$B$27,PMT(($B$25/12),($B$26*12),-$B$24),F$3&lt;=$JT$3,0)</f>
        <v>0</v>
      </c>
      <c r="G24" s="33">
        <f t="shared" si="519"/>
        <v>0</v>
      </c>
      <c r="H24" s="33">
        <f t="shared" si="519"/>
        <v>0</v>
      </c>
      <c r="I24" s="33">
        <f t="shared" si="519"/>
        <v>0</v>
      </c>
      <c r="J24" s="33">
        <f t="shared" si="519"/>
        <v>0</v>
      </c>
      <c r="K24" s="33">
        <f t="shared" si="519"/>
        <v>0</v>
      </c>
      <c r="L24" s="33">
        <f t="shared" si="519"/>
        <v>0</v>
      </c>
      <c r="M24" s="33">
        <f t="shared" si="519"/>
        <v>0</v>
      </c>
      <c r="N24" s="33">
        <f t="shared" si="519"/>
        <v>0</v>
      </c>
      <c r="O24" s="33">
        <f t="shared" si="519"/>
        <v>0</v>
      </c>
      <c r="P24" s="33">
        <f t="shared" si="519"/>
        <v>0</v>
      </c>
      <c r="Q24" s="33">
        <f t="shared" si="519"/>
        <v>0</v>
      </c>
      <c r="R24" s="33">
        <f t="shared" si="519"/>
        <v>0</v>
      </c>
      <c r="S24" s="33">
        <f t="shared" si="519"/>
        <v>0</v>
      </c>
      <c r="T24" s="33">
        <f t="shared" si="519"/>
        <v>1152269.2664441902</v>
      </c>
      <c r="U24" s="33">
        <f t="shared" si="519"/>
        <v>1152269.2664441902</v>
      </c>
      <c r="V24" s="33">
        <f t="shared" si="519"/>
        <v>1152269.2664441902</v>
      </c>
      <c r="W24" s="33">
        <f t="shared" si="519"/>
        <v>1152269.2664441902</v>
      </c>
      <c r="X24" s="33">
        <f t="shared" si="519"/>
        <v>1152269.2664441902</v>
      </c>
      <c r="Y24" s="33">
        <f t="shared" si="519"/>
        <v>1152269.2664441902</v>
      </c>
      <c r="Z24" s="33">
        <f t="shared" si="519"/>
        <v>1152269.2664441902</v>
      </c>
      <c r="AA24" s="33">
        <f t="shared" si="519"/>
        <v>1152269.2664441902</v>
      </c>
      <c r="AB24" s="33">
        <f t="shared" si="519"/>
        <v>1152269.2664441902</v>
      </c>
      <c r="AC24" s="33">
        <f t="shared" si="519"/>
        <v>1152269.2664441902</v>
      </c>
      <c r="AD24" s="33">
        <f t="shared" si="519"/>
        <v>1152269.2664441902</v>
      </c>
      <c r="AE24" s="33">
        <f t="shared" si="519"/>
        <v>1152269.2664441902</v>
      </c>
      <c r="AF24" s="33">
        <f t="shared" si="519"/>
        <v>1152269.2664441902</v>
      </c>
      <c r="AG24" s="33">
        <f t="shared" si="519"/>
        <v>1152269.2664441902</v>
      </c>
      <c r="AH24" s="33">
        <f t="shared" si="519"/>
        <v>1152269.2664441902</v>
      </c>
      <c r="AI24" s="33">
        <f t="shared" si="519"/>
        <v>1152269.2664441902</v>
      </c>
      <c r="AJ24" s="33">
        <f t="shared" si="519"/>
        <v>1152269.2664441902</v>
      </c>
      <c r="AK24" s="33">
        <f t="shared" si="519"/>
        <v>1152269.2664441902</v>
      </c>
      <c r="AL24" s="33">
        <f t="shared" si="519"/>
        <v>1152269.2664441902</v>
      </c>
      <c r="AM24" s="33">
        <f t="shared" si="519"/>
        <v>1152269.2664441902</v>
      </c>
      <c r="AN24" s="33">
        <f t="shared" si="519"/>
        <v>1152269.2664441902</v>
      </c>
      <c r="AO24" s="33">
        <f t="shared" si="519"/>
        <v>1152269.2664441902</v>
      </c>
      <c r="AP24" s="33">
        <f t="shared" si="519"/>
        <v>1152269.2664441902</v>
      </c>
      <c r="AQ24" s="33">
        <f t="shared" si="519"/>
        <v>1152269.2664441902</v>
      </c>
      <c r="AR24" s="33">
        <f t="shared" si="519"/>
        <v>1152269.2664441902</v>
      </c>
      <c r="AS24" s="33">
        <f t="shared" si="519"/>
        <v>1152269.2664441902</v>
      </c>
      <c r="AT24" s="33">
        <f t="shared" si="519"/>
        <v>1152269.2664441902</v>
      </c>
      <c r="AU24" s="33">
        <f t="shared" si="519"/>
        <v>1152269.2664441902</v>
      </c>
      <c r="AV24" s="33">
        <f t="shared" si="519"/>
        <v>1152269.2664441902</v>
      </c>
      <c r="AW24" s="33">
        <f t="shared" si="519"/>
        <v>1152269.2664441902</v>
      </c>
      <c r="AX24" s="33">
        <f t="shared" si="519"/>
        <v>1152269.2664441902</v>
      </c>
      <c r="AY24" s="33">
        <f t="shared" si="519"/>
        <v>1152269.2664441902</v>
      </c>
      <c r="AZ24" s="33">
        <f t="shared" si="519"/>
        <v>1152269.2664441902</v>
      </c>
      <c r="BA24" s="33">
        <f t="shared" si="519"/>
        <v>1152269.2664441902</v>
      </c>
      <c r="BB24" s="33">
        <f t="shared" si="519"/>
        <v>1152269.2664441902</v>
      </c>
      <c r="BC24" s="33">
        <f t="shared" si="519"/>
        <v>1152269.2664441902</v>
      </c>
      <c r="BD24" s="33">
        <f t="shared" si="519"/>
        <v>1152269.2664441902</v>
      </c>
      <c r="BE24" s="33">
        <f t="shared" si="519"/>
        <v>1152269.2664441902</v>
      </c>
      <c r="BF24" s="33">
        <f t="shared" si="519"/>
        <v>1152269.2664441902</v>
      </c>
      <c r="BG24" s="33">
        <f t="shared" si="519"/>
        <v>1152269.2664441902</v>
      </c>
      <c r="BH24" s="33">
        <f t="shared" si="519"/>
        <v>1152269.2664441902</v>
      </c>
      <c r="BI24" s="33">
        <f t="shared" si="519"/>
        <v>1152269.2664441902</v>
      </c>
      <c r="BJ24" s="33">
        <f t="shared" si="519"/>
        <v>1152269.2664441902</v>
      </c>
      <c r="BK24" s="33">
        <f t="shared" si="519"/>
        <v>1152269.2664441902</v>
      </c>
      <c r="BL24" s="33">
        <f t="shared" si="519"/>
        <v>1152269.2664441902</v>
      </c>
      <c r="BM24" s="33">
        <f t="shared" si="519"/>
        <v>1152269.2664441902</v>
      </c>
      <c r="BN24" s="33">
        <f t="shared" si="519"/>
        <v>1152269.2664441902</v>
      </c>
      <c r="BO24" s="33">
        <f t="shared" si="519"/>
        <v>1152269.2664441902</v>
      </c>
      <c r="BP24" s="33">
        <f t="shared" si="519"/>
        <v>1152269.2664441902</v>
      </c>
      <c r="BQ24" s="33">
        <f t="shared" si="519"/>
        <v>1152269.2664441902</v>
      </c>
      <c r="BR24" s="33">
        <f t="shared" ref="BR24:EC24" si="520">_xlfn.IFS(BR$3&lt;$B$22,0,BR$3&lt;$B$27,PMT(($B$25/12),($B$26*12),-$B$24),BR$3&lt;=$JT$3,0)</f>
        <v>1152269.2664441902</v>
      </c>
      <c r="BS24" s="33">
        <f t="shared" si="520"/>
        <v>1152269.2664441902</v>
      </c>
      <c r="BT24" s="33">
        <f t="shared" si="520"/>
        <v>1152269.2664441902</v>
      </c>
      <c r="BU24" s="33">
        <f t="shared" si="520"/>
        <v>1152269.2664441902</v>
      </c>
      <c r="BV24" s="33">
        <f t="shared" si="520"/>
        <v>1152269.2664441902</v>
      </c>
      <c r="BW24" s="33">
        <f t="shared" si="520"/>
        <v>1152269.2664441902</v>
      </c>
      <c r="BX24" s="33">
        <f t="shared" si="520"/>
        <v>1152269.2664441902</v>
      </c>
      <c r="BY24" s="33">
        <f t="shared" si="520"/>
        <v>1152269.2664441902</v>
      </c>
      <c r="BZ24" s="33">
        <f t="shared" si="520"/>
        <v>1152269.2664441902</v>
      </c>
      <c r="CA24" s="33">
        <f t="shared" si="520"/>
        <v>1152269.2664441902</v>
      </c>
      <c r="CB24" s="33">
        <f t="shared" si="520"/>
        <v>1152269.2664441902</v>
      </c>
      <c r="CC24" s="33">
        <f t="shared" si="520"/>
        <v>1152269.2664441902</v>
      </c>
      <c r="CD24" s="33">
        <f t="shared" si="520"/>
        <v>1152269.2664441902</v>
      </c>
      <c r="CE24" s="33">
        <f t="shared" si="520"/>
        <v>1152269.2664441902</v>
      </c>
      <c r="CF24" s="33">
        <f t="shared" si="520"/>
        <v>1152269.2664441902</v>
      </c>
      <c r="CG24" s="33">
        <f t="shared" si="520"/>
        <v>1152269.2664441902</v>
      </c>
      <c r="CH24" s="33">
        <f t="shared" si="520"/>
        <v>1152269.2664441902</v>
      </c>
      <c r="CI24" s="33">
        <f t="shared" si="520"/>
        <v>1152269.2664441902</v>
      </c>
      <c r="CJ24" s="33">
        <f t="shared" si="520"/>
        <v>1152269.2664441902</v>
      </c>
      <c r="CK24" s="33">
        <f t="shared" si="520"/>
        <v>1152269.2664441902</v>
      </c>
      <c r="CL24" s="33">
        <f t="shared" si="520"/>
        <v>1152269.2664441902</v>
      </c>
      <c r="CM24" s="33">
        <f t="shared" si="520"/>
        <v>1152269.2664441902</v>
      </c>
      <c r="CN24" s="33">
        <f t="shared" si="520"/>
        <v>1152269.2664441902</v>
      </c>
      <c r="CO24" s="33">
        <f t="shared" si="520"/>
        <v>1152269.2664441902</v>
      </c>
      <c r="CP24" s="33">
        <f t="shared" si="520"/>
        <v>1152269.2664441902</v>
      </c>
      <c r="CQ24" s="33">
        <f t="shared" si="520"/>
        <v>1152269.2664441902</v>
      </c>
      <c r="CR24" s="33">
        <f t="shared" si="520"/>
        <v>1152269.2664441902</v>
      </c>
      <c r="CS24" s="33">
        <f t="shared" si="520"/>
        <v>1152269.2664441902</v>
      </c>
      <c r="CT24" s="33">
        <f t="shared" si="520"/>
        <v>1152269.2664441902</v>
      </c>
      <c r="CU24" s="33">
        <f t="shared" si="520"/>
        <v>1152269.2664441902</v>
      </c>
      <c r="CV24" s="33">
        <f t="shared" si="520"/>
        <v>1152269.2664441902</v>
      </c>
      <c r="CW24" s="33">
        <f t="shared" si="520"/>
        <v>1152269.2664441902</v>
      </c>
      <c r="CX24" s="33">
        <f t="shared" si="520"/>
        <v>1152269.2664441902</v>
      </c>
      <c r="CY24" s="33">
        <f t="shared" si="520"/>
        <v>1152269.2664441902</v>
      </c>
      <c r="CZ24" s="33">
        <f t="shared" si="520"/>
        <v>1152269.2664441902</v>
      </c>
      <c r="DA24" s="33">
        <f t="shared" si="520"/>
        <v>1152269.2664441902</v>
      </c>
      <c r="DB24" s="33">
        <f t="shared" si="520"/>
        <v>1152269.2664441902</v>
      </c>
      <c r="DC24" s="33">
        <f t="shared" si="520"/>
        <v>1152269.2664441902</v>
      </c>
      <c r="DD24" s="33">
        <f t="shared" si="520"/>
        <v>1152269.2664441902</v>
      </c>
      <c r="DE24" s="33">
        <f t="shared" si="520"/>
        <v>1152269.2664441902</v>
      </c>
      <c r="DF24" s="33">
        <f t="shared" si="520"/>
        <v>1152269.2664441902</v>
      </c>
      <c r="DG24" s="33">
        <f t="shared" si="520"/>
        <v>1152269.2664441902</v>
      </c>
      <c r="DH24" s="33">
        <f t="shared" si="520"/>
        <v>1152269.2664441902</v>
      </c>
      <c r="DI24" s="33">
        <f t="shared" si="520"/>
        <v>1152269.2664441902</v>
      </c>
      <c r="DJ24" s="33">
        <f t="shared" si="520"/>
        <v>1152269.2664441902</v>
      </c>
      <c r="DK24" s="33">
        <f t="shared" si="520"/>
        <v>1152269.2664441902</v>
      </c>
      <c r="DL24" s="33">
        <f t="shared" si="520"/>
        <v>1152269.2664441902</v>
      </c>
      <c r="DM24" s="33">
        <f t="shared" si="520"/>
        <v>1152269.2664441902</v>
      </c>
      <c r="DN24" s="33">
        <f t="shared" si="520"/>
        <v>1152269.2664441902</v>
      </c>
      <c r="DO24" s="33">
        <f t="shared" si="520"/>
        <v>1152269.2664441902</v>
      </c>
      <c r="DP24" s="33">
        <f t="shared" si="520"/>
        <v>1152269.2664441902</v>
      </c>
      <c r="DQ24" s="33">
        <f t="shared" si="520"/>
        <v>1152269.2664441902</v>
      </c>
      <c r="DR24" s="33">
        <f t="shared" si="520"/>
        <v>1152269.2664441902</v>
      </c>
      <c r="DS24" s="33">
        <f t="shared" si="520"/>
        <v>1152269.2664441902</v>
      </c>
      <c r="DT24" s="33">
        <f t="shared" si="520"/>
        <v>1152269.2664441902</v>
      </c>
      <c r="DU24" s="33">
        <f t="shared" si="520"/>
        <v>1152269.2664441902</v>
      </c>
      <c r="DV24" s="33">
        <f t="shared" si="520"/>
        <v>1152269.2664441902</v>
      </c>
      <c r="DW24" s="33">
        <f t="shared" si="520"/>
        <v>1152269.2664441902</v>
      </c>
      <c r="DX24" s="33">
        <f t="shared" si="520"/>
        <v>1152269.2664441902</v>
      </c>
      <c r="DY24" s="33">
        <f t="shared" si="520"/>
        <v>1152269.2664441902</v>
      </c>
      <c r="DZ24" s="33">
        <f t="shared" si="520"/>
        <v>1152269.2664441902</v>
      </c>
      <c r="EA24" s="33">
        <f t="shared" si="520"/>
        <v>1152269.2664441902</v>
      </c>
      <c r="EB24" s="33">
        <f t="shared" si="520"/>
        <v>1152269.2664441902</v>
      </c>
      <c r="EC24" s="33">
        <f t="shared" si="520"/>
        <v>1152269.2664441902</v>
      </c>
      <c r="ED24" s="33">
        <f t="shared" ref="ED24:GO24" si="521">_xlfn.IFS(ED$3&lt;$B$22,0,ED$3&lt;$B$27,PMT(($B$25/12),($B$26*12),-$B$24),ED$3&lt;=$JT$3,0)</f>
        <v>1152269.2664441902</v>
      </c>
      <c r="EE24" s="33">
        <f t="shared" si="521"/>
        <v>1152269.2664441902</v>
      </c>
      <c r="EF24" s="33">
        <f t="shared" si="521"/>
        <v>1152269.2664441902</v>
      </c>
      <c r="EG24" s="33">
        <f t="shared" si="521"/>
        <v>1152269.2664441902</v>
      </c>
      <c r="EH24" s="33">
        <f t="shared" si="521"/>
        <v>1152269.2664441902</v>
      </c>
      <c r="EI24" s="33">
        <f t="shared" si="521"/>
        <v>1152269.2664441902</v>
      </c>
      <c r="EJ24" s="33">
        <f t="shared" si="521"/>
        <v>0</v>
      </c>
      <c r="EK24" s="33">
        <f t="shared" si="521"/>
        <v>0</v>
      </c>
      <c r="EL24" s="33">
        <f t="shared" si="521"/>
        <v>0</v>
      </c>
      <c r="EM24" s="33">
        <f t="shared" si="521"/>
        <v>0</v>
      </c>
      <c r="EN24" s="33">
        <f t="shared" si="521"/>
        <v>0</v>
      </c>
      <c r="EO24" s="33">
        <f t="shared" si="521"/>
        <v>0</v>
      </c>
      <c r="EP24" s="33">
        <f t="shared" si="521"/>
        <v>0</v>
      </c>
      <c r="EQ24" s="33">
        <f t="shared" si="521"/>
        <v>0</v>
      </c>
      <c r="ER24" s="33">
        <f t="shared" si="521"/>
        <v>0</v>
      </c>
      <c r="ES24" s="33">
        <f t="shared" si="521"/>
        <v>0</v>
      </c>
      <c r="ET24" s="33">
        <f t="shared" si="521"/>
        <v>0</v>
      </c>
      <c r="EU24" s="33">
        <f t="shared" si="521"/>
        <v>0</v>
      </c>
      <c r="EV24" s="33">
        <f t="shared" si="521"/>
        <v>0</v>
      </c>
      <c r="EW24" s="33">
        <f t="shared" si="521"/>
        <v>0</v>
      </c>
      <c r="EX24" s="33">
        <f t="shared" si="521"/>
        <v>0</v>
      </c>
      <c r="EY24" s="33">
        <f t="shared" si="521"/>
        <v>0</v>
      </c>
      <c r="EZ24" s="33">
        <f t="shared" si="521"/>
        <v>0</v>
      </c>
      <c r="FA24" s="33">
        <f t="shared" si="521"/>
        <v>0</v>
      </c>
      <c r="FB24" s="33">
        <f t="shared" si="521"/>
        <v>0</v>
      </c>
      <c r="FC24" s="33">
        <f t="shared" si="521"/>
        <v>0</v>
      </c>
      <c r="FD24" s="33">
        <f t="shared" si="521"/>
        <v>0</v>
      </c>
      <c r="FE24" s="33">
        <f t="shared" si="521"/>
        <v>0</v>
      </c>
      <c r="FF24" s="33">
        <f t="shared" si="521"/>
        <v>0</v>
      </c>
      <c r="FG24" s="33">
        <f t="shared" si="521"/>
        <v>0</v>
      </c>
      <c r="FH24" s="33">
        <f t="shared" si="521"/>
        <v>0</v>
      </c>
      <c r="FI24" s="33">
        <f t="shared" si="521"/>
        <v>0</v>
      </c>
      <c r="FJ24" s="33">
        <f t="shared" si="521"/>
        <v>0</v>
      </c>
      <c r="FK24" s="33">
        <f t="shared" si="521"/>
        <v>0</v>
      </c>
      <c r="FL24" s="33">
        <f t="shared" si="521"/>
        <v>0</v>
      </c>
      <c r="FM24" s="33">
        <f t="shared" si="521"/>
        <v>0</v>
      </c>
      <c r="FN24" s="33">
        <f t="shared" si="521"/>
        <v>0</v>
      </c>
      <c r="FO24" s="33">
        <f t="shared" si="521"/>
        <v>0</v>
      </c>
      <c r="FP24" s="33">
        <f t="shared" si="521"/>
        <v>0</v>
      </c>
      <c r="FQ24" s="33">
        <f t="shared" si="521"/>
        <v>0</v>
      </c>
      <c r="FR24" s="33">
        <f t="shared" si="521"/>
        <v>0</v>
      </c>
      <c r="FS24" s="33">
        <f t="shared" si="521"/>
        <v>0</v>
      </c>
      <c r="FT24" s="33">
        <f t="shared" si="521"/>
        <v>0</v>
      </c>
      <c r="FU24" s="33">
        <f t="shared" si="521"/>
        <v>0</v>
      </c>
      <c r="FV24" s="33">
        <f t="shared" si="521"/>
        <v>0</v>
      </c>
      <c r="FW24" s="33">
        <f t="shared" si="521"/>
        <v>0</v>
      </c>
      <c r="FX24" s="33">
        <f t="shared" si="521"/>
        <v>0</v>
      </c>
      <c r="FY24" s="33">
        <f t="shared" si="521"/>
        <v>0</v>
      </c>
      <c r="FZ24" s="33">
        <f t="shared" si="521"/>
        <v>0</v>
      </c>
      <c r="GA24" s="33">
        <f t="shared" si="521"/>
        <v>0</v>
      </c>
      <c r="GB24" s="33">
        <f t="shared" si="521"/>
        <v>0</v>
      </c>
      <c r="GC24" s="33">
        <f t="shared" si="521"/>
        <v>0</v>
      </c>
      <c r="GD24" s="33">
        <f t="shared" si="521"/>
        <v>0</v>
      </c>
      <c r="GE24" s="33">
        <f t="shared" si="521"/>
        <v>0</v>
      </c>
      <c r="GF24" s="33">
        <f t="shared" si="521"/>
        <v>0</v>
      </c>
      <c r="GG24" s="33">
        <f t="shared" si="521"/>
        <v>0</v>
      </c>
      <c r="GH24" s="33">
        <f t="shared" si="521"/>
        <v>0</v>
      </c>
      <c r="GI24" s="33">
        <f t="shared" si="521"/>
        <v>0</v>
      </c>
      <c r="GJ24" s="33">
        <f t="shared" si="521"/>
        <v>0</v>
      </c>
      <c r="GK24" s="33">
        <f t="shared" si="521"/>
        <v>0</v>
      </c>
      <c r="GL24" s="33">
        <f t="shared" si="521"/>
        <v>0</v>
      </c>
      <c r="GM24" s="33">
        <f t="shared" si="521"/>
        <v>0</v>
      </c>
      <c r="GN24" s="33">
        <f t="shared" si="521"/>
        <v>0</v>
      </c>
      <c r="GO24" s="33">
        <f t="shared" si="521"/>
        <v>0</v>
      </c>
      <c r="GP24" s="33">
        <f t="shared" ref="GP24:JA24" si="522">_xlfn.IFS(GP$3&lt;$B$22,0,GP$3&lt;$B$27,PMT(($B$25/12),($B$26*12),-$B$24),GP$3&lt;=$JT$3,0)</f>
        <v>0</v>
      </c>
      <c r="GQ24" s="33">
        <f t="shared" si="522"/>
        <v>0</v>
      </c>
      <c r="GR24" s="33">
        <f t="shared" si="522"/>
        <v>0</v>
      </c>
      <c r="GS24" s="33">
        <f t="shared" si="522"/>
        <v>0</v>
      </c>
      <c r="GT24" s="33">
        <f t="shared" si="522"/>
        <v>0</v>
      </c>
      <c r="GU24" s="33">
        <f t="shared" si="522"/>
        <v>0</v>
      </c>
      <c r="GV24" s="33">
        <f t="shared" si="522"/>
        <v>0</v>
      </c>
      <c r="GW24" s="33">
        <f t="shared" si="522"/>
        <v>0</v>
      </c>
      <c r="GX24" s="33">
        <f t="shared" si="522"/>
        <v>0</v>
      </c>
      <c r="GY24" s="33">
        <f t="shared" si="522"/>
        <v>0</v>
      </c>
      <c r="GZ24" s="33">
        <f t="shared" si="522"/>
        <v>0</v>
      </c>
      <c r="HA24" s="33">
        <f t="shared" si="522"/>
        <v>0</v>
      </c>
      <c r="HB24" s="33">
        <f t="shared" si="522"/>
        <v>0</v>
      </c>
      <c r="HC24" s="33">
        <f t="shared" si="522"/>
        <v>0</v>
      </c>
      <c r="HD24" s="33">
        <f t="shared" si="522"/>
        <v>0</v>
      </c>
      <c r="HE24" s="33">
        <f t="shared" si="522"/>
        <v>0</v>
      </c>
      <c r="HF24" s="33">
        <f t="shared" si="522"/>
        <v>0</v>
      </c>
      <c r="HG24" s="33">
        <f t="shared" si="522"/>
        <v>0</v>
      </c>
      <c r="HH24" s="33">
        <f t="shared" si="522"/>
        <v>0</v>
      </c>
      <c r="HI24" s="33">
        <f t="shared" si="522"/>
        <v>0</v>
      </c>
      <c r="HJ24" s="33">
        <f t="shared" si="522"/>
        <v>0</v>
      </c>
      <c r="HK24" s="33">
        <f t="shared" si="522"/>
        <v>0</v>
      </c>
      <c r="HL24" s="33">
        <f t="shared" si="522"/>
        <v>0</v>
      </c>
      <c r="HM24" s="33">
        <f t="shared" si="522"/>
        <v>0</v>
      </c>
      <c r="HN24" s="33">
        <f t="shared" si="522"/>
        <v>0</v>
      </c>
      <c r="HO24" s="33">
        <f t="shared" si="522"/>
        <v>0</v>
      </c>
      <c r="HP24" s="33">
        <f t="shared" si="522"/>
        <v>0</v>
      </c>
      <c r="HQ24" s="33">
        <f t="shared" si="522"/>
        <v>0</v>
      </c>
      <c r="HR24" s="33">
        <f t="shared" si="522"/>
        <v>0</v>
      </c>
      <c r="HS24" s="33">
        <f t="shared" si="522"/>
        <v>0</v>
      </c>
      <c r="HT24" s="33">
        <f t="shared" si="522"/>
        <v>0</v>
      </c>
      <c r="HU24" s="33">
        <f t="shared" si="522"/>
        <v>0</v>
      </c>
      <c r="HV24" s="33">
        <f t="shared" si="522"/>
        <v>0</v>
      </c>
      <c r="HW24" s="33">
        <f t="shared" si="522"/>
        <v>0</v>
      </c>
      <c r="HX24" s="33">
        <f t="shared" si="522"/>
        <v>0</v>
      </c>
      <c r="HY24" s="33">
        <f t="shared" si="522"/>
        <v>0</v>
      </c>
      <c r="HZ24" s="33">
        <f t="shared" si="522"/>
        <v>0</v>
      </c>
      <c r="IA24" s="33">
        <f t="shared" si="522"/>
        <v>0</v>
      </c>
      <c r="IB24" s="33">
        <f t="shared" si="522"/>
        <v>0</v>
      </c>
      <c r="IC24" s="33">
        <f t="shared" si="522"/>
        <v>0</v>
      </c>
      <c r="ID24" s="33">
        <f t="shared" si="522"/>
        <v>0</v>
      </c>
      <c r="IE24" s="33">
        <f t="shared" si="522"/>
        <v>0</v>
      </c>
      <c r="IF24" s="33">
        <f t="shared" si="522"/>
        <v>0</v>
      </c>
      <c r="IG24" s="33">
        <f t="shared" si="522"/>
        <v>0</v>
      </c>
      <c r="IH24" s="33">
        <f t="shared" si="522"/>
        <v>0</v>
      </c>
      <c r="II24" s="33">
        <f t="shared" si="522"/>
        <v>0</v>
      </c>
      <c r="IJ24" s="33">
        <f t="shared" si="522"/>
        <v>0</v>
      </c>
      <c r="IK24" s="33">
        <f t="shared" si="522"/>
        <v>0</v>
      </c>
      <c r="IL24" s="33">
        <f t="shared" si="522"/>
        <v>0</v>
      </c>
      <c r="IM24" s="33">
        <f t="shared" si="522"/>
        <v>0</v>
      </c>
      <c r="IN24" s="33">
        <f t="shared" si="522"/>
        <v>0</v>
      </c>
      <c r="IO24" s="33">
        <f t="shared" si="522"/>
        <v>0</v>
      </c>
      <c r="IP24" s="33">
        <f t="shared" si="522"/>
        <v>0</v>
      </c>
      <c r="IQ24" s="33">
        <f t="shared" si="522"/>
        <v>0</v>
      </c>
      <c r="IR24" s="33">
        <f t="shared" si="522"/>
        <v>0</v>
      </c>
      <c r="IS24" s="33">
        <f t="shared" si="522"/>
        <v>0</v>
      </c>
      <c r="IT24" s="33">
        <f t="shared" si="522"/>
        <v>0</v>
      </c>
      <c r="IU24" s="33">
        <f t="shared" si="522"/>
        <v>0</v>
      </c>
      <c r="IV24" s="33">
        <f t="shared" si="522"/>
        <v>0</v>
      </c>
      <c r="IW24" s="33">
        <f t="shared" si="522"/>
        <v>0</v>
      </c>
      <c r="IX24" s="33">
        <f t="shared" si="522"/>
        <v>0</v>
      </c>
      <c r="IY24" s="33">
        <f t="shared" si="522"/>
        <v>0</v>
      </c>
      <c r="IZ24" s="33">
        <f t="shared" si="522"/>
        <v>0</v>
      </c>
      <c r="JA24" s="33">
        <f t="shared" si="522"/>
        <v>0</v>
      </c>
      <c r="JB24" s="33">
        <f t="shared" ref="JB24:JT24" si="523">_xlfn.IFS(JB$3&lt;$B$22,0,JB$3&lt;$B$27,PMT(($B$25/12),($B$26*12),-$B$24),JB$3&lt;=$JT$3,0)</f>
        <v>0</v>
      </c>
      <c r="JC24" s="33">
        <f t="shared" si="523"/>
        <v>0</v>
      </c>
      <c r="JD24" s="33">
        <f t="shared" si="523"/>
        <v>0</v>
      </c>
      <c r="JE24" s="33">
        <f t="shared" si="523"/>
        <v>0</v>
      </c>
      <c r="JF24" s="33">
        <f t="shared" si="523"/>
        <v>0</v>
      </c>
      <c r="JG24" s="33">
        <f t="shared" si="523"/>
        <v>0</v>
      </c>
      <c r="JH24" s="33">
        <f t="shared" si="523"/>
        <v>0</v>
      </c>
      <c r="JI24" s="33">
        <f t="shared" si="523"/>
        <v>0</v>
      </c>
      <c r="JJ24" s="33">
        <f t="shared" si="523"/>
        <v>0</v>
      </c>
      <c r="JK24" s="33">
        <f t="shared" si="523"/>
        <v>0</v>
      </c>
      <c r="JL24" s="33">
        <f t="shared" si="523"/>
        <v>0</v>
      </c>
      <c r="JM24" s="33">
        <f t="shared" si="523"/>
        <v>0</v>
      </c>
      <c r="JN24" s="33">
        <f t="shared" si="523"/>
        <v>0</v>
      </c>
      <c r="JO24" s="33">
        <f t="shared" si="523"/>
        <v>0</v>
      </c>
      <c r="JP24" s="33">
        <f t="shared" si="523"/>
        <v>0</v>
      </c>
      <c r="JQ24" s="33">
        <f t="shared" si="523"/>
        <v>0</v>
      </c>
      <c r="JR24" s="33">
        <f t="shared" si="523"/>
        <v>0</v>
      </c>
      <c r="JS24" s="33">
        <f t="shared" si="523"/>
        <v>0</v>
      </c>
      <c r="JT24" s="33">
        <f t="shared" si="523"/>
        <v>0</v>
      </c>
    </row>
    <row r="25" spans="1:280" x14ac:dyDescent="0.2">
      <c r="A25" s="1" t="s">
        <v>105</v>
      </c>
      <c r="B25" s="40">
        <v>7.0000000000000007E-2</v>
      </c>
      <c r="D25" s="3" t="s">
        <v>109</v>
      </c>
      <c r="E25" s="33">
        <f>E22*($B$25/12)</f>
        <v>0</v>
      </c>
      <c r="F25" s="33">
        <f t="shared" ref="F25:AB25" si="524">F22*($B$25/12)</f>
        <v>0</v>
      </c>
      <c r="G25" s="33">
        <f t="shared" si="524"/>
        <v>0</v>
      </c>
      <c r="H25" s="33">
        <f t="shared" si="524"/>
        <v>0</v>
      </c>
      <c r="I25" s="33">
        <f t="shared" si="524"/>
        <v>0</v>
      </c>
      <c r="J25" s="33">
        <f t="shared" si="524"/>
        <v>0</v>
      </c>
      <c r="K25" s="33">
        <f t="shared" si="524"/>
        <v>0</v>
      </c>
      <c r="L25" s="33">
        <f t="shared" si="524"/>
        <v>0</v>
      </c>
      <c r="M25" s="33">
        <f t="shared" si="524"/>
        <v>0</v>
      </c>
      <c r="N25" s="33">
        <f t="shared" si="524"/>
        <v>0</v>
      </c>
      <c r="O25" s="33">
        <f t="shared" si="524"/>
        <v>0</v>
      </c>
      <c r="P25" s="33">
        <f t="shared" si="524"/>
        <v>0</v>
      </c>
      <c r="Q25" s="33">
        <f t="shared" si="524"/>
        <v>0</v>
      </c>
      <c r="R25" s="33">
        <f t="shared" si="524"/>
        <v>0</v>
      </c>
      <c r="S25" s="33">
        <f t="shared" si="524"/>
        <v>0</v>
      </c>
      <c r="T25" s="33">
        <f t="shared" si="524"/>
        <v>578904.38029665349</v>
      </c>
      <c r="U25" s="33">
        <f t="shared" si="524"/>
        <v>575559.75179412612</v>
      </c>
      <c r="V25" s="33">
        <f t="shared" si="524"/>
        <v>572195.61295866745</v>
      </c>
      <c r="W25" s="33">
        <f t="shared" si="524"/>
        <v>568811.8499800018</v>
      </c>
      <c r="X25" s="33">
        <f t="shared" si="524"/>
        <v>565408.34838396078</v>
      </c>
      <c r="Y25" s="33">
        <f t="shared" si="524"/>
        <v>561984.99302860943</v>
      </c>
      <c r="Z25" s="33">
        <f t="shared" si="524"/>
        <v>558541.66810035182</v>
      </c>
      <c r="AA25" s="33">
        <f t="shared" si="524"/>
        <v>555078.25711001281</v>
      </c>
      <c r="AB25" s="33">
        <f t="shared" si="524"/>
        <v>551594.64288889675</v>
      </c>
      <c r="AC25" s="33">
        <f>AC22*($B$25/12)</f>
        <v>548090.7075848243</v>
      </c>
      <c r="AD25" s="33">
        <f t="shared" ref="AD25:CN25" si="525">AD22*($B$25/12)</f>
        <v>544566.33265814465</v>
      </c>
      <c r="AE25" s="33">
        <f t="shared" si="525"/>
        <v>541021.39887772605</v>
      </c>
      <c r="AF25" s="33">
        <f t="shared" si="525"/>
        <v>537455.78631692159</v>
      </c>
      <c r="AG25" s="33">
        <f t="shared" si="525"/>
        <v>533869.37434951251</v>
      </c>
      <c r="AH25" s="33">
        <f t="shared" si="525"/>
        <v>530262.041645627</v>
      </c>
      <c r="AI25" s="33">
        <f t="shared" si="525"/>
        <v>526633.66616763535</v>
      </c>
      <c r="AJ25" s="33">
        <f t="shared" si="525"/>
        <v>522984.1251660221</v>
      </c>
      <c r="AK25" s="33">
        <f t="shared" si="525"/>
        <v>519313.29517523281</v>
      </c>
      <c r="AL25" s="33">
        <f t="shared" si="525"/>
        <v>515621.05200949725</v>
      </c>
      <c r="AM25" s="33">
        <f t="shared" si="525"/>
        <v>511907.27075862815</v>
      </c>
      <c r="AN25" s="33">
        <f t="shared" si="525"/>
        <v>508171.82578379574</v>
      </c>
      <c r="AO25" s="33">
        <f t="shared" si="525"/>
        <v>504414.59071327682</v>
      </c>
      <c r="AP25" s="33">
        <f t="shared" si="525"/>
        <v>500635.43843817979</v>
      </c>
      <c r="AQ25" s="33">
        <f t="shared" si="525"/>
        <v>496834.24110814469</v>
      </c>
      <c r="AR25" s="33">
        <f t="shared" si="525"/>
        <v>493010.87012701778</v>
      </c>
      <c r="AS25" s="33">
        <f t="shared" si="525"/>
        <v>489165.19614850101</v>
      </c>
      <c r="AT25" s="33">
        <f t="shared" si="525"/>
        <v>485297.08907177614</v>
      </c>
      <c r="AU25" s="33">
        <f t="shared" si="525"/>
        <v>481406.41803710372</v>
      </c>
      <c r="AV25" s="33">
        <f t="shared" si="525"/>
        <v>477493.05142139568</v>
      </c>
      <c r="AW25" s="33">
        <f t="shared" si="525"/>
        <v>473556.85683376278</v>
      </c>
      <c r="AX25" s="33">
        <f t="shared" si="525"/>
        <v>469597.70111103531</v>
      </c>
      <c r="AY25" s="33">
        <f t="shared" si="525"/>
        <v>465615.45031325857</v>
      </c>
      <c r="AZ25" s="33">
        <f t="shared" si="525"/>
        <v>461609.96971916145</v>
      </c>
      <c r="BA25" s="33">
        <f t="shared" si="525"/>
        <v>457581.12382159871</v>
      </c>
      <c r="BB25" s="33">
        <f t="shared" si="525"/>
        <v>453528.77632296697</v>
      </c>
      <c r="BC25" s="33">
        <f t="shared" si="525"/>
        <v>449452.79013059312</v>
      </c>
      <c r="BD25" s="33">
        <f t="shared" si="525"/>
        <v>445353.02735209715</v>
      </c>
      <c r="BE25" s="33">
        <f t="shared" si="525"/>
        <v>441229.34929072659</v>
      </c>
      <c r="BF25" s="33">
        <f t="shared" si="525"/>
        <v>437081.61644066474</v>
      </c>
      <c r="BG25" s="33">
        <f t="shared" si="525"/>
        <v>432909.68848231086</v>
      </c>
      <c r="BH25" s="33">
        <f t="shared" si="525"/>
        <v>428713.42427753325</v>
      </c>
      <c r="BI25" s="33">
        <f t="shared" si="525"/>
        <v>424492.6818648944</v>
      </c>
      <c r="BJ25" s="33">
        <f t="shared" si="525"/>
        <v>420247.31845484854</v>
      </c>
      <c r="BK25" s="33">
        <f t="shared" si="525"/>
        <v>415977.19042491069</v>
      </c>
      <c r="BL25" s="33">
        <f t="shared" si="525"/>
        <v>411682.15331479826</v>
      </c>
      <c r="BM25" s="33">
        <f t="shared" si="525"/>
        <v>407362.0618215435</v>
      </c>
      <c r="BN25" s="33">
        <f t="shared" si="525"/>
        <v>403016.76979457808</v>
      </c>
      <c r="BO25" s="33">
        <f t="shared" si="525"/>
        <v>398646.13023078867</v>
      </c>
      <c r="BP25" s="33">
        <f t="shared" si="525"/>
        <v>394249.99526954378</v>
      </c>
      <c r="BQ25" s="33">
        <f t="shared" si="525"/>
        <v>389828.21618769172</v>
      </c>
      <c r="BR25" s="33">
        <f t="shared" si="525"/>
        <v>385380.64339452877</v>
      </c>
      <c r="BS25" s="33">
        <f t="shared" si="525"/>
        <v>380907.12642673909</v>
      </c>
      <c r="BT25" s="33">
        <f t="shared" si="525"/>
        <v>376407.51394330396</v>
      </c>
      <c r="BU25" s="33">
        <f t="shared" si="525"/>
        <v>371881.65372038214</v>
      </c>
      <c r="BV25" s="33">
        <f t="shared" si="525"/>
        <v>367329.39264615998</v>
      </c>
      <c r="BW25" s="33">
        <f t="shared" si="525"/>
        <v>362750.57671567146</v>
      </c>
      <c r="BX25" s="33">
        <f t="shared" si="525"/>
        <v>358145.05102558841</v>
      </c>
      <c r="BY25" s="33">
        <f t="shared" si="525"/>
        <v>353512.65976897994</v>
      </c>
      <c r="BZ25" s="33">
        <f t="shared" si="525"/>
        <v>348853.2462300412</v>
      </c>
      <c r="CA25" s="33">
        <f t="shared" si="525"/>
        <v>344166.65277879202</v>
      </c>
      <c r="CB25" s="33">
        <f t="shared" si="525"/>
        <v>339452.72086574388</v>
      </c>
      <c r="CC25" s="33">
        <f t="shared" si="525"/>
        <v>334711.29101653624</v>
      </c>
      <c r="CD25" s="33">
        <f t="shared" si="525"/>
        <v>329942.20282654162</v>
      </c>
      <c r="CE25" s="33">
        <f t="shared" si="525"/>
        <v>325145.29495543864</v>
      </c>
      <c r="CF25" s="33">
        <f t="shared" si="525"/>
        <v>320320.40512175427</v>
      </c>
      <c r="CG25" s="33">
        <f t="shared" si="525"/>
        <v>315467.37009737344</v>
      </c>
      <c r="CH25" s="33">
        <f t="shared" si="525"/>
        <v>310586.02570201701</v>
      </c>
      <c r="CI25" s="33">
        <f t="shared" si="525"/>
        <v>305676.20679768763</v>
      </c>
      <c r="CJ25" s="33">
        <f t="shared" si="525"/>
        <v>300737.74728308304</v>
      </c>
      <c r="CK25" s="33">
        <f t="shared" si="525"/>
        <v>295770.48008797655</v>
      </c>
      <c r="CL25" s="33">
        <f t="shared" si="525"/>
        <v>290774.23716756533</v>
      </c>
      <c r="CM25" s="33">
        <f t="shared" si="525"/>
        <v>285748.84949678503</v>
      </c>
      <c r="CN25" s="33">
        <f t="shared" si="525"/>
        <v>280694.14706459187</v>
      </c>
      <c r="CO25" s="33">
        <f t="shared" ref="CO25:CZ25" si="526">CO22*($B$25/12)</f>
        <v>275609.9588682109</v>
      </c>
      <c r="CP25" s="33">
        <f t="shared" si="526"/>
        <v>270496.11290735099</v>
      </c>
      <c r="CQ25" s="33">
        <f t="shared" si="526"/>
        <v>265352.43617838609</v>
      </c>
      <c r="CR25" s="33">
        <f t="shared" si="526"/>
        <v>260178.75466850225</v>
      </c>
      <c r="CS25" s="33">
        <f t="shared" si="526"/>
        <v>254974.89334981074</v>
      </c>
      <c r="CT25" s="33">
        <f t="shared" si="526"/>
        <v>249740.67617342685</v>
      </c>
      <c r="CU25" s="33">
        <f t="shared" si="526"/>
        <v>244475.92606351405</v>
      </c>
      <c r="CV25" s="33">
        <f t="shared" si="526"/>
        <v>239180.46491129344</v>
      </c>
      <c r="CW25" s="33">
        <f t="shared" si="526"/>
        <v>233854.11356901823</v>
      </c>
      <c r="CX25" s="33">
        <f t="shared" si="526"/>
        <v>228496.69184391308</v>
      </c>
      <c r="CY25" s="33">
        <f t="shared" si="526"/>
        <v>223108.01849207812</v>
      </c>
      <c r="CZ25" s="33">
        <f t="shared" si="526"/>
        <v>217687.91121235746</v>
      </c>
      <c r="DA25" s="33">
        <f t="shared" ref="DA25:DL25" si="527">DA22*($B$25/12)</f>
        <v>212236.1866401718</v>
      </c>
      <c r="DB25" s="33">
        <f t="shared" si="527"/>
        <v>206752.66034131503</v>
      </c>
      <c r="DC25" s="33">
        <f t="shared" si="527"/>
        <v>201237.1468057149</v>
      </c>
      <c r="DD25" s="33">
        <f t="shared" si="527"/>
        <v>195689.45944115712</v>
      </c>
      <c r="DE25" s="33">
        <f t="shared" si="527"/>
        <v>190109.41056697277</v>
      </c>
      <c r="DF25" s="33">
        <f t="shared" si="527"/>
        <v>184496.81140768901</v>
      </c>
      <c r="DG25" s="33">
        <f t="shared" si="527"/>
        <v>178851.47208664275</v>
      </c>
      <c r="DH25" s="33">
        <f t="shared" si="527"/>
        <v>173173.20161955705</v>
      </c>
      <c r="DI25" s="33">
        <f t="shared" si="527"/>
        <v>167461.80790808002</v>
      </c>
      <c r="DJ25" s="33">
        <f t="shared" si="527"/>
        <v>161717.09773328603</v>
      </c>
      <c r="DK25" s="33">
        <f t="shared" si="527"/>
        <v>155938.8767491391</v>
      </c>
      <c r="DL25" s="33">
        <f t="shared" si="527"/>
        <v>150126.94947591799</v>
      </c>
      <c r="DM25" s="33">
        <f t="shared" ref="DM25:DX25" si="528">DM22*($B$25/12)</f>
        <v>144281.11929360306</v>
      </c>
      <c r="DN25" s="33">
        <f t="shared" si="528"/>
        <v>138401.18843522461</v>
      </c>
      <c r="DO25" s="33">
        <f t="shared" si="528"/>
        <v>132486.95798017233</v>
      </c>
      <c r="DP25" s="33">
        <f t="shared" si="528"/>
        <v>126538.22784746556</v>
      </c>
      <c r="DQ25" s="33">
        <f t="shared" si="528"/>
        <v>120554.79678898468</v>
      </c>
      <c r="DR25" s="33">
        <f t="shared" si="528"/>
        <v>114536.46238266265</v>
      </c>
      <c r="DS25" s="33">
        <f t="shared" si="528"/>
        <v>108483.02102563708</v>
      </c>
      <c r="DT25" s="33">
        <f t="shared" si="528"/>
        <v>102394.26792736219</v>
      </c>
      <c r="DU25" s="33">
        <f t="shared" si="528"/>
        <v>96269.997102680689</v>
      </c>
      <c r="DV25" s="33">
        <f t="shared" si="528"/>
        <v>90110.001364855212</v>
      </c>
      <c r="DW25" s="33">
        <f t="shared" si="528"/>
        <v>83914.07231855909</v>
      </c>
      <c r="DX25" s="33">
        <f t="shared" si="528"/>
        <v>77682.000352826246</v>
      </c>
      <c r="DY25" s="33">
        <f t="shared" ref="DY25:EJ25" si="529">DY22*($B$25/12)</f>
        <v>71413.574633959957</v>
      </c>
      <c r="DZ25" s="33">
        <f t="shared" si="529"/>
        <v>65108.583098400282</v>
      </c>
      <c r="EA25" s="33">
        <f t="shared" si="529"/>
        <v>58766.812445549847</v>
      </c>
      <c r="EB25" s="33">
        <f t="shared" si="529"/>
        <v>52388.048130557778</v>
      </c>
      <c r="EC25" s="33">
        <f t="shared" si="529"/>
        <v>45972.074357061589</v>
      </c>
      <c r="ED25" s="33">
        <f t="shared" si="529"/>
        <v>39518.674069886671</v>
      </c>
      <c r="EE25" s="33">
        <f t="shared" si="529"/>
        <v>33027.628947703233</v>
      </c>
      <c r="EF25" s="33">
        <f t="shared" si="529"/>
        <v>26498.71939564039</v>
      </c>
      <c r="EG25" s="33">
        <f t="shared" si="529"/>
        <v>19931.724537857182</v>
      </c>
      <c r="EH25" s="33">
        <f t="shared" si="529"/>
        <v>13326.422210070239</v>
      </c>
      <c r="EI25" s="33">
        <f t="shared" si="529"/>
        <v>6682.5889520378723</v>
      </c>
      <c r="EJ25" s="33">
        <f t="shared" si="529"/>
        <v>0</v>
      </c>
      <c r="EK25" s="33">
        <f t="shared" ref="EK25:ES25" si="530">EK22*($B$25/12)</f>
        <v>0</v>
      </c>
      <c r="EL25" s="33">
        <f t="shared" si="530"/>
        <v>0</v>
      </c>
      <c r="EM25" s="33">
        <f t="shared" si="530"/>
        <v>0</v>
      </c>
      <c r="EN25" s="33">
        <f t="shared" si="530"/>
        <v>0</v>
      </c>
      <c r="EO25" s="33">
        <f t="shared" si="530"/>
        <v>0</v>
      </c>
      <c r="EP25" s="33">
        <f t="shared" si="530"/>
        <v>0</v>
      </c>
      <c r="EQ25" s="33">
        <f t="shared" si="530"/>
        <v>0</v>
      </c>
      <c r="ER25" s="33">
        <f t="shared" ref="ER25" si="531">ER22*($B$25/12)</f>
        <v>0</v>
      </c>
      <c r="ES25" s="33">
        <f t="shared" si="530"/>
        <v>0</v>
      </c>
      <c r="ET25" s="33">
        <f t="shared" ref="ET25:HE25" si="532">ET22*($B$25/12)</f>
        <v>0</v>
      </c>
      <c r="EU25" s="33">
        <f t="shared" si="532"/>
        <v>0</v>
      </c>
      <c r="EV25" s="33">
        <f t="shared" si="532"/>
        <v>0</v>
      </c>
      <c r="EW25" s="33">
        <f t="shared" si="532"/>
        <v>0</v>
      </c>
      <c r="EX25" s="33">
        <f t="shared" si="532"/>
        <v>0</v>
      </c>
      <c r="EY25" s="33">
        <f t="shared" si="532"/>
        <v>0</v>
      </c>
      <c r="EZ25" s="33">
        <f t="shared" si="532"/>
        <v>0</v>
      </c>
      <c r="FA25" s="33">
        <f t="shared" si="532"/>
        <v>0</v>
      </c>
      <c r="FB25" s="33">
        <f t="shared" si="532"/>
        <v>0</v>
      </c>
      <c r="FC25" s="33">
        <f t="shared" si="532"/>
        <v>0</v>
      </c>
      <c r="FD25" s="33">
        <f t="shared" si="532"/>
        <v>0</v>
      </c>
      <c r="FE25" s="33">
        <f t="shared" si="532"/>
        <v>0</v>
      </c>
      <c r="FF25" s="33">
        <f t="shared" si="532"/>
        <v>0</v>
      </c>
      <c r="FG25" s="33">
        <f t="shared" si="532"/>
        <v>0</v>
      </c>
      <c r="FH25" s="33">
        <f t="shared" si="532"/>
        <v>0</v>
      </c>
      <c r="FI25" s="33">
        <f t="shared" si="532"/>
        <v>0</v>
      </c>
      <c r="FJ25" s="33">
        <f t="shared" si="532"/>
        <v>0</v>
      </c>
      <c r="FK25" s="33">
        <f t="shared" si="532"/>
        <v>0</v>
      </c>
      <c r="FL25" s="33">
        <f t="shared" si="532"/>
        <v>0</v>
      </c>
      <c r="FM25" s="33">
        <f t="shared" si="532"/>
        <v>0</v>
      </c>
      <c r="FN25" s="33">
        <f t="shared" si="532"/>
        <v>0</v>
      </c>
      <c r="FO25" s="33">
        <f t="shared" si="532"/>
        <v>0</v>
      </c>
      <c r="FP25" s="33">
        <f t="shared" si="532"/>
        <v>0</v>
      </c>
      <c r="FQ25" s="33">
        <f t="shared" si="532"/>
        <v>0</v>
      </c>
      <c r="FR25" s="33">
        <f t="shared" si="532"/>
        <v>0</v>
      </c>
      <c r="FS25" s="33">
        <f t="shared" si="532"/>
        <v>0</v>
      </c>
      <c r="FT25" s="33">
        <f t="shared" si="532"/>
        <v>0</v>
      </c>
      <c r="FU25" s="33">
        <f t="shared" si="532"/>
        <v>0</v>
      </c>
      <c r="FV25" s="33">
        <f t="shared" si="532"/>
        <v>0</v>
      </c>
      <c r="FW25" s="33">
        <f t="shared" si="532"/>
        <v>0</v>
      </c>
      <c r="FX25" s="33">
        <f t="shared" si="532"/>
        <v>0</v>
      </c>
      <c r="FY25" s="33">
        <f t="shared" si="532"/>
        <v>0</v>
      </c>
      <c r="FZ25" s="33">
        <f t="shared" si="532"/>
        <v>0</v>
      </c>
      <c r="GA25" s="33">
        <f t="shared" si="532"/>
        <v>0</v>
      </c>
      <c r="GB25" s="33">
        <f t="shared" si="532"/>
        <v>0</v>
      </c>
      <c r="GC25" s="33">
        <f t="shared" si="532"/>
        <v>0</v>
      </c>
      <c r="GD25" s="33">
        <f t="shared" si="532"/>
        <v>0</v>
      </c>
      <c r="GE25" s="33">
        <f t="shared" si="532"/>
        <v>0</v>
      </c>
      <c r="GF25" s="33">
        <f t="shared" si="532"/>
        <v>0</v>
      </c>
      <c r="GG25" s="33">
        <f t="shared" si="532"/>
        <v>0</v>
      </c>
      <c r="GH25" s="33">
        <f t="shared" si="532"/>
        <v>0</v>
      </c>
      <c r="GI25" s="33">
        <f t="shared" si="532"/>
        <v>0</v>
      </c>
      <c r="GJ25" s="33">
        <f t="shared" si="532"/>
        <v>0</v>
      </c>
      <c r="GK25" s="33">
        <f t="shared" si="532"/>
        <v>0</v>
      </c>
      <c r="GL25" s="33">
        <f t="shared" si="532"/>
        <v>0</v>
      </c>
      <c r="GM25" s="33">
        <f t="shared" si="532"/>
        <v>0</v>
      </c>
      <c r="GN25" s="33">
        <f t="shared" si="532"/>
        <v>0</v>
      </c>
      <c r="GO25" s="33">
        <f t="shared" si="532"/>
        <v>0</v>
      </c>
      <c r="GP25" s="33">
        <f t="shared" si="532"/>
        <v>0</v>
      </c>
      <c r="GQ25" s="33">
        <f t="shared" si="532"/>
        <v>0</v>
      </c>
      <c r="GR25" s="33">
        <f t="shared" si="532"/>
        <v>0</v>
      </c>
      <c r="GS25" s="33">
        <f t="shared" si="532"/>
        <v>0</v>
      </c>
      <c r="GT25" s="33">
        <f t="shared" si="532"/>
        <v>0</v>
      </c>
      <c r="GU25" s="33">
        <f t="shared" si="532"/>
        <v>0</v>
      </c>
      <c r="GV25" s="33">
        <f t="shared" si="532"/>
        <v>0</v>
      </c>
      <c r="GW25" s="33">
        <f t="shared" si="532"/>
        <v>0</v>
      </c>
      <c r="GX25" s="33">
        <f t="shared" si="532"/>
        <v>0</v>
      </c>
      <c r="GY25" s="33">
        <f t="shared" si="532"/>
        <v>0</v>
      </c>
      <c r="GZ25" s="33">
        <f t="shared" si="532"/>
        <v>0</v>
      </c>
      <c r="HA25" s="33">
        <f t="shared" si="532"/>
        <v>0</v>
      </c>
      <c r="HB25" s="33">
        <f t="shared" si="532"/>
        <v>0</v>
      </c>
      <c r="HC25" s="33">
        <f t="shared" si="532"/>
        <v>0</v>
      </c>
      <c r="HD25" s="33">
        <f t="shared" si="532"/>
        <v>0</v>
      </c>
      <c r="HE25" s="33">
        <f t="shared" si="532"/>
        <v>0</v>
      </c>
      <c r="HF25" s="33">
        <f t="shared" ref="HF25:JQ25" si="533">HF22*($B$25/12)</f>
        <v>0</v>
      </c>
      <c r="HG25" s="33">
        <f t="shared" si="533"/>
        <v>0</v>
      </c>
      <c r="HH25" s="33">
        <f t="shared" si="533"/>
        <v>0</v>
      </c>
      <c r="HI25" s="33">
        <f t="shared" si="533"/>
        <v>0</v>
      </c>
      <c r="HJ25" s="33">
        <f t="shared" si="533"/>
        <v>0</v>
      </c>
      <c r="HK25" s="33">
        <f t="shared" si="533"/>
        <v>0</v>
      </c>
      <c r="HL25" s="33">
        <f t="shared" si="533"/>
        <v>0</v>
      </c>
      <c r="HM25" s="33">
        <f t="shared" si="533"/>
        <v>0</v>
      </c>
      <c r="HN25" s="33">
        <f t="shared" si="533"/>
        <v>0</v>
      </c>
      <c r="HO25" s="33">
        <f t="shared" si="533"/>
        <v>0</v>
      </c>
      <c r="HP25" s="33">
        <f t="shared" si="533"/>
        <v>0</v>
      </c>
      <c r="HQ25" s="33">
        <f t="shared" si="533"/>
        <v>0</v>
      </c>
      <c r="HR25" s="33">
        <f t="shared" si="533"/>
        <v>0</v>
      </c>
      <c r="HS25" s="33">
        <f t="shared" si="533"/>
        <v>0</v>
      </c>
      <c r="HT25" s="33">
        <f t="shared" si="533"/>
        <v>0</v>
      </c>
      <c r="HU25" s="33">
        <f t="shared" si="533"/>
        <v>0</v>
      </c>
      <c r="HV25" s="33">
        <f t="shared" si="533"/>
        <v>0</v>
      </c>
      <c r="HW25" s="33">
        <f t="shared" si="533"/>
        <v>0</v>
      </c>
      <c r="HX25" s="33">
        <f t="shared" si="533"/>
        <v>0</v>
      </c>
      <c r="HY25" s="33">
        <f t="shared" si="533"/>
        <v>0</v>
      </c>
      <c r="HZ25" s="33">
        <f t="shared" si="533"/>
        <v>0</v>
      </c>
      <c r="IA25" s="33">
        <f t="shared" si="533"/>
        <v>0</v>
      </c>
      <c r="IB25" s="33">
        <f t="shared" si="533"/>
        <v>0</v>
      </c>
      <c r="IC25" s="33">
        <f t="shared" si="533"/>
        <v>0</v>
      </c>
      <c r="ID25" s="33">
        <f t="shared" si="533"/>
        <v>0</v>
      </c>
      <c r="IE25" s="33">
        <f t="shared" si="533"/>
        <v>0</v>
      </c>
      <c r="IF25" s="33">
        <f t="shared" si="533"/>
        <v>0</v>
      </c>
      <c r="IG25" s="33">
        <f t="shared" si="533"/>
        <v>0</v>
      </c>
      <c r="IH25" s="33">
        <f t="shared" si="533"/>
        <v>0</v>
      </c>
      <c r="II25" s="33">
        <f t="shared" si="533"/>
        <v>0</v>
      </c>
      <c r="IJ25" s="33">
        <f t="shared" si="533"/>
        <v>0</v>
      </c>
      <c r="IK25" s="33">
        <f t="shared" si="533"/>
        <v>0</v>
      </c>
      <c r="IL25" s="33">
        <f t="shared" si="533"/>
        <v>0</v>
      </c>
      <c r="IM25" s="33">
        <f t="shared" si="533"/>
        <v>0</v>
      </c>
      <c r="IN25" s="33">
        <f t="shared" si="533"/>
        <v>0</v>
      </c>
      <c r="IO25" s="33">
        <f t="shared" si="533"/>
        <v>0</v>
      </c>
      <c r="IP25" s="33">
        <f t="shared" si="533"/>
        <v>0</v>
      </c>
      <c r="IQ25" s="33">
        <f t="shared" si="533"/>
        <v>0</v>
      </c>
      <c r="IR25" s="33">
        <f t="shared" si="533"/>
        <v>0</v>
      </c>
      <c r="IS25" s="33">
        <f t="shared" si="533"/>
        <v>0</v>
      </c>
      <c r="IT25" s="33">
        <f t="shared" si="533"/>
        <v>0</v>
      </c>
      <c r="IU25" s="33">
        <f t="shared" si="533"/>
        <v>0</v>
      </c>
      <c r="IV25" s="33">
        <f t="shared" si="533"/>
        <v>0</v>
      </c>
      <c r="IW25" s="33">
        <f t="shared" si="533"/>
        <v>0</v>
      </c>
      <c r="IX25" s="33">
        <f t="shared" si="533"/>
        <v>0</v>
      </c>
      <c r="IY25" s="33">
        <f t="shared" si="533"/>
        <v>0</v>
      </c>
      <c r="IZ25" s="33">
        <f t="shared" si="533"/>
        <v>0</v>
      </c>
      <c r="JA25" s="33">
        <f t="shared" si="533"/>
        <v>0</v>
      </c>
      <c r="JB25" s="33">
        <f t="shared" si="533"/>
        <v>0</v>
      </c>
      <c r="JC25" s="33">
        <f t="shared" si="533"/>
        <v>0</v>
      </c>
      <c r="JD25" s="33">
        <f t="shared" si="533"/>
        <v>0</v>
      </c>
      <c r="JE25" s="33">
        <f t="shared" si="533"/>
        <v>0</v>
      </c>
      <c r="JF25" s="33">
        <f t="shared" si="533"/>
        <v>0</v>
      </c>
      <c r="JG25" s="33">
        <f t="shared" si="533"/>
        <v>0</v>
      </c>
      <c r="JH25" s="33">
        <f t="shared" si="533"/>
        <v>0</v>
      </c>
      <c r="JI25" s="33">
        <f t="shared" si="533"/>
        <v>0</v>
      </c>
      <c r="JJ25" s="33">
        <f t="shared" si="533"/>
        <v>0</v>
      </c>
      <c r="JK25" s="33">
        <f t="shared" si="533"/>
        <v>0</v>
      </c>
      <c r="JL25" s="33">
        <f t="shared" si="533"/>
        <v>0</v>
      </c>
      <c r="JM25" s="33">
        <f t="shared" si="533"/>
        <v>0</v>
      </c>
      <c r="JN25" s="33">
        <f t="shared" si="533"/>
        <v>0</v>
      </c>
      <c r="JO25" s="33">
        <f t="shared" si="533"/>
        <v>0</v>
      </c>
      <c r="JP25" s="33">
        <f t="shared" si="533"/>
        <v>0</v>
      </c>
      <c r="JQ25" s="33">
        <f t="shared" si="533"/>
        <v>0</v>
      </c>
      <c r="JR25" s="33">
        <f t="shared" ref="JR25:JT25" si="534">JR22*($B$25/12)</f>
        <v>0</v>
      </c>
      <c r="JS25" s="33">
        <f t="shared" si="534"/>
        <v>0</v>
      </c>
      <c r="JT25" s="33">
        <f t="shared" si="534"/>
        <v>0</v>
      </c>
    </row>
    <row r="26" spans="1:280" x14ac:dyDescent="0.2">
      <c r="A26" s="1" t="s">
        <v>106</v>
      </c>
      <c r="B26" s="41">
        <v>10</v>
      </c>
      <c r="D26" s="3" t="s">
        <v>110</v>
      </c>
      <c r="E26" s="33">
        <f t="shared" ref="E26" si="535">E24-E25</f>
        <v>0</v>
      </c>
      <c r="F26" s="33">
        <f t="shared" ref="F26" si="536">F24-F25</f>
        <v>0</v>
      </c>
      <c r="G26" s="33">
        <f t="shared" ref="G26" si="537">G24-G25</f>
        <v>0</v>
      </c>
      <c r="H26" s="33">
        <f t="shared" ref="H26" si="538">H24-H25</f>
        <v>0</v>
      </c>
      <c r="I26" s="33">
        <f t="shared" ref="I26" si="539">I24-I25</f>
        <v>0</v>
      </c>
      <c r="J26" s="33">
        <f t="shared" ref="J26" si="540">J24-J25</f>
        <v>0</v>
      </c>
      <c r="K26" s="33">
        <f t="shared" ref="K26" si="541">K24-K25</f>
        <v>0</v>
      </c>
      <c r="L26" s="33">
        <f t="shared" ref="L26" si="542">L24-L25</f>
        <v>0</v>
      </c>
      <c r="M26" s="33">
        <f t="shared" ref="M26" si="543">M24-M25</f>
        <v>0</v>
      </c>
      <c r="N26" s="33">
        <f t="shared" ref="N26" si="544">N24-N25</f>
        <v>0</v>
      </c>
      <c r="O26" s="33">
        <f t="shared" ref="O26" si="545">O24-O25</f>
        <v>0</v>
      </c>
      <c r="P26" s="33">
        <f t="shared" ref="P26" si="546">P24-P25</f>
        <v>0</v>
      </c>
      <c r="Q26" s="33">
        <f t="shared" ref="Q26" si="547">Q24-Q25</f>
        <v>0</v>
      </c>
      <c r="R26" s="33">
        <f t="shared" ref="R26" si="548">R24-R25</f>
        <v>0</v>
      </c>
      <c r="S26" s="33">
        <f t="shared" ref="S26" si="549">S24-S25</f>
        <v>0</v>
      </c>
      <c r="T26" s="33">
        <f t="shared" ref="T26" si="550">T24-T25</f>
        <v>573364.88614753669</v>
      </c>
      <c r="U26" s="33">
        <f t="shared" ref="U26" si="551">U24-U25</f>
        <v>576709.51465006405</v>
      </c>
      <c r="V26" s="33">
        <f t="shared" ref="V26" si="552">V24-V25</f>
        <v>580073.65348552272</v>
      </c>
      <c r="W26" s="33">
        <f t="shared" ref="W26" si="553">W24-W25</f>
        <v>583457.41646418837</v>
      </c>
      <c r="X26" s="33">
        <f t="shared" ref="X26" si="554">X24-X25</f>
        <v>586860.91806022939</v>
      </c>
      <c r="Y26" s="33">
        <f t="shared" ref="Y26" si="555">Y24-Y25</f>
        <v>590284.27341558074</v>
      </c>
      <c r="Z26" s="33">
        <f t="shared" ref="Z26" si="556">Z24-Z25</f>
        <v>593727.59834383836</v>
      </c>
      <c r="AA26" s="33">
        <f t="shared" ref="AA26" si="557">AA24-AA25</f>
        <v>597191.00933417736</v>
      </c>
      <c r="AB26" s="33">
        <f t="shared" ref="AB26" si="558">AB24-AB25</f>
        <v>600674.62355529342</v>
      </c>
      <c r="AC26" s="33">
        <f t="shared" ref="AC26" si="559">AC24-AC25</f>
        <v>604178.55885936588</v>
      </c>
      <c r="AD26" s="33">
        <f t="shared" ref="AD26" si="560">AD24-AD25</f>
        <v>607702.93378604553</v>
      </c>
      <c r="AE26" s="33">
        <f t="shared" ref="AE26" si="561">AE24-AE25</f>
        <v>611247.86756646412</v>
      </c>
      <c r="AF26" s="33">
        <f t="shared" ref="AF26" si="562">AF24-AF25</f>
        <v>614813.48012726859</v>
      </c>
      <c r="AG26" s="33">
        <f t="shared" ref="AG26" si="563">AG24-AG25</f>
        <v>618399.89209467766</v>
      </c>
      <c r="AH26" s="33">
        <f t="shared" ref="AH26" si="564">AH24-AH25</f>
        <v>622007.22479856317</v>
      </c>
      <c r="AI26" s="33">
        <f t="shared" ref="AI26" si="565">AI24-AI25</f>
        <v>625635.60027655482</v>
      </c>
      <c r="AJ26" s="33">
        <f t="shared" ref="AJ26" si="566">AJ24-AJ25</f>
        <v>629285.14127816807</v>
      </c>
      <c r="AK26" s="33">
        <f t="shared" ref="AK26" si="567">AK24-AK25</f>
        <v>632955.97126895736</v>
      </c>
      <c r="AL26" s="33">
        <f t="shared" ref="AL26" si="568">AL24-AL25</f>
        <v>636648.21443469287</v>
      </c>
      <c r="AM26" s="33">
        <f t="shared" ref="AM26" si="569">AM24-AM25</f>
        <v>640361.99568556203</v>
      </c>
      <c r="AN26" s="33">
        <f t="shared" ref="AN26" si="570">AN24-AN25</f>
        <v>644097.4406603945</v>
      </c>
      <c r="AO26" s="33">
        <f t="shared" ref="AO26" si="571">AO24-AO25</f>
        <v>647854.67573091341</v>
      </c>
      <c r="AP26" s="33">
        <f t="shared" ref="AP26" si="572">AP24-AP25</f>
        <v>651633.82800601039</v>
      </c>
      <c r="AQ26" s="33">
        <f t="shared" ref="AQ26" si="573">AQ24-AQ25</f>
        <v>655435.02533604554</v>
      </c>
      <c r="AR26" s="33">
        <f t="shared" ref="AR26" si="574">AR24-AR25</f>
        <v>659258.39631717233</v>
      </c>
      <c r="AS26" s="33">
        <f t="shared" ref="AS26" si="575">AS24-AS25</f>
        <v>663104.07029568916</v>
      </c>
      <c r="AT26" s="33">
        <f t="shared" ref="AT26" si="576">AT24-AT25</f>
        <v>666972.17737241404</v>
      </c>
      <c r="AU26" s="33">
        <f t="shared" ref="AU26" si="577">AU24-AU25</f>
        <v>670862.84840708645</v>
      </c>
      <c r="AV26" s="33">
        <f t="shared" ref="AV26" si="578">AV24-AV25</f>
        <v>674776.21502279444</v>
      </c>
      <c r="AW26" s="33">
        <f t="shared" ref="AW26" si="579">AW24-AW25</f>
        <v>678712.40961042745</v>
      </c>
      <c r="AX26" s="33">
        <f t="shared" ref="AX26" si="580">AX24-AX25</f>
        <v>682671.56533315487</v>
      </c>
      <c r="AY26" s="33">
        <f t="shared" ref="AY26" si="581">AY24-AY25</f>
        <v>686653.81613093161</v>
      </c>
      <c r="AZ26" s="33">
        <f t="shared" ref="AZ26" si="582">AZ24-AZ25</f>
        <v>690659.29672502866</v>
      </c>
      <c r="BA26" s="33">
        <f t="shared" ref="BA26" si="583">BA24-BA25</f>
        <v>694688.14262259146</v>
      </c>
      <c r="BB26" s="33">
        <f t="shared" ref="BB26" si="584">BB24-BB25</f>
        <v>698740.49012122327</v>
      </c>
      <c r="BC26" s="33">
        <f t="shared" ref="BC26" si="585">BC24-BC25</f>
        <v>702816.47631359706</v>
      </c>
      <c r="BD26" s="33">
        <f t="shared" ref="BD26" si="586">BD24-BD25</f>
        <v>706916.23909209296</v>
      </c>
      <c r="BE26" s="33">
        <f t="shared" ref="BE26" si="587">BE24-BE25</f>
        <v>711039.91715346358</v>
      </c>
      <c r="BF26" s="33">
        <f t="shared" ref="BF26" si="588">BF24-BF25</f>
        <v>715187.65000352543</v>
      </c>
      <c r="BG26" s="33">
        <f t="shared" ref="BG26" si="589">BG24-BG25</f>
        <v>719359.57796187932</v>
      </c>
      <c r="BH26" s="33">
        <f t="shared" ref="BH26" si="590">BH24-BH25</f>
        <v>723555.84216665686</v>
      </c>
      <c r="BI26" s="33">
        <f t="shared" ref="BI26" si="591">BI24-BI25</f>
        <v>727776.58457929571</v>
      </c>
      <c r="BJ26" s="33">
        <f t="shared" ref="BJ26" si="592">BJ24-BJ25</f>
        <v>732021.94798934157</v>
      </c>
      <c r="BK26" s="33">
        <f t="shared" ref="BK26" si="593">BK24-BK25</f>
        <v>736292.07601927943</v>
      </c>
      <c r="BL26" s="33">
        <f t="shared" ref="BL26" si="594">BL24-BL25</f>
        <v>740587.11312939192</v>
      </c>
      <c r="BM26" s="33">
        <f t="shared" ref="BM26" si="595">BM24-BM25</f>
        <v>744907.20462264668</v>
      </c>
      <c r="BN26" s="33">
        <f t="shared" ref="BN26" si="596">BN24-BN25</f>
        <v>749252.49664961209</v>
      </c>
      <c r="BO26" s="33">
        <f t="shared" ref="BO26" si="597">BO24-BO25</f>
        <v>753623.13621340157</v>
      </c>
      <c r="BP26" s="33">
        <f t="shared" ref="BP26" si="598">BP24-BP25</f>
        <v>758019.27117464645</v>
      </c>
      <c r="BQ26" s="33">
        <f t="shared" ref="BQ26" si="599">BQ24-BQ25</f>
        <v>762441.05025649839</v>
      </c>
      <c r="BR26" s="33">
        <f t="shared" ref="BR26" si="600">BR24-BR25</f>
        <v>766888.6230496614</v>
      </c>
      <c r="BS26" s="33">
        <f t="shared" ref="BS26" si="601">BS24-BS25</f>
        <v>771362.14001745102</v>
      </c>
      <c r="BT26" s="33">
        <f t="shared" ref="BT26" si="602">BT24-BT25</f>
        <v>775861.75250088621</v>
      </c>
      <c r="BU26" s="33">
        <f t="shared" ref="BU26" si="603">BU24-BU25</f>
        <v>780387.61272380804</v>
      </c>
      <c r="BV26" s="33">
        <f t="shared" ref="BV26" si="604">BV24-BV25</f>
        <v>784939.8737980302</v>
      </c>
      <c r="BW26" s="33">
        <f t="shared" ref="BW26" si="605">BW24-BW25</f>
        <v>789518.68972851872</v>
      </c>
      <c r="BX26" s="33">
        <f t="shared" ref="BX26" si="606">BX24-BX25</f>
        <v>794124.21541860176</v>
      </c>
      <c r="BY26" s="33">
        <f t="shared" ref="BY26" si="607">BY24-BY25</f>
        <v>798756.60667521018</v>
      </c>
      <c r="BZ26" s="33">
        <f t="shared" ref="BZ26" si="608">BZ24-BZ25</f>
        <v>803416.02021414903</v>
      </c>
      <c r="CA26" s="33">
        <f t="shared" ref="CA26" si="609">CA24-CA25</f>
        <v>808102.61366539821</v>
      </c>
      <c r="CB26" s="33">
        <f t="shared" ref="CB26" si="610">CB24-CB25</f>
        <v>812816.54557844624</v>
      </c>
      <c r="CC26" s="33">
        <f t="shared" ref="CC26" si="611">CC24-CC25</f>
        <v>817557.97542765387</v>
      </c>
      <c r="CD26" s="33">
        <f t="shared" ref="CD26" si="612">CD24-CD25</f>
        <v>822327.06361764856</v>
      </c>
      <c r="CE26" s="33">
        <f t="shared" ref="CE26" si="613">CE24-CE25</f>
        <v>827123.97148875147</v>
      </c>
      <c r="CF26" s="33">
        <f t="shared" ref="CF26" si="614">CF24-CF25</f>
        <v>831948.8613224359</v>
      </c>
      <c r="CG26" s="33">
        <f t="shared" ref="CG26" si="615">CG24-CG25</f>
        <v>836801.89634681679</v>
      </c>
      <c r="CH26" s="33">
        <f t="shared" ref="CH26" si="616">CH24-CH25</f>
        <v>841683.24074217316</v>
      </c>
      <c r="CI26" s="33">
        <f t="shared" ref="CI26" si="617">CI24-CI25</f>
        <v>846593.0596465026</v>
      </c>
      <c r="CJ26" s="33">
        <f t="shared" ref="CJ26" si="618">CJ24-CJ25</f>
        <v>851531.51916110714</v>
      </c>
      <c r="CK26" s="33">
        <f t="shared" ref="CK26" si="619">CK24-CK25</f>
        <v>856498.78635621362</v>
      </c>
      <c r="CL26" s="33">
        <f t="shared" ref="CL26" si="620">CL24-CL25</f>
        <v>861495.02927662479</v>
      </c>
      <c r="CM26" s="33">
        <f t="shared" ref="CM26" si="621">CM24-CM25</f>
        <v>866520.41694740509</v>
      </c>
      <c r="CN26" s="33">
        <f t="shared" ref="CN26" si="622">CN24-CN25</f>
        <v>871575.1193795983</v>
      </c>
      <c r="CO26" s="33">
        <f t="shared" ref="CO26" si="623">CO24-CO25</f>
        <v>876659.30757597927</v>
      </c>
      <c r="CP26" s="33">
        <f t="shared" ref="CP26" si="624">CP24-CP25</f>
        <v>881773.15353683918</v>
      </c>
      <c r="CQ26" s="33">
        <f t="shared" ref="CQ26" si="625">CQ24-CQ25</f>
        <v>886916.83026580408</v>
      </c>
      <c r="CR26" s="33">
        <f t="shared" ref="CR26" si="626">CR24-CR25</f>
        <v>892090.51177568792</v>
      </c>
      <c r="CS26" s="33">
        <f t="shared" ref="CS26" si="627">CS24-CS25</f>
        <v>897294.37309437944</v>
      </c>
      <c r="CT26" s="33">
        <f t="shared" ref="CT26" si="628">CT24-CT25</f>
        <v>902528.59027076326</v>
      </c>
      <c r="CU26" s="33">
        <f t="shared" ref="CU26" si="629">CU24-CU25</f>
        <v>907793.34038067609</v>
      </c>
      <c r="CV26" s="33">
        <f t="shared" ref="CV26:DG26" si="630">CV24-CV25</f>
        <v>913088.8015328967</v>
      </c>
      <c r="CW26" s="33">
        <f t="shared" si="630"/>
        <v>918415.15287517197</v>
      </c>
      <c r="CX26" s="33">
        <f t="shared" si="630"/>
        <v>923772.57460027712</v>
      </c>
      <c r="CY26" s="33">
        <f t="shared" si="630"/>
        <v>929161.247952112</v>
      </c>
      <c r="CZ26" s="33">
        <f t="shared" si="630"/>
        <v>934581.35523183271</v>
      </c>
      <c r="DA26" s="33">
        <f t="shared" si="630"/>
        <v>940033.07980401837</v>
      </c>
      <c r="DB26" s="33">
        <f t="shared" si="630"/>
        <v>945516.6061028752</v>
      </c>
      <c r="DC26" s="33">
        <f t="shared" si="630"/>
        <v>951032.11963847524</v>
      </c>
      <c r="DD26" s="33">
        <f t="shared" si="630"/>
        <v>956579.80700303311</v>
      </c>
      <c r="DE26" s="33">
        <f t="shared" si="630"/>
        <v>962159.85587721737</v>
      </c>
      <c r="DF26" s="33">
        <f t="shared" si="630"/>
        <v>967772.45503650117</v>
      </c>
      <c r="DG26" s="33">
        <f t="shared" si="630"/>
        <v>973417.79435754742</v>
      </c>
      <c r="DH26" s="33">
        <f t="shared" ref="DH26:DS26" si="631">DH24-DH25</f>
        <v>979096.06482463307</v>
      </c>
      <c r="DI26" s="33">
        <f t="shared" si="631"/>
        <v>984807.45853611012</v>
      </c>
      <c r="DJ26" s="33">
        <f t="shared" si="631"/>
        <v>990552.1687109042</v>
      </c>
      <c r="DK26" s="33">
        <f t="shared" si="631"/>
        <v>996330.38969505113</v>
      </c>
      <c r="DL26" s="33">
        <f t="shared" si="631"/>
        <v>1002142.3169682722</v>
      </c>
      <c r="DM26" s="33">
        <f t="shared" si="631"/>
        <v>1007988.1471505871</v>
      </c>
      <c r="DN26" s="33">
        <f t="shared" si="631"/>
        <v>1013868.0780089656</v>
      </c>
      <c r="DO26" s="33">
        <f t="shared" si="631"/>
        <v>1019782.3084640178</v>
      </c>
      <c r="DP26" s="33">
        <f t="shared" si="631"/>
        <v>1025731.0385967246</v>
      </c>
      <c r="DQ26" s="33">
        <f t="shared" si="631"/>
        <v>1031714.4696552055</v>
      </c>
      <c r="DR26" s="33">
        <f t="shared" si="631"/>
        <v>1037732.8040615275</v>
      </c>
      <c r="DS26" s="33">
        <f t="shared" si="631"/>
        <v>1043786.2454185531</v>
      </c>
      <c r="DT26" s="33">
        <f t="shared" ref="DT26:EE26" si="632">DT24-DT25</f>
        <v>1049874.9985168281</v>
      </c>
      <c r="DU26" s="33">
        <f t="shared" si="632"/>
        <v>1055999.2693415096</v>
      </c>
      <c r="DV26" s="33">
        <f t="shared" si="632"/>
        <v>1062159.2650793348</v>
      </c>
      <c r="DW26" s="33">
        <f t="shared" si="632"/>
        <v>1068355.1941256311</v>
      </c>
      <c r="DX26" s="33">
        <f t="shared" si="632"/>
        <v>1074587.266091364</v>
      </c>
      <c r="DY26" s="33">
        <f t="shared" si="632"/>
        <v>1080855.6918102303</v>
      </c>
      <c r="DZ26" s="33">
        <f t="shared" si="632"/>
        <v>1087160.6833457898</v>
      </c>
      <c r="EA26" s="33">
        <f t="shared" si="632"/>
        <v>1093502.4539986404</v>
      </c>
      <c r="EB26" s="33">
        <f t="shared" si="632"/>
        <v>1099881.2183136323</v>
      </c>
      <c r="EC26" s="33">
        <f t="shared" si="632"/>
        <v>1106297.1920871285</v>
      </c>
      <c r="ED26" s="33">
        <f t="shared" si="632"/>
        <v>1112750.5923743036</v>
      </c>
      <c r="EE26" s="33">
        <f t="shared" si="632"/>
        <v>1119241.637496487</v>
      </c>
      <c r="EF26" s="33">
        <f t="shared" ref="EF26:ER26" si="633">EF24-EF25</f>
        <v>1125770.5470485499</v>
      </c>
      <c r="EG26" s="33">
        <f t="shared" si="633"/>
        <v>1132337.5419063331</v>
      </c>
      <c r="EH26" s="33">
        <f t="shared" si="633"/>
        <v>1138942.8442341199</v>
      </c>
      <c r="EI26" s="33">
        <f t="shared" si="633"/>
        <v>1145586.6774921522</v>
      </c>
      <c r="EJ26" s="33">
        <f t="shared" si="633"/>
        <v>0</v>
      </c>
      <c r="EK26" s="33">
        <f t="shared" si="633"/>
        <v>0</v>
      </c>
      <c r="EL26" s="33">
        <f t="shared" si="633"/>
        <v>0</v>
      </c>
      <c r="EM26" s="33">
        <f t="shared" si="633"/>
        <v>0</v>
      </c>
      <c r="EN26" s="33">
        <f t="shared" si="633"/>
        <v>0</v>
      </c>
      <c r="EO26" s="33">
        <f t="shared" si="633"/>
        <v>0</v>
      </c>
      <c r="EP26" s="33">
        <f t="shared" si="633"/>
        <v>0</v>
      </c>
      <c r="EQ26" s="33">
        <f t="shared" si="633"/>
        <v>0</v>
      </c>
      <c r="ER26" s="33">
        <f t="shared" si="633"/>
        <v>0</v>
      </c>
      <c r="ES26" s="33">
        <f t="shared" ref="ES26" si="634">ES24-ES25</f>
        <v>0</v>
      </c>
      <c r="ET26" s="33">
        <f t="shared" ref="ET26:HE26" si="635">ET24-ET25</f>
        <v>0</v>
      </c>
      <c r="EU26" s="33">
        <f t="shared" si="635"/>
        <v>0</v>
      </c>
      <c r="EV26" s="33">
        <f t="shared" si="635"/>
        <v>0</v>
      </c>
      <c r="EW26" s="33">
        <f t="shared" si="635"/>
        <v>0</v>
      </c>
      <c r="EX26" s="33">
        <f t="shared" si="635"/>
        <v>0</v>
      </c>
      <c r="EY26" s="33">
        <f t="shared" si="635"/>
        <v>0</v>
      </c>
      <c r="EZ26" s="33">
        <f t="shared" si="635"/>
        <v>0</v>
      </c>
      <c r="FA26" s="33">
        <f t="shared" si="635"/>
        <v>0</v>
      </c>
      <c r="FB26" s="33">
        <f t="shared" si="635"/>
        <v>0</v>
      </c>
      <c r="FC26" s="33">
        <f t="shared" si="635"/>
        <v>0</v>
      </c>
      <c r="FD26" s="33">
        <f t="shared" si="635"/>
        <v>0</v>
      </c>
      <c r="FE26" s="33">
        <f t="shared" si="635"/>
        <v>0</v>
      </c>
      <c r="FF26" s="33">
        <f t="shared" si="635"/>
        <v>0</v>
      </c>
      <c r="FG26" s="33">
        <f t="shared" si="635"/>
        <v>0</v>
      </c>
      <c r="FH26" s="33">
        <f t="shared" si="635"/>
        <v>0</v>
      </c>
      <c r="FI26" s="33">
        <f t="shared" si="635"/>
        <v>0</v>
      </c>
      <c r="FJ26" s="33">
        <f t="shared" si="635"/>
        <v>0</v>
      </c>
      <c r="FK26" s="33">
        <f t="shared" si="635"/>
        <v>0</v>
      </c>
      <c r="FL26" s="33">
        <f t="shared" si="635"/>
        <v>0</v>
      </c>
      <c r="FM26" s="33">
        <f t="shared" si="635"/>
        <v>0</v>
      </c>
      <c r="FN26" s="33">
        <f t="shared" si="635"/>
        <v>0</v>
      </c>
      <c r="FO26" s="33">
        <f t="shared" si="635"/>
        <v>0</v>
      </c>
      <c r="FP26" s="33">
        <f t="shared" si="635"/>
        <v>0</v>
      </c>
      <c r="FQ26" s="33">
        <f t="shared" si="635"/>
        <v>0</v>
      </c>
      <c r="FR26" s="33">
        <f t="shared" si="635"/>
        <v>0</v>
      </c>
      <c r="FS26" s="33">
        <f t="shared" si="635"/>
        <v>0</v>
      </c>
      <c r="FT26" s="33">
        <f t="shared" si="635"/>
        <v>0</v>
      </c>
      <c r="FU26" s="33">
        <f t="shared" si="635"/>
        <v>0</v>
      </c>
      <c r="FV26" s="33">
        <f t="shared" si="635"/>
        <v>0</v>
      </c>
      <c r="FW26" s="33">
        <f t="shared" si="635"/>
        <v>0</v>
      </c>
      <c r="FX26" s="33">
        <f t="shared" si="635"/>
        <v>0</v>
      </c>
      <c r="FY26" s="33">
        <f t="shared" si="635"/>
        <v>0</v>
      </c>
      <c r="FZ26" s="33">
        <f t="shared" si="635"/>
        <v>0</v>
      </c>
      <c r="GA26" s="33">
        <f t="shared" si="635"/>
        <v>0</v>
      </c>
      <c r="GB26" s="33">
        <f t="shared" si="635"/>
        <v>0</v>
      </c>
      <c r="GC26" s="33">
        <f t="shared" si="635"/>
        <v>0</v>
      </c>
      <c r="GD26" s="33">
        <f t="shared" si="635"/>
        <v>0</v>
      </c>
      <c r="GE26" s="33">
        <f t="shared" si="635"/>
        <v>0</v>
      </c>
      <c r="GF26" s="33">
        <f t="shared" si="635"/>
        <v>0</v>
      </c>
      <c r="GG26" s="33">
        <f t="shared" si="635"/>
        <v>0</v>
      </c>
      <c r="GH26" s="33">
        <f t="shared" si="635"/>
        <v>0</v>
      </c>
      <c r="GI26" s="33">
        <f t="shared" si="635"/>
        <v>0</v>
      </c>
      <c r="GJ26" s="33">
        <f t="shared" si="635"/>
        <v>0</v>
      </c>
      <c r="GK26" s="33">
        <f t="shared" si="635"/>
        <v>0</v>
      </c>
      <c r="GL26" s="33">
        <f t="shared" si="635"/>
        <v>0</v>
      </c>
      <c r="GM26" s="33">
        <f t="shared" si="635"/>
        <v>0</v>
      </c>
      <c r="GN26" s="33">
        <f t="shared" si="635"/>
        <v>0</v>
      </c>
      <c r="GO26" s="33">
        <f t="shared" si="635"/>
        <v>0</v>
      </c>
      <c r="GP26" s="33">
        <f t="shared" si="635"/>
        <v>0</v>
      </c>
      <c r="GQ26" s="33">
        <f t="shared" si="635"/>
        <v>0</v>
      </c>
      <c r="GR26" s="33">
        <f t="shared" si="635"/>
        <v>0</v>
      </c>
      <c r="GS26" s="33">
        <f t="shared" si="635"/>
        <v>0</v>
      </c>
      <c r="GT26" s="33">
        <f t="shared" si="635"/>
        <v>0</v>
      </c>
      <c r="GU26" s="33">
        <f t="shared" si="635"/>
        <v>0</v>
      </c>
      <c r="GV26" s="33">
        <f t="shared" si="635"/>
        <v>0</v>
      </c>
      <c r="GW26" s="33">
        <f t="shared" si="635"/>
        <v>0</v>
      </c>
      <c r="GX26" s="33">
        <f t="shared" si="635"/>
        <v>0</v>
      </c>
      <c r="GY26" s="33">
        <f t="shared" si="635"/>
        <v>0</v>
      </c>
      <c r="GZ26" s="33">
        <f t="shared" si="635"/>
        <v>0</v>
      </c>
      <c r="HA26" s="33">
        <f t="shared" si="635"/>
        <v>0</v>
      </c>
      <c r="HB26" s="33">
        <f t="shared" si="635"/>
        <v>0</v>
      </c>
      <c r="HC26" s="33">
        <f t="shared" si="635"/>
        <v>0</v>
      </c>
      <c r="HD26" s="33">
        <f t="shared" si="635"/>
        <v>0</v>
      </c>
      <c r="HE26" s="33">
        <f t="shared" si="635"/>
        <v>0</v>
      </c>
      <c r="HF26" s="33">
        <f t="shared" ref="HF26:JQ26" si="636">HF24-HF25</f>
        <v>0</v>
      </c>
      <c r="HG26" s="33">
        <f t="shared" si="636"/>
        <v>0</v>
      </c>
      <c r="HH26" s="33">
        <f t="shared" si="636"/>
        <v>0</v>
      </c>
      <c r="HI26" s="33">
        <f t="shared" si="636"/>
        <v>0</v>
      </c>
      <c r="HJ26" s="33">
        <f t="shared" si="636"/>
        <v>0</v>
      </c>
      <c r="HK26" s="33">
        <f t="shared" si="636"/>
        <v>0</v>
      </c>
      <c r="HL26" s="33">
        <f t="shared" si="636"/>
        <v>0</v>
      </c>
      <c r="HM26" s="33">
        <f t="shared" si="636"/>
        <v>0</v>
      </c>
      <c r="HN26" s="33">
        <f t="shared" si="636"/>
        <v>0</v>
      </c>
      <c r="HO26" s="33">
        <f t="shared" si="636"/>
        <v>0</v>
      </c>
      <c r="HP26" s="33">
        <f t="shared" si="636"/>
        <v>0</v>
      </c>
      <c r="HQ26" s="33">
        <f t="shared" si="636"/>
        <v>0</v>
      </c>
      <c r="HR26" s="33">
        <f t="shared" si="636"/>
        <v>0</v>
      </c>
      <c r="HS26" s="33">
        <f t="shared" si="636"/>
        <v>0</v>
      </c>
      <c r="HT26" s="33">
        <f t="shared" si="636"/>
        <v>0</v>
      </c>
      <c r="HU26" s="33">
        <f t="shared" si="636"/>
        <v>0</v>
      </c>
      <c r="HV26" s="33">
        <f t="shared" si="636"/>
        <v>0</v>
      </c>
      <c r="HW26" s="33">
        <f t="shared" si="636"/>
        <v>0</v>
      </c>
      <c r="HX26" s="33">
        <f t="shared" si="636"/>
        <v>0</v>
      </c>
      <c r="HY26" s="33">
        <f t="shared" si="636"/>
        <v>0</v>
      </c>
      <c r="HZ26" s="33">
        <f t="shared" si="636"/>
        <v>0</v>
      </c>
      <c r="IA26" s="33">
        <f t="shared" si="636"/>
        <v>0</v>
      </c>
      <c r="IB26" s="33">
        <f t="shared" si="636"/>
        <v>0</v>
      </c>
      <c r="IC26" s="33">
        <f t="shared" si="636"/>
        <v>0</v>
      </c>
      <c r="ID26" s="33">
        <f t="shared" si="636"/>
        <v>0</v>
      </c>
      <c r="IE26" s="33">
        <f t="shared" si="636"/>
        <v>0</v>
      </c>
      <c r="IF26" s="33">
        <f t="shared" si="636"/>
        <v>0</v>
      </c>
      <c r="IG26" s="33">
        <f t="shared" si="636"/>
        <v>0</v>
      </c>
      <c r="IH26" s="33">
        <f t="shared" si="636"/>
        <v>0</v>
      </c>
      <c r="II26" s="33">
        <f t="shared" si="636"/>
        <v>0</v>
      </c>
      <c r="IJ26" s="33">
        <f t="shared" si="636"/>
        <v>0</v>
      </c>
      <c r="IK26" s="33">
        <f t="shared" si="636"/>
        <v>0</v>
      </c>
      <c r="IL26" s="33">
        <f t="shared" si="636"/>
        <v>0</v>
      </c>
      <c r="IM26" s="33">
        <f t="shared" si="636"/>
        <v>0</v>
      </c>
      <c r="IN26" s="33">
        <f t="shared" si="636"/>
        <v>0</v>
      </c>
      <c r="IO26" s="33">
        <f t="shared" si="636"/>
        <v>0</v>
      </c>
      <c r="IP26" s="33">
        <f t="shared" si="636"/>
        <v>0</v>
      </c>
      <c r="IQ26" s="33">
        <f t="shared" si="636"/>
        <v>0</v>
      </c>
      <c r="IR26" s="33">
        <f t="shared" si="636"/>
        <v>0</v>
      </c>
      <c r="IS26" s="33">
        <f t="shared" si="636"/>
        <v>0</v>
      </c>
      <c r="IT26" s="33">
        <f t="shared" si="636"/>
        <v>0</v>
      </c>
      <c r="IU26" s="33">
        <f t="shared" si="636"/>
        <v>0</v>
      </c>
      <c r="IV26" s="33">
        <f t="shared" si="636"/>
        <v>0</v>
      </c>
      <c r="IW26" s="33">
        <f t="shared" si="636"/>
        <v>0</v>
      </c>
      <c r="IX26" s="33">
        <f t="shared" si="636"/>
        <v>0</v>
      </c>
      <c r="IY26" s="33">
        <f t="shared" si="636"/>
        <v>0</v>
      </c>
      <c r="IZ26" s="33">
        <f t="shared" si="636"/>
        <v>0</v>
      </c>
      <c r="JA26" s="33">
        <f t="shared" si="636"/>
        <v>0</v>
      </c>
      <c r="JB26" s="33">
        <f t="shared" si="636"/>
        <v>0</v>
      </c>
      <c r="JC26" s="33">
        <f t="shared" si="636"/>
        <v>0</v>
      </c>
      <c r="JD26" s="33">
        <f t="shared" si="636"/>
        <v>0</v>
      </c>
      <c r="JE26" s="33">
        <f t="shared" si="636"/>
        <v>0</v>
      </c>
      <c r="JF26" s="33">
        <f t="shared" si="636"/>
        <v>0</v>
      </c>
      <c r="JG26" s="33">
        <f t="shared" si="636"/>
        <v>0</v>
      </c>
      <c r="JH26" s="33">
        <f t="shared" si="636"/>
        <v>0</v>
      </c>
      <c r="JI26" s="33">
        <f t="shared" si="636"/>
        <v>0</v>
      </c>
      <c r="JJ26" s="33">
        <f t="shared" si="636"/>
        <v>0</v>
      </c>
      <c r="JK26" s="33">
        <f t="shared" si="636"/>
        <v>0</v>
      </c>
      <c r="JL26" s="33">
        <f t="shared" si="636"/>
        <v>0</v>
      </c>
      <c r="JM26" s="33">
        <f t="shared" si="636"/>
        <v>0</v>
      </c>
      <c r="JN26" s="33">
        <f t="shared" si="636"/>
        <v>0</v>
      </c>
      <c r="JO26" s="33">
        <f t="shared" si="636"/>
        <v>0</v>
      </c>
      <c r="JP26" s="33">
        <f t="shared" si="636"/>
        <v>0</v>
      </c>
      <c r="JQ26" s="33">
        <f t="shared" si="636"/>
        <v>0</v>
      </c>
      <c r="JR26" s="33">
        <f t="shared" ref="JR26:JT26" si="637">JR24-JR25</f>
        <v>0</v>
      </c>
      <c r="JS26" s="33">
        <f t="shared" si="637"/>
        <v>0</v>
      </c>
      <c r="JT26" s="33">
        <f t="shared" si="637"/>
        <v>0</v>
      </c>
    </row>
    <row r="27" spans="1:280" x14ac:dyDescent="0.2">
      <c r="A27" s="1" t="s">
        <v>170</v>
      </c>
      <c r="B27" s="41">
        <f>B22+(B26*12)</f>
        <v>136</v>
      </c>
      <c r="D27" s="39" t="s">
        <v>112</v>
      </c>
      <c r="E27" s="7">
        <f>E22+E23-E26</f>
        <v>0</v>
      </c>
      <c r="F27" s="7">
        <f t="shared" ref="F27:AB27" si="638">F22+F23-F26</f>
        <v>0</v>
      </c>
      <c r="G27" s="7">
        <f t="shared" si="638"/>
        <v>0</v>
      </c>
      <c r="H27" s="7">
        <f t="shared" si="638"/>
        <v>0</v>
      </c>
      <c r="I27" s="7">
        <f t="shared" si="638"/>
        <v>0</v>
      </c>
      <c r="J27" s="7">
        <f t="shared" si="638"/>
        <v>0</v>
      </c>
      <c r="K27" s="7">
        <f t="shared" si="638"/>
        <v>0</v>
      </c>
      <c r="L27" s="7">
        <f t="shared" si="638"/>
        <v>0</v>
      </c>
      <c r="M27" s="7">
        <f t="shared" si="638"/>
        <v>0</v>
      </c>
      <c r="N27" s="7">
        <f t="shared" si="638"/>
        <v>0</v>
      </c>
      <c r="O27" s="7">
        <f t="shared" si="638"/>
        <v>0</v>
      </c>
      <c r="P27" s="7">
        <f t="shared" si="638"/>
        <v>0</v>
      </c>
      <c r="Q27" s="7">
        <f t="shared" si="638"/>
        <v>0</v>
      </c>
      <c r="R27" s="7">
        <f t="shared" si="638"/>
        <v>0</v>
      </c>
      <c r="S27" s="7">
        <f t="shared" si="638"/>
        <v>0</v>
      </c>
      <c r="T27" s="7">
        <f t="shared" si="638"/>
        <v>98667386.021850184</v>
      </c>
      <c r="U27" s="7">
        <f t="shared" si="638"/>
        <v>98090676.507200122</v>
      </c>
      <c r="V27" s="7">
        <f t="shared" si="638"/>
        <v>97510602.8537146</v>
      </c>
      <c r="W27" s="7">
        <f t="shared" si="638"/>
        <v>96927145.437250406</v>
      </c>
      <c r="X27" s="7">
        <f t="shared" si="638"/>
        <v>96340284.519190177</v>
      </c>
      <c r="Y27" s="7">
        <f t="shared" si="638"/>
        <v>95750000.245774597</v>
      </c>
      <c r="Z27" s="7">
        <f t="shared" si="638"/>
        <v>95156272.647430763</v>
      </c>
      <c r="AA27" s="7">
        <f t="shared" si="638"/>
        <v>94559081.638096586</v>
      </c>
      <c r="AB27" s="7">
        <f t="shared" si="638"/>
        <v>93958407.014541298</v>
      </c>
      <c r="AC27" s="7">
        <f t="shared" ref="AC27" si="639">AC22+AC23-AC26</f>
        <v>93354228.455681935</v>
      </c>
      <c r="AD27" s="7">
        <f t="shared" ref="AD27" si="640">AD22+AD23-AD26</f>
        <v>92746525.521895885</v>
      </c>
      <c r="AE27" s="7">
        <f t="shared" ref="AE27" si="641">AE22+AE23-AE26</f>
        <v>92135277.654329419</v>
      </c>
      <c r="AF27" s="7">
        <f t="shared" ref="AF27" si="642">AF22+AF23-AF26</f>
        <v>91520464.174202144</v>
      </c>
      <c r="AG27" s="7">
        <f t="shared" ref="AG27" si="643">AG22+AG23-AG26</f>
        <v>90902064.282107472</v>
      </c>
      <c r="AH27" s="7">
        <f t="shared" ref="AH27" si="644">AH22+AH23-AH26</f>
        <v>90280057.057308912</v>
      </c>
      <c r="AI27" s="7">
        <f t="shared" ref="AI27" si="645">AI22+AI23-AI26</f>
        <v>89654421.457032353</v>
      </c>
      <c r="AJ27" s="7">
        <f t="shared" ref="AJ27" si="646">AJ22+AJ23-AJ26</f>
        <v>89025136.31575419</v>
      </c>
      <c r="AK27" s="7">
        <f t="shared" ref="AK27" si="647">AK22+AK23-AK26</f>
        <v>88392180.344485238</v>
      </c>
      <c r="AL27" s="7">
        <f t="shared" ref="AL27" si="648">AL22+AL23-AL26</f>
        <v>87755532.13005054</v>
      </c>
      <c r="AM27" s="7">
        <f t="shared" ref="AM27" si="649">AM22+AM23-AM26</f>
        <v>87115170.134364977</v>
      </c>
      <c r="AN27" s="7">
        <f t="shared" ref="AN27" si="650">AN22+AN23-AN26</f>
        <v>86471072.69370459</v>
      </c>
      <c r="AO27" s="7">
        <f t="shared" ref="AO27" si="651">AO22+AO23-AO26</f>
        <v>85823218.017973676</v>
      </c>
      <c r="AP27" s="7">
        <f t="shared" ref="AP27" si="652">AP22+AP23-AP26</f>
        <v>85171584.189967662</v>
      </c>
      <c r="AQ27" s="7">
        <f t="shared" ref="AQ27" si="653">AQ22+AQ23-AQ26</f>
        <v>84516149.16463162</v>
      </c>
      <c r="AR27" s="7">
        <f t="shared" ref="AR27" si="654">AR22+AR23-AR26</f>
        <v>83856890.768314451</v>
      </c>
      <c r="AS27" s="7">
        <f t="shared" ref="AS27" si="655">AS22+AS23-AS26</f>
        <v>83193786.698018759</v>
      </c>
      <c r="AT27" s="7">
        <f t="shared" ref="AT27" si="656">AT22+AT23-AT26</f>
        <v>82526814.520646349</v>
      </c>
      <c r="AU27" s="7">
        <f t="shared" ref="AU27" si="657">AU22+AU23-AU26</f>
        <v>81855951.672239259</v>
      </c>
      <c r="AV27" s="7">
        <f t="shared" ref="AV27" si="658">AV22+AV23-AV26</f>
        <v>81181175.457216471</v>
      </c>
      <c r="AW27" s="7">
        <f t="shared" ref="AW27" si="659">AW22+AW23-AW26</f>
        <v>80502463.047606051</v>
      </c>
      <c r="AX27" s="7">
        <f t="shared" ref="AX27" si="660">AX22+AX23-AX26</f>
        <v>79819791.482272893</v>
      </c>
      <c r="AY27" s="7">
        <f t="shared" ref="AY27" si="661">AY22+AY23-AY26</f>
        <v>79133137.666141957</v>
      </c>
      <c r="AZ27" s="7">
        <f t="shared" ref="AZ27" si="662">AZ22+AZ23-AZ26</f>
        <v>78442478.369416922</v>
      </c>
      <c r="BA27" s="7">
        <f t="shared" ref="BA27" si="663">BA22+BA23-BA26</f>
        <v>77747790.226794332</v>
      </c>
      <c r="BB27" s="7">
        <f t="shared" ref="BB27" si="664">BB22+BB23-BB26</f>
        <v>77049049.736673102</v>
      </c>
      <c r="BC27" s="7">
        <f t="shared" ref="BC27" si="665">BC22+BC23-BC26</f>
        <v>76346233.260359511</v>
      </c>
      <c r="BD27" s="7">
        <f t="shared" ref="BD27" si="666">BD22+BD23-BD26</f>
        <v>75639317.021267414</v>
      </c>
      <c r="BE27" s="7">
        <f t="shared" ref="BE27" si="667">BE22+BE23-BE26</f>
        <v>74928277.104113951</v>
      </c>
      <c r="BF27" s="7">
        <f t="shared" ref="BF27" si="668">BF22+BF23-BF26</f>
        <v>74213089.454110429</v>
      </c>
      <c r="BG27" s="7">
        <f t="shared" ref="BG27" si="669">BG22+BG23-BG26</f>
        <v>73493729.876148552</v>
      </c>
      <c r="BH27" s="7">
        <f t="shared" ref="BH27" si="670">BH22+BH23-BH26</f>
        <v>72770174.033981889</v>
      </c>
      <c r="BI27" s="7">
        <f t="shared" ref="BI27" si="671">BI22+BI23-BI26</f>
        <v>72042397.449402601</v>
      </c>
      <c r="BJ27" s="7">
        <f t="shared" ref="BJ27" si="672">BJ22+BJ23-BJ26</f>
        <v>71310375.501413256</v>
      </c>
      <c r="BK27" s="7">
        <f t="shared" ref="BK27" si="673">BK22+BK23-BK26</f>
        <v>70574083.425393984</v>
      </c>
      <c r="BL27" s="7">
        <f t="shared" ref="BL27" si="674">BL22+BL23-BL26</f>
        <v>69833496.312264591</v>
      </c>
      <c r="BM27" s="7">
        <f t="shared" ref="BM27" si="675">BM22+BM23-BM26</f>
        <v>69088589.10764195</v>
      </c>
      <c r="BN27" s="7">
        <f t="shared" ref="BN27" si="676">BN22+BN23-BN26</f>
        <v>68339336.610992342</v>
      </c>
      <c r="BO27" s="7">
        <f t="shared" ref="BO27" si="677">BO22+BO23-BO26</f>
        <v>67585713.474778935</v>
      </c>
      <c r="BP27" s="7">
        <f t="shared" ref="BP27" si="678">BP22+BP23-BP26</f>
        <v>66827694.203604288</v>
      </c>
      <c r="BQ27" s="7">
        <f t="shared" ref="BQ27" si="679">BQ22+BQ23-BQ26</f>
        <v>66065253.15334779</v>
      </c>
      <c r="BR27" s="7">
        <f t="shared" ref="BR27" si="680">BR22+BR23-BR26</f>
        <v>65298364.530298129</v>
      </c>
      <c r="BS27" s="7">
        <f t="shared" ref="BS27" si="681">BS22+BS23-BS26</f>
        <v>64527002.390280679</v>
      </c>
      <c r="BT27" s="7">
        <f t="shared" ref="BT27" si="682">BT22+BT23-BT26</f>
        <v>63751140.637779795</v>
      </c>
      <c r="BU27" s="7">
        <f t="shared" ref="BU27" si="683">BU22+BU23-BU26</f>
        <v>62970753.02505599</v>
      </c>
      <c r="BV27" s="7">
        <f t="shared" ref="BV27" si="684">BV22+BV23-BV26</f>
        <v>62185813.151257962</v>
      </c>
      <c r="BW27" s="7">
        <f t="shared" ref="BW27" si="685">BW22+BW23-BW26</f>
        <v>61396294.461529441</v>
      </c>
      <c r="BX27" s="7">
        <f t="shared" ref="BX27" si="686">BX22+BX23-BX26</f>
        <v>60602170.246110842</v>
      </c>
      <c r="BY27" s="7">
        <f t="shared" ref="BY27" si="687">BY22+BY23-BY26</f>
        <v>59803413.639435634</v>
      </c>
      <c r="BZ27" s="7">
        <f t="shared" ref="BZ27" si="688">BZ22+BZ23-BZ26</f>
        <v>58999997.619221486</v>
      </c>
      <c r="CA27" s="7">
        <f t="shared" ref="CA27" si="689">CA22+CA23-CA26</f>
        <v>58191895.005556092</v>
      </c>
      <c r="CB27" s="7">
        <f t="shared" ref="CB27" si="690">CB22+CB23-CB26</f>
        <v>57379078.459977642</v>
      </c>
      <c r="CC27" s="7">
        <f t="shared" ref="CC27" si="691">CC22+CC23-CC26</f>
        <v>56561520.484549984</v>
      </c>
      <c r="CD27" s="7">
        <f t="shared" ref="CD27" si="692">CD22+CD23-CD26</f>
        <v>55739193.420932338</v>
      </c>
      <c r="CE27" s="7">
        <f t="shared" ref="CE27" si="693">CE22+CE23-CE26</f>
        <v>54912069.449443586</v>
      </c>
      <c r="CF27" s="7">
        <f t="shared" ref="CF27" si="694">CF22+CF23-CF26</f>
        <v>54080120.588121153</v>
      </c>
      <c r="CG27" s="7">
        <f t="shared" ref="CG27" si="695">CG22+CG23-CG26</f>
        <v>53243318.691774338</v>
      </c>
      <c r="CH27" s="7">
        <f t="shared" ref="CH27" si="696">CH22+CH23-CH26</f>
        <v>52401635.451032162</v>
      </c>
      <c r="CI27" s="7">
        <f t="shared" ref="CI27" si="697">CI22+CI23-CI26</f>
        <v>51555042.39138566</v>
      </c>
      <c r="CJ27" s="7">
        <f t="shared" ref="CJ27" si="698">CJ22+CJ23-CJ26</f>
        <v>50703510.872224554</v>
      </c>
      <c r="CK27" s="7">
        <f t="shared" ref="CK27" si="699">CK22+CK23-CK26</f>
        <v>49847012.085868344</v>
      </c>
      <c r="CL27" s="7">
        <f t="shared" ref="CL27" si="700">CL22+CL23-CL26</f>
        <v>48985517.056591719</v>
      </c>
      <c r="CM27" s="7">
        <f t="shared" ref="CM27" si="701">CM22+CM23-CM26</f>
        <v>48118996.639644317</v>
      </c>
      <c r="CN27" s="7">
        <f t="shared" ref="CN27" si="702">CN22+CN23-CN26</f>
        <v>47247421.520264722</v>
      </c>
      <c r="CO27" s="7">
        <f t="shared" ref="CO27" si="703">CO22+CO23-CO26</f>
        <v>46370762.212688744</v>
      </c>
      <c r="CP27" s="7">
        <f t="shared" ref="CP27" si="704">CP22+CP23-CP26</f>
        <v>45488989.059151903</v>
      </c>
      <c r="CQ27" s="7">
        <f t="shared" ref="CQ27" si="705">CQ22+CQ23-CQ26</f>
        <v>44602072.228886098</v>
      </c>
      <c r="CR27" s="7">
        <f t="shared" ref="CR27" si="706">CR22+CR23-CR26</f>
        <v>43709981.71711041</v>
      </c>
      <c r="CS27" s="7">
        <f t="shared" ref="CS27" si="707">CS22+CS23-CS26</f>
        <v>42812687.34401603</v>
      </c>
      <c r="CT27" s="7">
        <f t="shared" ref="CT27" si="708">CT22+CT23-CT26</f>
        <v>41910158.753745265</v>
      </c>
      <c r="CU27" s="7">
        <f t="shared" ref="CU27" si="709">CU22+CU23-CU26</f>
        <v>41002365.413364589</v>
      </c>
      <c r="CV27" s="7">
        <f t="shared" ref="CV27:DG27" si="710">CV22+CV23-CV26</f>
        <v>40089276.611831695</v>
      </c>
      <c r="CW27" s="7">
        <f t="shared" si="710"/>
        <v>39170861.458956525</v>
      </c>
      <c r="CX27" s="7">
        <f t="shared" si="710"/>
        <v>38247088.884356245</v>
      </c>
      <c r="CY27" s="7">
        <f t="shared" si="710"/>
        <v>37317927.636404134</v>
      </c>
      <c r="CZ27" s="7">
        <f t="shared" si="710"/>
        <v>36383346.281172305</v>
      </c>
      <c r="DA27" s="7">
        <f t="shared" si="710"/>
        <v>35443313.201368287</v>
      </c>
      <c r="DB27" s="7">
        <f t="shared" si="710"/>
        <v>34497796.595265411</v>
      </c>
      <c r="DC27" s="7">
        <f t="shared" si="710"/>
        <v>33546764.475626934</v>
      </c>
      <c r="DD27" s="7">
        <f t="shared" si="710"/>
        <v>32590184.668623902</v>
      </c>
      <c r="DE27" s="7">
        <f t="shared" si="710"/>
        <v>31628024.812746685</v>
      </c>
      <c r="DF27" s="7">
        <f t="shared" si="710"/>
        <v>30660252.357710183</v>
      </c>
      <c r="DG27" s="7">
        <f t="shared" si="710"/>
        <v>29686834.563352637</v>
      </c>
      <c r="DH27" s="7">
        <f t="shared" ref="DH27:DS27" si="711">DH22+DH23-DH26</f>
        <v>28707738.498528004</v>
      </c>
      <c r="DI27" s="7">
        <f t="shared" si="711"/>
        <v>27722931.039991893</v>
      </c>
      <c r="DJ27" s="7">
        <f t="shared" si="711"/>
        <v>26732378.871280991</v>
      </c>
      <c r="DK27" s="7">
        <f t="shared" si="711"/>
        <v>25736048.481585938</v>
      </c>
      <c r="DL27" s="7">
        <f t="shared" si="711"/>
        <v>24733906.164617665</v>
      </c>
      <c r="DM27" s="7">
        <f t="shared" si="711"/>
        <v>23725918.017467078</v>
      </c>
      <c r="DN27" s="7">
        <f t="shared" si="711"/>
        <v>22712049.939458113</v>
      </c>
      <c r="DO27" s="7">
        <f t="shared" si="711"/>
        <v>21692267.630994096</v>
      </c>
      <c r="DP27" s="7">
        <f t="shared" si="711"/>
        <v>20666536.592397373</v>
      </c>
      <c r="DQ27" s="7">
        <f t="shared" si="711"/>
        <v>19634822.122742169</v>
      </c>
      <c r="DR27" s="7">
        <f t="shared" si="711"/>
        <v>18597089.31868064</v>
      </c>
      <c r="DS27" s="7">
        <f t="shared" si="711"/>
        <v>17553303.073262088</v>
      </c>
      <c r="DT27" s="7">
        <f t="shared" ref="DT27:EE27" si="712">DT22+DT23-DT26</f>
        <v>16503428.07474526</v>
      </c>
      <c r="DU27" s="7">
        <f t="shared" si="712"/>
        <v>15447428.80540375</v>
      </c>
      <c r="DV27" s="7">
        <f t="shared" si="712"/>
        <v>14385269.540324416</v>
      </c>
      <c r="DW27" s="7">
        <f t="shared" si="712"/>
        <v>13316914.346198784</v>
      </c>
      <c r="DX27" s="7">
        <f t="shared" si="712"/>
        <v>12242327.080107421</v>
      </c>
      <c r="DY27" s="7">
        <f t="shared" si="712"/>
        <v>11161471.388297191</v>
      </c>
      <c r="DZ27" s="7">
        <f t="shared" si="712"/>
        <v>10074310.704951402</v>
      </c>
      <c r="EA27" s="7">
        <f t="shared" si="712"/>
        <v>8980808.2509527616</v>
      </c>
      <c r="EB27" s="7">
        <f t="shared" si="712"/>
        <v>7880927.0326391291</v>
      </c>
      <c r="EC27" s="7">
        <f t="shared" si="712"/>
        <v>6774629.8405520003</v>
      </c>
      <c r="ED27" s="7">
        <f t="shared" si="712"/>
        <v>5661879.248177697</v>
      </c>
      <c r="EE27" s="7">
        <f t="shared" si="712"/>
        <v>4542637.6106812097</v>
      </c>
      <c r="EF27" s="7">
        <f t="shared" ref="EF27:ER27" si="713">EF22+EF23-EF26</f>
        <v>3416867.0636326596</v>
      </c>
      <c r="EG27" s="7">
        <f t="shared" si="713"/>
        <v>2284529.5217263266</v>
      </c>
      <c r="EH27" s="7">
        <f t="shared" si="713"/>
        <v>1145586.6774922067</v>
      </c>
      <c r="EI27" s="7">
        <f t="shared" si="713"/>
        <v>5.4482370615005493E-8</v>
      </c>
      <c r="EJ27" s="7">
        <f t="shared" si="713"/>
        <v>0</v>
      </c>
      <c r="EK27" s="7">
        <f t="shared" si="713"/>
        <v>0</v>
      </c>
      <c r="EL27" s="7">
        <f t="shared" si="713"/>
        <v>0</v>
      </c>
      <c r="EM27" s="7">
        <f t="shared" si="713"/>
        <v>0</v>
      </c>
      <c r="EN27" s="7">
        <f t="shared" si="713"/>
        <v>0</v>
      </c>
      <c r="EO27" s="7">
        <f t="shared" si="713"/>
        <v>0</v>
      </c>
      <c r="EP27" s="7">
        <f t="shared" si="713"/>
        <v>0</v>
      </c>
      <c r="EQ27" s="7">
        <f t="shared" si="713"/>
        <v>0</v>
      </c>
      <c r="ER27" s="7">
        <f t="shared" si="713"/>
        <v>0</v>
      </c>
      <c r="ES27" s="7">
        <f t="shared" ref="ES27" si="714">ES22+ES23-ES26</f>
        <v>0</v>
      </c>
      <c r="ET27" s="7">
        <f t="shared" ref="ET27:HE27" si="715">ET22+ET23-ET26</f>
        <v>0</v>
      </c>
      <c r="EU27" s="7">
        <f t="shared" si="715"/>
        <v>0</v>
      </c>
      <c r="EV27" s="7">
        <f t="shared" si="715"/>
        <v>0</v>
      </c>
      <c r="EW27" s="7">
        <f t="shared" si="715"/>
        <v>0</v>
      </c>
      <c r="EX27" s="7">
        <f t="shared" si="715"/>
        <v>0</v>
      </c>
      <c r="EY27" s="7">
        <f t="shared" si="715"/>
        <v>0</v>
      </c>
      <c r="EZ27" s="7">
        <f t="shared" si="715"/>
        <v>0</v>
      </c>
      <c r="FA27" s="7">
        <f t="shared" si="715"/>
        <v>0</v>
      </c>
      <c r="FB27" s="7">
        <f t="shared" si="715"/>
        <v>0</v>
      </c>
      <c r="FC27" s="7">
        <f t="shared" si="715"/>
        <v>0</v>
      </c>
      <c r="FD27" s="7">
        <f t="shared" si="715"/>
        <v>0</v>
      </c>
      <c r="FE27" s="7">
        <f t="shared" si="715"/>
        <v>0</v>
      </c>
      <c r="FF27" s="7">
        <f t="shared" si="715"/>
        <v>0</v>
      </c>
      <c r="FG27" s="7">
        <f t="shared" si="715"/>
        <v>0</v>
      </c>
      <c r="FH27" s="7">
        <f t="shared" si="715"/>
        <v>0</v>
      </c>
      <c r="FI27" s="7">
        <f t="shared" si="715"/>
        <v>0</v>
      </c>
      <c r="FJ27" s="7">
        <f t="shared" si="715"/>
        <v>0</v>
      </c>
      <c r="FK27" s="7">
        <f t="shared" si="715"/>
        <v>0</v>
      </c>
      <c r="FL27" s="7">
        <f t="shared" si="715"/>
        <v>0</v>
      </c>
      <c r="FM27" s="7">
        <f t="shared" si="715"/>
        <v>0</v>
      </c>
      <c r="FN27" s="7">
        <f t="shared" si="715"/>
        <v>0</v>
      </c>
      <c r="FO27" s="7">
        <f t="shared" si="715"/>
        <v>0</v>
      </c>
      <c r="FP27" s="7">
        <f t="shared" si="715"/>
        <v>0</v>
      </c>
      <c r="FQ27" s="7">
        <f t="shared" si="715"/>
        <v>0</v>
      </c>
      <c r="FR27" s="7">
        <f t="shared" si="715"/>
        <v>0</v>
      </c>
      <c r="FS27" s="7">
        <f t="shared" si="715"/>
        <v>0</v>
      </c>
      <c r="FT27" s="7">
        <f t="shared" si="715"/>
        <v>0</v>
      </c>
      <c r="FU27" s="7">
        <f t="shared" si="715"/>
        <v>0</v>
      </c>
      <c r="FV27" s="7">
        <f t="shared" si="715"/>
        <v>0</v>
      </c>
      <c r="FW27" s="7">
        <f t="shared" si="715"/>
        <v>0</v>
      </c>
      <c r="FX27" s="7">
        <f t="shared" si="715"/>
        <v>0</v>
      </c>
      <c r="FY27" s="7">
        <f t="shared" si="715"/>
        <v>0</v>
      </c>
      <c r="FZ27" s="7">
        <f t="shared" si="715"/>
        <v>0</v>
      </c>
      <c r="GA27" s="7">
        <f t="shared" si="715"/>
        <v>0</v>
      </c>
      <c r="GB27" s="7">
        <f t="shared" si="715"/>
        <v>0</v>
      </c>
      <c r="GC27" s="7">
        <f t="shared" si="715"/>
        <v>0</v>
      </c>
      <c r="GD27" s="7">
        <f t="shared" si="715"/>
        <v>0</v>
      </c>
      <c r="GE27" s="7">
        <f t="shared" si="715"/>
        <v>0</v>
      </c>
      <c r="GF27" s="7">
        <f t="shared" si="715"/>
        <v>0</v>
      </c>
      <c r="GG27" s="7">
        <f t="shared" si="715"/>
        <v>0</v>
      </c>
      <c r="GH27" s="7">
        <f t="shared" si="715"/>
        <v>0</v>
      </c>
      <c r="GI27" s="7">
        <f t="shared" si="715"/>
        <v>0</v>
      </c>
      <c r="GJ27" s="7">
        <f t="shared" si="715"/>
        <v>0</v>
      </c>
      <c r="GK27" s="7">
        <f t="shared" si="715"/>
        <v>0</v>
      </c>
      <c r="GL27" s="7">
        <f t="shared" si="715"/>
        <v>0</v>
      </c>
      <c r="GM27" s="7">
        <f t="shared" si="715"/>
        <v>0</v>
      </c>
      <c r="GN27" s="7">
        <f t="shared" si="715"/>
        <v>0</v>
      </c>
      <c r="GO27" s="7">
        <f t="shared" si="715"/>
        <v>0</v>
      </c>
      <c r="GP27" s="7">
        <f t="shared" si="715"/>
        <v>0</v>
      </c>
      <c r="GQ27" s="7">
        <f t="shared" si="715"/>
        <v>0</v>
      </c>
      <c r="GR27" s="7">
        <f t="shared" si="715"/>
        <v>0</v>
      </c>
      <c r="GS27" s="7">
        <f t="shared" si="715"/>
        <v>0</v>
      </c>
      <c r="GT27" s="7">
        <f t="shared" si="715"/>
        <v>0</v>
      </c>
      <c r="GU27" s="7">
        <f t="shared" si="715"/>
        <v>0</v>
      </c>
      <c r="GV27" s="7">
        <f t="shared" si="715"/>
        <v>0</v>
      </c>
      <c r="GW27" s="7">
        <f t="shared" si="715"/>
        <v>0</v>
      </c>
      <c r="GX27" s="7">
        <f t="shared" si="715"/>
        <v>0</v>
      </c>
      <c r="GY27" s="7">
        <f t="shared" si="715"/>
        <v>0</v>
      </c>
      <c r="GZ27" s="7">
        <f t="shared" si="715"/>
        <v>0</v>
      </c>
      <c r="HA27" s="7">
        <f t="shared" si="715"/>
        <v>0</v>
      </c>
      <c r="HB27" s="7">
        <f t="shared" si="715"/>
        <v>0</v>
      </c>
      <c r="HC27" s="7">
        <f t="shared" si="715"/>
        <v>0</v>
      </c>
      <c r="HD27" s="7">
        <f t="shared" si="715"/>
        <v>0</v>
      </c>
      <c r="HE27" s="7">
        <f t="shared" si="715"/>
        <v>0</v>
      </c>
      <c r="HF27" s="7">
        <f t="shared" ref="HF27:JQ27" si="716">HF22+HF23-HF26</f>
        <v>0</v>
      </c>
      <c r="HG27" s="7">
        <f t="shared" si="716"/>
        <v>0</v>
      </c>
      <c r="HH27" s="7">
        <f t="shared" si="716"/>
        <v>0</v>
      </c>
      <c r="HI27" s="7">
        <f t="shared" si="716"/>
        <v>0</v>
      </c>
      <c r="HJ27" s="7">
        <f t="shared" si="716"/>
        <v>0</v>
      </c>
      <c r="HK27" s="7">
        <f t="shared" si="716"/>
        <v>0</v>
      </c>
      <c r="HL27" s="7">
        <f t="shared" si="716"/>
        <v>0</v>
      </c>
      <c r="HM27" s="7">
        <f t="shared" si="716"/>
        <v>0</v>
      </c>
      <c r="HN27" s="7">
        <f t="shared" si="716"/>
        <v>0</v>
      </c>
      <c r="HO27" s="7">
        <f t="shared" si="716"/>
        <v>0</v>
      </c>
      <c r="HP27" s="7">
        <f t="shared" si="716"/>
        <v>0</v>
      </c>
      <c r="HQ27" s="7">
        <f t="shared" si="716"/>
        <v>0</v>
      </c>
      <c r="HR27" s="7">
        <f t="shared" si="716"/>
        <v>0</v>
      </c>
      <c r="HS27" s="7">
        <f t="shared" si="716"/>
        <v>0</v>
      </c>
      <c r="HT27" s="7">
        <f t="shared" si="716"/>
        <v>0</v>
      </c>
      <c r="HU27" s="7">
        <f t="shared" si="716"/>
        <v>0</v>
      </c>
      <c r="HV27" s="7">
        <f t="shared" si="716"/>
        <v>0</v>
      </c>
      <c r="HW27" s="7">
        <f t="shared" si="716"/>
        <v>0</v>
      </c>
      <c r="HX27" s="7">
        <f t="shared" si="716"/>
        <v>0</v>
      </c>
      <c r="HY27" s="7">
        <f t="shared" si="716"/>
        <v>0</v>
      </c>
      <c r="HZ27" s="7">
        <f t="shared" si="716"/>
        <v>0</v>
      </c>
      <c r="IA27" s="7">
        <f t="shared" si="716"/>
        <v>0</v>
      </c>
      <c r="IB27" s="7">
        <f t="shared" si="716"/>
        <v>0</v>
      </c>
      <c r="IC27" s="7">
        <f t="shared" si="716"/>
        <v>0</v>
      </c>
      <c r="ID27" s="7">
        <f t="shared" si="716"/>
        <v>0</v>
      </c>
      <c r="IE27" s="7">
        <f t="shared" si="716"/>
        <v>0</v>
      </c>
      <c r="IF27" s="7">
        <f t="shared" si="716"/>
        <v>0</v>
      </c>
      <c r="IG27" s="7">
        <f t="shared" si="716"/>
        <v>0</v>
      </c>
      <c r="IH27" s="7">
        <f t="shared" si="716"/>
        <v>0</v>
      </c>
      <c r="II27" s="7">
        <f t="shared" si="716"/>
        <v>0</v>
      </c>
      <c r="IJ27" s="7">
        <f t="shared" si="716"/>
        <v>0</v>
      </c>
      <c r="IK27" s="7">
        <f t="shared" si="716"/>
        <v>0</v>
      </c>
      <c r="IL27" s="7">
        <f t="shared" si="716"/>
        <v>0</v>
      </c>
      <c r="IM27" s="7">
        <f t="shared" si="716"/>
        <v>0</v>
      </c>
      <c r="IN27" s="7">
        <f t="shared" si="716"/>
        <v>0</v>
      </c>
      <c r="IO27" s="7">
        <f t="shared" si="716"/>
        <v>0</v>
      </c>
      <c r="IP27" s="7">
        <f t="shared" si="716"/>
        <v>0</v>
      </c>
      <c r="IQ27" s="7">
        <f t="shared" si="716"/>
        <v>0</v>
      </c>
      <c r="IR27" s="7">
        <f t="shared" si="716"/>
        <v>0</v>
      </c>
      <c r="IS27" s="7">
        <f t="shared" si="716"/>
        <v>0</v>
      </c>
      <c r="IT27" s="7">
        <f t="shared" si="716"/>
        <v>0</v>
      </c>
      <c r="IU27" s="7">
        <f t="shared" si="716"/>
        <v>0</v>
      </c>
      <c r="IV27" s="7">
        <f t="shared" si="716"/>
        <v>0</v>
      </c>
      <c r="IW27" s="7">
        <f t="shared" si="716"/>
        <v>0</v>
      </c>
      <c r="IX27" s="7">
        <f t="shared" si="716"/>
        <v>0</v>
      </c>
      <c r="IY27" s="7">
        <f t="shared" si="716"/>
        <v>0</v>
      </c>
      <c r="IZ27" s="7">
        <f t="shared" si="716"/>
        <v>0</v>
      </c>
      <c r="JA27" s="7">
        <f t="shared" si="716"/>
        <v>0</v>
      </c>
      <c r="JB27" s="7">
        <f t="shared" si="716"/>
        <v>0</v>
      </c>
      <c r="JC27" s="7">
        <f t="shared" si="716"/>
        <v>0</v>
      </c>
      <c r="JD27" s="7">
        <f t="shared" si="716"/>
        <v>0</v>
      </c>
      <c r="JE27" s="7">
        <f t="shared" si="716"/>
        <v>0</v>
      </c>
      <c r="JF27" s="7">
        <f t="shared" si="716"/>
        <v>0</v>
      </c>
      <c r="JG27" s="7">
        <f t="shared" si="716"/>
        <v>0</v>
      </c>
      <c r="JH27" s="7">
        <f t="shared" si="716"/>
        <v>0</v>
      </c>
      <c r="JI27" s="7">
        <f t="shared" si="716"/>
        <v>0</v>
      </c>
      <c r="JJ27" s="7">
        <f t="shared" si="716"/>
        <v>0</v>
      </c>
      <c r="JK27" s="7">
        <f t="shared" si="716"/>
        <v>0</v>
      </c>
      <c r="JL27" s="7">
        <f t="shared" si="716"/>
        <v>0</v>
      </c>
      <c r="JM27" s="7">
        <f t="shared" si="716"/>
        <v>0</v>
      </c>
      <c r="JN27" s="7">
        <f t="shared" si="716"/>
        <v>0</v>
      </c>
      <c r="JO27" s="7">
        <f t="shared" si="716"/>
        <v>0</v>
      </c>
      <c r="JP27" s="7">
        <f t="shared" si="716"/>
        <v>0</v>
      </c>
      <c r="JQ27" s="7">
        <f t="shared" si="716"/>
        <v>0</v>
      </c>
      <c r="JR27" s="7">
        <f t="shared" ref="JR27:JT27" si="717">JR22+JR23-JR26</f>
        <v>0</v>
      </c>
      <c r="JS27" s="7">
        <f t="shared" si="717"/>
        <v>0</v>
      </c>
      <c r="JT27" s="7">
        <f t="shared" si="717"/>
        <v>0</v>
      </c>
    </row>
    <row r="29" spans="1:280" x14ac:dyDescent="0.2">
      <c r="D29" s="73" t="s">
        <v>111</v>
      </c>
      <c r="E29" s="74">
        <f>E7+E14+E22</f>
        <v>0</v>
      </c>
      <c r="F29" s="74">
        <f t="shared" ref="F29:BQ30" si="718">F7+F14+F22</f>
        <v>42317472.159759872</v>
      </c>
      <c r="G29" s="74">
        <f t="shared" si="718"/>
        <v>55633552.549807675</v>
      </c>
      <c r="H29" s="74">
        <f t="shared" si="718"/>
        <v>66366895.235132098</v>
      </c>
      <c r="I29" s="74">
        <f t="shared" si="718"/>
        <v>73216222.101785243</v>
      </c>
      <c r="J29" s="74">
        <f t="shared" si="718"/>
        <v>89456946.834257692</v>
      </c>
      <c r="K29" s="74">
        <f t="shared" si="718"/>
        <v>109615970.89860679</v>
      </c>
      <c r="L29" s="74">
        <f t="shared" si="718"/>
        <v>127272991.74542645</v>
      </c>
      <c r="M29" s="74">
        <f t="shared" si="718"/>
        <v>142413483.49413753</v>
      </c>
      <c r="N29" s="74">
        <f t="shared" si="718"/>
        <v>156328008.21025026</v>
      </c>
      <c r="O29" s="74">
        <f t="shared" si="718"/>
        <v>167692281.48692214</v>
      </c>
      <c r="P29" s="74">
        <f t="shared" si="718"/>
        <v>178733814.57050249</v>
      </c>
      <c r="Q29" s="74">
        <f t="shared" si="718"/>
        <v>194866984.83765143</v>
      </c>
      <c r="R29" s="74">
        <f t="shared" si="718"/>
        <v>194866984.83765143</v>
      </c>
      <c r="S29" s="74">
        <f t="shared" si="718"/>
        <v>194866984.83765143</v>
      </c>
      <c r="T29" s="74">
        <f t="shared" si="718"/>
        <v>194866984.83765146</v>
      </c>
      <c r="U29" s="74">
        <f t="shared" si="718"/>
        <v>193991924.02451569</v>
      </c>
      <c r="V29" s="74">
        <f t="shared" si="718"/>
        <v>193111758.68996996</v>
      </c>
      <c r="W29" s="74">
        <f t="shared" si="718"/>
        <v>192226459.05763942</v>
      </c>
      <c r="X29" s="74">
        <f t="shared" si="718"/>
        <v>191335995.17745358</v>
      </c>
      <c r="Y29" s="74">
        <f t="shared" si="718"/>
        <v>190440336.92463332</v>
      </c>
      <c r="Z29" s="74">
        <f t="shared" si="718"/>
        <v>189539453.99867159</v>
      </c>
      <c r="AA29" s="74">
        <f t="shared" si="718"/>
        <v>188633315.92230847</v>
      </c>
      <c r="AB29" s="74">
        <f t="shared" si="718"/>
        <v>187721892.04049987</v>
      </c>
      <c r="AC29" s="74">
        <f t="shared" si="718"/>
        <v>186805151.51938075</v>
      </c>
      <c r="AD29" s="74">
        <f t="shared" si="718"/>
        <v>185883063.34522176</v>
      </c>
      <c r="AE29" s="74">
        <f t="shared" si="718"/>
        <v>184955596.32338014</v>
      </c>
      <c r="AF29" s="74">
        <f t="shared" si="718"/>
        <v>184022719.07724446</v>
      </c>
      <c r="AG29" s="74">
        <f t="shared" si="718"/>
        <v>183084400.04717299</v>
      </c>
      <c r="AH29" s="74">
        <f t="shared" si="718"/>
        <v>182140607.48942614</v>
      </c>
      <c r="AI29" s="74">
        <f t="shared" si="718"/>
        <v>181191309.47509238</v>
      </c>
      <c r="AJ29" s="74">
        <f t="shared" si="718"/>
        <v>180236473.88900834</v>
      </c>
      <c r="AK29" s="74">
        <f t="shared" si="718"/>
        <v>179276068.42867219</v>
      </c>
      <c r="AL29" s="74">
        <f t="shared" si="718"/>
        <v>178310060.60315073</v>
      </c>
      <c r="AM29" s="74">
        <f t="shared" si="718"/>
        <v>177338417.73198035</v>
      </c>
      <c r="AN29" s="74">
        <f t="shared" si="718"/>
        <v>176361106.94406152</v>
      </c>
      <c r="AO29" s="74">
        <f t="shared" si="718"/>
        <v>175378095.17654648</v>
      </c>
      <c r="AP29" s="74">
        <f t="shared" si="718"/>
        <v>174389349.17372096</v>
      </c>
      <c r="AQ29" s="74">
        <f t="shared" si="718"/>
        <v>173394835.48587891</v>
      </c>
      <c r="AR29" s="74">
        <f t="shared" si="718"/>
        <v>172394520.46819115</v>
      </c>
      <c r="AS29" s="74">
        <f t="shared" si="718"/>
        <v>171388370.27956688</v>
      </c>
      <c r="AT29" s="74">
        <f t="shared" si="718"/>
        <v>170376350.88150895</v>
      </c>
      <c r="AU29" s="74">
        <f t="shared" si="718"/>
        <v>169358428.03696236</v>
      </c>
      <c r="AV29" s="74">
        <f t="shared" si="718"/>
        <v>168334567.30915591</v>
      </c>
      <c r="AW29" s="74">
        <f t="shared" si="718"/>
        <v>167304734.06043726</v>
      </c>
      <c r="AX29" s="74">
        <f t="shared" si="718"/>
        <v>166268893.45110109</v>
      </c>
      <c r="AY29" s="74">
        <f t="shared" si="718"/>
        <v>165227010.43821046</v>
      </c>
      <c r="AZ29" s="74">
        <f t="shared" si="718"/>
        <v>164179049.77441129</v>
      </c>
      <c r="BA29" s="74">
        <f t="shared" si="718"/>
        <v>163124976.00673997</v>
      </c>
      <c r="BB29" s="74">
        <f t="shared" si="718"/>
        <v>162064753.47542387</v>
      </c>
      <c r="BC29" s="74">
        <f t="shared" si="718"/>
        <v>160998346.31267512</v>
      </c>
      <c r="BD29" s="74">
        <f t="shared" si="718"/>
        <v>159925718.441477</v>
      </c>
      <c r="BE29" s="74">
        <f t="shared" si="718"/>
        <v>158846833.57436356</v>
      </c>
      <c r="BF29" s="74">
        <f t="shared" si="718"/>
        <v>157761655.21219194</v>
      </c>
      <c r="BG29" s="74">
        <f t="shared" si="718"/>
        <v>156670146.64290768</v>
      </c>
      <c r="BH29" s="74">
        <f t="shared" si="718"/>
        <v>155572270.94030258</v>
      </c>
      <c r="BI29" s="74">
        <f t="shared" si="718"/>
        <v>154467990.96276563</v>
      </c>
      <c r="BJ29" s="74">
        <f t="shared" si="718"/>
        <v>153357269.35202634</v>
      </c>
      <c r="BK29" s="74">
        <f t="shared" si="718"/>
        <v>152240068.53189111</v>
      </c>
      <c r="BL29" s="74">
        <f t="shared" si="718"/>
        <v>151116350.70697176</v>
      </c>
      <c r="BM29" s="74">
        <f t="shared" si="718"/>
        <v>149986077.86140704</v>
      </c>
      <c r="BN29" s="74">
        <f t="shared" si="718"/>
        <v>148849211.75757653</v>
      </c>
      <c r="BO29" s="74">
        <f t="shared" si="718"/>
        <v>147705713.934807</v>
      </c>
      <c r="BP29" s="74">
        <f t="shared" si="718"/>
        <v>146555545.70807129</v>
      </c>
      <c r="BQ29" s="74">
        <f t="shared" si="718"/>
        <v>145398668.16667965</v>
      </c>
      <c r="BR29" s="74">
        <f t="shared" ref="BR29:CV33" si="719">BR7+BR14+BR22</f>
        <v>144235042.17296323</v>
      </c>
      <c r="BS29" s="74">
        <f t="shared" si="719"/>
        <v>143064628.36095011</v>
      </c>
      <c r="BT29" s="74">
        <f t="shared" si="719"/>
        <v>141887387.13503361</v>
      </c>
      <c r="BU29" s="74">
        <f t="shared" si="719"/>
        <v>140703278.66863257</v>
      </c>
      <c r="BV29" s="74">
        <f t="shared" si="719"/>
        <v>139512262.90284419</v>
      </c>
      <c r="BW29" s="74">
        <f t="shared" si="719"/>
        <v>138314299.54508874</v>
      </c>
      <c r="BX29" s="74">
        <f t="shared" si="719"/>
        <v>137109348.06774637</v>
      </c>
      <c r="BY29" s="74">
        <f t="shared" si="719"/>
        <v>135897367.70678616</v>
      </c>
      <c r="BZ29" s="74">
        <f t="shared" si="719"/>
        <v>134678317.46038702</v>
      </c>
      <c r="CA29" s="74">
        <f t="shared" si="719"/>
        <v>133452156.08755055</v>
      </c>
      <c r="CB29" s="74">
        <f t="shared" si="719"/>
        <v>132218842.10670587</v>
      </c>
      <c r="CC29" s="74">
        <f t="shared" si="719"/>
        <v>130978333.79430626</v>
      </c>
      <c r="CD29" s="74">
        <f t="shared" si="719"/>
        <v>129730589.18341765</v>
      </c>
      <c r="CE29" s="74">
        <f t="shared" si="719"/>
        <v>128475566.06229886</v>
      </c>
      <c r="CF29" s="74">
        <f t="shared" si="719"/>
        <v>127213221.97297356</v>
      </c>
      <c r="CG29" s="74">
        <f t="shared" si="719"/>
        <v>125943514.20979384</v>
      </c>
      <c r="CH29" s="74">
        <f t="shared" si="719"/>
        <v>124666399.81799558</v>
      </c>
      <c r="CI29" s="74">
        <f t="shared" si="719"/>
        <v>123381835.59224516</v>
      </c>
      <c r="CJ29" s="74">
        <f t="shared" si="719"/>
        <v>122089778.07517786</v>
      </c>
      <c r="CK29" s="74">
        <f t="shared" si="719"/>
        <v>120790183.55592768</v>
      </c>
      <c r="CL29" s="74">
        <f t="shared" si="719"/>
        <v>119483008.06864853</v>
      </c>
      <c r="CM29" s="74">
        <f t="shared" si="719"/>
        <v>118168207.39102693</v>
      </c>
      <c r="CN29" s="74">
        <f t="shared" si="719"/>
        <v>116845737.04278585</v>
      </c>
      <c r="CO29" s="74">
        <f t="shared" si="719"/>
        <v>115515552.28418005</v>
      </c>
      <c r="CP29" s="74">
        <f t="shared" si="719"/>
        <v>114177608.11448237</v>
      </c>
      <c r="CQ29" s="74">
        <f t="shared" si="719"/>
        <v>112831859.27046145</v>
      </c>
      <c r="CR29" s="74">
        <f t="shared" si="719"/>
        <v>111478260.22485042</v>
      </c>
      <c r="CS29" s="74">
        <f t="shared" si="719"/>
        <v>110116765.18480664</v>
      </c>
      <c r="CT29" s="74">
        <f t="shared" si="719"/>
        <v>108747328.09036264</v>
      </c>
      <c r="CU29" s="74">
        <f t="shared" si="719"/>
        <v>107369902.61286768</v>
      </c>
      <c r="CV29" s="74">
        <f t="shared" si="719"/>
        <v>105984442.15342069</v>
      </c>
      <c r="CW29" s="74">
        <f t="shared" ref="CW29:DH29" si="720">CW7+CW14+CW22</f>
        <v>104590899.84129357</v>
      </c>
      <c r="CX29" s="74">
        <f t="shared" si="720"/>
        <v>103189228.53234574</v>
      </c>
      <c r="CY29" s="74">
        <f t="shared" si="720"/>
        <v>101779380.80742902</v>
      </c>
      <c r="CZ29" s="74">
        <f t="shared" si="720"/>
        <v>100361308.97078364</v>
      </c>
      <c r="DA29" s="74">
        <f t="shared" si="720"/>
        <v>98934965.048424482</v>
      </c>
      <c r="DB29" s="74">
        <f t="shared" si="720"/>
        <v>97500300.786518231</v>
      </c>
      <c r="DC29" s="74">
        <f t="shared" si="720"/>
        <v>96057267.649750859</v>
      </c>
      <c r="DD29" s="74">
        <f t="shared" si="720"/>
        <v>94605816.819685683</v>
      </c>
      <c r="DE29" s="74">
        <f t="shared" si="720"/>
        <v>93145899.193111777</v>
      </c>
      <c r="DF29" s="74">
        <f t="shared" si="720"/>
        <v>91677465.380382881</v>
      </c>
      <c r="DG29" s="74">
        <f t="shared" si="720"/>
        <v>90200465.703746378</v>
      </c>
      <c r="DH29" s="74">
        <f t="shared" si="720"/>
        <v>88714850.195662841</v>
      </c>
      <c r="DI29" s="74">
        <f t="shared" ref="DI29:DT29" si="721">DI7+DI14+DI22</f>
        <v>87220568.597115487</v>
      </c>
      <c r="DJ29" s="74">
        <f t="shared" si="721"/>
        <v>85717570.355909929</v>
      </c>
      <c r="DK29" s="74">
        <f t="shared" si="721"/>
        <v>84205804.624964014</v>
      </c>
      <c r="DL29" s="74">
        <f t="shared" si="721"/>
        <v>82685220.260587573</v>
      </c>
      <c r="DM29" s="74">
        <f t="shared" si="721"/>
        <v>81155765.820752278</v>
      </c>
      <c r="DN29" s="74">
        <f t="shared" si="721"/>
        <v>79617389.563351274</v>
      </c>
      <c r="DO29" s="74">
        <f t="shared" si="721"/>
        <v>78070039.444448754</v>
      </c>
      <c r="DP29" s="74">
        <f t="shared" si="721"/>
        <v>76513663.116519317</v>
      </c>
      <c r="DQ29" s="74">
        <f t="shared" si="721"/>
        <v>74948207.926676959</v>
      </c>
      <c r="DR29" s="74">
        <f t="shared" si="721"/>
        <v>73373620.914893836</v>
      </c>
      <c r="DS29" s="74">
        <f t="shared" si="721"/>
        <v>71789848.812208667</v>
      </c>
      <c r="DT29" s="74">
        <f t="shared" si="721"/>
        <v>70196838.038924485</v>
      </c>
      <c r="DU29" s="74">
        <f t="shared" ref="DU29:EF29" si="722">DU7+DU14+DU22</f>
        <v>68594534.702796161</v>
      </c>
      <c r="DV29" s="74">
        <f t="shared" si="722"/>
        <v>66982884.597207069</v>
      </c>
      <c r="DW29" s="74">
        <f t="shared" si="722"/>
        <v>65361833.199335381</v>
      </c>
      <c r="DX29" s="74">
        <f t="shared" si="722"/>
        <v>63731325.668309443</v>
      </c>
      <c r="DY29" s="74">
        <f t="shared" si="722"/>
        <v>62091306.843352526</v>
      </c>
      <c r="DZ29" s="74">
        <f t="shared" si="722"/>
        <v>60441721.241916694</v>
      </c>
      <c r="EA29" s="74">
        <f t="shared" si="722"/>
        <v>58782513.057805806</v>
      </c>
      <c r="EB29" s="74">
        <f t="shared" si="722"/>
        <v>57113626.159287617</v>
      </c>
      <c r="EC29" s="74">
        <f t="shared" si="722"/>
        <v>55435004.087194741</v>
      </c>
      <c r="ED29" s="74">
        <f t="shared" si="722"/>
        <v>53746590.053014651</v>
      </c>
      <c r="EE29" s="74">
        <f t="shared" si="722"/>
        <v>52048326.936968513</v>
      </c>
      <c r="EF29" s="74">
        <f t="shared" si="722"/>
        <v>50340157.286078766</v>
      </c>
      <c r="EG29" s="74">
        <f t="shared" ref="EG29:ER29" si="723">EG7+EG14+EG22</f>
        <v>48622023.312225491</v>
      </c>
      <c r="EH29" s="74">
        <f t="shared" si="723"/>
        <v>46893866.890191413</v>
      </c>
      <c r="EI29" s="74">
        <f t="shared" si="723"/>
        <v>45155629.555695474</v>
      </c>
      <c r="EJ29" s="74">
        <f t="shared" si="723"/>
        <v>43407252.503414914</v>
      </c>
      <c r="EK29" s="74">
        <f t="shared" si="723"/>
        <v>42800945.851440296</v>
      </c>
      <c r="EL29" s="74">
        <f t="shared" si="723"/>
        <v>42191102.410662495</v>
      </c>
      <c r="EM29" s="74">
        <f t="shared" si="723"/>
        <v>41577701.549813487</v>
      </c>
      <c r="EN29" s="74">
        <f t="shared" si="723"/>
        <v>40960722.517276198</v>
      </c>
      <c r="EO29" s="74">
        <f t="shared" si="723"/>
        <v>40340144.440382436</v>
      </c>
      <c r="EP29" s="74">
        <f t="shared" si="723"/>
        <v>39715946.324706793</v>
      </c>
      <c r="EQ29" s="74">
        <f t="shared" si="723"/>
        <v>39088107.053356379</v>
      </c>
      <c r="ER29" s="74">
        <f t="shared" si="723"/>
        <v>38456605.386256419</v>
      </c>
      <c r="ES29" s="74">
        <f t="shared" ref="ES29:FD29" si="724">ES7+ES14+ES22</f>
        <v>37821419.959431708</v>
      </c>
      <c r="ET29" s="74">
        <f t="shared" si="724"/>
        <v>37182529.284283854</v>
      </c>
      <c r="EU29" s="74">
        <f t="shared" si="724"/>
        <v>36539911.746864304</v>
      </c>
      <c r="EV29" s="74">
        <f t="shared" si="724"/>
        <v>35893545.607143141</v>
      </c>
      <c r="EW29" s="74">
        <f t="shared" si="724"/>
        <v>35243408.998273604</v>
      </c>
      <c r="EX29" s="74">
        <f t="shared" si="724"/>
        <v>34589479.925852329</v>
      </c>
      <c r="EY29" s="74">
        <f t="shared" si="724"/>
        <v>33931736.267175265</v>
      </c>
      <c r="EZ29" s="74">
        <f t="shared" si="724"/>
        <v>33270155.770489249</v>
      </c>
      <c r="FA29" s="74">
        <f t="shared" si="724"/>
        <v>32604716.054239232</v>
      </c>
      <c r="FB29" s="74">
        <f t="shared" si="724"/>
        <v>31935394.60631109</v>
      </c>
      <c r="FC29" s="74">
        <f t="shared" si="724"/>
        <v>31262168.783270035</v>
      </c>
      <c r="FD29" s="74">
        <f t="shared" si="724"/>
        <v>30585015.809594572</v>
      </c>
      <c r="FE29" s="74">
        <f t="shared" ref="FE29:GB29" si="725">FE7+FE14+FE22</f>
        <v>29903912.776906002</v>
      </c>
      <c r="FF29" s="74">
        <f t="shared" si="725"/>
        <v>29218836.643193416</v>
      </c>
      <c r="FG29" s="74">
        <f t="shared" si="725"/>
        <v>28529764.232034173</v>
      </c>
      <c r="FH29" s="74">
        <f t="shared" si="725"/>
        <v>27836672.231809836</v>
      </c>
      <c r="FI29" s="74">
        <f t="shared" si="725"/>
        <v>27139537.194917522</v>
      </c>
      <c r="FJ29" s="74">
        <f t="shared" si="725"/>
        <v>26438335.536976673</v>
      </c>
      <c r="FK29" s="74">
        <f t="shared" si="725"/>
        <v>25733043.536031168</v>
      </c>
      <c r="FL29" s="74">
        <f t="shared" si="725"/>
        <v>25023637.331746813</v>
      </c>
      <c r="FM29" s="74">
        <f t="shared" si="725"/>
        <v>24310092.924604133</v>
      </c>
      <c r="FN29" s="74">
        <f t="shared" si="725"/>
        <v>23592386.175086454</v>
      </c>
      <c r="FO29" s="74">
        <f t="shared" si="725"/>
        <v>22870492.802863255</v>
      </c>
      <c r="FP29" s="74">
        <f t="shared" si="725"/>
        <v>22144388.385968752</v>
      </c>
      <c r="FQ29" s="74">
        <f t="shared" si="725"/>
        <v>21414048.359975699</v>
      </c>
      <c r="FR29" s="74">
        <f t="shared" si="725"/>
        <v>20679448.017164353</v>
      </c>
      <c r="FS29" s="74">
        <f t="shared" si="725"/>
        <v>19940562.505686607</v>
      </c>
      <c r="FT29" s="74">
        <f t="shared" si="725"/>
        <v>19197366.828725241</v>
      </c>
      <c r="FU29" s="74">
        <f t="shared" si="725"/>
        <v>18449835.84364827</v>
      </c>
      <c r="FV29" s="74">
        <f t="shared" si="725"/>
        <v>17697944.261158347</v>
      </c>
      <c r="FW29" s="74">
        <f t="shared" si="725"/>
        <v>16941666.644437235</v>
      </c>
      <c r="FX29" s="74">
        <f t="shared" si="725"/>
        <v>16180977.408285249</v>
      </c>
      <c r="FY29" s="74">
        <f t="shared" si="725"/>
        <v>15415850.818255709</v>
      </c>
      <c r="FZ29" s="74">
        <f t="shared" si="725"/>
        <v>14646260.98978433</v>
      </c>
      <c r="GA29" s="74">
        <f t="shared" si="725"/>
        <v>13872181.887313535</v>
      </c>
      <c r="GB29" s="74">
        <f t="shared" si="725"/>
        <v>13093587.32341166</v>
      </c>
      <c r="GC29" s="74">
        <f t="shared" ref="GC29:GN29" si="726">GC7+GC14+GC22</f>
        <v>12310450.957887026</v>
      </c>
      <c r="GD29" s="74">
        <f t="shared" si="726"/>
        <v>11522746.29689683</v>
      </c>
      <c r="GE29" s="74">
        <f t="shared" si="726"/>
        <v>10730446.692050857</v>
      </c>
      <c r="GF29" s="74">
        <f t="shared" si="726"/>
        <v>9933525.339509951</v>
      </c>
      <c r="GG29" s="74">
        <f t="shared" si="726"/>
        <v>9131955.2790792212</v>
      </c>
      <c r="GH29" s="74">
        <f t="shared" si="726"/>
        <v>8325709.3932959801</v>
      </c>
      <c r="GI29" s="74">
        <f t="shared" si="726"/>
        <v>7514760.4065123368</v>
      </c>
      <c r="GJ29" s="74">
        <f t="shared" si="726"/>
        <v>6699080.8839724548</v>
      </c>
      <c r="GK29" s="74">
        <f t="shared" si="726"/>
        <v>5878643.2308844235</v>
      </c>
      <c r="GL29" s="74">
        <f t="shared" si="726"/>
        <v>5053419.6914867125</v>
      </c>
      <c r="GM29" s="74">
        <f t="shared" si="726"/>
        <v>4223382.348109182</v>
      </c>
      <c r="GN29" s="74">
        <f t="shared" si="726"/>
        <v>3388503.1202286156</v>
      </c>
      <c r="GO29" s="74">
        <f t="shared" ref="GO29:GZ29" si="727">GO7+GO14+GO22</f>
        <v>2548753.7635187455</v>
      </c>
      <c r="GP29" s="74">
        <f t="shared" si="727"/>
        <v>1704105.8688947349</v>
      </c>
      <c r="GQ29" s="74">
        <f t="shared" si="727"/>
        <v>854530.86155208398</v>
      </c>
      <c r="GR29" s="74">
        <f t="shared" si="727"/>
        <v>0</v>
      </c>
      <c r="GS29" s="74">
        <f t="shared" si="727"/>
        <v>0</v>
      </c>
      <c r="GT29" s="74">
        <f t="shared" si="727"/>
        <v>0</v>
      </c>
      <c r="GU29" s="74">
        <f t="shared" si="727"/>
        <v>0</v>
      </c>
      <c r="GV29" s="74">
        <f t="shared" si="727"/>
        <v>0</v>
      </c>
      <c r="GW29" s="74">
        <f t="shared" si="727"/>
        <v>0</v>
      </c>
      <c r="GX29" s="74">
        <f t="shared" si="727"/>
        <v>0</v>
      </c>
      <c r="GY29" s="74">
        <f t="shared" si="727"/>
        <v>0</v>
      </c>
      <c r="GZ29" s="74">
        <f t="shared" si="727"/>
        <v>0</v>
      </c>
      <c r="HA29" s="74">
        <f t="shared" ref="HA29:HL29" si="728">HA7+HA14+HA22</f>
        <v>0</v>
      </c>
      <c r="HB29" s="74">
        <f t="shared" si="728"/>
        <v>0</v>
      </c>
      <c r="HC29" s="74">
        <f t="shared" si="728"/>
        <v>0</v>
      </c>
      <c r="HD29" s="74">
        <f t="shared" si="728"/>
        <v>0</v>
      </c>
      <c r="HE29" s="74">
        <f t="shared" si="728"/>
        <v>0</v>
      </c>
      <c r="HF29" s="74">
        <f t="shared" si="728"/>
        <v>0</v>
      </c>
      <c r="HG29" s="74">
        <f t="shared" si="728"/>
        <v>0</v>
      </c>
      <c r="HH29" s="74">
        <f t="shared" si="728"/>
        <v>0</v>
      </c>
      <c r="HI29" s="74">
        <f t="shared" si="728"/>
        <v>0</v>
      </c>
      <c r="HJ29" s="74">
        <f t="shared" si="728"/>
        <v>0</v>
      </c>
      <c r="HK29" s="74">
        <f t="shared" si="728"/>
        <v>0</v>
      </c>
      <c r="HL29" s="74">
        <f t="shared" si="728"/>
        <v>0</v>
      </c>
      <c r="HM29" s="74">
        <f t="shared" ref="HM29:HX29" si="729">HM7+HM14+HM22</f>
        <v>0</v>
      </c>
      <c r="HN29" s="74">
        <f t="shared" si="729"/>
        <v>0</v>
      </c>
      <c r="HO29" s="74">
        <f t="shared" si="729"/>
        <v>0</v>
      </c>
      <c r="HP29" s="74">
        <f t="shared" si="729"/>
        <v>0</v>
      </c>
      <c r="HQ29" s="74">
        <f t="shared" si="729"/>
        <v>0</v>
      </c>
      <c r="HR29" s="74">
        <f t="shared" si="729"/>
        <v>0</v>
      </c>
      <c r="HS29" s="74">
        <f t="shared" si="729"/>
        <v>0</v>
      </c>
      <c r="HT29" s="74">
        <f t="shared" si="729"/>
        <v>0</v>
      </c>
      <c r="HU29" s="74">
        <f t="shared" si="729"/>
        <v>0</v>
      </c>
      <c r="HV29" s="74">
        <f t="shared" si="729"/>
        <v>0</v>
      </c>
      <c r="HW29" s="74">
        <f t="shared" si="729"/>
        <v>0</v>
      </c>
      <c r="HX29" s="74">
        <f t="shared" si="729"/>
        <v>0</v>
      </c>
      <c r="HY29" s="74">
        <f t="shared" ref="HY29:IJ29" si="730">HY7+HY14+HY22</f>
        <v>0</v>
      </c>
      <c r="HZ29" s="74">
        <f t="shared" si="730"/>
        <v>0</v>
      </c>
      <c r="IA29" s="74">
        <f t="shared" si="730"/>
        <v>0</v>
      </c>
      <c r="IB29" s="74">
        <f t="shared" si="730"/>
        <v>0</v>
      </c>
      <c r="IC29" s="74">
        <f t="shared" si="730"/>
        <v>0</v>
      </c>
      <c r="ID29" s="74">
        <f t="shared" si="730"/>
        <v>0</v>
      </c>
      <c r="IE29" s="74">
        <f t="shared" si="730"/>
        <v>0</v>
      </c>
      <c r="IF29" s="74">
        <f t="shared" si="730"/>
        <v>0</v>
      </c>
      <c r="IG29" s="74">
        <f t="shared" si="730"/>
        <v>0</v>
      </c>
      <c r="IH29" s="74">
        <f t="shared" si="730"/>
        <v>0</v>
      </c>
      <c r="II29" s="74">
        <f t="shared" si="730"/>
        <v>0</v>
      </c>
      <c r="IJ29" s="74">
        <f t="shared" si="730"/>
        <v>0</v>
      </c>
      <c r="IK29" s="74">
        <f t="shared" ref="IK29:IV29" si="731">IK7+IK14+IK22</f>
        <v>0</v>
      </c>
      <c r="IL29" s="74">
        <f t="shared" si="731"/>
        <v>0</v>
      </c>
      <c r="IM29" s="74">
        <f t="shared" si="731"/>
        <v>0</v>
      </c>
      <c r="IN29" s="74">
        <f t="shared" si="731"/>
        <v>0</v>
      </c>
      <c r="IO29" s="74">
        <f t="shared" si="731"/>
        <v>0</v>
      </c>
      <c r="IP29" s="74">
        <f t="shared" si="731"/>
        <v>0</v>
      </c>
      <c r="IQ29" s="74">
        <f t="shared" si="731"/>
        <v>0</v>
      </c>
      <c r="IR29" s="74">
        <f t="shared" si="731"/>
        <v>0</v>
      </c>
      <c r="IS29" s="74">
        <f t="shared" si="731"/>
        <v>0</v>
      </c>
      <c r="IT29" s="74">
        <f t="shared" si="731"/>
        <v>0</v>
      </c>
      <c r="IU29" s="74">
        <f t="shared" si="731"/>
        <v>0</v>
      </c>
      <c r="IV29" s="74">
        <f t="shared" si="731"/>
        <v>0</v>
      </c>
      <c r="IW29" s="74">
        <f t="shared" ref="IW29:JH29" si="732">IW7+IW14+IW22</f>
        <v>0</v>
      </c>
      <c r="IX29" s="74">
        <f t="shared" si="732"/>
        <v>0</v>
      </c>
      <c r="IY29" s="74">
        <f t="shared" si="732"/>
        <v>0</v>
      </c>
      <c r="IZ29" s="74">
        <f t="shared" si="732"/>
        <v>0</v>
      </c>
      <c r="JA29" s="74">
        <f t="shared" si="732"/>
        <v>0</v>
      </c>
      <c r="JB29" s="74">
        <f t="shared" si="732"/>
        <v>0</v>
      </c>
      <c r="JC29" s="74">
        <f t="shared" si="732"/>
        <v>0</v>
      </c>
      <c r="JD29" s="74">
        <f t="shared" si="732"/>
        <v>0</v>
      </c>
      <c r="JE29" s="74">
        <f t="shared" si="732"/>
        <v>0</v>
      </c>
      <c r="JF29" s="74">
        <f t="shared" si="732"/>
        <v>0</v>
      </c>
      <c r="JG29" s="74">
        <f t="shared" si="732"/>
        <v>0</v>
      </c>
      <c r="JH29" s="74">
        <f t="shared" si="732"/>
        <v>0</v>
      </c>
      <c r="JI29" s="74">
        <f t="shared" ref="JI29:JT29" si="733">JI7+JI14+JI22</f>
        <v>0</v>
      </c>
      <c r="JJ29" s="74">
        <f t="shared" si="733"/>
        <v>0</v>
      </c>
      <c r="JK29" s="74">
        <f t="shared" si="733"/>
        <v>0</v>
      </c>
      <c r="JL29" s="74">
        <f t="shared" si="733"/>
        <v>0</v>
      </c>
      <c r="JM29" s="74">
        <f t="shared" si="733"/>
        <v>0</v>
      </c>
      <c r="JN29" s="74">
        <f t="shared" si="733"/>
        <v>0</v>
      </c>
      <c r="JO29" s="74">
        <f t="shared" si="733"/>
        <v>0</v>
      </c>
      <c r="JP29" s="74">
        <f t="shared" si="733"/>
        <v>0</v>
      </c>
      <c r="JQ29" s="74">
        <f t="shared" si="733"/>
        <v>0</v>
      </c>
      <c r="JR29" s="74">
        <f t="shared" si="733"/>
        <v>0</v>
      </c>
      <c r="JS29" s="74">
        <f t="shared" si="733"/>
        <v>0</v>
      </c>
      <c r="JT29" s="74">
        <f t="shared" si="733"/>
        <v>0</v>
      </c>
    </row>
    <row r="30" spans="1:280" x14ac:dyDescent="0.2">
      <c r="B30" s="1" t="s">
        <v>878</v>
      </c>
      <c r="D30" s="75" t="s">
        <v>113</v>
      </c>
      <c r="E30" s="74">
        <f t="shared" ref="E30:T34" si="734">E8+E15+E23</f>
        <v>42317472.159759872</v>
      </c>
      <c r="F30" s="74">
        <f t="shared" si="734"/>
        <v>13316080.390047802</v>
      </c>
      <c r="G30" s="74">
        <f t="shared" si="734"/>
        <v>10733342.685324425</v>
      </c>
      <c r="H30" s="74">
        <f t="shared" si="734"/>
        <v>6849326.8666531518</v>
      </c>
      <c r="I30" s="74">
        <f t="shared" si="734"/>
        <v>16240724.732472457</v>
      </c>
      <c r="J30" s="74">
        <f t="shared" si="734"/>
        <v>20159024.0643491</v>
      </c>
      <c r="K30" s="74">
        <f t="shared" si="734"/>
        <v>17657020.846819658</v>
      </c>
      <c r="L30" s="74">
        <f t="shared" si="734"/>
        <v>15140491.748711076</v>
      </c>
      <c r="M30" s="74">
        <f t="shared" si="734"/>
        <v>13914524.71611272</v>
      </c>
      <c r="N30" s="74">
        <f t="shared" si="734"/>
        <v>11364273.276671872</v>
      </c>
      <c r="O30" s="74">
        <f t="shared" si="734"/>
        <v>11041533.083580332</v>
      </c>
      <c r="P30" s="74">
        <f t="shared" si="734"/>
        <v>16133170.267148936</v>
      </c>
      <c r="Q30" s="74">
        <f t="shared" si="734"/>
        <v>0</v>
      </c>
      <c r="R30" s="74">
        <f t="shared" si="734"/>
        <v>0</v>
      </c>
      <c r="S30" s="74">
        <f t="shared" si="734"/>
        <v>0</v>
      </c>
      <c r="T30" s="74">
        <f t="shared" si="734"/>
        <v>0</v>
      </c>
      <c r="U30" s="74">
        <f t="shared" si="718"/>
        <v>0</v>
      </c>
      <c r="V30" s="74">
        <f t="shared" si="718"/>
        <v>0</v>
      </c>
      <c r="W30" s="74">
        <f t="shared" si="718"/>
        <v>0</v>
      </c>
      <c r="X30" s="74">
        <f t="shared" si="718"/>
        <v>0</v>
      </c>
      <c r="Y30" s="74">
        <f t="shared" si="718"/>
        <v>0</v>
      </c>
      <c r="Z30" s="74">
        <f t="shared" si="718"/>
        <v>0</v>
      </c>
      <c r="AA30" s="74">
        <f t="shared" si="718"/>
        <v>0</v>
      </c>
      <c r="AB30" s="74">
        <f t="shared" si="718"/>
        <v>0</v>
      </c>
      <c r="AC30" s="74">
        <f t="shared" si="718"/>
        <v>0</v>
      </c>
      <c r="AD30" s="74">
        <f t="shared" si="718"/>
        <v>0</v>
      </c>
      <c r="AE30" s="74">
        <f t="shared" si="718"/>
        <v>0</v>
      </c>
      <c r="AF30" s="74">
        <f t="shared" si="718"/>
        <v>0</v>
      </c>
      <c r="AG30" s="74">
        <f t="shared" si="718"/>
        <v>0</v>
      </c>
      <c r="AH30" s="74">
        <f t="shared" si="718"/>
        <v>0</v>
      </c>
      <c r="AI30" s="74">
        <f t="shared" si="718"/>
        <v>0</v>
      </c>
      <c r="AJ30" s="74">
        <f t="shared" si="718"/>
        <v>0</v>
      </c>
      <c r="AK30" s="74">
        <f t="shared" si="718"/>
        <v>0</v>
      </c>
      <c r="AL30" s="74">
        <f t="shared" si="718"/>
        <v>0</v>
      </c>
      <c r="AM30" s="74">
        <f t="shared" si="718"/>
        <v>0</v>
      </c>
      <c r="AN30" s="74">
        <f t="shared" si="718"/>
        <v>0</v>
      </c>
      <c r="AO30" s="74">
        <f t="shared" si="718"/>
        <v>0</v>
      </c>
      <c r="AP30" s="74">
        <f t="shared" si="718"/>
        <v>0</v>
      </c>
      <c r="AQ30" s="74">
        <f t="shared" si="718"/>
        <v>0</v>
      </c>
      <c r="AR30" s="74">
        <f t="shared" si="718"/>
        <v>0</v>
      </c>
      <c r="AS30" s="74">
        <f t="shared" si="718"/>
        <v>0</v>
      </c>
      <c r="AT30" s="74">
        <f t="shared" si="718"/>
        <v>0</v>
      </c>
      <c r="AU30" s="74">
        <f t="shared" si="718"/>
        <v>0</v>
      </c>
      <c r="AV30" s="74">
        <f t="shared" si="718"/>
        <v>0</v>
      </c>
      <c r="AW30" s="74">
        <f t="shared" si="718"/>
        <v>0</v>
      </c>
      <c r="AX30" s="74">
        <f t="shared" si="718"/>
        <v>0</v>
      </c>
      <c r="AY30" s="74">
        <f t="shared" si="718"/>
        <v>0</v>
      </c>
      <c r="AZ30" s="74">
        <f t="shared" si="718"/>
        <v>0</v>
      </c>
      <c r="BA30" s="74">
        <f t="shared" si="718"/>
        <v>0</v>
      </c>
      <c r="BB30" s="74">
        <f t="shared" si="718"/>
        <v>0</v>
      </c>
      <c r="BC30" s="74">
        <f t="shared" si="718"/>
        <v>0</v>
      </c>
      <c r="BD30" s="74">
        <f t="shared" si="718"/>
        <v>0</v>
      </c>
      <c r="BE30" s="74">
        <f t="shared" si="718"/>
        <v>0</v>
      </c>
      <c r="BF30" s="74">
        <f t="shared" si="718"/>
        <v>0</v>
      </c>
      <c r="BG30" s="74">
        <f t="shared" si="718"/>
        <v>0</v>
      </c>
      <c r="BH30" s="74">
        <f t="shared" si="718"/>
        <v>0</v>
      </c>
      <c r="BI30" s="74">
        <f t="shared" si="718"/>
        <v>0</v>
      </c>
      <c r="BJ30" s="74">
        <f t="shared" si="718"/>
        <v>0</v>
      </c>
      <c r="BK30" s="74">
        <f t="shared" si="718"/>
        <v>0</v>
      </c>
      <c r="BL30" s="74">
        <f t="shared" si="718"/>
        <v>0</v>
      </c>
      <c r="BM30" s="74">
        <f t="shared" si="718"/>
        <v>0</v>
      </c>
      <c r="BN30" s="74">
        <f t="shared" si="718"/>
        <v>0</v>
      </c>
      <c r="BO30" s="74">
        <f t="shared" si="718"/>
        <v>0</v>
      </c>
      <c r="BP30" s="74">
        <f t="shared" si="718"/>
        <v>0</v>
      </c>
      <c r="BQ30" s="74">
        <f t="shared" si="718"/>
        <v>0</v>
      </c>
      <c r="BR30" s="74">
        <f t="shared" si="719"/>
        <v>0</v>
      </c>
      <c r="BS30" s="74">
        <f t="shared" si="719"/>
        <v>0</v>
      </c>
      <c r="BT30" s="74">
        <f t="shared" si="719"/>
        <v>0</v>
      </c>
      <c r="BU30" s="74">
        <f t="shared" si="719"/>
        <v>0</v>
      </c>
      <c r="BV30" s="74">
        <f t="shared" si="719"/>
        <v>0</v>
      </c>
      <c r="BW30" s="74">
        <f t="shared" si="719"/>
        <v>0</v>
      </c>
      <c r="BX30" s="74">
        <f t="shared" si="719"/>
        <v>0</v>
      </c>
      <c r="BY30" s="74">
        <f t="shared" si="719"/>
        <v>0</v>
      </c>
      <c r="BZ30" s="74">
        <f t="shared" si="719"/>
        <v>0</v>
      </c>
      <c r="CA30" s="74">
        <f t="shared" si="719"/>
        <v>0</v>
      </c>
      <c r="CB30" s="74">
        <f t="shared" si="719"/>
        <v>0</v>
      </c>
      <c r="CC30" s="74">
        <f t="shared" si="719"/>
        <v>0</v>
      </c>
      <c r="CD30" s="74">
        <f t="shared" si="719"/>
        <v>0</v>
      </c>
      <c r="CE30" s="74">
        <f t="shared" si="719"/>
        <v>0</v>
      </c>
      <c r="CF30" s="74">
        <f t="shared" si="719"/>
        <v>0</v>
      </c>
      <c r="CG30" s="74">
        <f t="shared" si="719"/>
        <v>0</v>
      </c>
      <c r="CH30" s="74">
        <f t="shared" si="719"/>
        <v>0</v>
      </c>
      <c r="CI30" s="74">
        <f t="shared" si="719"/>
        <v>0</v>
      </c>
      <c r="CJ30" s="74">
        <f t="shared" si="719"/>
        <v>0</v>
      </c>
      <c r="CK30" s="74">
        <f t="shared" si="719"/>
        <v>0</v>
      </c>
      <c r="CL30" s="74">
        <f t="shared" si="719"/>
        <v>0</v>
      </c>
      <c r="CM30" s="74">
        <f t="shared" si="719"/>
        <v>0</v>
      </c>
      <c r="CN30" s="74">
        <f t="shared" si="719"/>
        <v>0</v>
      </c>
      <c r="CO30" s="74">
        <f t="shared" si="719"/>
        <v>0</v>
      </c>
      <c r="CP30" s="74">
        <f t="shared" si="719"/>
        <v>0</v>
      </c>
      <c r="CQ30" s="74">
        <f t="shared" si="719"/>
        <v>0</v>
      </c>
      <c r="CR30" s="74">
        <f t="shared" si="719"/>
        <v>0</v>
      </c>
      <c r="CS30" s="74">
        <f t="shared" si="719"/>
        <v>0</v>
      </c>
      <c r="CT30" s="74">
        <f t="shared" si="719"/>
        <v>0</v>
      </c>
      <c r="CU30" s="74">
        <f t="shared" si="719"/>
        <v>0</v>
      </c>
      <c r="CV30" s="74">
        <f t="shared" si="719"/>
        <v>0</v>
      </c>
      <c r="CW30" s="74">
        <f t="shared" ref="CW30:DH30" si="735">CW8+CW15+CW23</f>
        <v>0</v>
      </c>
      <c r="CX30" s="74">
        <f t="shared" si="735"/>
        <v>0</v>
      </c>
      <c r="CY30" s="74">
        <f t="shared" si="735"/>
        <v>0</v>
      </c>
      <c r="CZ30" s="74">
        <f t="shared" si="735"/>
        <v>0</v>
      </c>
      <c r="DA30" s="74">
        <f t="shared" si="735"/>
        <v>0</v>
      </c>
      <c r="DB30" s="74">
        <f t="shared" si="735"/>
        <v>0</v>
      </c>
      <c r="DC30" s="74">
        <f t="shared" si="735"/>
        <v>0</v>
      </c>
      <c r="DD30" s="74">
        <f t="shared" si="735"/>
        <v>0</v>
      </c>
      <c r="DE30" s="74">
        <f t="shared" si="735"/>
        <v>0</v>
      </c>
      <c r="DF30" s="74">
        <f t="shared" si="735"/>
        <v>0</v>
      </c>
      <c r="DG30" s="74">
        <f t="shared" si="735"/>
        <v>0</v>
      </c>
      <c r="DH30" s="74">
        <f t="shared" si="735"/>
        <v>0</v>
      </c>
      <c r="DI30" s="74">
        <f t="shared" ref="DI30:DT30" si="736">DI8+DI15+DI23</f>
        <v>0</v>
      </c>
      <c r="DJ30" s="74">
        <f t="shared" si="736"/>
        <v>0</v>
      </c>
      <c r="DK30" s="74">
        <f t="shared" si="736"/>
        <v>0</v>
      </c>
      <c r="DL30" s="74">
        <f t="shared" si="736"/>
        <v>0</v>
      </c>
      <c r="DM30" s="74">
        <f t="shared" si="736"/>
        <v>0</v>
      </c>
      <c r="DN30" s="74">
        <f t="shared" si="736"/>
        <v>0</v>
      </c>
      <c r="DO30" s="74">
        <f t="shared" si="736"/>
        <v>0</v>
      </c>
      <c r="DP30" s="74">
        <f t="shared" si="736"/>
        <v>0</v>
      </c>
      <c r="DQ30" s="74">
        <f t="shared" si="736"/>
        <v>0</v>
      </c>
      <c r="DR30" s="74">
        <f t="shared" si="736"/>
        <v>0</v>
      </c>
      <c r="DS30" s="74">
        <f t="shared" si="736"/>
        <v>0</v>
      </c>
      <c r="DT30" s="74">
        <f t="shared" si="736"/>
        <v>0</v>
      </c>
      <c r="DU30" s="74">
        <f t="shared" ref="DU30:EF30" si="737">DU8+DU15+DU23</f>
        <v>0</v>
      </c>
      <c r="DV30" s="74">
        <f t="shared" si="737"/>
        <v>0</v>
      </c>
      <c r="DW30" s="74">
        <f t="shared" si="737"/>
        <v>0</v>
      </c>
      <c r="DX30" s="74">
        <f t="shared" si="737"/>
        <v>0</v>
      </c>
      <c r="DY30" s="74">
        <f t="shared" si="737"/>
        <v>0</v>
      </c>
      <c r="DZ30" s="74">
        <f t="shared" si="737"/>
        <v>0</v>
      </c>
      <c r="EA30" s="74">
        <f t="shared" si="737"/>
        <v>0</v>
      </c>
      <c r="EB30" s="74">
        <f t="shared" si="737"/>
        <v>0</v>
      </c>
      <c r="EC30" s="74">
        <f t="shared" si="737"/>
        <v>0</v>
      </c>
      <c r="ED30" s="74">
        <f t="shared" si="737"/>
        <v>0</v>
      </c>
      <c r="EE30" s="74">
        <f t="shared" si="737"/>
        <v>0</v>
      </c>
      <c r="EF30" s="74">
        <f t="shared" si="737"/>
        <v>0</v>
      </c>
      <c r="EG30" s="74">
        <f t="shared" ref="EG30:ER30" si="738">EG8+EG15+EG23</f>
        <v>0</v>
      </c>
      <c r="EH30" s="74">
        <f t="shared" si="738"/>
        <v>0</v>
      </c>
      <c r="EI30" s="74">
        <f t="shared" si="738"/>
        <v>0</v>
      </c>
      <c r="EJ30" s="74">
        <f t="shared" si="738"/>
        <v>0</v>
      </c>
      <c r="EK30" s="74">
        <f t="shared" si="738"/>
        <v>0</v>
      </c>
      <c r="EL30" s="74">
        <f t="shared" si="738"/>
        <v>0</v>
      </c>
      <c r="EM30" s="74">
        <f t="shared" si="738"/>
        <v>0</v>
      </c>
      <c r="EN30" s="74">
        <f t="shared" si="738"/>
        <v>0</v>
      </c>
      <c r="EO30" s="74">
        <f t="shared" si="738"/>
        <v>0</v>
      </c>
      <c r="EP30" s="74">
        <f t="shared" si="738"/>
        <v>0</v>
      </c>
      <c r="EQ30" s="74">
        <f t="shared" si="738"/>
        <v>0</v>
      </c>
      <c r="ER30" s="74">
        <f t="shared" si="738"/>
        <v>0</v>
      </c>
      <c r="ES30" s="74">
        <f t="shared" ref="ES30:FD30" si="739">ES8+ES15+ES23</f>
        <v>0</v>
      </c>
      <c r="ET30" s="74">
        <f t="shared" si="739"/>
        <v>0</v>
      </c>
      <c r="EU30" s="74">
        <f t="shared" si="739"/>
        <v>0</v>
      </c>
      <c r="EV30" s="74">
        <f t="shared" si="739"/>
        <v>0</v>
      </c>
      <c r="EW30" s="74">
        <f t="shared" si="739"/>
        <v>0</v>
      </c>
      <c r="EX30" s="74">
        <f t="shared" si="739"/>
        <v>0</v>
      </c>
      <c r="EY30" s="74">
        <f t="shared" si="739"/>
        <v>0</v>
      </c>
      <c r="EZ30" s="74">
        <f t="shared" si="739"/>
        <v>0</v>
      </c>
      <c r="FA30" s="74">
        <f t="shared" si="739"/>
        <v>0</v>
      </c>
      <c r="FB30" s="74">
        <f t="shared" si="739"/>
        <v>0</v>
      </c>
      <c r="FC30" s="74">
        <f t="shared" si="739"/>
        <v>0</v>
      </c>
      <c r="FD30" s="74">
        <f t="shared" si="739"/>
        <v>0</v>
      </c>
      <c r="FE30" s="74">
        <f t="shared" ref="FE30:GB30" si="740">FE8+FE15+FE23</f>
        <v>0</v>
      </c>
      <c r="FF30" s="74">
        <f t="shared" si="740"/>
        <v>0</v>
      </c>
      <c r="FG30" s="74">
        <f t="shared" si="740"/>
        <v>0</v>
      </c>
      <c r="FH30" s="74">
        <f t="shared" si="740"/>
        <v>0</v>
      </c>
      <c r="FI30" s="74">
        <f t="shared" si="740"/>
        <v>0</v>
      </c>
      <c r="FJ30" s="74">
        <f t="shared" si="740"/>
        <v>0</v>
      </c>
      <c r="FK30" s="74">
        <f t="shared" si="740"/>
        <v>0</v>
      </c>
      <c r="FL30" s="74">
        <f t="shared" si="740"/>
        <v>0</v>
      </c>
      <c r="FM30" s="74">
        <f t="shared" si="740"/>
        <v>0</v>
      </c>
      <c r="FN30" s="74">
        <f t="shared" si="740"/>
        <v>0</v>
      </c>
      <c r="FO30" s="74">
        <f t="shared" si="740"/>
        <v>0</v>
      </c>
      <c r="FP30" s="74">
        <f t="shared" si="740"/>
        <v>0</v>
      </c>
      <c r="FQ30" s="74">
        <f t="shared" si="740"/>
        <v>0</v>
      </c>
      <c r="FR30" s="74">
        <f t="shared" si="740"/>
        <v>0</v>
      </c>
      <c r="FS30" s="74">
        <f t="shared" si="740"/>
        <v>0</v>
      </c>
      <c r="FT30" s="74">
        <f t="shared" si="740"/>
        <v>0</v>
      </c>
      <c r="FU30" s="74">
        <f t="shared" si="740"/>
        <v>0</v>
      </c>
      <c r="FV30" s="74">
        <f t="shared" si="740"/>
        <v>0</v>
      </c>
      <c r="FW30" s="74">
        <f t="shared" si="740"/>
        <v>0</v>
      </c>
      <c r="FX30" s="74">
        <f t="shared" si="740"/>
        <v>0</v>
      </c>
      <c r="FY30" s="74">
        <f t="shared" si="740"/>
        <v>0</v>
      </c>
      <c r="FZ30" s="74">
        <f t="shared" si="740"/>
        <v>0</v>
      </c>
      <c r="GA30" s="74">
        <f t="shared" si="740"/>
        <v>0</v>
      </c>
      <c r="GB30" s="74">
        <f t="shared" si="740"/>
        <v>0</v>
      </c>
      <c r="GC30" s="74">
        <f t="shared" ref="GC30:GN30" si="741">GC8+GC15+GC23</f>
        <v>0</v>
      </c>
      <c r="GD30" s="74">
        <f t="shared" si="741"/>
        <v>0</v>
      </c>
      <c r="GE30" s="74">
        <f t="shared" si="741"/>
        <v>0</v>
      </c>
      <c r="GF30" s="74">
        <f t="shared" si="741"/>
        <v>0</v>
      </c>
      <c r="GG30" s="74">
        <f t="shared" si="741"/>
        <v>0</v>
      </c>
      <c r="GH30" s="74">
        <f t="shared" si="741"/>
        <v>0</v>
      </c>
      <c r="GI30" s="74">
        <f t="shared" si="741"/>
        <v>0</v>
      </c>
      <c r="GJ30" s="74">
        <f t="shared" si="741"/>
        <v>0</v>
      </c>
      <c r="GK30" s="74">
        <f t="shared" si="741"/>
        <v>0</v>
      </c>
      <c r="GL30" s="74">
        <f t="shared" si="741"/>
        <v>0</v>
      </c>
      <c r="GM30" s="74">
        <f t="shared" si="741"/>
        <v>0</v>
      </c>
      <c r="GN30" s="74">
        <f t="shared" si="741"/>
        <v>0</v>
      </c>
      <c r="GO30" s="74">
        <f t="shared" ref="GO30:GZ30" si="742">GO8+GO15+GO23</f>
        <v>0</v>
      </c>
      <c r="GP30" s="74">
        <f t="shared" si="742"/>
        <v>0</v>
      </c>
      <c r="GQ30" s="74">
        <f t="shared" si="742"/>
        <v>0</v>
      </c>
      <c r="GR30" s="74">
        <f t="shared" si="742"/>
        <v>0</v>
      </c>
      <c r="GS30" s="74">
        <f t="shared" si="742"/>
        <v>0</v>
      </c>
      <c r="GT30" s="74">
        <f t="shared" si="742"/>
        <v>0</v>
      </c>
      <c r="GU30" s="74">
        <f t="shared" si="742"/>
        <v>0</v>
      </c>
      <c r="GV30" s="74">
        <f t="shared" si="742"/>
        <v>0</v>
      </c>
      <c r="GW30" s="74">
        <f t="shared" si="742"/>
        <v>0</v>
      </c>
      <c r="GX30" s="74">
        <f t="shared" si="742"/>
        <v>0</v>
      </c>
      <c r="GY30" s="74">
        <f t="shared" si="742"/>
        <v>0</v>
      </c>
      <c r="GZ30" s="74">
        <f t="shared" si="742"/>
        <v>0</v>
      </c>
      <c r="HA30" s="74">
        <f t="shared" ref="HA30:HL30" si="743">HA8+HA15+HA23</f>
        <v>0</v>
      </c>
      <c r="HB30" s="74">
        <f t="shared" si="743"/>
        <v>0</v>
      </c>
      <c r="HC30" s="74">
        <f t="shared" si="743"/>
        <v>0</v>
      </c>
      <c r="HD30" s="74">
        <f t="shared" si="743"/>
        <v>0</v>
      </c>
      <c r="HE30" s="74">
        <f t="shared" si="743"/>
        <v>0</v>
      </c>
      <c r="HF30" s="74">
        <f t="shared" si="743"/>
        <v>0</v>
      </c>
      <c r="HG30" s="74">
        <f t="shared" si="743"/>
        <v>0</v>
      </c>
      <c r="HH30" s="74">
        <f t="shared" si="743"/>
        <v>0</v>
      </c>
      <c r="HI30" s="74">
        <f t="shared" si="743"/>
        <v>0</v>
      </c>
      <c r="HJ30" s="74">
        <f t="shared" si="743"/>
        <v>0</v>
      </c>
      <c r="HK30" s="74">
        <f t="shared" si="743"/>
        <v>0</v>
      </c>
      <c r="HL30" s="74">
        <f t="shared" si="743"/>
        <v>0</v>
      </c>
      <c r="HM30" s="74">
        <f t="shared" ref="HM30:HX30" si="744">HM8+HM15+HM23</f>
        <v>0</v>
      </c>
      <c r="HN30" s="74">
        <f t="shared" si="744"/>
        <v>0</v>
      </c>
      <c r="HO30" s="74">
        <f t="shared" si="744"/>
        <v>0</v>
      </c>
      <c r="HP30" s="74">
        <f t="shared" si="744"/>
        <v>0</v>
      </c>
      <c r="HQ30" s="74">
        <f t="shared" si="744"/>
        <v>0</v>
      </c>
      <c r="HR30" s="74">
        <f t="shared" si="744"/>
        <v>0</v>
      </c>
      <c r="HS30" s="74">
        <f t="shared" si="744"/>
        <v>0</v>
      </c>
      <c r="HT30" s="74">
        <f t="shared" si="744"/>
        <v>0</v>
      </c>
      <c r="HU30" s="74">
        <f t="shared" si="744"/>
        <v>0</v>
      </c>
      <c r="HV30" s="74">
        <f t="shared" si="744"/>
        <v>0</v>
      </c>
      <c r="HW30" s="74">
        <f t="shared" si="744"/>
        <v>0</v>
      </c>
      <c r="HX30" s="74">
        <f t="shared" si="744"/>
        <v>0</v>
      </c>
      <c r="HY30" s="74">
        <f t="shared" ref="HY30:IJ30" si="745">HY8+HY15+HY23</f>
        <v>0</v>
      </c>
      <c r="HZ30" s="74">
        <f t="shared" si="745"/>
        <v>0</v>
      </c>
      <c r="IA30" s="74">
        <f t="shared" si="745"/>
        <v>0</v>
      </c>
      <c r="IB30" s="74">
        <f t="shared" si="745"/>
        <v>0</v>
      </c>
      <c r="IC30" s="74">
        <f t="shared" si="745"/>
        <v>0</v>
      </c>
      <c r="ID30" s="74">
        <f t="shared" si="745"/>
        <v>0</v>
      </c>
      <c r="IE30" s="74">
        <f t="shared" si="745"/>
        <v>0</v>
      </c>
      <c r="IF30" s="74">
        <f t="shared" si="745"/>
        <v>0</v>
      </c>
      <c r="IG30" s="74">
        <f t="shared" si="745"/>
        <v>0</v>
      </c>
      <c r="IH30" s="74">
        <f t="shared" si="745"/>
        <v>0</v>
      </c>
      <c r="II30" s="74">
        <f t="shared" si="745"/>
        <v>0</v>
      </c>
      <c r="IJ30" s="74">
        <f t="shared" si="745"/>
        <v>0</v>
      </c>
      <c r="IK30" s="74">
        <f t="shared" ref="IK30:IV30" si="746">IK8+IK15+IK23</f>
        <v>0</v>
      </c>
      <c r="IL30" s="74">
        <f t="shared" si="746"/>
        <v>0</v>
      </c>
      <c r="IM30" s="74">
        <f t="shared" si="746"/>
        <v>0</v>
      </c>
      <c r="IN30" s="74">
        <f t="shared" si="746"/>
        <v>0</v>
      </c>
      <c r="IO30" s="74">
        <f t="shared" si="746"/>
        <v>0</v>
      </c>
      <c r="IP30" s="74">
        <f t="shared" si="746"/>
        <v>0</v>
      </c>
      <c r="IQ30" s="74">
        <f t="shared" si="746"/>
        <v>0</v>
      </c>
      <c r="IR30" s="74">
        <f t="shared" si="746"/>
        <v>0</v>
      </c>
      <c r="IS30" s="74">
        <f t="shared" si="746"/>
        <v>0</v>
      </c>
      <c r="IT30" s="74">
        <f t="shared" si="746"/>
        <v>0</v>
      </c>
      <c r="IU30" s="74">
        <f t="shared" si="746"/>
        <v>0</v>
      </c>
      <c r="IV30" s="74">
        <f t="shared" si="746"/>
        <v>0</v>
      </c>
      <c r="IW30" s="74">
        <f t="shared" ref="IW30:JH30" si="747">IW8+IW15+IW23</f>
        <v>0</v>
      </c>
      <c r="IX30" s="74">
        <f t="shared" si="747"/>
        <v>0</v>
      </c>
      <c r="IY30" s="74">
        <f t="shared" si="747"/>
        <v>0</v>
      </c>
      <c r="IZ30" s="74">
        <f t="shared" si="747"/>
        <v>0</v>
      </c>
      <c r="JA30" s="74">
        <f t="shared" si="747"/>
        <v>0</v>
      </c>
      <c r="JB30" s="74">
        <f t="shared" si="747"/>
        <v>0</v>
      </c>
      <c r="JC30" s="74">
        <f t="shared" si="747"/>
        <v>0</v>
      </c>
      <c r="JD30" s="74">
        <f t="shared" si="747"/>
        <v>0</v>
      </c>
      <c r="JE30" s="74">
        <f t="shared" si="747"/>
        <v>0</v>
      </c>
      <c r="JF30" s="74">
        <f t="shared" si="747"/>
        <v>0</v>
      </c>
      <c r="JG30" s="74">
        <f t="shared" si="747"/>
        <v>0</v>
      </c>
      <c r="JH30" s="74">
        <f t="shared" si="747"/>
        <v>0</v>
      </c>
      <c r="JI30" s="74">
        <f t="shared" ref="JI30:JT30" si="748">JI8+JI15+JI23</f>
        <v>0</v>
      </c>
      <c r="JJ30" s="74">
        <f t="shared" si="748"/>
        <v>0</v>
      </c>
      <c r="JK30" s="74">
        <f t="shared" si="748"/>
        <v>0</v>
      </c>
      <c r="JL30" s="74">
        <f t="shared" si="748"/>
        <v>0</v>
      </c>
      <c r="JM30" s="74">
        <f t="shared" si="748"/>
        <v>0</v>
      </c>
      <c r="JN30" s="74">
        <f t="shared" si="748"/>
        <v>0</v>
      </c>
      <c r="JO30" s="74">
        <f t="shared" si="748"/>
        <v>0</v>
      </c>
      <c r="JP30" s="74">
        <f t="shared" si="748"/>
        <v>0</v>
      </c>
      <c r="JQ30" s="74">
        <f t="shared" si="748"/>
        <v>0</v>
      </c>
      <c r="JR30" s="74">
        <f t="shared" si="748"/>
        <v>0</v>
      </c>
      <c r="JS30" s="74">
        <f t="shared" si="748"/>
        <v>0</v>
      </c>
      <c r="JT30" s="74">
        <f t="shared" si="748"/>
        <v>0</v>
      </c>
    </row>
    <row r="31" spans="1:280" x14ac:dyDescent="0.2">
      <c r="D31" s="75" t="s">
        <v>108</v>
      </c>
      <c r="E31" s="74">
        <f t="shared" si="734"/>
        <v>149874.38056581622</v>
      </c>
      <c r="F31" s="74">
        <f t="shared" ref="F31:BQ34" si="749">F9+F16+F24</f>
        <v>346909.87917971844</v>
      </c>
      <c r="G31" s="74">
        <f t="shared" si="749"/>
        <v>432084.91923832841</v>
      </c>
      <c r="H31" s="74">
        <f t="shared" si="749"/>
        <v>494356.87390158226</v>
      </c>
      <c r="I31" s="74">
        <f t="shared" si="749"/>
        <v>576134.13998181873</v>
      </c>
      <c r="J31" s="74">
        <f t="shared" si="749"/>
        <v>705049.91697056184</v>
      </c>
      <c r="K31" s="74">
        <f t="shared" si="749"/>
        <v>838981.74269761785</v>
      </c>
      <c r="L31" s="74">
        <f t="shared" si="749"/>
        <v>955139.59980678908</v>
      </c>
      <c r="M31" s="74">
        <f t="shared" si="749"/>
        <v>1058042.7831197069</v>
      </c>
      <c r="N31" s="74">
        <f t="shared" si="749"/>
        <v>1147571.8593441523</v>
      </c>
      <c r="O31" s="74">
        <f t="shared" si="749"/>
        <v>1226925.7568700456</v>
      </c>
      <c r="P31" s="74">
        <f t="shared" si="749"/>
        <v>1323169.4979038786</v>
      </c>
      <c r="Q31" s="74">
        <f t="shared" si="749"/>
        <v>1380307.8092666978</v>
      </c>
      <c r="R31" s="74">
        <f t="shared" si="749"/>
        <v>1380307.8092666978</v>
      </c>
      <c r="S31" s="74">
        <f t="shared" si="749"/>
        <v>1380307.8092666978</v>
      </c>
      <c r="T31" s="74">
        <f t="shared" si="749"/>
        <v>2011784.8913553937</v>
      </c>
      <c r="U31" s="74">
        <f t="shared" si="749"/>
        <v>2011784.8913553937</v>
      </c>
      <c r="V31" s="74">
        <f t="shared" si="749"/>
        <v>2011784.8913553937</v>
      </c>
      <c r="W31" s="74">
        <f t="shared" si="749"/>
        <v>2011784.8913553937</v>
      </c>
      <c r="X31" s="74">
        <f t="shared" si="749"/>
        <v>2011784.8913553937</v>
      </c>
      <c r="Y31" s="74">
        <f t="shared" si="749"/>
        <v>2011784.8913553937</v>
      </c>
      <c r="Z31" s="74">
        <f t="shared" si="749"/>
        <v>2011784.8913553937</v>
      </c>
      <c r="AA31" s="74">
        <f t="shared" si="749"/>
        <v>2011784.8913553937</v>
      </c>
      <c r="AB31" s="74">
        <f t="shared" si="749"/>
        <v>2011784.8913553937</v>
      </c>
      <c r="AC31" s="74">
        <f t="shared" si="749"/>
        <v>2011784.8913553937</v>
      </c>
      <c r="AD31" s="74">
        <f t="shared" si="749"/>
        <v>2011784.8913553937</v>
      </c>
      <c r="AE31" s="74">
        <f t="shared" si="749"/>
        <v>2011784.8913553937</v>
      </c>
      <c r="AF31" s="74">
        <f t="shared" si="749"/>
        <v>2011784.8913553937</v>
      </c>
      <c r="AG31" s="74">
        <f t="shared" si="749"/>
        <v>2011784.8913553937</v>
      </c>
      <c r="AH31" s="74">
        <f t="shared" si="749"/>
        <v>2011784.8913553937</v>
      </c>
      <c r="AI31" s="74">
        <f t="shared" si="749"/>
        <v>2011784.8913553937</v>
      </c>
      <c r="AJ31" s="74">
        <f t="shared" si="749"/>
        <v>2011784.8913553937</v>
      </c>
      <c r="AK31" s="74">
        <f t="shared" si="749"/>
        <v>2011784.8913553937</v>
      </c>
      <c r="AL31" s="74">
        <f t="shared" si="749"/>
        <v>2011784.8913553937</v>
      </c>
      <c r="AM31" s="74">
        <f t="shared" si="749"/>
        <v>2011784.8913553937</v>
      </c>
      <c r="AN31" s="74">
        <f t="shared" si="749"/>
        <v>2011784.8913553937</v>
      </c>
      <c r="AO31" s="74">
        <f t="shared" si="749"/>
        <v>2011784.8913553937</v>
      </c>
      <c r="AP31" s="74">
        <f t="shared" si="749"/>
        <v>2011784.8913553937</v>
      </c>
      <c r="AQ31" s="74">
        <f t="shared" si="749"/>
        <v>2011784.8913553937</v>
      </c>
      <c r="AR31" s="74">
        <f t="shared" si="749"/>
        <v>2011784.8913553937</v>
      </c>
      <c r="AS31" s="74">
        <f t="shared" si="749"/>
        <v>2011784.8913553937</v>
      </c>
      <c r="AT31" s="74">
        <f t="shared" si="749"/>
        <v>2011784.8913553937</v>
      </c>
      <c r="AU31" s="74">
        <f t="shared" si="749"/>
        <v>2011784.8913553937</v>
      </c>
      <c r="AV31" s="74">
        <f t="shared" si="749"/>
        <v>2011784.8913553937</v>
      </c>
      <c r="AW31" s="74">
        <f t="shared" si="749"/>
        <v>2011784.8913553937</v>
      </c>
      <c r="AX31" s="74">
        <f t="shared" si="749"/>
        <v>2011784.8913553937</v>
      </c>
      <c r="AY31" s="74">
        <f t="shared" si="749"/>
        <v>2011784.8913553937</v>
      </c>
      <c r="AZ31" s="74">
        <f t="shared" si="749"/>
        <v>2011784.8913553937</v>
      </c>
      <c r="BA31" s="74">
        <f t="shared" si="749"/>
        <v>2011784.8913553937</v>
      </c>
      <c r="BB31" s="74">
        <f t="shared" si="749"/>
        <v>2011784.8913553937</v>
      </c>
      <c r="BC31" s="74">
        <f t="shared" si="749"/>
        <v>2011784.8913553937</v>
      </c>
      <c r="BD31" s="74">
        <f t="shared" si="749"/>
        <v>2011784.8913553937</v>
      </c>
      <c r="BE31" s="74">
        <f t="shared" si="749"/>
        <v>2011784.8913553937</v>
      </c>
      <c r="BF31" s="74">
        <f t="shared" si="749"/>
        <v>2011784.8913553937</v>
      </c>
      <c r="BG31" s="74">
        <f t="shared" si="749"/>
        <v>2011784.8913553937</v>
      </c>
      <c r="BH31" s="74">
        <f t="shared" si="749"/>
        <v>2011784.8913553937</v>
      </c>
      <c r="BI31" s="74">
        <f t="shared" si="749"/>
        <v>2011784.8913553937</v>
      </c>
      <c r="BJ31" s="74">
        <f t="shared" si="749"/>
        <v>2011784.8913553937</v>
      </c>
      <c r="BK31" s="74">
        <f t="shared" si="749"/>
        <v>2011784.8913553937</v>
      </c>
      <c r="BL31" s="74">
        <f t="shared" si="749"/>
        <v>2011784.8913553937</v>
      </c>
      <c r="BM31" s="74">
        <f t="shared" si="749"/>
        <v>2011784.8913553937</v>
      </c>
      <c r="BN31" s="74">
        <f t="shared" si="749"/>
        <v>2011784.8913553937</v>
      </c>
      <c r="BO31" s="74">
        <f t="shared" si="749"/>
        <v>2011784.8913553937</v>
      </c>
      <c r="BP31" s="74">
        <f t="shared" si="749"/>
        <v>2011784.8913553937</v>
      </c>
      <c r="BQ31" s="74">
        <f t="shared" si="749"/>
        <v>2011784.8913553937</v>
      </c>
      <c r="BR31" s="74">
        <f t="shared" si="719"/>
        <v>2011784.8913553937</v>
      </c>
      <c r="BS31" s="74">
        <f t="shared" si="719"/>
        <v>2011784.8913553937</v>
      </c>
      <c r="BT31" s="74">
        <f t="shared" si="719"/>
        <v>2011784.8913553937</v>
      </c>
      <c r="BU31" s="74">
        <f t="shared" si="719"/>
        <v>2011784.8913553937</v>
      </c>
      <c r="BV31" s="74">
        <f t="shared" si="719"/>
        <v>2011784.8913553937</v>
      </c>
      <c r="BW31" s="74">
        <f t="shared" si="719"/>
        <v>2011784.8913553937</v>
      </c>
      <c r="BX31" s="74">
        <f t="shared" si="719"/>
        <v>2011784.8913553937</v>
      </c>
      <c r="BY31" s="74">
        <f t="shared" si="719"/>
        <v>2011784.8913553937</v>
      </c>
      <c r="BZ31" s="74">
        <f t="shared" si="719"/>
        <v>2011784.8913553937</v>
      </c>
      <c r="CA31" s="74">
        <f t="shared" si="719"/>
        <v>2011784.8913553937</v>
      </c>
      <c r="CB31" s="74">
        <f t="shared" si="719"/>
        <v>2011784.8913553937</v>
      </c>
      <c r="CC31" s="74">
        <f t="shared" si="719"/>
        <v>2011784.8913553937</v>
      </c>
      <c r="CD31" s="74">
        <f t="shared" si="719"/>
        <v>2011784.8913553937</v>
      </c>
      <c r="CE31" s="74">
        <f t="shared" si="719"/>
        <v>2011784.8913553937</v>
      </c>
      <c r="CF31" s="74">
        <f t="shared" si="719"/>
        <v>2011784.8913553937</v>
      </c>
      <c r="CG31" s="74">
        <f t="shared" si="719"/>
        <v>2011784.8913553937</v>
      </c>
      <c r="CH31" s="74">
        <f t="shared" si="719"/>
        <v>2011784.8913553937</v>
      </c>
      <c r="CI31" s="74">
        <f t="shared" si="719"/>
        <v>2011784.8913553937</v>
      </c>
      <c r="CJ31" s="74">
        <f t="shared" si="719"/>
        <v>2011784.8913553937</v>
      </c>
      <c r="CK31" s="74">
        <f t="shared" si="719"/>
        <v>2011784.8913553937</v>
      </c>
      <c r="CL31" s="74">
        <f t="shared" si="719"/>
        <v>2011784.8913553937</v>
      </c>
      <c r="CM31" s="74">
        <f t="shared" si="719"/>
        <v>2011784.8913553937</v>
      </c>
      <c r="CN31" s="74">
        <f t="shared" si="719"/>
        <v>2011784.8913553937</v>
      </c>
      <c r="CO31" s="74">
        <f t="shared" si="719"/>
        <v>2011784.8913553937</v>
      </c>
      <c r="CP31" s="74">
        <f t="shared" si="719"/>
        <v>2011784.8913553937</v>
      </c>
      <c r="CQ31" s="74">
        <f t="shared" si="719"/>
        <v>2011784.8913553937</v>
      </c>
      <c r="CR31" s="74">
        <f t="shared" si="719"/>
        <v>2011784.8913553937</v>
      </c>
      <c r="CS31" s="74">
        <f t="shared" si="719"/>
        <v>2011784.8913553937</v>
      </c>
      <c r="CT31" s="74">
        <f t="shared" si="719"/>
        <v>2011784.8913553937</v>
      </c>
      <c r="CU31" s="74">
        <f t="shared" si="719"/>
        <v>2011784.8913553937</v>
      </c>
      <c r="CV31" s="74">
        <f t="shared" si="719"/>
        <v>2011784.8913553937</v>
      </c>
      <c r="CW31" s="74">
        <f t="shared" ref="CW31:DH31" si="750">CW9+CW16+CW24</f>
        <v>2011784.8913553937</v>
      </c>
      <c r="CX31" s="74">
        <f t="shared" si="750"/>
        <v>2011784.8913553937</v>
      </c>
      <c r="CY31" s="74">
        <f t="shared" si="750"/>
        <v>2011784.8913553937</v>
      </c>
      <c r="CZ31" s="74">
        <f t="shared" si="750"/>
        <v>2011784.8913553937</v>
      </c>
      <c r="DA31" s="74">
        <f t="shared" si="750"/>
        <v>2011784.8913553937</v>
      </c>
      <c r="DB31" s="74">
        <f t="shared" si="750"/>
        <v>2011784.8913553937</v>
      </c>
      <c r="DC31" s="74">
        <f t="shared" si="750"/>
        <v>2011784.8913553937</v>
      </c>
      <c r="DD31" s="74">
        <f t="shared" si="750"/>
        <v>2011784.8913553937</v>
      </c>
      <c r="DE31" s="74">
        <f t="shared" si="750"/>
        <v>2011784.8913553937</v>
      </c>
      <c r="DF31" s="74">
        <f t="shared" si="750"/>
        <v>2011784.8913553937</v>
      </c>
      <c r="DG31" s="74">
        <f t="shared" si="750"/>
        <v>2011784.8913553937</v>
      </c>
      <c r="DH31" s="74">
        <f t="shared" si="750"/>
        <v>2011784.8913553937</v>
      </c>
      <c r="DI31" s="74">
        <f t="shared" ref="DI31:DT31" si="751">DI9+DI16+DI24</f>
        <v>2011784.8913553937</v>
      </c>
      <c r="DJ31" s="74">
        <f t="shared" si="751"/>
        <v>2011784.8913553937</v>
      </c>
      <c r="DK31" s="74">
        <f t="shared" si="751"/>
        <v>2011784.8913553937</v>
      </c>
      <c r="DL31" s="74">
        <f t="shared" si="751"/>
        <v>2011784.8913553937</v>
      </c>
      <c r="DM31" s="74">
        <f t="shared" si="751"/>
        <v>2011784.8913553937</v>
      </c>
      <c r="DN31" s="74">
        <f t="shared" si="751"/>
        <v>2011784.8913553937</v>
      </c>
      <c r="DO31" s="74">
        <f t="shared" si="751"/>
        <v>2011784.8913553937</v>
      </c>
      <c r="DP31" s="74">
        <f t="shared" si="751"/>
        <v>2011784.8913553937</v>
      </c>
      <c r="DQ31" s="74">
        <f t="shared" si="751"/>
        <v>2011784.8913553937</v>
      </c>
      <c r="DR31" s="74">
        <f t="shared" si="751"/>
        <v>2011784.8913553937</v>
      </c>
      <c r="DS31" s="74">
        <f t="shared" si="751"/>
        <v>2011784.8913553937</v>
      </c>
      <c r="DT31" s="74">
        <f t="shared" si="751"/>
        <v>2011784.8913553937</v>
      </c>
      <c r="DU31" s="74">
        <f t="shared" ref="DU31:EF31" si="752">DU9+DU16+DU24</f>
        <v>2011784.8913553937</v>
      </c>
      <c r="DV31" s="74">
        <f t="shared" si="752"/>
        <v>2011784.8913553937</v>
      </c>
      <c r="DW31" s="74">
        <f t="shared" si="752"/>
        <v>2011784.8913553937</v>
      </c>
      <c r="DX31" s="74">
        <f t="shared" si="752"/>
        <v>2011784.8913553937</v>
      </c>
      <c r="DY31" s="74">
        <f t="shared" si="752"/>
        <v>2011784.8913553937</v>
      </c>
      <c r="DZ31" s="74">
        <f t="shared" si="752"/>
        <v>2011784.8913553937</v>
      </c>
      <c r="EA31" s="74">
        <f t="shared" si="752"/>
        <v>2011784.8913553937</v>
      </c>
      <c r="EB31" s="74">
        <f t="shared" si="752"/>
        <v>2011784.8913553937</v>
      </c>
      <c r="EC31" s="74">
        <f t="shared" si="752"/>
        <v>2011784.8913553937</v>
      </c>
      <c r="ED31" s="74">
        <f t="shared" si="752"/>
        <v>2011784.8913553937</v>
      </c>
      <c r="EE31" s="74">
        <f t="shared" si="752"/>
        <v>2011784.8913553937</v>
      </c>
      <c r="EF31" s="74">
        <f t="shared" si="752"/>
        <v>2011784.8913553937</v>
      </c>
      <c r="EG31" s="74">
        <f t="shared" ref="EG31:ER31" si="753">EG9+EG16+EG24</f>
        <v>2011784.8913553937</v>
      </c>
      <c r="EH31" s="74">
        <f t="shared" si="753"/>
        <v>2011784.8913553937</v>
      </c>
      <c r="EI31" s="74">
        <f t="shared" si="753"/>
        <v>2011784.8913553937</v>
      </c>
      <c r="EJ31" s="74">
        <f t="shared" si="753"/>
        <v>859515.62491120351</v>
      </c>
      <c r="EK31" s="74">
        <f t="shared" si="753"/>
        <v>859515.62491120351</v>
      </c>
      <c r="EL31" s="74">
        <f t="shared" si="753"/>
        <v>859515.62491120351</v>
      </c>
      <c r="EM31" s="74">
        <f t="shared" si="753"/>
        <v>859515.62491120351</v>
      </c>
      <c r="EN31" s="74">
        <f t="shared" si="753"/>
        <v>859515.62491120351</v>
      </c>
      <c r="EO31" s="74">
        <f t="shared" si="753"/>
        <v>859515.62491120351</v>
      </c>
      <c r="EP31" s="74">
        <f t="shared" si="753"/>
        <v>859515.62491120351</v>
      </c>
      <c r="EQ31" s="74">
        <f t="shared" si="753"/>
        <v>859515.62491120351</v>
      </c>
      <c r="ER31" s="74">
        <f t="shared" si="753"/>
        <v>859515.62491120351</v>
      </c>
      <c r="ES31" s="74">
        <f t="shared" ref="ES31:FD31" si="754">ES9+ES16+ES24</f>
        <v>859515.62491120351</v>
      </c>
      <c r="ET31" s="74">
        <f t="shared" si="754"/>
        <v>859515.62491120351</v>
      </c>
      <c r="EU31" s="74">
        <f t="shared" si="754"/>
        <v>859515.62491120351</v>
      </c>
      <c r="EV31" s="74">
        <f t="shared" si="754"/>
        <v>859515.62491120351</v>
      </c>
      <c r="EW31" s="74">
        <f t="shared" si="754"/>
        <v>859515.62491120351</v>
      </c>
      <c r="EX31" s="74">
        <f t="shared" si="754"/>
        <v>859515.62491120351</v>
      </c>
      <c r="EY31" s="74">
        <f t="shared" si="754"/>
        <v>859515.62491120351</v>
      </c>
      <c r="EZ31" s="74">
        <f t="shared" si="754"/>
        <v>859515.62491120351</v>
      </c>
      <c r="FA31" s="74">
        <f t="shared" si="754"/>
        <v>859515.62491120351</v>
      </c>
      <c r="FB31" s="74">
        <f t="shared" si="754"/>
        <v>859515.62491120351</v>
      </c>
      <c r="FC31" s="74">
        <f t="shared" si="754"/>
        <v>859515.62491120351</v>
      </c>
      <c r="FD31" s="74">
        <f t="shared" si="754"/>
        <v>859515.62491120351</v>
      </c>
      <c r="FE31" s="74">
        <f t="shared" ref="FE31:GB31" si="755">FE9+FE16+FE24</f>
        <v>859515.62491120351</v>
      </c>
      <c r="FF31" s="74">
        <f t="shared" si="755"/>
        <v>859515.62491120351</v>
      </c>
      <c r="FG31" s="74">
        <f t="shared" si="755"/>
        <v>859515.62491120351</v>
      </c>
      <c r="FH31" s="74">
        <f t="shared" si="755"/>
        <v>859515.62491120351</v>
      </c>
      <c r="FI31" s="74">
        <f t="shared" si="755"/>
        <v>859515.62491120351</v>
      </c>
      <c r="FJ31" s="74">
        <f t="shared" si="755"/>
        <v>859515.62491120351</v>
      </c>
      <c r="FK31" s="74">
        <f t="shared" si="755"/>
        <v>859515.62491120351</v>
      </c>
      <c r="FL31" s="74">
        <f t="shared" si="755"/>
        <v>859515.62491120351</v>
      </c>
      <c r="FM31" s="74">
        <f t="shared" si="755"/>
        <v>859515.62491120351</v>
      </c>
      <c r="FN31" s="74">
        <f t="shared" si="755"/>
        <v>859515.62491120351</v>
      </c>
      <c r="FO31" s="74">
        <f t="shared" si="755"/>
        <v>859515.62491120351</v>
      </c>
      <c r="FP31" s="74">
        <f t="shared" si="755"/>
        <v>859515.62491120351</v>
      </c>
      <c r="FQ31" s="74">
        <f t="shared" si="755"/>
        <v>859515.62491120351</v>
      </c>
      <c r="FR31" s="74">
        <f t="shared" si="755"/>
        <v>859515.62491120351</v>
      </c>
      <c r="FS31" s="74">
        <f t="shared" si="755"/>
        <v>859515.62491120351</v>
      </c>
      <c r="FT31" s="74">
        <f t="shared" si="755"/>
        <v>859515.62491120351</v>
      </c>
      <c r="FU31" s="74">
        <f t="shared" si="755"/>
        <v>859515.62491120351</v>
      </c>
      <c r="FV31" s="74">
        <f t="shared" si="755"/>
        <v>859515.62491120351</v>
      </c>
      <c r="FW31" s="74">
        <f t="shared" si="755"/>
        <v>859515.62491120351</v>
      </c>
      <c r="FX31" s="74">
        <f t="shared" si="755"/>
        <v>859515.62491120351</v>
      </c>
      <c r="FY31" s="74">
        <f t="shared" si="755"/>
        <v>859515.62491120351</v>
      </c>
      <c r="FZ31" s="74">
        <f t="shared" si="755"/>
        <v>859515.62491120351</v>
      </c>
      <c r="GA31" s="74">
        <f t="shared" si="755"/>
        <v>859515.62491120351</v>
      </c>
      <c r="GB31" s="74">
        <f t="shared" si="755"/>
        <v>859515.62491120351</v>
      </c>
      <c r="GC31" s="74">
        <f t="shared" ref="GC31:GN31" si="756">GC9+GC16+GC24</f>
        <v>859515.62491120351</v>
      </c>
      <c r="GD31" s="74">
        <f t="shared" si="756"/>
        <v>859515.62491120351</v>
      </c>
      <c r="GE31" s="74">
        <f t="shared" si="756"/>
        <v>859515.62491120351</v>
      </c>
      <c r="GF31" s="74">
        <f t="shared" si="756"/>
        <v>859515.62491120351</v>
      </c>
      <c r="GG31" s="74">
        <f t="shared" si="756"/>
        <v>859515.62491120351</v>
      </c>
      <c r="GH31" s="74">
        <f t="shared" si="756"/>
        <v>859515.62491120351</v>
      </c>
      <c r="GI31" s="74">
        <f t="shared" si="756"/>
        <v>859515.62491120351</v>
      </c>
      <c r="GJ31" s="74">
        <f t="shared" si="756"/>
        <v>859515.62491120351</v>
      </c>
      <c r="GK31" s="74">
        <f t="shared" si="756"/>
        <v>859515.62491120351</v>
      </c>
      <c r="GL31" s="74">
        <f t="shared" si="756"/>
        <v>859515.62491120351</v>
      </c>
      <c r="GM31" s="74">
        <f t="shared" si="756"/>
        <v>859515.62491120351</v>
      </c>
      <c r="GN31" s="74">
        <f t="shared" si="756"/>
        <v>859515.62491120351</v>
      </c>
      <c r="GO31" s="74">
        <f t="shared" ref="GO31:GZ31" si="757">GO9+GO16+GO24</f>
        <v>859515.62491120351</v>
      </c>
      <c r="GP31" s="74">
        <f t="shared" si="757"/>
        <v>859515.62491120351</v>
      </c>
      <c r="GQ31" s="74">
        <f t="shared" si="757"/>
        <v>859515.62491120351</v>
      </c>
      <c r="GR31" s="74">
        <f t="shared" si="757"/>
        <v>0</v>
      </c>
      <c r="GS31" s="74">
        <f t="shared" si="757"/>
        <v>0</v>
      </c>
      <c r="GT31" s="74">
        <f t="shared" si="757"/>
        <v>0</v>
      </c>
      <c r="GU31" s="74">
        <f t="shared" si="757"/>
        <v>0</v>
      </c>
      <c r="GV31" s="74">
        <f t="shared" si="757"/>
        <v>0</v>
      </c>
      <c r="GW31" s="74">
        <f t="shared" si="757"/>
        <v>0</v>
      </c>
      <c r="GX31" s="74">
        <f t="shared" si="757"/>
        <v>0</v>
      </c>
      <c r="GY31" s="74">
        <f t="shared" si="757"/>
        <v>0</v>
      </c>
      <c r="GZ31" s="74">
        <f t="shared" si="757"/>
        <v>0</v>
      </c>
      <c r="HA31" s="74">
        <f t="shared" ref="HA31:HL31" si="758">HA9+HA16+HA24</f>
        <v>0</v>
      </c>
      <c r="HB31" s="74">
        <f t="shared" si="758"/>
        <v>0</v>
      </c>
      <c r="HC31" s="74">
        <f t="shared" si="758"/>
        <v>0</v>
      </c>
      <c r="HD31" s="74">
        <f t="shared" si="758"/>
        <v>0</v>
      </c>
      <c r="HE31" s="74">
        <f t="shared" si="758"/>
        <v>0</v>
      </c>
      <c r="HF31" s="74">
        <f t="shared" si="758"/>
        <v>0</v>
      </c>
      <c r="HG31" s="74">
        <f t="shared" si="758"/>
        <v>0</v>
      </c>
      <c r="HH31" s="74">
        <f t="shared" si="758"/>
        <v>0</v>
      </c>
      <c r="HI31" s="74">
        <f t="shared" si="758"/>
        <v>0</v>
      </c>
      <c r="HJ31" s="74">
        <f t="shared" si="758"/>
        <v>0</v>
      </c>
      <c r="HK31" s="74">
        <f t="shared" si="758"/>
        <v>0</v>
      </c>
      <c r="HL31" s="74">
        <f t="shared" si="758"/>
        <v>0</v>
      </c>
      <c r="HM31" s="74">
        <f t="shared" ref="HM31:HX31" si="759">HM9+HM16+HM24</f>
        <v>0</v>
      </c>
      <c r="HN31" s="74">
        <f t="shared" si="759"/>
        <v>0</v>
      </c>
      <c r="HO31" s="74">
        <f t="shared" si="759"/>
        <v>0</v>
      </c>
      <c r="HP31" s="74">
        <f t="shared" si="759"/>
        <v>0</v>
      </c>
      <c r="HQ31" s="74">
        <f t="shared" si="759"/>
        <v>0</v>
      </c>
      <c r="HR31" s="74">
        <f t="shared" si="759"/>
        <v>0</v>
      </c>
      <c r="HS31" s="74">
        <f t="shared" si="759"/>
        <v>0</v>
      </c>
      <c r="HT31" s="74">
        <f t="shared" si="759"/>
        <v>0</v>
      </c>
      <c r="HU31" s="74">
        <f t="shared" si="759"/>
        <v>0</v>
      </c>
      <c r="HV31" s="74">
        <f t="shared" si="759"/>
        <v>0</v>
      </c>
      <c r="HW31" s="74">
        <f t="shared" si="759"/>
        <v>0</v>
      </c>
      <c r="HX31" s="74">
        <f t="shared" si="759"/>
        <v>0</v>
      </c>
      <c r="HY31" s="74">
        <f t="shared" ref="HY31:IJ31" si="760">HY9+HY16+HY24</f>
        <v>0</v>
      </c>
      <c r="HZ31" s="74">
        <f t="shared" si="760"/>
        <v>0</v>
      </c>
      <c r="IA31" s="74">
        <f t="shared" si="760"/>
        <v>0</v>
      </c>
      <c r="IB31" s="74">
        <f t="shared" si="760"/>
        <v>0</v>
      </c>
      <c r="IC31" s="74">
        <f t="shared" si="760"/>
        <v>0</v>
      </c>
      <c r="ID31" s="74">
        <f t="shared" si="760"/>
        <v>0</v>
      </c>
      <c r="IE31" s="74">
        <f t="shared" si="760"/>
        <v>0</v>
      </c>
      <c r="IF31" s="74">
        <f t="shared" si="760"/>
        <v>0</v>
      </c>
      <c r="IG31" s="74">
        <f t="shared" si="760"/>
        <v>0</v>
      </c>
      <c r="IH31" s="74">
        <f t="shared" si="760"/>
        <v>0</v>
      </c>
      <c r="II31" s="74">
        <f t="shared" si="760"/>
        <v>0</v>
      </c>
      <c r="IJ31" s="74">
        <f t="shared" si="760"/>
        <v>0</v>
      </c>
      <c r="IK31" s="74">
        <f t="shared" ref="IK31:IV31" si="761">IK9+IK16+IK24</f>
        <v>0</v>
      </c>
      <c r="IL31" s="74">
        <f t="shared" si="761"/>
        <v>0</v>
      </c>
      <c r="IM31" s="74">
        <f t="shared" si="761"/>
        <v>0</v>
      </c>
      <c r="IN31" s="74">
        <f t="shared" si="761"/>
        <v>0</v>
      </c>
      <c r="IO31" s="74">
        <f t="shared" si="761"/>
        <v>0</v>
      </c>
      <c r="IP31" s="74">
        <f t="shared" si="761"/>
        <v>0</v>
      </c>
      <c r="IQ31" s="74">
        <f t="shared" si="761"/>
        <v>0</v>
      </c>
      <c r="IR31" s="74">
        <f t="shared" si="761"/>
        <v>0</v>
      </c>
      <c r="IS31" s="74">
        <f t="shared" si="761"/>
        <v>0</v>
      </c>
      <c r="IT31" s="74">
        <f t="shared" si="761"/>
        <v>0</v>
      </c>
      <c r="IU31" s="74">
        <f t="shared" si="761"/>
        <v>0</v>
      </c>
      <c r="IV31" s="74">
        <f t="shared" si="761"/>
        <v>0</v>
      </c>
      <c r="IW31" s="74">
        <f t="shared" ref="IW31:JH31" si="762">IW9+IW16+IW24</f>
        <v>0</v>
      </c>
      <c r="IX31" s="74">
        <f t="shared" si="762"/>
        <v>0</v>
      </c>
      <c r="IY31" s="74">
        <f t="shared" si="762"/>
        <v>0</v>
      </c>
      <c r="IZ31" s="74">
        <f t="shared" si="762"/>
        <v>0</v>
      </c>
      <c r="JA31" s="74">
        <f t="shared" si="762"/>
        <v>0</v>
      </c>
      <c r="JB31" s="74">
        <f t="shared" si="762"/>
        <v>0</v>
      </c>
      <c r="JC31" s="74">
        <f t="shared" si="762"/>
        <v>0</v>
      </c>
      <c r="JD31" s="74">
        <f t="shared" si="762"/>
        <v>0</v>
      </c>
      <c r="JE31" s="74">
        <f t="shared" si="762"/>
        <v>0</v>
      </c>
      <c r="JF31" s="74">
        <f t="shared" si="762"/>
        <v>0</v>
      </c>
      <c r="JG31" s="74">
        <f t="shared" si="762"/>
        <v>0</v>
      </c>
      <c r="JH31" s="74">
        <f t="shared" si="762"/>
        <v>0</v>
      </c>
      <c r="JI31" s="74">
        <f t="shared" ref="JI31:JT31" si="763">JI9+JI16+JI24</f>
        <v>0</v>
      </c>
      <c r="JJ31" s="74">
        <f t="shared" si="763"/>
        <v>0</v>
      </c>
      <c r="JK31" s="74">
        <f t="shared" si="763"/>
        <v>0</v>
      </c>
      <c r="JL31" s="74">
        <f t="shared" si="763"/>
        <v>0</v>
      </c>
      <c r="JM31" s="74">
        <f t="shared" si="763"/>
        <v>0</v>
      </c>
      <c r="JN31" s="74">
        <f t="shared" si="763"/>
        <v>0</v>
      </c>
      <c r="JO31" s="74">
        <f t="shared" si="763"/>
        <v>0</v>
      </c>
      <c r="JP31" s="74">
        <f t="shared" si="763"/>
        <v>0</v>
      </c>
      <c r="JQ31" s="74">
        <f t="shared" si="763"/>
        <v>0</v>
      </c>
      <c r="JR31" s="74">
        <f t="shared" si="763"/>
        <v>0</v>
      </c>
      <c r="JS31" s="74">
        <f t="shared" si="763"/>
        <v>0</v>
      </c>
      <c r="JT31" s="74">
        <f t="shared" si="763"/>
        <v>0</v>
      </c>
    </row>
    <row r="32" spans="1:280" x14ac:dyDescent="0.2">
      <c r="D32" s="75" t="s">
        <v>109</v>
      </c>
      <c r="E32" s="74">
        <f t="shared" si="734"/>
        <v>149874.38056581622</v>
      </c>
      <c r="F32" s="74">
        <f>F10+F17+F25</f>
        <v>346909.87917971844</v>
      </c>
      <c r="G32" s="74">
        <f>G10+G17+G25</f>
        <v>432084.91923832841</v>
      </c>
      <c r="H32" s="74">
        <f t="shared" si="749"/>
        <v>494356.87390158226</v>
      </c>
      <c r="I32" s="74">
        <f>I10+I17+I25</f>
        <v>576134.13998181873</v>
      </c>
      <c r="J32" s="74">
        <f t="shared" si="749"/>
        <v>705049.91697056184</v>
      </c>
      <c r="K32" s="74">
        <f t="shared" si="749"/>
        <v>838981.74269761785</v>
      </c>
      <c r="L32" s="74">
        <f t="shared" si="749"/>
        <v>955139.59980678908</v>
      </c>
      <c r="M32" s="74">
        <f t="shared" si="749"/>
        <v>1058042.7831197069</v>
      </c>
      <c r="N32" s="74">
        <f t="shared" si="749"/>
        <v>1147571.8593441523</v>
      </c>
      <c r="O32" s="74">
        <f t="shared" si="749"/>
        <v>1226925.7568700456</v>
      </c>
      <c r="P32" s="74">
        <f t="shared" si="749"/>
        <v>1323169.4979038786</v>
      </c>
      <c r="Q32" s="74">
        <f t="shared" si="749"/>
        <v>1380307.8092666978</v>
      </c>
      <c r="R32" s="74">
        <f t="shared" si="749"/>
        <v>1380307.8092666978</v>
      </c>
      <c r="S32" s="74">
        <f t="shared" si="749"/>
        <v>1380307.8092666978</v>
      </c>
      <c r="T32" s="74">
        <f t="shared" si="749"/>
        <v>1136724.0782196335</v>
      </c>
      <c r="U32" s="74">
        <f t="shared" si="749"/>
        <v>1131619.5568096749</v>
      </c>
      <c r="V32" s="74">
        <f t="shared" si="749"/>
        <v>1126485.2590248249</v>
      </c>
      <c r="W32" s="74">
        <f t="shared" si="749"/>
        <v>1121321.011169563</v>
      </c>
      <c r="X32" s="74">
        <f t="shared" si="749"/>
        <v>1116126.6385351459</v>
      </c>
      <c r="Y32" s="74">
        <f t="shared" si="749"/>
        <v>1110901.9653936944</v>
      </c>
      <c r="Z32" s="74">
        <f t="shared" si="749"/>
        <v>1105646.8149922511</v>
      </c>
      <c r="AA32" s="74">
        <f t="shared" si="749"/>
        <v>1100361.0095467996</v>
      </c>
      <c r="AB32" s="74">
        <f t="shared" si="749"/>
        <v>1095044.3702362492</v>
      </c>
      <c r="AC32" s="74">
        <f t="shared" si="749"/>
        <v>1089696.7171963877</v>
      </c>
      <c r="AD32" s="74">
        <f t="shared" si="749"/>
        <v>1084317.8695137934</v>
      </c>
      <c r="AE32" s="74">
        <f t="shared" si="749"/>
        <v>1078907.6452197176</v>
      </c>
      <c r="AF32" s="74">
        <f t="shared" si="749"/>
        <v>1073465.8612839261</v>
      </c>
      <c r="AG32" s="74">
        <f t="shared" si="749"/>
        <v>1067992.333608509</v>
      </c>
      <c r="AH32" s="74">
        <f t="shared" si="749"/>
        <v>1062486.8770216526</v>
      </c>
      <c r="AI32" s="74">
        <f t="shared" si="749"/>
        <v>1056949.3052713722</v>
      </c>
      <c r="AJ32" s="74">
        <f t="shared" si="749"/>
        <v>1051379.4310192154</v>
      </c>
      <c r="AK32" s="74">
        <f t="shared" si="749"/>
        <v>1045777.0658339211</v>
      </c>
      <c r="AL32" s="74">
        <f t="shared" si="749"/>
        <v>1040142.0201850459</v>
      </c>
      <c r="AM32" s="74">
        <f t="shared" si="749"/>
        <v>1034474.1034365521</v>
      </c>
      <c r="AN32" s="74">
        <f t="shared" si="749"/>
        <v>1028773.1238403589</v>
      </c>
      <c r="AO32" s="74">
        <f t="shared" si="749"/>
        <v>1023038.8885298546</v>
      </c>
      <c r="AP32" s="74">
        <f t="shared" si="749"/>
        <v>1017271.2035133722</v>
      </c>
      <c r="AQ32" s="74">
        <f t="shared" si="749"/>
        <v>1011469.8736676271</v>
      </c>
      <c r="AR32" s="74">
        <f t="shared" si="749"/>
        <v>1005634.702731115</v>
      </c>
      <c r="AS32" s="74">
        <f t="shared" si="749"/>
        <v>999765.49329747353</v>
      </c>
      <c r="AT32" s="74">
        <f t="shared" si="749"/>
        <v>993862.04680880229</v>
      </c>
      <c r="AU32" s="74">
        <f t="shared" si="749"/>
        <v>987924.16354894708</v>
      </c>
      <c r="AV32" s="74">
        <f t="shared" si="749"/>
        <v>981951.64263674291</v>
      </c>
      <c r="AW32" s="74">
        <f t="shared" si="749"/>
        <v>975944.2820192175</v>
      </c>
      <c r="AX32" s="74">
        <f t="shared" si="749"/>
        <v>969901.87846475642</v>
      </c>
      <c r="AY32" s="74">
        <f t="shared" si="749"/>
        <v>963824.22755622771</v>
      </c>
      <c r="AZ32" s="74">
        <f t="shared" si="749"/>
        <v>957711.12368406588</v>
      </c>
      <c r="BA32" s="74">
        <f t="shared" si="749"/>
        <v>951562.36003931647</v>
      </c>
      <c r="BB32" s="74">
        <f t="shared" si="749"/>
        <v>945377.72860663943</v>
      </c>
      <c r="BC32" s="74">
        <f t="shared" si="749"/>
        <v>939157.02015727153</v>
      </c>
      <c r="BD32" s="74">
        <f t="shared" si="749"/>
        <v>932900.0242419492</v>
      </c>
      <c r="BE32" s="74">
        <f t="shared" si="749"/>
        <v>926606.52918378753</v>
      </c>
      <c r="BF32" s="74">
        <f t="shared" si="749"/>
        <v>920276.32207111979</v>
      </c>
      <c r="BG32" s="74">
        <f t="shared" si="749"/>
        <v>913909.18875029485</v>
      </c>
      <c r="BH32" s="74">
        <f t="shared" si="749"/>
        <v>907504.91381843179</v>
      </c>
      <c r="BI32" s="74">
        <f t="shared" si="749"/>
        <v>901063.28061613278</v>
      </c>
      <c r="BJ32" s="74">
        <f t="shared" si="749"/>
        <v>894584.07122015383</v>
      </c>
      <c r="BK32" s="74">
        <f t="shared" si="749"/>
        <v>888067.0664360316</v>
      </c>
      <c r="BL32" s="74">
        <f t="shared" si="749"/>
        <v>881512.04579066869</v>
      </c>
      <c r="BM32" s="74">
        <f t="shared" si="749"/>
        <v>874918.78752487455</v>
      </c>
      <c r="BN32" s="74">
        <f t="shared" si="749"/>
        <v>868287.0685858631</v>
      </c>
      <c r="BO32" s="74">
        <f t="shared" si="749"/>
        <v>861616.6646197075</v>
      </c>
      <c r="BP32" s="74">
        <f t="shared" si="749"/>
        <v>854907.34996374929</v>
      </c>
      <c r="BQ32" s="74">
        <f t="shared" si="749"/>
        <v>848158.8976389647</v>
      </c>
      <c r="BR32" s="74">
        <f t="shared" si="719"/>
        <v>841371.07934228552</v>
      </c>
      <c r="BS32" s="74">
        <f t="shared" si="719"/>
        <v>834543.66543887579</v>
      </c>
      <c r="BT32" s="74">
        <f t="shared" si="719"/>
        <v>827676.42495436268</v>
      </c>
      <c r="BU32" s="74">
        <f t="shared" si="719"/>
        <v>820769.12556702341</v>
      </c>
      <c r="BV32" s="74">
        <f t="shared" si="719"/>
        <v>813821.53359992453</v>
      </c>
      <c r="BW32" s="74">
        <f t="shared" si="719"/>
        <v>806833.41401301767</v>
      </c>
      <c r="BX32" s="74">
        <f t="shared" si="719"/>
        <v>799804.5303951872</v>
      </c>
      <c r="BY32" s="74">
        <f t="shared" si="719"/>
        <v>792734.64495625254</v>
      </c>
      <c r="BZ32" s="74">
        <f t="shared" si="719"/>
        <v>785623.51851892425</v>
      </c>
      <c r="CA32" s="74">
        <f t="shared" si="719"/>
        <v>778470.9105107116</v>
      </c>
      <c r="CB32" s="74">
        <f t="shared" si="719"/>
        <v>771276.57895578421</v>
      </c>
      <c r="CC32" s="74">
        <f t="shared" si="719"/>
        <v>764040.28046678659</v>
      </c>
      <c r="CD32" s="74">
        <f t="shared" si="719"/>
        <v>756761.77023660298</v>
      </c>
      <c r="CE32" s="74">
        <f t="shared" si="719"/>
        <v>749440.80203007674</v>
      </c>
      <c r="CF32" s="74">
        <f t="shared" si="719"/>
        <v>742077.12817567913</v>
      </c>
      <c r="CG32" s="74">
        <f t="shared" si="719"/>
        <v>734670.49955713074</v>
      </c>
      <c r="CH32" s="74">
        <f t="shared" si="719"/>
        <v>727220.66560497426</v>
      </c>
      <c r="CI32" s="74">
        <f t="shared" si="719"/>
        <v>719727.37428809679</v>
      </c>
      <c r="CJ32" s="74">
        <f t="shared" si="719"/>
        <v>712190.37210520427</v>
      </c>
      <c r="CK32" s="74">
        <f t="shared" si="719"/>
        <v>704609.4040762448</v>
      </c>
      <c r="CL32" s="74">
        <f t="shared" si="719"/>
        <v>696984.21373378311</v>
      </c>
      <c r="CM32" s="74">
        <f t="shared" si="719"/>
        <v>689314.54311432375</v>
      </c>
      <c r="CN32" s="74">
        <f t="shared" si="719"/>
        <v>681600.13274958427</v>
      </c>
      <c r="CO32" s="74">
        <f t="shared" si="719"/>
        <v>673840.72165771702</v>
      </c>
      <c r="CP32" s="74">
        <f t="shared" si="719"/>
        <v>666036.04733448057</v>
      </c>
      <c r="CQ32" s="74">
        <f t="shared" si="719"/>
        <v>658185.84574435849</v>
      </c>
      <c r="CR32" s="74">
        <f t="shared" si="719"/>
        <v>650289.85131162754</v>
      </c>
      <c r="CS32" s="74">
        <f t="shared" si="719"/>
        <v>642347.7969113721</v>
      </c>
      <c r="CT32" s="74">
        <f t="shared" si="719"/>
        <v>634359.41386044864</v>
      </c>
      <c r="CU32" s="74">
        <f t="shared" si="719"/>
        <v>626324.43190839479</v>
      </c>
      <c r="CV32" s="74">
        <f t="shared" si="719"/>
        <v>618242.57922828733</v>
      </c>
      <c r="CW32" s="74">
        <f t="shared" ref="CW32:DH32" si="764">CW10+CW17+CW25</f>
        <v>610113.58240754588</v>
      </c>
      <c r="CX32" s="74">
        <f t="shared" si="764"/>
        <v>601937.16643868352</v>
      </c>
      <c r="CY32" s="74">
        <f t="shared" si="764"/>
        <v>593713.05471000262</v>
      </c>
      <c r="CZ32" s="74">
        <f t="shared" si="764"/>
        <v>585440.96899623796</v>
      </c>
      <c r="DA32" s="74">
        <f t="shared" si="764"/>
        <v>577120.62944914284</v>
      </c>
      <c r="DB32" s="74">
        <f t="shared" si="764"/>
        <v>568751.75458802306</v>
      </c>
      <c r="DC32" s="74">
        <f t="shared" si="764"/>
        <v>560334.06129021337</v>
      </c>
      <c r="DD32" s="74">
        <f t="shared" si="764"/>
        <v>551867.26478149975</v>
      </c>
      <c r="DE32" s="74">
        <f t="shared" si="764"/>
        <v>543351.07862648543</v>
      </c>
      <c r="DF32" s="74">
        <f t="shared" si="764"/>
        <v>534785.21471890016</v>
      </c>
      <c r="DG32" s="74">
        <f t="shared" si="764"/>
        <v>526169.38327185391</v>
      </c>
      <c r="DH32" s="74">
        <f t="shared" si="764"/>
        <v>517503.29280803323</v>
      </c>
      <c r="DI32" s="74">
        <f t="shared" ref="DI32:DT32" si="765">DI10+DI17+DI25</f>
        <v>508786.65014984028</v>
      </c>
      <c r="DJ32" s="74">
        <f t="shared" si="765"/>
        <v>500019.16040947457</v>
      </c>
      <c r="DK32" s="74">
        <f t="shared" si="765"/>
        <v>491200.52697895677</v>
      </c>
      <c r="DL32" s="74">
        <f t="shared" si="765"/>
        <v>482330.45152009418</v>
      </c>
      <c r="DM32" s="74">
        <f t="shared" si="765"/>
        <v>473408.63395438832</v>
      </c>
      <c r="DN32" s="74">
        <f t="shared" si="765"/>
        <v>464434.77245288237</v>
      </c>
      <c r="DO32" s="74">
        <f t="shared" si="765"/>
        <v>455408.56342595106</v>
      </c>
      <c r="DP32" s="74">
        <f t="shared" si="765"/>
        <v>446329.70151302934</v>
      </c>
      <c r="DQ32" s="74">
        <f t="shared" si="765"/>
        <v>437197.87957228225</v>
      </c>
      <c r="DR32" s="74">
        <f t="shared" si="765"/>
        <v>428012.78867021407</v>
      </c>
      <c r="DS32" s="74">
        <f t="shared" si="765"/>
        <v>418774.11807121721</v>
      </c>
      <c r="DT32" s="74">
        <f t="shared" si="765"/>
        <v>409481.55522705952</v>
      </c>
      <c r="DU32" s="74">
        <f t="shared" ref="DU32:EF32" si="766">DU10+DU17+DU25</f>
        <v>400134.78576631087</v>
      </c>
      <c r="DV32" s="74">
        <f t="shared" si="766"/>
        <v>390733.49348370795</v>
      </c>
      <c r="DW32" s="74">
        <f t="shared" si="766"/>
        <v>381277.36032945645</v>
      </c>
      <c r="DX32" s="74">
        <f t="shared" si="766"/>
        <v>371766.06639847177</v>
      </c>
      <c r="DY32" s="74">
        <f t="shared" si="766"/>
        <v>362199.28991955641</v>
      </c>
      <c r="DZ32" s="74">
        <f t="shared" si="766"/>
        <v>352576.70724451402</v>
      </c>
      <c r="EA32" s="74">
        <f t="shared" si="766"/>
        <v>342897.99283720052</v>
      </c>
      <c r="EB32" s="74">
        <f t="shared" si="766"/>
        <v>333162.8192625111</v>
      </c>
      <c r="EC32" s="74">
        <f t="shared" si="766"/>
        <v>323370.85717530263</v>
      </c>
      <c r="ED32" s="74">
        <f t="shared" si="766"/>
        <v>313521.77530925215</v>
      </c>
      <c r="EE32" s="74">
        <f t="shared" si="766"/>
        <v>303615.24046564964</v>
      </c>
      <c r="EF32" s="74">
        <f t="shared" si="766"/>
        <v>293650.91750212607</v>
      </c>
      <c r="EG32" s="74">
        <f t="shared" ref="EG32:ER32" si="767">EG10+EG17+EG25</f>
        <v>283628.46932131535</v>
      </c>
      <c r="EH32" s="74">
        <f t="shared" si="767"/>
        <v>273547.55685944995</v>
      </c>
      <c r="EI32" s="74">
        <f t="shared" si="767"/>
        <v>263407.83907489025</v>
      </c>
      <c r="EJ32" s="74">
        <f t="shared" si="767"/>
        <v>253208.972936587</v>
      </c>
      <c r="EK32" s="74">
        <f t="shared" si="767"/>
        <v>249672.18413340172</v>
      </c>
      <c r="EL32" s="74">
        <f t="shared" si="767"/>
        <v>246114.76406219791</v>
      </c>
      <c r="EM32" s="74">
        <f t="shared" si="767"/>
        <v>242536.59237391202</v>
      </c>
      <c r="EN32" s="74">
        <f t="shared" si="767"/>
        <v>238937.5480174445</v>
      </c>
      <c r="EO32" s="74">
        <f t="shared" si="767"/>
        <v>235317.50923556421</v>
      </c>
      <c r="EP32" s="74">
        <f t="shared" si="767"/>
        <v>231676.35356078963</v>
      </c>
      <c r="EQ32" s="74">
        <f t="shared" si="767"/>
        <v>228013.95781124555</v>
      </c>
      <c r="ER32" s="74">
        <f t="shared" si="767"/>
        <v>224330.1980864958</v>
      </c>
      <c r="ES32" s="74">
        <f t="shared" ref="ES32:FD32" si="768">ES10+ES17+ES25</f>
        <v>220624.94976335164</v>
      </c>
      <c r="ET32" s="74">
        <f t="shared" si="768"/>
        <v>216898.08749165584</v>
      </c>
      <c r="EU32" s="74">
        <f t="shared" si="768"/>
        <v>213149.48519004177</v>
      </c>
      <c r="EV32" s="74">
        <f t="shared" si="768"/>
        <v>209379.01604166834</v>
      </c>
      <c r="EW32" s="74">
        <f t="shared" si="768"/>
        <v>205586.55248992937</v>
      </c>
      <c r="EX32" s="74">
        <f t="shared" si="768"/>
        <v>201771.96623413858</v>
      </c>
      <c r="EY32" s="74">
        <f t="shared" si="768"/>
        <v>197935.12822518905</v>
      </c>
      <c r="EZ32" s="74">
        <f t="shared" si="768"/>
        <v>194075.90866118731</v>
      </c>
      <c r="FA32" s="74">
        <f t="shared" si="768"/>
        <v>190194.17698306221</v>
      </c>
      <c r="FB32" s="74">
        <f t="shared" si="768"/>
        <v>186289.80187014805</v>
      </c>
      <c r="FC32" s="74">
        <f t="shared" si="768"/>
        <v>182362.65123574188</v>
      </c>
      <c r="FD32" s="74">
        <f t="shared" si="768"/>
        <v>178412.59222263502</v>
      </c>
      <c r="FE32" s="74">
        <f t="shared" ref="FE32:GB32" si="769">FE10+FE17+FE25</f>
        <v>174439.49119861834</v>
      </c>
      <c r="FF32" s="74">
        <f t="shared" si="769"/>
        <v>170443.21375196159</v>
      </c>
      <c r="FG32" s="74">
        <f t="shared" si="769"/>
        <v>166423.62468686601</v>
      </c>
      <c r="FH32" s="74">
        <f t="shared" si="769"/>
        <v>162380.5880188907</v>
      </c>
      <c r="FI32" s="74">
        <f t="shared" si="769"/>
        <v>158313.96697035222</v>
      </c>
      <c r="FJ32" s="74">
        <f t="shared" si="769"/>
        <v>154223.62396569728</v>
      </c>
      <c r="FK32" s="74">
        <f t="shared" si="769"/>
        <v>150109.4206268485</v>
      </c>
      <c r="FL32" s="74">
        <f t="shared" si="769"/>
        <v>145971.21776852309</v>
      </c>
      <c r="FM32" s="74">
        <f t="shared" si="769"/>
        <v>141808.87539352413</v>
      </c>
      <c r="FN32" s="74">
        <f t="shared" si="769"/>
        <v>137622.25268800432</v>
      </c>
      <c r="FO32" s="74">
        <f t="shared" si="769"/>
        <v>133411.20801670232</v>
      </c>
      <c r="FP32" s="74">
        <f t="shared" si="769"/>
        <v>129175.59891815107</v>
      </c>
      <c r="FQ32" s="74">
        <f t="shared" si="769"/>
        <v>124915.28209985825</v>
      </c>
      <c r="FR32" s="74">
        <f t="shared" si="769"/>
        <v>120630.11343345873</v>
      </c>
      <c r="FS32" s="74">
        <f t="shared" si="769"/>
        <v>116319.94794983855</v>
      </c>
      <c r="FT32" s="74">
        <f t="shared" si="769"/>
        <v>111984.63983423058</v>
      </c>
      <c r="FU32" s="74">
        <f t="shared" si="769"/>
        <v>107624.04242128159</v>
      </c>
      <c r="FV32" s="74">
        <f t="shared" si="769"/>
        <v>103238.00819009036</v>
      </c>
      <c r="FW32" s="74">
        <f t="shared" si="769"/>
        <v>98826.38875921721</v>
      </c>
      <c r="FX32" s="74">
        <f t="shared" si="769"/>
        <v>94389.03488166396</v>
      </c>
      <c r="FY32" s="74">
        <f t="shared" si="769"/>
        <v>89925.796439824975</v>
      </c>
      <c r="FZ32" s="74">
        <f t="shared" si="769"/>
        <v>85436.522440408589</v>
      </c>
      <c r="GA32" s="74">
        <f t="shared" si="769"/>
        <v>80921.061009328958</v>
      </c>
      <c r="GB32" s="74">
        <f t="shared" si="769"/>
        <v>76379.259386568025</v>
      </c>
      <c r="GC32" s="74">
        <f t="shared" ref="GC32:GN32" si="770">GC10+GC17+GC25</f>
        <v>71810.963921007657</v>
      </c>
      <c r="GD32" s="74">
        <f t="shared" si="770"/>
        <v>67216.020065231511</v>
      </c>
      <c r="GE32" s="74">
        <f t="shared" si="770"/>
        <v>62594.272370296669</v>
      </c>
      <c r="GF32" s="74">
        <f t="shared" si="770"/>
        <v>57945.564480474713</v>
      </c>
      <c r="GG32" s="74">
        <f t="shared" si="770"/>
        <v>53269.739127962122</v>
      </c>
      <c r="GH32" s="74">
        <f t="shared" si="770"/>
        <v>48566.638127559883</v>
      </c>
      <c r="GI32" s="74">
        <f t="shared" si="770"/>
        <v>43836.102371321969</v>
      </c>
      <c r="GJ32" s="74">
        <f t="shared" si="770"/>
        <v>39077.971823172658</v>
      </c>
      <c r="GK32" s="74">
        <f t="shared" si="770"/>
        <v>34292.085513492471</v>
      </c>
      <c r="GL32" s="74">
        <f t="shared" si="770"/>
        <v>29478.281533672493</v>
      </c>
      <c r="GM32" s="74">
        <f t="shared" si="770"/>
        <v>24636.397030636897</v>
      </c>
      <c r="GN32" s="74">
        <f t="shared" si="770"/>
        <v>19766.268201333591</v>
      </c>
      <c r="GO32" s="74">
        <f t="shared" ref="GO32:GZ32" si="771">GO10+GO17+GO25</f>
        <v>14867.730287192682</v>
      </c>
      <c r="GP32" s="74">
        <f t="shared" si="771"/>
        <v>9940.6175685526214</v>
      </c>
      <c r="GQ32" s="74">
        <f t="shared" si="771"/>
        <v>4984.7633590538235</v>
      </c>
      <c r="GR32" s="74">
        <f t="shared" si="771"/>
        <v>0</v>
      </c>
      <c r="GS32" s="74">
        <f t="shared" si="771"/>
        <v>0</v>
      </c>
      <c r="GT32" s="74">
        <f t="shared" si="771"/>
        <v>0</v>
      </c>
      <c r="GU32" s="74">
        <f t="shared" si="771"/>
        <v>0</v>
      </c>
      <c r="GV32" s="74">
        <f t="shared" si="771"/>
        <v>0</v>
      </c>
      <c r="GW32" s="74">
        <f t="shared" si="771"/>
        <v>0</v>
      </c>
      <c r="GX32" s="74">
        <f t="shared" si="771"/>
        <v>0</v>
      </c>
      <c r="GY32" s="74">
        <f t="shared" si="771"/>
        <v>0</v>
      </c>
      <c r="GZ32" s="74">
        <f t="shared" si="771"/>
        <v>0</v>
      </c>
      <c r="HA32" s="74">
        <f t="shared" ref="HA32:HL32" si="772">HA10+HA17+HA25</f>
        <v>0</v>
      </c>
      <c r="HB32" s="74">
        <f t="shared" si="772"/>
        <v>0</v>
      </c>
      <c r="HC32" s="74">
        <f t="shared" si="772"/>
        <v>0</v>
      </c>
      <c r="HD32" s="74">
        <f t="shared" si="772"/>
        <v>0</v>
      </c>
      <c r="HE32" s="74">
        <f t="shared" si="772"/>
        <v>0</v>
      </c>
      <c r="HF32" s="74">
        <f t="shared" si="772"/>
        <v>0</v>
      </c>
      <c r="HG32" s="74">
        <f t="shared" si="772"/>
        <v>0</v>
      </c>
      <c r="HH32" s="74">
        <f t="shared" si="772"/>
        <v>0</v>
      </c>
      <c r="HI32" s="74">
        <f t="shared" si="772"/>
        <v>0</v>
      </c>
      <c r="HJ32" s="74">
        <f t="shared" si="772"/>
        <v>0</v>
      </c>
      <c r="HK32" s="74">
        <f t="shared" si="772"/>
        <v>0</v>
      </c>
      <c r="HL32" s="74">
        <f t="shared" si="772"/>
        <v>0</v>
      </c>
      <c r="HM32" s="74">
        <f t="shared" ref="HM32:HX32" si="773">HM10+HM17+HM25</f>
        <v>0</v>
      </c>
      <c r="HN32" s="74">
        <f t="shared" si="773"/>
        <v>0</v>
      </c>
      <c r="HO32" s="74">
        <f t="shared" si="773"/>
        <v>0</v>
      </c>
      <c r="HP32" s="74">
        <f t="shared" si="773"/>
        <v>0</v>
      </c>
      <c r="HQ32" s="74">
        <f t="shared" si="773"/>
        <v>0</v>
      </c>
      <c r="HR32" s="74">
        <f t="shared" si="773"/>
        <v>0</v>
      </c>
      <c r="HS32" s="74">
        <f t="shared" si="773"/>
        <v>0</v>
      </c>
      <c r="HT32" s="74">
        <f t="shared" si="773"/>
        <v>0</v>
      </c>
      <c r="HU32" s="74">
        <f t="shared" si="773"/>
        <v>0</v>
      </c>
      <c r="HV32" s="74">
        <f t="shared" si="773"/>
        <v>0</v>
      </c>
      <c r="HW32" s="74">
        <f t="shared" si="773"/>
        <v>0</v>
      </c>
      <c r="HX32" s="74">
        <f t="shared" si="773"/>
        <v>0</v>
      </c>
      <c r="HY32" s="74">
        <f t="shared" ref="HY32:IJ32" si="774">HY10+HY17+HY25</f>
        <v>0</v>
      </c>
      <c r="HZ32" s="74">
        <f t="shared" si="774"/>
        <v>0</v>
      </c>
      <c r="IA32" s="74">
        <f t="shared" si="774"/>
        <v>0</v>
      </c>
      <c r="IB32" s="74">
        <f t="shared" si="774"/>
        <v>0</v>
      </c>
      <c r="IC32" s="74">
        <f t="shared" si="774"/>
        <v>0</v>
      </c>
      <c r="ID32" s="74">
        <f t="shared" si="774"/>
        <v>0</v>
      </c>
      <c r="IE32" s="74">
        <f t="shared" si="774"/>
        <v>0</v>
      </c>
      <c r="IF32" s="74">
        <f t="shared" si="774"/>
        <v>0</v>
      </c>
      <c r="IG32" s="74">
        <f t="shared" si="774"/>
        <v>0</v>
      </c>
      <c r="IH32" s="74">
        <f t="shared" si="774"/>
        <v>0</v>
      </c>
      <c r="II32" s="74">
        <f t="shared" si="774"/>
        <v>0</v>
      </c>
      <c r="IJ32" s="74">
        <f t="shared" si="774"/>
        <v>0</v>
      </c>
      <c r="IK32" s="74">
        <f t="shared" ref="IK32:IV32" si="775">IK10+IK17+IK25</f>
        <v>0</v>
      </c>
      <c r="IL32" s="74">
        <f t="shared" si="775"/>
        <v>0</v>
      </c>
      <c r="IM32" s="74">
        <f t="shared" si="775"/>
        <v>0</v>
      </c>
      <c r="IN32" s="74">
        <f t="shared" si="775"/>
        <v>0</v>
      </c>
      <c r="IO32" s="74">
        <f t="shared" si="775"/>
        <v>0</v>
      </c>
      <c r="IP32" s="74">
        <f t="shared" si="775"/>
        <v>0</v>
      </c>
      <c r="IQ32" s="74">
        <f t="shared" si="775"/>
        <v>0</v>
      </c>
      <c r="IR32" s="74">
        <f t="shared" si="775"/>
        <v>0</v>
      </c>
      <c r="IS32" s="74">
        <f t="shared" si="775"/>
        <v>0</v>
      </c>
      <c r="IT32" s="74">
        <f t="shared" si="775"/>
        <v>0</v>
      </c>
      <c r="IU32" s="74">
        <f t="shared" si="775"/>
        <v>0</v>
      </c>
      <c r="IV32" s="74">
        <f t="shared" si="775"/>
        <v>0</v>
      </c>
      <c r="IW32" s="74">
        <f t="shared" ref="IW32:JH32" si="776">IW10+IW17+IW25</f>
        <v>0</v>
      </c>
      <c r="IX32" s="74">
        <f t="shared" si="776"/>
        <v>0</v>
      </c>
      <c r="IY32" s="74">
        <f t="shared" si="776"/>
        <v>0</v>
      </c>
      <c r="IZ32" s="74">
        <f t="shared" si="776"/>
        <v>0</v>
      </c>
      <c r="JA32" s="74">
        <f t="shared" si="776"/>
        <v>0</v>
      </c>
      <c r="JB32" s="74">
        <f t="shared" si="776"/>
        <v>0</v>
      </c>
      <c r="JC32" s="74">
        <f t="shared" si="776"/>
        <v>0</v>
      </c>
      <c r="JD32" s="74">
        <f t="shared" si="776"/>
        <v>0</v>
      </c>
      <c r="JE32" s="74">
        <f t="shared" si="776"/>
        <v>0</v>
      </c>
      <c r="JF32" s="74">
        <f t="shared" si="776"/>
        <v>0</v>
      </c>
      <c r="JG32" s="74">
        <f t="shared" si="776"/>
        <v>0</v>
      </c>
      <c r="JH32" s="74">
        <f t="shared" si="776"/>
        <v>0</v>
      </c>
      <c r="JI32" s="74">
        <f t="shared" ref="JI32:JT32" si="777">JI10+JI17+JI25</f>
        <v>0</v>
      </c>
      <c r="JJ32" s="74">
        <f t="shared" si="777"/>
        <v>0</v>
      </c>
      <c r="JK32" s="74">
        <f t="shared" si="777"/>
        <v>0</v>
      </c>
      <c r="JL32" s="74">
        <f t="shared" si="777"/>
        <v>0</v>
      </c>
      <c r="JM32" s="74">
        <f t="shared" si="777"/>
        <v>0</v>
      </c>
      <c r="JN32" s="74">
        <f t="shared" si="777"/>
        <v>0</v>
      </c>
      <c r="JO32" s="74">
        <f t="shared" si="777"/>
        <v>0</v>
      </c>
      <c r="JP32" s="74">
        <f t="shared" si="777"/>
        <v>0</v>
      </c>
      <c r="JQ32" s="74">
        <f t="shared" si="777"/>
        <v>0</v>
      </c>
      <c r="JR32" s="74">
        <f t="shared" si="777"/>
        <v>0</v>
      </c>
      <c r="JS32" s="74">
        <f t="shared" si="777"/>
        <v>0</v>
      </c>
      <c r="JT32" s="74">
        <f t="shared" si="777"/>
        <v>0</v>
      </c>
    </row>
    <row r="33" spans="1:280" x14ac:dyDescent="0.2">
      <c r="D33" s="75" t="s">
        <v>110</v>
      </c>
      <c r="E33" s="74">
        <f t="shared" si="734"/>
        <v>0</v>
      </c>
      <c r="F33" s="74">
        <f t="shared" si="749"/>
        <v>0</v>
      </c>
      <c r="G33" s="74">
        <f t="shared" si="749"/>
        <v>0</v>
      </c>
      <c r="H33" s="74">
        <f t="shared" si="749"/>
        <v>0</v>
      </c>
      <c r="I33" s="74">
        <f t="shared" si="749"/>
        <v>0</v>
      </c>
      <c r="J33" s="74">
        <f t="shared" si="749"/>
        <v>0</v>
      </c>
      <c r="K33" s="74">
        <f t="shared" si="749"/>
        <v>0</v>
      </c>
      <c r="L33" s="74">
        <f t="shared" si="749"/>
        <v>0</v>
      </c>
      <c r="M33" s="74">
        <f t="shared" si="749"/>
        <v>0</v>
      </c>
      <c r="N33" s="74">
        <f t="shared" si="749"/>
        <v>0</v>
      </c>
      <c r="O33" s="74">
        <f t="shared" si="749"/>
        <v>0</v>
      </c>
      <c r="P33" s="74">
        <f t="shared" si="749"/>
        <v>0</v>
      </c>
      <c r="Q33" s="74">
        <f t="shared" si="749"/>
        <v>0</v>
      </c>
      <c r="R33" s="74">
        <f t="shared" si="749"/>
        <v>0</v>
      </c>
      <c r="S33" s="74">
        <f t="shared" si="749"/>
        <v>0</v>
      </c>
      <c r="T33" s="74">
        <f t="shared" si="749"/>
        <v>875060.81313576002</v>
      </c>
      <c r="U33" s="74">
        <f t="shared" si="749"/>
        <v>880165.33454571874</v>
      </c>
      <c r="V33" s="74">
        <f t="shared" si="749"/>
        <v>885299.63233056874</v>
      </c>
      <c r="W33" s="74">
        <f t="shared" si="749"/>
        <v>890463.88018583052</v>
      </c>
      <c r="X33" s="74">
        <f t="shared" si="749"/>
        <v>895658.25282024778</v>
      </c>
      <c r="Y33" s="74">
        <f t="shared" si="749"/>
        <v>900882.92596169934</v>
      </c>
      <c r="Z33" s="74">
        <f t="shared" si="749"/>
        <v>906138.07636314258</v>
      </c>
      <c r="AA33" s="74">
        <f t="shared" si="749"/>
        <v>911423.88180859422</v>
      </c>
      <c r="AB33" s="74">
        <f t="shared" si="749"/>
        <v>916740.5211191444</v>
      </c>
      <c r="AC33" s="74">
        <f t="shared" si="749"/>
        <v>922088.17415900587</v>
      </c>
      <c r="AD33" s="74">
        <f t="shared" si="749"/>
        <v>927467.02184160019</v>
      </c>
      <c r="AE33" s="74">
        <f t="shared" si="749"/>
        <v>932877.24613567616</v>
      </c>
      <c r="AF33" s="74">
        <f t="shared" si="749"/>
        <v>938319.03007146763</v>
      </c>
      <c r="AG33" s="74">
        <f t="shared" si="749"/>
        <v>943792.55774688453</v>
      </c>
      <c r="AH33" s="74">
        <f t="shared" si="749"/>
        <v>949298.01433374116</v>
      </c>
      <c r="AI33" s="74">
        <f t="shared" si="749"/>
        <v>954835.58608402137</v>
      </c>
      <c r="AJ33" s="74">
        <f t="shared" si="749"/>
        <v>960405.46033617819</v>
      </c>
      <c r="AK33" s="74">
        <f t="shared" si="749"/>
        <v>966007.82552147261</v>
      </c>
      <c r="AL33" s="74">
        <f t="shared" si="749"/>
        <v>971642.87117034779</v>
      </c>
      <c r="AM33" s="74">
        <f t="shared" si="749"/>
        <v>977310.78791884158</v>
      </c>
      <c r="AN33" s="74">
        <f t="shared" si="749"/>
        <v>983011.76751503488</v>
      </c>
      <c r="AO33" s="74">
        <f t="shared" si="749"/>
        <v>988746.00282553921</v>
      </c>
      <c r="AP33" s="74">
        <f t="shared" si="749"/>
        <v>994513.68784202146</v>
      </c>
      <c r="AQ33" s="74">
        <f t="shared" si="749"/>
        <v>1000315.0176877667</v>
      </c>
      <c r="AR33" s="74">
        <f t="shared" si="749"/>
        <v>1006150.1886242786</v>
      </c>
      <c r="AS33" s="74">
        <f t="shared" si="749"/>
        <v>1012019.3980579202</v>
      </c>
      <c r="AT33" s="74">
        <f t="shared" si="749"/>
        <v>1017922.8445465914</v>
      </c>
      <c r="AU33" s="74">
        <f t="shared" si="749"/>
        <v>1023860.7278064466</v>
      </c>
      <c r="AV33" s="74">
        <f t="shared" si="749"/>
        <v>1029833.2487186508</v>
      </c>
      <c r="AW33" s="74">
        <f t="shared" si="749"/>
        <v>1035840.6093361763</v>
      </c>
      <c r="AX33" s="74">
        <f t="shared" si="749"/>
        <v>1041883.0128906373</v>
      </c>
      <c r="AY33" s="74">
        <f t="shared" si="749"/>
        <v>1047960.663799166</v>
      </c>
      <c r="AZ33" s="74">
        <f t="shared" si="749"/>
        <v>1054073.7676713276</v>
      </c>
      <c r="BA33" s="74">
        <f t="shared" si="749"/>
        <v>1060222.5313160773</v>
      </c>
      <c r="BB33" s="74">
        <f t="shared" si="749"/>
        <v>1066407.1627487545</v>
      </c>
      <c r="BC33" s="74">
        <f t="shared" si="749"/>
        <v>1072627.8711981222</v>
      </c>
      <c r="BD33" s="74">
        <f t="shared" si="749"/>
        <v>1078884.8671134445</v>
      </c>
      <c r="BE33" s="74">
        <f t="shared" si="749"/>
        <v>1085178.3621716062</v>
      </c>
      <c r="BF33" s="74">
        <f t="shared" si="749"/>
        <v>1091508.5692842738</v>
      </c>
      <c r="BG33" s="74">
        <f t="shared" si="749"/>
        <v>1097875.702605099</v>
      </c>
      <c r="BH33" s="74">
        <f>BH11+BH18+BH26</f>
        <v>1104279.9775369619</v>
      </c>
      <c r="BI33" s="74">
        <f>BI11+BI18+BI26</f>
        <v>1110721.6107392609</v>
      </c>
      <c r="BJ33" s="74">
        <f>BJ11+BJ18+BJ26</f>
        <v>1117200.8201352397</v>
      </c>
      <c r="BK33" s="74">
        <f>BK11+BK18+BK26</f>
        <v>1123717.8249193621</v>
      </c>
      <c r="BL33" s="74">
        <f t="shared" si="749"/>
        <v>1130272.8455647249</v>
      </c>
      <c r="BM33" s="74">
        <f t="shared" si="749"/>
        <v>1136866.1038305191</v>
      </c>
      <c r="BN33" s="74">
        <f>BN11+BN18+BN26</f>
        <v>1143497.8227695306</v>
      </c>
      <c r="BO33" s="74">
        <f t="shared" si="749"/>
        <v>1150168.2267356862</v>
      </c>
      <c r="BP33" s="74">
        <f t="shared" si="749"/>
        <v>1156877.5413916444</v>
      </c>
      <c r="BQ33" s="74">
        <f t="shared" si="749"/>
        <v>1163625.993716429</v>
      </c>
      <c r="BR33" s="74">
        <f t="shared" si="719"/>
        <v>1170413.8120131083</v>
      </c>
      <c r="BS33" s="74">
        <f t="shared" si="719"/>
        <v>1177241.2259165179</v>
      </c>
      <c r="BT33" s="74">
        <f t="shared" si="719"/>
        <v>1184108.466401031</v>
      </c>
      <c r="BU33" s="74">
        <f t="shared" si="719"/>
        <v>1191015.7657883703</v>
      </c>
      <c r="BV33" s="74">
        <f t="shared" si="719"/>
        <v>1197963.3577554692</v>
      </c>
      <c r="BW33" s="74">
        <f t="shared" si="719"/>
        <v>1204951.477342376</v>
      </c>
      <c r="BX33" s="74">
        <f t="shared" si="719"/>
        <v>1211980.3609602065</v>
      </c>
      <c r="BY33" s="74">
        <f t="shared" si="719"/>
        <v>1219050.2463991409</v>
      </c>
      <c r="BZ33" s="74">
        <f t="shared" si="719"/>
        <v>1226161.3728364694</v>
      </c>
      <c r="CA33" s="74">
        <f t="shared" si="719"/>
        <v>1233313.9808446821</v>
      </c>
      <c r="CB33" s="74">
        <f t="shared" si="719"/>
        <v>1240508.3123996095</v>
      </c>
      <c r="CC33" s="74">
        <f t="shared" si="719"/>
        <v>1247744.6108886071</v>
      </c>
      <c r="CD33" s="74">
        <f t="shared" si="719"/>
        <v>1255023.1211187907</v>
      </c>
      <c r="CE33" s="74">
        <f t="shared" si="719"/>
        <v>1262344.0893253169</v>
      </c>
      <c r="CF33" s="74">
        <f t="shared" si="719"/>
        <v>1269707.7631797146</v>
      </c>
      <c r="CG33" s="74">
        <f t="shared" si="719"/>
        <v>1277114.391798263</v>
      </c>
      <c r="CH33" s="74">
        <f t="shared" si="719"/>
        <v>1284564.2257504193</v>
      </c>
      <c r="CI33" s="74">
        <f t="shared" si="719"/>
        <v>1292057.5170672969</v>
      </c>
      <c r="CJ33" s="74">
        <f t="shared" si="719"/>
        <v>1299594.5192501894</v>
      </c>
      <c r="CK33" s="74">
        <f t="shared" si="719"/>
        <v>1307175.4872791488</v>
      </c>
      <c r="CL33" s="74">
        <f t="shared" si="719"/>
        <v>1314800.6776216105</v>
      </c>
      <c r="CM33" s="74">
        <f t="shared" si="719"/>
        <v>1322470.3482410698</v>
      </c>
      <c r="CN33" s="74">
        <f t="shared" si="719"/>
        <v>1330184.7586058094</v>
      </c>
      <c r="CO33" s="74">
        <f t="shared" si="719"/>
        <v>1337944.1696976768</v>
      </c>
      <c r="CP33" s="74">
        <f t="shared" si="719"/>
        <v>1345748.8440209131</v>
      </c>
      <c r="CQ33" s="74">
        <f t="shared" si="719"/>
        <v>1353599.0456110351</v>
      </c>
      <c r="CR33" s="74">
        <f t="shared" si="719"/>
        <v>1361495.0400437661</v>
      </c>
      <c r="CS33" s="74">
        <f t="shared" si="719"/>
        <v>1369437.0944440216</v>
      </c>
      <c r="CT33" s="74">
        <f t="shared" si="719"/>
        <v>1377425.4774949448</v>
      </c>
      <c r="CU33" s="74">
        <f t="shared" si="719"/>
        <v>1385460.4594469988</v>
      </c>
      <c r="CV33" s="74">
        <f t="shared" si="719"/>
        <v>1393542.3121271064</v>
      </c>
      <c r="CW33" s="74">
        <f t="shared" ref="CW33:DH33" si="778">CW11+CW18+CW26</f>
        <v>1401671.3089478477</v>
      </c>
      <c r="CX33" s="74">
        <f t="shared" si="778"/>
        <v>1409847.7249167103</v>
      </c>
      <c r="CY33" s="74">
        <f t="shared" si="778"/>
        <v>1418071.8366453908</v>
      </c>
      <c r="CZ33" s="74">
        <f t="shared" si="778"/>
        <v>1426343.9223591557</v>
      </c>
      <c r="DA33" s="74">
        <f t="shared" si="778"/>
        <v>1434664.2619062508</v>
      </c>
      <c r="DB33" s="74">
        <f t="shared" si="778"/>
        <v>1443033.1367673706</v>
      </c>
      <c r="DC33" s="74">
        <f t="shared" si="778"/>
        <v>1451450.8300651803</v>
      </c>
      <c r="DD33" s="74">
        <f t="shared" si="778"/>
        <v>1459917.6265738939</v>
      </c>
      <c r="DE33" s="74">
        <f t="shared" si="778"/>
        <v>1468433.8127289081</v>
      </c>
      <c r="DF33" s="74">
        <f t="shared" si="778"/>
        <v>1476999.6766364935</v>
      </c>
      <c r="DG33" s="74">
        <f t="shared" si="778"/>
        <v>1485615.5080835398</v>
      </c>
      <c r="DH33" s="74">
        <f t="shared" si="778"/>
        <v>1494281.5985473604</v>
      </c>
      <c r="DI33" s="74">
        <f t="shared" ref="DI33:DT33" si="779">DI11+DI18+DI26</f>
        <v>1502998.2412055533</v>
      </c>
      <c r="DJ33" s="74">
        <f t="shared" si="779"/>
        <v>1511765.7309459192</v>
      </c>
      <c r="DK33" s="74">
        <f t="shared" si="779"/>
        <v>1520584.3643764369</v>
      </c>
      <c r="DL33" s="74">
        <f t="shared" si="779"/>
        <v>1529454.4398352995</v>
      </c>
      <c r="DM33" s="74">
        <f t="shared" si="779"/>
        <v>1538376.2574010054</v>
      </c>
      <c r="DN33" s="74">
        <f t="shared" si="779"/>
        <v>1547350.1189025114</v>
      </c>
      <c r="DO33" s="74">
        <f t="shared" si="779"/>
        <v>1556376.3279294427</v>
      </c>
      <c r="DP33" s="74">
        <f t="shared" si="779"/>
        <v>1565455.1898423643</v>
      </c>
      <c r="DQ33" s="74">
        <f t="shared" si="779"/>
        <v>1574587.0117831114</v>
      </c>
      <c r="DR33" s="74">
        <f t="shared" si="779"/>
        <v>1583772.1026851796</v>
      </c>
      <c r="DS33" s="74">
        <f>DS11+DS18+DS26</f>
        <v>1593010.7732841764</v>
      </c>
      <c r="DT33" s="74">
        <f t="shared" si="779"/>
        <v>1602303.3361283343</v>
      </c>
      <c r="DU33" s="74">
        <f t="shared" ref="DU33:EF33" si="780">DU11+DU18+DU26</f>
        <v>1611650.1055890829</v>
      </c>
      <c r="DV33" s="74">
        <f t="shared" si="780"/>
        <v>1621051.3978716857</v>
      </c>
      <c r="DW33" s="74">
        <f t="shared" si="780"/>
        <v>1630507.5310259373</v>
      </c>
      <c r="DX33" s="74">
        <f t="shared" si="780"/>
        <v>1640018.8249569219</v>
      </c>
      <c r="DY33" s="74">
        <f t="shared" si="780"/>
        <v>1649585.6014358373</v>
      </c>
      <c r="DZ33" s="74">
        <f t="shared" si="780"/>
        <v>1659208.1841108794</v>
      </c>
      <c r="EA33" s="74">
        <f t="shared" si="780"/>
        <v>1668886.8985181933</v>
      </c>
      <c r="EB33" s="74">
        <f t="shared" si="780"/>
        <v>1678622.0720928824</v>
      </c>
      <c r="EC33" s="74">
        <f t="shared" si="780"/>
        <v>1688414.034180091</v>
      </c>
      <c r="ED33" s="74">
        <f t="shared" si="780"/>
        <v>1698263.1160461416</v>
      </c>
      <c r="EE33" s="74">
        <f t="shared" si="780"/>
        <v>1708169.6508897441</v>
      </c>
      <c r="EF33" s="74">
        <f t="shared" si="780"/>
        <v>1718133.9738532677</v>
      </c>
      <c r="EG33" s="74">
        <f t="shared" ref="EG33:ER33" si="781">EG11+EG18+EG26</f>
        <v>1728156.4220340783</v>
      </c>
      <c r="EH33" s="74">
        <f t="shared" si="781"/>
        <v>1738237.3344959437</v>
      </c>
      <c r="EI33" s="74">
        <f t="shared" si="781"/>
        <v>1748377.0522805033</v>
      </c>
      <c r="EJ33" s="74">
        <f t="shared" si="781"/>
        <v>606306.65197461657</v>
      </c>
      <c r="EK33" s="74">
        <f t="shared" si="781"/>
        <v>609843.44077780179</v>
      </c>
      <c r="EL33" s="74">
        <f t="shared" si="781"/>
        <v>613400.86084900564</v>
      </c>
      <c r="EM33" s="74">
        <f t="shared" si="781"/>
        <v>616979.03253729152</v>
      </c>
      <c r="EN33" s="74">
        <f t="shared" si="781"/>
        <v>620578.07689375896</v>
      </c>
      <c r="EO33" s="74">
        <f t="shared" si="781"/>
        <v>624198.11567563936</v>
      </c>
      <c r="EP33" s="74">
        <f t="shared" si="781"/>
        <v>627839.27135041391</v>
      </c>
      <c r="EQ33" s="74">
        <f t="shared" si="781"/>
        <v>631501.66709995794</v>
      </c>
      <c r="ER33" s="74">
        <f t="shared" si="781"/>
        <v>635185.42682470777</v>
      </c>
      <c r="ES33" s="74">
        <f t="shared" ref="ES33:FD33" si="782">ES11+ES18+ES26</f>
        <v>638890.67514785193</v>
      </c>
      <c r="ET33" s="74">
        <f t="shared" si="782"/>
        <v>642617.53741954768</v>
      </c>
      <c r="EU33" s="74">
        <f t="shared" si="782"/>
        <v>646366.13972116169</v>
      </c>
      <c r="EV33" s="74">
        <f t="shared" si="782"/>
        <v>650136.60886953515</v>
      </c>
      <c r="EW33" s="74">
        <f t="shared" si="782"/>
        <v>653929.07242127415</v>
      </c>
      <c r="EX33" s="74">
        <f t="shared" si="782"/>
        <v>657743.65867706493</v>
      </c>
      <c r="EY33" s="74">
        <f t="shared" si="782"/>
        <v>661580.49668601446</v>
      </c>
      <c r="EZ33" s="74">
        <f t="shared" si="782"/>
        <v>665439.71625001624</v>
      </c>
      <c r="FA33" s="74">
        <f t="shared" si="782"/>
        <v>669321.44792814134</v>
      </c>
      <c r="FB33" s="74">
        <f t="shared" si="782"/>
        <v>673225.82304105547</v>
      </c>
      <c r="FC33" s="74">
        <f t="shared" si="782"/>
        <v>677152.9736754616</v>
      </c>
      <c r="FD33" s="74">
        <f t="shared" si="782"/>
        <v>681103.03268856846</v>
      </c>
      <c r="FE33" s="74">
        <f t="shared" ref="FE33:GB33" si="783">FE11+FE18+FE26</f>
        <v>685076.1337125852</v>
      </c>
      <c r="FF33" s="74">
        <f t="shared" si="783"/>
        <v>689072.41115924192</v>
      </c>
      <c r="FG33" s="74">
        <f t="shared" si="783"/>
        <v>693092.00022433745</v>
      </c>
      <c r="FH33" s="74">
        <f t="shared" si="783"/>
        <v>697135.03689231281</v>
      </c>
      <c r="FI33" s="74">
        <f t="shared" si="783"/>
        <v>701201.65794085129</v>
      </c>
      <c r="FJ33" s="74">
        <f t="shared" si="783"/>
        <v>705292.00094550627</v>
      </c>
      <c r="FK33" s="74">
        <f t="shared" si="783"/>
        <v>709406.20428435504</v>
      </c>
      <c r="FL33" s="74">
        <f>FL11+FL18+FL26</f>
        <v>713544.40714268037</v>
      </c>
      <c r="FM33" s="74">
        <f t="shared" si="783"/>
        <v>717706.74951767945</v>
      </c>
      <c r="FN33" s="74">
        <f t="shared" si="783"/>
        <v>721893.37222319923</v>
      </c>
      <c r="FO33" s="74">
        <f t="shared" si="783"/>
        <v>726104.41689450119</v>
      </c>
      <c r="FP33" s="74">
        <f t="shared" si="783"/>
        <v>730340.0259930524</v>
      </c>
      <c r="FQ33" s="74">
        <f t="shared" si="783"/>
        <v>734600.34281134524</v>
      </c>
      <c r="FR33" s="74">
        <f t="shared" si="783"/>
        <v>738885.51147774479</v>
      </c>
      <c r="FS33" s="74">
        <f t="shared" si="783"/>
        <v>743195.67696136492</v>
      </c>
      <c r="FT33" s="74">
        <f t="shared" si="783"/>
        <v>747530.98507697298</v>
      </c>
      <c r="FU33" s="74">
        <f t="shared" si="783"/>
        <v>751891.58248992194</v>
      </c>
      <c r="FV33" s="74">
        <f t="shared" si="783"/>
        <v>756277.61672111321</v>
      </c>
      <c r="FW33" s="74">
        <f t="shared" si="783"/>
        <v>760689.23615198629</v>
      </c>
      <c r="FX33" s="74">
        <f t="shared" si="783"/>
        <v>765126.59002953954</v>
      </c>
      <c r="FY33" s="74">
        <f t="shared" si="783"/>
        <v>769589.82847137854</v>
      </c>
      <c r="FZ33" s="74">
        <f t="shared" si="783"/>
        <v>774079.10247079493</v>
      </c>
      <c r="GA33" s="74">
        <f t="shared" si="783"/>
        <v>778594.56390187459</v>
      </c>
      <c r="GB33" s="74">
        <f t="shared" si="783"/>
        <v>783136.36552463553</v>
      </c>
      <c r="GC33" s="74">
        <f t="shared" ref="GC33:GN33" si="784">GC11+GC18+GC26</f>
        <v>787704.66099019581</v>
      </c>
      <c r="GD33" s="74">
        <f t="shared" si="784"/>
        <v>792299.60484597203</v>
      </c>
      <c r="GE33" s="74">
        <f t="shared" si="784"/>
        <v>796921.35254090687</v>
      </c>
      <c r="GF33" s="74">
        <f t="shared" si="784"/>
        <v>801570.06043072883</v>
      </c>
      <c r="GG33" s="74">
        <f t="shared" si="784"/>
        <v>806245.88578324136</v>
      </c>
      <c r="GH33" s="74">
        <f t="shared" si="784"/>
        <v>810948.9867836436</v>
      </c>
      <c r="GI33" s="74">
        <f t="shared" si="784"/>
        <v>815679.52253988152</v>
      </c>
      <c r="GJ33" s="74">
        <f t="shared" si="784"/>
        <v>820437.65308803087</v>
      </c>
      <c r="GK33" s="74">
        <f t="shared" si="784"/>
        <v>825223.53939771105</v>
      </c>
      <c r="GL33" s="74">
        <f t="shared" si="784"/>
        <v>830037.34337753104</v>
      </c>
      <c r="GM33" s="74">
        <f t="shared" si="784"/>
        <v>834879.22788056661</v>
      </c>
      <c r="GN33" s="74">
        <f t="shared" si="784"/>
        <v>839749.35670986993</v>
      </c>
      <c r="GO33" s="74">
        <f t="shared" ref="GO33:GZ33" si="785">GO11+GO18+GO26</f>
        <v>844647.89462401078</v>
      </c>
      <c r="GP33" s="74">
        <f t="shared" si="785"/>
        <v>849575.0073426509</v>
      </c>
      <c r="GQ33" s="74">
        <f t="shared" si="785"/>
        <v>854530.86155214964</v>
      </c>
      <c r="GR33" s="74">
        <f t="shared" si="785"/>
        <v>0</v>
      </c>
      <c r="GS33" s="74">
        <f t="shared" si="785"/>
        <v>0</v>
      </c>
      <c r="GT33" s="74">
        <f t="shared" si="785"/>
        <v>0</v>
      </c>
      <c r="GU33" s="74">
        <f t="shared" si="785"/>
        <v>0</v>
      </c>
      <c r="GV33" s="74">
        <f t="shared" si="785"/>
        <v>0</v>
      </c>
      <c r="GW33" s="74">
        <f t="shared" si="785"/>
        <v>0</v>
      </c>
      <c r="GX33" s="74">
        <f t="shared" si="785"/>
        <v>0</v>
      </c>
      <c r="GY33" s="74">
        <f t="shared" si="785"/>
        <v>0</v>
      </c>
      <c r="GZ33" s="74">
        <f t="shared" si="785"/>
        <v>0</v>
      </c>
      <c r="HA33" s="74">
        <f t="shared" ref="HA33:HL33" si="786">HA11+HA18+HA26</f>
        <v>0</v>
      </c>
      <c r="HB33" s="74">
        <f t="shared" si="786"/>
        <v>0</v>
      </c>
      <c r="HC33" s="74">
        <f t="shared" si="786"/>
        <v>0</v>
      </c>
      <c r="HD33" s="74">
        <f t="shared" si="786"/>
        <v>0</v>
      </c>
      <c r="HE33" s="74">
        <f t="shared" si="786"/>
        <v>0</v>
      </c>
      <c r="HF33" s="74">
        <f t="shared" si="786"/>
        <v>0</v>
      </c>
      <c r="HG33" s="74">
        <f t="shared" si="786"/>
        <v>0</v>
      </c>
      <c r="HH33" s="74">
        <f t="shared" si="786"/>
        <v>0</v>
      </c>
      <c r="HI33" s="74">
        <f t="shared" si="786"/>
        <v>0</v>
      </c>
      <c r="HJ33" s="74">
        <f t="shared" si="786"/>
        <v>0</v>
      </c>
      <c r="HK33" s="74">
        <f t="shared" si="786"/>
        <v>0</v>
      </c>
      <c r="HL33" s="74">
        <f t="shared" si="786"/>
        <v>0</v>
      </c>
      <c r="HM33" s="74">
        <f t="shared" ref="HM33:HX33" si="787">HM11+HM18+HM26</f>
        <v>0</v>
      </c>
      <c r="HN33" s="74">
        <f t="shared" si="787"/>
        <v>0</v>
      </c>
      <c r="HO33" s="74">
        <f t="shared" si="787"/>
        <v>0</v>
      </c>
      <c r="HP33" s="74">
        <f t="shared" si="787"/>
        <v>0</v>
      </c>
      <c r="HQ33" s="74">
        <f t="shared" si="787"/>
        <v>0</v>
      </c>
      <c r="HR33" s="74">
        <f t="shared" si="787"/>
        <v>0</v>
      </c>
      <c r="HS33" s="74">
        <f t="shared" si="787"/>
        <v>0</v>
      </c>
      <c r="HT33" s="74">
        <f t="shared" si="787"/>
        <v>0</v>
      </c>
      <c r="HU33" s="74">
        <f t="shared" si="787"/>
        <v>0</v>
      </c>
      <c r="HV33" s="74">
        <f t="shared" si="787"/>
        <v>0</v>
      </c>
      <c r="HW33" s="74">
        <f t="shared" si="787"/>
        <v>0</v>
      </c>
      <c r="HX33" s="74">
        <f t="shared" si="787"/>
        <v>0</v>
      </c>
      <c r="HY33" s="74">
        <f t="shared" ref="HY33:IJ33" si="788">HY11+HY18+HY26</f>
        <v>0</v>
      </c>
      <c r="HZ33" s="74">
        <f t="shared" si="788"/>
        <v>0</v>
      </c>
      <c r="IA33" s="74">
        <f t="shared" si="788"/>
        <v>0</v>
      </c>
      <c r="IB33" s="74">
        <f t="shared" si="788"/>
        <v>0</v>
      </c>
      <c r="IC33" s="74">
        <f t="shared" si="788"/>
        <v>0</v>
      </c>
      <c r="ID33" s="74">
        <f t="shared" si="788"/>
        <v>0</v>
      </c>
      <c r="IE33" s="74">
        <f t="shared" si="788"/>
        <v>0</v>
      </c>
      <c r="IF33" s="74">
        <f t="shared" si="788"/>
        <v>0</v>
      </c>
      <c r="IG33" s="74">
        <f t="shared" si="788"/>
        <v>0</v>
      </c>
      <c r="IH33" s="74">
        <f t="shared" si="788"/>
        <v>0</v>
      </c>
      <c r="II33" s="74">
        <f t="shared" si="788"/>
        <v>0</v>
      </c>
      <c r="IJ33" s="74">
        <f t="shared" si="788"/>
        <v>0</v>
      </c>
      <c r="IK33" s="74">
        <f t="shared" ref="IK33:IV33" si="789">IK11+IK18+IK26</f>
        <v>0</v>
      </c>
      <c r="IL33" s="74">
        <f t="shared" si="789"/>
        <v>0</v>
      </c>
      <c r="IM33" s="74">
        <f t="shared" si="789"/>
        <v>0</v>
      </c>
      <c r="IN33" s="74">
        <f t="shared" si="789"/>
        <v>0</v>
      </c>
      <c r="IO33" s="74">
        <f t="shared" si="789"/>
        <v>0</v>
      </c>
      <c r="IP33" s="74">
        <f t="shared" si="789"/>
        <v>0</v>
      </c>
      <c r="IQ33" s="74">
        <f t="shared" si="789"/>
        <v>0</v>
      </c>
      <c r="IR33" s="74">
        <f t="shared" si="789"/>
        <v>0</v>
      </c>
      <c r="IS33" s="74">
        <f t="shared" si="789"/>
        <v>0</v>
      </c>
      <c r="IT33" s="74">
        <f t="shared" si="789"/>
        <v>0</v>
      </c>
      <c r="IU33" s="74">
        <f t="shared" si="789"/>
        <v>0</v>
      </c>
      <c r="IV33" s="74">
        <f t="shared" si="789"/>
        <v>0</v>
      </c>
      <c r="IW33" s="74">
        <f t="shared" ref="IW33:JH33" si="790">IW11+IW18+IW26</f>
        <v>0</v>
      </c>
      <c r="IX33" s="74">
        <f t="shared" si="790"/>
        <v>0</v>
      </c>
      <c r="IY33" s="74">
        <f t="shared" si="790"/>
        <v>0</v>
      </c>
      <c r="IZ33" s="74">
        <f t="shared" si="790"/>
        <v>0</v>
      </c>
      <c r="JA33" s="74">
        <f t="shared" si="790"/>
        <v>0</v>
      </c>
      <c r="JB33" s="74">
        <f t="shared" si="790"/>
        <v>0</v>
      </c>
      <c r="JC33" s="74">
        <f t="shared" si="790"/>
        <v>0</v>
      </c>
      <c r="JD33" s="74">
        <f t="shared" si="790"/>
        <v>0</v>
      </c>
      <c r="JE33" s="74">
        <f t="shared" si="790"/>
        <v>0</v>
      </c>
      <c r="JF33" s="74">
        <f t="shared" si="790"/>
        <v>0</v>
      </c>
      <c r="JG33" s="74">
        <f t="shared" si="790"/>
        <v>0</v>
      </c>
      <c r="JH33" s="74">
        <f t="shared" si="790"/>
        <v>0</v>
      </c>
      <c r="JI33" s="74">
        <f t="shared" ref="JI33:JT33" si="791">JI11+JI18+JI26</f>
        <v>0</v>
      </c>
      <c r="JJ33" s="74">
        <f t="shared" si="791"/>
        <v>0</v>
      </c>
      <c r="JK33" s="74">
        <f t="shared" si="791"/>
        <v>0</v>
      </c>
      <c r="JL33" s="74">
        <f t="shared" si="791"/>
        <v>0</v>
      </c>
      <c r="JM33" s="74">
        <f t="shared" si="791"/>
        <v>0</v>
      </c>
      <c r="JN33" s="74">
        <f t="shared" si="791"/>
        <v>0</v>
      </c>
      <c r="JO33" s="74">
        <f t="shared" si="791"/>
        <v>0</v>
      </c>
      <c r="JP33" s="74">
        <f t="shared" si="791"/>
        <v>0</v>
      </c>
      <c r="JQ33" s="74">
        <f t="shared" si="791"/>
        <v>0</v>
      </c>
      <c r="JR33" s="74">
        <f t="shared" si="791"/>
        <v>0</v>
      </c>
      <c r="JS33" s="74">
        <f t="shared" si="791"/>
        <v>0</v>
      </c>
      <c r="JT33" s="74">
        <f t="shared" si="791"/>
        <v>0</v>
      </c>
    </row>
    <row r="34" spans="1:280" x14ac:dyDescent="0.2">
      <c r="D34" s="73" t="s">
        <v>112</v>
      </c>
      <c r="E34" s="74">
        <f t="shared" si="734"/>
        <v>42317472.159759872</v>
      </c>
      <c r="F34" s="74">
        <f t="shared" si="749"/>
        <v>55633552.549807675</v>
      </c>
      <c r="G34" s="74">
        <f t="shared" si="749"/>
        <v>66366895.235132098</v>
      </c>
      <c r="H34" s="74">
        <f t="shared" si="749"/>
        <v>73216222.101785243</v>
      </c>
      <c r="I34" s="74">
        <f t="shared" si="749"/>
        <v>89456946.834257692</v>
      </c>
      <c r="J34" s="74">
        <f t="shared" si="749"/>
        <v>109615970.89860679</v>
      </c>
      <c r="K34" s="74">
        <f t="shared" si="749"/>
        <v>127272991.74542645</v>
      </c>
      <c r="L34" s="74">
        <f t="shared" si="749"/>
        <v>142413483.49413753</v>
      </c>
      <c r="M34" s="74">
        <f t="shared" si="749"/>
        <v>156328008.21025026</v>
      </c>
      <c r="N34" s="74">
        <f t="shared" si="749"/>
        <v>167692281.48692214</v>
      </c>
      <c r="O34" s="74">
        <f t="shared" si="749"/>
        <v>178733814.57050249</v>
      </c>
      <c r="P34" s="74">
        <f t="shared" si="749"/>
        <v>194866984.83765143</v>
      </c>
      <c r="Q34" s="74">
        <f t="shared" si="749"/>
        <v>194866984.83765143</v>
      </c>
      <c r="R34" s="74">
        <f t="shared" si="749"/>
        <v>194866984.83765143</v>
      </c>
      <c r="S34" s="74">
        <f t="shared" si="749"/>
        <v>194866984.83765143</v>
      </c>
      <c r="T34" s="74">
        <f t="shared" si="749"/>
        <v>193991924.02451569</v>
      </c>
      <c r="U34" s="74">
        <f t="shared" si="749"/>
        <v>193111758.68996996</v>
      </c>
      <c r="V34" s="74">
        <f t="shared" si="749"/>
        <v>192226459.05763942</v>
      </c>
      <c r="W34" s="74">
        <f t="shared" si="749"/>
        <v>191335995.17745358</v>
      </c>
      <c r="X34" s="74">
        <f t="shared" si="749"/>
        <v>190440336.92463332</v>
      </c>
      <c r="Y34" s="74">
        <f t="shared" si="749"/>
        <v>189539453.99867159</v>
      </c>
      <c r="Z34" s="74">
        <f t="shared" si="749"/>
        <v>188633315.92230847</v>
      </c>
      <c r="AA34" s="74">
        <f t="shared" si="749"/>
        <v>187721892.04049987</v>
      </c>
      <c r="AB34" s="74">
        <f t="shared" si="749"/>
        <v>186805151.51938075</v>
      </c>
      <c r="AC34" s="74">
        <f t="shared" si="749"/>
        <v>185883063.34522176</v>
      </c>
      <c r="AD34" s="74">
        <f t="shared" si="749"/>
        <v>184955596.32338014</v>
      </c>
      <c r="AE34" s="74">
        <f t="shared" si="749"/>
        <v>184022719.07724446</v>
      </c>
      <c r="AF34" s="74">
        <f t="shared" si="749"/>
        <v>183084400.04717299</v>
      </c>
      <c r="AG34" s="74">
        <f t="shared" si="749"/>
        <v>182140607.48942614</v>
      </c>
      <c r="AH34" s="74">
        <f t="shared" si="749"/>
        <v>181191309.47509238</v>
      </c>
      <c r="AI34" s="74">
        <f t="shared" si="749"/>
        <v>180236473.88900834</v>
      </c>
      <c r="AJ34" s="74">
        <f t="shared" si="749"/>
        <v>179276068.42867219</v>
      </c>
      <c r="AK34" s="74">
        <f t="shared" si="749"/>
        <v>178310060.60315073</v>
      </c>
      <c r="AL34" s="74">
        <f t="shared" si="749"/>
        <v>177338417.73198035</v>
      </c>
      <c r="AM34" s="74">
        <f t="shared" si="749"/>
        <v>176361106.94406152</v>
      </c>
      <c r="AN34" s="74">
        <f t="shared" si="749"/>
        <v>175378095.17654648</v>
      </c>
      <c r="AO34" s="74">
        <f t="shared" si="749"/>
        <v>174389349.17372096</v>
      </c>
      <c r="AP34" s="74">
        <f t="shared" si="749"/>
        <v>173394835.48587891</v>
      </c>
      <c r="AQ34" s="74">
        <f t="shared" si="749"/>
        <v>172394520.46819115</v>
      </c>
      <c r="AR34" s="74">
        <f t="shared" si="749"/>
        <v>171388370.27956688</v>
      </c>
      <c r="AS34" s="74">
        <f t="shared" si="749"/>
        <v>170376350.88150895</v>
      </c>
      <c r="AT34" s="74">
        <f t="shared" si="749"/>
        <v>169358428.03696236</v>
      </c>
      <c r="AU34" s="74">
        <f t="shared" si="749"/>
        <v>168334567.30915591</v>
      </c>
      <c r="AV34" s="74">
        <f t="shared" si="749"/>
        <v>167304734.06043726</v>
      </c>
      <c r="AW34" s="74">
        <f t="shared" si="749"/>
        <v>166268893.45110109</v>
      </c>
      <c r="AX34" s="74">
        <f t="shared" si="749"/>
        <v>165227010.43821046</v>
      </c>
      <c r="AY34" s="74">
        <f t="shared" si="749"/>
        <v>164179049.77441129</v>
      </c>
      <c r="AZ34" s="74">
        <f t="shared" si="749"/>
        <v>163124976.00673997</v>
      </c>
      <c r="BA34" s="74">
        <f t="shared" si="749"/>
        <v>162064753.47542387</v>
      </c>
      <c r="BB34" s="74">
        <f t="shared" si="749"/>
        <v>160998346.31267512</v>
      </c>
      <c r="BC34" s="74">
        <f t="shared" si="749"/>
        <v>159925718.441477</v>
      </c>
      <c r="BD34" s="74">
        <f t="shared" si="749"/>
        <v>158846833.57436356</v>
      </c>
      <c r="BE34" s="74">
        <f t="shared" si="749"/>
        <v>157761655.21219194</v>
      </c>
      <c r="BF34" s="74">
        <f t="shared" si="749"/>
        <v>156670146.64290768</v>
      </c>
      <c r="BG34" s="74">
        <f t="shared" si="749"/>
        <v>155572270.94030258</v>
      </c>
      <c r="BH34" s="74">
        <f t="shared" si="749"/>
        <v>154467990.96276563</v>
      </c>
      <c r="BI34" s="74">
        <f t="shared" si="749"/>
        <v>153357269.35202634</v>
      </c>
      <c r="BJ34" s="74">
        <f t="shared" si="749"/>
        <v>152240068.53189111</v>
      </c>
      <c r="BK34" s="74">
        <f t="shared" si="749"/>
        <v>151116350.70697176</v>
      </c>
      <c r="BL34" s="74">
        <f t="shared" si="749"/>
        <v>149986077.86140704</v>
      </c>
      <c r="BM34" s="74">
        <f t="shared" si="749"/>
        <v>148849211.75757653</v>
      </c>
      <c r="BN34" s="74">
        <f t="shared" si="749"/>
        <v>147705713.934807</v>
      </c>
      <c r="BO34" s="74">
        <f t="shared" si="749"/>
        <v>146555545.70807129</v>
      </c>
      <c r="BP34" s="74">
        <f t="shared" si="749"/>
        <v>145398668.16667965</v>
      </c>
      <c r="BQ34" s="74">
        <f t="shared" ref="BQ34:CV34" si="792">BQ12+BQ19+BQ27</f>
        <v>144235042.17296323</v>
      </c>
      <c r="BR34" s="74">
        <f t="shared" si="792"/>
        <v>143064628.36095011</v>
      </c>
      <c r="BS34" s="74">
        <f t="shared" si="792"/>
        <v>141887387.13503361</v>
      </c>
      <c r="BT34" s="74">
        <f t="shared" si="792"/>
        <v>140703278.66863257</v>
      </c>
      <c r="BU34" s="74">
        <f t="shared" si="792"/>
        <v>139512262.90284419</v>
      </c>
      <c r="BV34" s="74">
        <f t="shared" si="792"/>
        <v>138314299.54508874</v>
      </c>
      <c r="BW34" s="74">
        <f t="shared" si="792"/>
        <v>137109348.06774637</v>
      </c>
      <c r="BX34" s="74">
        <f t="shared" si="792"/>
        <v>135897367.70678616</v>
      </c>
      <c r="BY34" s="74">
        <f t="shared" si="792"/>
        <v>134678317.46038702</v>
      </c>
      <c r="BZ34" s="74">
        <f t="shared" si="792"/>
        <v>133452156.08755055</v>
      </c>
      <c r="CA34" s="74">
        <f t="shared" si="792"/>
        <v>132218842.10670587</v>
      </c>
      <c r="CB34" s="74">
        <f t="shared" si="792"/>
        <v>130978333.79430626</v>
      </c>
      <c r="CC34" s="74">
        <f t="shared" si="792"/>
        <v>129730589.18341765</v>
      </c>
      <c r="CD34" s="74">
        <f t="shared" si="792"/>
        <v>128475566.06229886</v>
      </c>
      <c r="CE34" s="74">
        <f t="shared" si="792"/>
        <v>127213221.97297356</v>
      </c>
      <c r="CF34" s="74">
        <f t="shared" si="792"/>
        <v>125943514.20979384</v>
      </c>
      <c r="CG34" s="74">
        <f t="shared" si="792"/>
        <v>124666399.81799558</v>
      </c>
      <c r="CH34" s="74">
        <f t="shared" si="792"/>
        <v>123381835.59224516</v>
      </c>
      <c r="CI34" s="74">
        <f t="shared" si="792"/>
        <v>122089778.07517786</v>
      </c>
      <c r="CJ34" s="74">
        <f t="shared" si="792"/>
        <v>120790183.55592768</v>
      </c>
      <c r="CK34" s="74">
        <f t="shared" si="792"/>
        <v>119483008.06864853</v>
      </c>
      <c r="CL34" s="74">
        <f t="shared" si="792"/>
        <v>118168207.39102693</v>
      </c>
      <c r="CM34" s="74">
        <f t="shared" si="792"/>
        <v>116845737.04278585</v>
      </c>
      <c r="CN34" s="74">
        <f t="shared" si="792"/>
        <v>115515552.28418005</v>
      </c>
      <c r="CO34" s="74">
        <f t="shared" si="792"/>
        <v>114177608.11448237</v>
      </c>
      <c r="CP34" s="74">
        <f t="shared" si="792"/>
        <v>112831859.27046145</v>
      </c>
      <c r="CQ34" s="74">
        <f t="shared" si="792"/>
        <v>111478260.22485042</v>
      </c>
      <c r="CR34" s="74">
        <f t="shared" si="792"/>
        <v>110116765.18480664</v>
      </c>
      <c r="CS34" s="74">
        <f t="shared" si="792"/>
        <v>108747328.09036264</v>
      </c>
      <c r="CT34" s="74">
        <f t="shared" si="792"/>
        <v>107369902.61286768</v>
      </c>
      <c r="CU34" s="74">
        <f t="shared" si="792"/>
        <v>105984442.15342069</v>
      </c>
      <c r="CV34" s="74">
        <f t="shared" si="792"/>
        <v>104590899.84129357</v>
      </c>
      <c r="CW34" s="74">
        <f t="shared" ref="CW34:DH34" si="793">CW12+CW19+CW27</f>
        <v>103189228.53234574</v>
      </c>
      <c r="CX34" s="74">
        <f t="shared" si="793"/>
        <v>101779380.80742902</v>
      </c>
      <c r="CY34" s="74">
        <f t="shared" si="793"/>
        <v>100361308.97078364</v>
      </c>
      <c r="CZ34" s="74">
        <f t="shared" si="793"/>
        <v>98934965.048424482</v>
      </c>
      <c r="DA34" s="74">
        <f t="shared" si="793"/>
        <v>97500300.786518231</v>
      </c>
      <c r="DB34" s="74">
        <f t="shared" si="793"/>
        <v>96057267.649750859</v>
      </c>
      <c r="DC34" s="74">
        <f t="shared" si="793"/>
        <v>94605816.819685683</v>
      </c>
      <c r="DD34" s="74">
        <f t="shared" si="793"/>
        <v>93145899.193111777</v>
      </c>
      <c r="DE34" s="74">
        <f t="shared" si="793"/>
        <v>91677465.380382881</v>
      </c>
      <c r="DF34" s="74">
        <f t="shared" si="793"/>
        <v>90200465.703746378</v>
      </c>
      <c r="DG34" s="74">
        <f t="shared" si="793"/>
        <v>88714850.195662841</v>
      </c>
      <c r="DH34" s="74">
        <f t="shared" si="793"/>
        <v>87220568.597115487</v>
      </c>
      <c r="DI34" s="74">
        <f t="shared" ref="DI34:DT34" si="794">DI12+DI19+DI27</f>
        <v>85717570.355909929</v>
      </c>
      <c r="DJ34" s="74">
        <f t="shared" si="794"/>
        <v>84205804.624964014</v>
      </c>
      <c r="DK34" s="74">
        <f t="shared" si="794"/>
        <v>82685220.260587573</v>
      </c>
      <c r="DL34" s="74">
        <f t="shared" si="794"/>
        <v>81155765.820752278</v>
      </c>
      <c r="DM34" s="74">
        <f t="shared" si="794"/>
        <v>79617389.563351274</v>
      </c>
      <c r="DN34" s="74">
        <f t="shared" si="794"/>
        <v>78070039.444448754</v>
      </c>
      <c r="DO34" s="74">
        <f t="shared" si="794"/>
        <v>76513663.116519317</v>
      </c>
      <c r="DP34" s="74">
        <f t="shared" si="794"/>
        <v>74948207.926676959</v>
      </c>
      <c r="DQ34" s="74">
        <f t="shared" si="794"/>
        <v>73373620.914893836</v>
      </c>
      <c r="DR34" s="74">
        <f t="shared" si="794"/>
        <v>71789848.812208667</v>
      </c>
      <c r="DS34" s="74">
        <f t="shared" si="794"/>
        <v>70196838.038924485</v>
      </c>
      <c r="DT34" s="74">
        <f t="shared" si="794"/>
        <v>68594534.702796161</v>
      </c>
      <c r="DU34" s="74">
        <f t="shared" ref="DU34:EF34" si="795">DU12+DU19+DU27</f>
        <v>66982884.597207069</v>
      </c>
      <c r="DV34" s="74">
        <f t="shared" si="795"/>
        <v>65361833.199335381</v>
      </c>
      <c r="DW34" s="74">
        <f t="shared" si="795"/>
        <v>63731325.668309443</v>
      </c>
      <c r="DX34" s="74">
        <f t="shared" si="795"/>
        <v>62091306.843352526</v>
      </c>
      <c r="DY34" s="74">
        <f t="shared" si="795"/>
        <v>60441721.241916694</v>
      </c>
      <c r="DZ34" s="74">
        <f t="shared" si="795"/>
        <v>58782513.057805806</v>
      </c>
      <c r="EA34" s="74">
        <f t="shared" si="795"/>
        <v>57113626.159287617</v>
      </c>
      <c r="EB34" s="74">
        <f t="shared" si="795"/>
        <v>55435004.087194741</v>
      </c>
      <c r="EC34" s="74">
        <f t="shared" si="795"/>
        <v>53746590.053014651</v>
      </c>
      <c r="ED34" s="74">
        <f t="shared" si="795"/>
        <v>52048326.936968513</v>
      </c>
      <c r="EE34" s="74">
        <f t="shared" si="795"/>
        <v>50340157.286078766</v>
      </c>
      <c r="EF34" s="74">
        <f t="shared" si="795"/>
        <v>48622023.312225491</v>
      </c>
      <c r="EG34" s="74">
        <f t="shared" ref="EG34:ER34" si="796">EG12+EG19+EG27</f>
        <v>46893866.890191413</v>
      </c>
      <c r="EH34" s="74">
        <f t="shared" si="796"/>
        <v>45155629.555695474</v>
      </c>
      <c r="EI34" s="74">
        <f t="shared" si="796"/>
        <v>43407252.503414966</v>
      </c>
      <c r="EJ34" s="74">
        <f t="shared" si="796"/>
        <v>42800945.851440296</v>
      </c>
      <c r="EK34" s="74">
        <f t="shared" si="796"/>
        <v>42191102.410662495</v>
      </c>
      <c r="EL34" s="74">
        <f t="shared" si="796"/>
        <v>41577701.549813487</v>
      </c>
      <c r="EM34" s="74">
        <f t="shared" si="796"/>
        <v>40960722.517276198</v>
      </c>
      <c r="EN34" s="74">
        <f t="shared" si="796"/>
        <v>40340144.440382436</v>
      </c>
      <c r="EO34" s="74">
        <f t="shared" si="796"/>
        <v>39715946.324706793</v>
      </c>
      <c r="EP34" s="74">
        <f t="shared" si="796"/>
        <v>39088107.053356379</v>
      </c>
      <c r="EQ34" s="74">
        <f t="shared" si="796"/>
        <v>38456605.386256419</v>
      </c>
      <c r="ER34" s="74">
        <f t="shared" si="796"/>
        <v>37821419.959431708</v>
      </c>
      <c r="ES34" s="74">
        <f t="shared" ref="ES34:FD34" si="797">ES12+ES19+ES27</f>
        <v>37182529.284283854</v>
      </c>
      <c r="ET34" s="74">
        <f t="shared" si="797"/>
        <v>36539911.746864304</v>
      </c>
      <c r="EU34" s="74">
        <f t="shared" si="797"/>
        <v>35893545.607143141</v>
      </c>
      <c r="EV34" s="74">
        <f t="shared" si="797"/>
        <v>35243408.998273604</v>
      </c>
      <c r="EW34" s="74">
        <f t="shared" si="797"/>
        <v>34589479.925852329</v>
      </c>
      <c r="EX34" s="74">
        <f t="shared" si="797"/>
        <v>33931736.267175265</v>
      </c>
      <c r="EY34" s="74">
        <f t="shared" si="797"/>
        <v>33270155.770489249</v>
      </c>
      <c r="EZ34" s="74">
        <f t="shared" si="797"/>
        <v>32604716.054239232</v>
      </c>
      <c r="FA34" s="74">
        <f t="shared" si="797"/>
        <v>31935394.60631109</v>
      </c>
      <c r="FB34" s="74">
        <f t="shared" si="797"/>
        <v>31262168.783270035</v>
      </c>
      <c r="FC34" s="74">
        <f t="shared" si="797"/>
        <v>30585015.809594572</v>
      </c>
      <c r="FD34" s="74">
        <f t="shared" si="797"/>
        <v>29903912.776906002</v>
      </c>
      <c r="FE34" s="74">
        <f t="shared" ref="FE34:GB34" si="798">FE12+FE19+FE27</f>
        <v>29218836.643193416</v>
      </c>
      <c r="FF34" s="74">
        <f t="shared" si="798"/>
        <v>28529764.232034173</v>
      </c>
      <c r="FG34" s="74">
        <f t="shared" si="798"/>
        <v>27836672.231809836</v>
      </c>
      <c r="FH34" s="74">
        <f t="shared" si="798"/>
        <v>27139537.194917522</v>
      </c>
      <c r="FI34" s="74">
        <f t="shared" si="798"/>
        <v>26438335.536976673</v>
      </c>
      <c r="FJ34" s="74">
        <f t="shared" si="798"/>
        <v>25733043.536031168</v>
      </c>
      <c r="FK34" s="74">
        <f t="shared" si="798"/>
        <v>25023637.331746813</v>
      </c>
      <c r="FL34" s="74">
        <f t="shared" si="798"/>
        <v>24310092.924604133</v>
      </c>
      <c r="FM34" s="74">
        <f t="shared" si="798"/>
        <v>23592386.175086454</v>
      </c>
      <c r="FN34" s="74">
        <f t="shared" si="798"/>
        <v>22870492.802863255</v>
      </c>
      <c r="FO34" s="74">
        <f t="shared" si="798"/>
        <v>22144388.385968752</v>
      </c>
      <c r="FP34" s="74">
        <f t="shared" si="798"/>
        <v>21414048.359975699</v>
      </c>
      <c r="FQ34" s="74">
        <f t="shared" si="798"/>
        <v>20679448.017164353</v>
      </c>
      <c r="FR34" s="74">
        <f t="shared" si="798"/>
        <v>19940562.505686607</v>
      </c>
      <c r="FS34" s="74">
        <f t="shared" si="798"/>
        <v>19197366.828725241</v>
      </c>
      <c r="FT34" s="74">
        <f t="shared" si="798"/>
        <v>18449835.84364827</v>
      </c>
      <c r="FU34" s="74">
        <f t="shared" si="798"/>
        <v>17697944.261158347</v>
      </c>
      <c r="FV34" s="74">
        <f t="shared" si="798"/>
        <v>16941666.644437235</v>
      </c>
      <c r="FW34" s="74">
        <f t="shared" si="798"/>
        <v>16180977.408285249</v>
      </c>
      <c r="FX34" s="74">
        <f t="shared" si="798"/>
        <v>15415850.818255709</v>
      </c>
      <c r="FY34" s="74">
        <f t="shared" si="798"/>
        <v>14646260.98978433</v>
      </c>
      <c r="FZ34" s="74">
        <f t="shared" si="798"/>
        <v>13872181.887313535</v>
      </c>
      <c r="GA34" s="74">
        <f t="shared" si="798"/>
        <v>13093587.32341166</v>
      </c>
      <c r="GB34" s="74">
        <f t="shared" si="798"/>
        <v>12310450.957887026</v>
      </c>
      <c r="GC34" s="74">
        <f t="shared" ref="GC34:GN34" si="799">GC12+GC19+GC27</f>
        <v>11522746.29689683</v>
      </c>
      <c r="GD34" s="74">
        <f t="shared" si="799"/>
        <v>10730446.692050857</v>
      </c>
      <c r="GE34" s="74">
        <f t="shared" si="799"/>
        <v>9933525.339509951</v>
      </c>
      <c r="GF34" s="74">
        <f t="shared" si="799"/>
        <v>9131955.2790792212</v>
      </c>
      <c r="GG34" s="74">
        <f t="shared" si="799"/>
        <v>8325709.3932959801</v>
      </c>
      <c r="GH34" s="74">
        <f t="shared" si="799"/>
        <v>7514760.4065123368</v>
      </c>
      <c r="GI34" s="74">
        <f t="shared" si="799"/>
        <v>6699080.8839724548</v>
      </c>
      <c r="GJ34" s="74">
        <f t="shared" si="799"/>
        <v>5878643.2308844235</v>
      </c>
      <c r="GK34" s="74">
        <f t="shared" si="799"/>
        <v>5053419.6914867125</v>
      </c>
      <c r="GL34" s="74">
        <f t="shared" si="799"/>
        <v>4223382.348109182</v>
      </c>
      <c r="GM34" s="74">
        <f t="shared" si="799"/>
        <v>3388503.1202286156</v>
      </c>
      <c r="GN34" s="74">
        <f t="shared" si="799"/>
        <v>2548753.7635187455</v>
      </c>
      <c r="GO34" s="74">
        <f t="shared" ref="GO34:GZ34" si="800">GO12+GO19+GO27</f>
        <v>1704105.8688947349</v>
      </c>
      <c r="GP34" s="74">
        <f t="shared" si="800"/>
        <v>854530.86155208398</v>
      </c>
      <c r="GQ34" s="74">
        <f t="shared" si="800"/>
        <v>-6.5658241510391235E-8</v>
      </c>
      <c r="GR34" s="74">
        <f t="shared" si="800"/>
        <v>0</v>
      </c>
      <c r="GS34" s="74">
        <f t="shared" si="800"/>
        <v>0</v>
      </c>
      <c r="GT34" s="74">
        <f t="shared" si="800"/>
        <v>0</v>
      </c>
      <c r="GU34" s="74">
        <f t="shared" si="800"/>
        <v>0</v>
      </c>
      <c r="GV34" s="74">
        <f t="shared" si="800"/>
        <v>0</v>
      </c>
      <c r="GW34" s="74">
        <f t="shared" si="800"/>
        <v>0</v>
      </c>
      <c r="GX34" s="74">
        <f t="shared" si="800"/>
        <v>0</v>
      </c>
      <c r="GY34" s="74">
        <f t="shared" si="800"/>
        <v>0</v>
      </c>
      <c r="GZ34" s="74">
        <f t="shared" si="800"/>
        <v>0</v>
      </c>
      <c r="HA34" s="74">
        <f t="shared" ref="HA34:HL34" si="801">HA12+HA19+HA27</f>
        <v>0</v>
      </c>
      <c r="HB34" s="74">
        <f t="shared" si="801"/>
        <v>0</v>
      </c>
      <c r="HC34" s="74">
        <f t="shared" si="801"/>
        <v>0</v>
      </c>
      <c r="HD34" s="74">
        <f t="shared" si="801"/>
        <v>0</v>
      </c>
      <c r="HE34" s="74">
        <f t="shared" si="801"/>
        <v>0</v>
      </c>
      <c r="HF34" s="74">
        <f t="shared" si="801"/>
        <v>0</v>
      </c>
      <c r="HG34" s="74">
        <f t="shared" si="801"/>
        <v>0</v>
      </c>
      <c r="HH34" s="74">
        <f t="shared" si="801"/>
        <v>0</v>
      </c>
      <c r="HI34" s="74">
        <f t="shared" si="801"/>
        <v>0</v>
      </c>
      <c r="HJ34" s="74">
        <f t="shared" si="801"/>
        <v>0</v>
      </c>
      <c r="HK34" s="74">
        <f t="shared" si="801"/>
        <v>0</v>
      </c>
      <c r="HL34" s="74">
        <f t="shared" si="801"/>
        <v>0</v>
      </c>
      <c r="HM34" s="74">
        <f t="shared" ref="HM34:HX34" si="802">HM12+HM19+HM27</f>
        <v>0</v>
      </c>
      <c r="HN34" s="74">
        <f t="shared" si="802"/>
        <v>0</v>
      </c>
      <c r="HO34" s="74">
        <f t="shared" si="802"/>
        <v>0</v>
      </c>
      <c r="HP34" s="74">
        <f t="shared" si="802"/>
        <v>0</v>
      </c>
      <c r="HQ34" s="74">
        <f t="shared" si="802"/>
        <v>0</v>
      </c>
      <c r="HR34" s="74">
        <f t="shared" si="802"/>
        <v>0</v>
      </c>
      <c r="HS34" s="74">
        <f t="shared" si="802"/>
        <v>0</v>
      </c>
      <c r="HT34" s="74">
        <f t="shared" si="802"/>
        <v>0</v>
      </c>
      <c r="HU34" s="74">
        <f t="shared" si="802"/>
        <v>0</v>
      </c>
      <c r="HV34" s="74">
        <f t="shared" si="802"/>
        <v>0</v>
      </c>
      <c r="HW34" s="74">
        <f t="shared" si="802"/>
        <v>0</v>
      </c>
      <c r="HX34" s="74">
        <f t="shared" si="802"/>
        <v>0</v>
      </c>
      <c r="HY34" s="74">
        <f t="shared" ref="HY34:IJ34" si="803">HY12+HY19+HY27</f>
        <v>0</v>
      </c>
      <c r="HZ34" s="74">
        <f t="shared" si="803"/>
        <v>0</v>
      </c>
      <c r="IA34" s="74">
        <f t="shared" si="803"/>
        <v>0</v>
      </c>
      <c r="IB34" s="74">
        <f t="shared" si="803"/>
        <v>0</v>
      </c>
      <c r="IC34" s="74">
        <f t="shared" si="803"/>
        <v>0</v>
      </c>
      <c r="ID34" s="74">
        <f t="shared" si="803"/>
        <v>0</v>
      </c>
      <c r="IE34" s="74">
        <f t="shared" si="803"/>
        <v>0</v>
      </c>
      <c r="IF34" s="74">
        <f t="shared" si="803"/>
        <v>0</v>
      </c>
      <c r="IG34" s="74">
        <f t="shared" si="803"/>
        <v>0</v>
      </c>
      <c r="IH34" s="74">
        <f t="shared" si="803"/>
        <v>0</v>
      </c>
      <c r="II34" s="74">
        <f t="shared" si="803"/>
        <v>0</v>
      </c>
      <c r="IJ34" s="74">
        <f t="shared" si="803"/>
        <v>0</v>
      </c>
      <c r="IK34" s="74">
        <f t="shared" ref="IK34:IV34" si="804">IK12+IK19+IK27</f>
        <v>0</v>
      </c>
      <c r="IL34" s="74">
        <f t="shared" si="804"/>
        <v>0</v>
      </c>
      <c r="IM34" s="74">
        <f t="shared" si="804"/>
        <v>0</v>
      </c>
      <c r="IN34" s="74">
        <f t="shared" si="804"/>
        <v>0</v>
      </c>
      <c r="IO34" s="74">
        <f t="shared" si="804"/>
        <v>0</v>
      </c>
      <c r="IP34" s="74">
        <f t="shared" si="804"/>
        <v>0</v>
      </c>
      <c r="IQ34" s="74">
        <f t="shared" si="804"/>
        <v>0</v>
      </c>
      <c r="IR34" s="74">
        <f t="shared" si="804"/>
        <v>0</v>
      </c>
      <c r="IS34" s="74">
        <f t="shared" si="804"/>
        <v>0</v>
      </c>
      <c r="IT34" s="74">
        <f t="shared" si="804"/>
        <v>0</v>
      </c>
      <c r="IU34" s="74">
        <f t="shared" si="804"/>
        <v>0</v>
      </c>
      <c r="IV34" s="74">
        <f t="shared" si="804"/>
        <v>0</v>
      </c>
      <c r="IW34" s="74">
        <f t="shared" ref="IW34:JH34" si="805">IW12+IW19+IW27</f>
        <v>0</v>
      </c>
      <c r="IX34" s="74">
        <f t="shared" si="805"/>
        <v>0</v>
      </c>
      <c r="IY34" s="74">
        <f t="shared" si="805"/>
        <v>0</v>
      </c>
      <c r="IZ34" s="74">
        <f t="shared" si="805"/>
        <v>0</v>
      </c>
      <c r="JA34" s="74">
        <f t="shared" si="805"/>
        <v>0</v>
      </c>
      <c r="JB34" s="74">
        <f t="shared" si="805"/>
        <v>0</v>
      </c>
      <c r="JC34" s="74">
        <f t="shared" si="805"/>
        <v>0</v>
      </c>
      <c r="JD34" s="74">
        <f t="shared" si="805"/>
        <v>0</v>
      </c>
      <c r="JE34" s="74">
        <f t="shared" si="805"/>
        <v>0</v>
      </c>
      <c r="JF34" s="74">
        <f t="shared" si="805"/>
        <v>0</v>
      </c>
      <c r="JG34" s="74">
        <f t="shared" si="805"/>
        <v>0</v>
      </c>
      <c r="JH34" s="74">
        <f t="shared" si="805"/>
        <v>0</v>
      </c>
      <c r="JI34" s="74">
        <f t="shared" ref="JI34:JT34" si="806">JI12+JI19+JI27</f>
        <v>0</v>
      </c>
      <c r="JJ34" s="74">
        <f t="shared" si="806"/>
        <v>0</v>
      </c>
      <c r="JK34" s="74">
        <f t="shared" si="806"/>
        <v>0</v>
      </c>
      <c r="JL34" s="74">
        <f t="shared" si="806"/>
        <v>0</v>
      </c>
      <c r="JM34" s="74">
        <f t="shared" si="806"/>
        <v>0</v>
      </c>
      <c r="JN34" s="74">
        <f t="shared" si="806"/>
        <v>0</v>
      </c>
      <c r="JO34" s="74">
        <f t="shared" si="806"/>
        <v>0</v>
      </c>
      <c r="JP34" s="74">
        <f t="shared" si="806"/>
        <v>0</v>
      </c>
      <c r="JQ34" s="74">
        <f t="shared" si="806"/>
        <v>0</v>
      </c>
      <c r="JR34" s="74">
        <f t="shared" si="806"/>
        <v>0</v>
      </c>
      <c r="JS34" s="74">
        <f t="shared" si="806"/>
        <v>0</v>
      </c>
      <c r="JT34" s="74">
        <f t="shared" si="806"/>
        <v>0</v>
      </c>
    </row>
    <row r="37" spans="1:280" x14ac:dyDescent="0.2">
      <c r="E37" s="1">
        <v>1</v>
      </c>
      <c r="F37" s="1">
        <f>E37+1</f>
        <v>2</v>
      </c>
      <c r="G37" s="1">
        <f t="shared" ref="G37" si="807">F37+1</f>
        <v>3</v>
      </c>
      <c r="H37" s="1">
        <f t="shared" ref="H37" si="808">G37+1</f>
        <v>4</v>
      </c>
      <c r="I37" s="1">
        <f t="shared" ref="I37" si="809">H37+1</f>
        <v>5</v>
      </c>
      <c r="J37" s="1">
        <f t="shared" ref="J37" si="810">I37+1</f>
        <v>6</v>
      </c>
      <c r="K37" s="1">
        <f t="shared" ref="K37" si="811">J37+1</f>
        <v>7</v>
      </c>
      <c r="L37" s="1">
        <f t="shared" ref="L37" si="812">K37+1</f>
        <v>8</v>
      </c>
      <c r="M37" s="1">
        <f t="shared" ref="M37" si="813">L37+1</f>
        <v>9</v>
      </c>
      <c r="N37" s="1">
        <f t="shared" ref="N37" si="814">M37+1</f>
        <v>10</v>
      </c>
      <c r="O37" s="1">
        <f t="shared" ref="O37" si="815">N37+1</f>
        <v>11</v>
      </c>
      <c r="P37" s="1">
        <f t="shared" ref="P37" si="816">O37+1</f>
        <v>12</v>
      </c>
      <c r="Q37" s="1">
        <f t="shared" ref="Q37" si="817">P37+1</f>
        <v>13</v>
      </c>
      <c r="R37" s="1">
        <f t="shared" ref="R37" si="818">Q37+1</f>
        <v>14</v>
      </c>
      <c r="S37" s="1">
        <f t="shared" ref="S37" si="819">R37+1</f>
        <v>15</v>
      </c>
      <c r="T37" s="1">
        <f t="shared" ref="T37" si="820">S37+1</f>
        <v>16</v>
      </c>
      <c r="U37" s="1">
        <f t="shared" ref="U37" si="821">T37+1</f>
        <v>17</v>
      </c>
      <c r="V37" s="1">
        <f t="shared" ref="V37" si="822">U37+1</f>
        <v>18</v>
      </c>
      <c r="W37" s="1">
        <f t="shared" ref="W37" si="823">V37+1</f>
        <v>19</v>
      </c>
      <c r="X37" s="1">
        <f t="shared" ref="X37" si="824">W37+1</f>
        <v>20</v>
      </c>
      <c r="Y37" s="1">
        <f t="shared" ref="Y37" si="825">X37+1</f>
        <v>21</v>
      </c>
      <c r="Z37" s="1">
        <f t="shared" ref="Z37" si="826">Y37+1</f>
        <v>22</v>
      </c>
      <c r="AA37" s="1">
        <f t="shared" ref="AA37" si="827">Z37+1</f>
        <v>23</v>
      </c>
      <c r="AB37" s="1">
        <f t="shared" ref="AB37" si="828">AA37+1</f>
        <v>24</v>
      </c>
      <c r="AC37" s="1">
        <f t="shared" ref="AC37" si="829">AB37+1</f>
        <v>25</v>
      </c>
      <c r="AD37" s="1">
        <f t="shared" ref="AD37" si="830">AC37+1</f>
        <v>26</v>
      </c>
      <c r="AE37" s="1">
        <f t="shared" ref="AE37" si="831">AD37+1</f>
        <v>27</v>
      </c>
      <c r="AF37" s="1">
        <f t="shared" ref="AF37" si="832">AE37+1</f>
        <v>28</v>
      </c>
      <c r="AG37" s="1">
        <f t="shared" ref="AG37" si="833">AF37+1</f>
        <v>29</v>
      </c>
      <c r="AH37" s="1">
        <f t="shared" ref="AH37" si="834">AG37+1</f>
        <v>30</v>
      </c>
      <c r="AI37" s="1">
        <f t="shared" ref="AI37" si="835">AH37+1</f>
        <v>31</v>
      </c>
      <c r="AJ37" s="1">
        <f t="shared" ref="AJ37" si="836">AI37+1</f>
        <v>32</v>
      </c>
      <c r="AK37" s="1">
        <f t="shared" ref="AK37" si="837">AJ37+1</f>
        <v>33</v>
      </c>
      <c r="AL37" s="1">
        <f t="shared" ref="AL37" si="838">AK37+1</f>
        <v>34</v>
      </c>
      <c r="AM37" s="1">
        <f t="shared" ref="AM37" si="839">AL37+1</f>
        <v>35</v>
      </c>
      <c r="AN37" s="1">
        <f t="shared" ref="AN37" si="840">AM37+1</f>
        <v>36</v>
      </c>
      <c r="AO37" s="1">
        <f t="shared" ref="AO37" si="841">AN37+1</f>
        <v>37</v>
      </c>
      <c r="AP37" s="1">
        <f t="shared" ref="AP37" si="842">AO37+1</f>
        <v>38</v>
      </c>
      <c r="AQ37" s="1">
        <f t="shared" ref="AQ37" si="843">AP37+1</f>
        <v>39</v>
      </c>
      <c r="AR37" s="1">
        <f t="shared" ref="AR37" si="844">AQ37+1</f>
        <v>40</v>
      </c>
      <c r="AS37" s="1">
        <f t="shared" ref="AS37" si="845">AR37+1</f>
        <v>41</v>
      </c>
      <c r="AT37" s="1">
        <f t="shared" ref="AT37" si="846">AS37+1</f>
        <v>42</v>
      </c>
      <c r="AU37" s="1">
        <f t="shared" ref="AU37" si="847">AT37+1</f>
        <v>43</v>
      </c>
      <c r="AV37" s="1">
        <f t="shared" ref="AV37" si="848">AU37+1</f>
        <v>44</v>
      </c>
      <c r="AW37" s="1">
        <f t="shared" ref="AW37" si="849">AV37+1</f>
        <v>45</v>
      </c>
      <c r="AX37" s="1">
        <f t="shared" ref="AX37" si="850">AW37+1</f>
        <v>46</v>
      </c>
      <c r="AY37" s="1">
        <f t="shared" ref="AY37" si="851">AX37+1</f>
        <v>47</v>
      </c>
      <c r="AZ37" s="1">
        <f t="shared" ref="AZ37" si="852">AY37+1</f>
        <v>48</v>
      </c>
      <c r="BA37" s="1">
        <f t="shared" ref="BA37" si="853">AZ37+1</f>
        <v>49</v>
      </c>
      <c r="BB37" s="1">
        <f t="shared" ref="BB37" si="854">BA37+1</f>
        <v>50</v>
      </c>
      <c r="BC37" s="1">
        <f t="shared" ref="BC37" si="855">BB37+1</f>
        <v>51</v>
      </c>
      <c r="BD37" s="1">
        <f t="shared" ref="BD37" si="856">BC37+1</f>
        <v>52</v>
      </c>
      <c r="BE37" s="1">
        <f t="shared" ref="BE37" si="857">BD37+1</f>
        <v>53</v>
      </c>
      <c r="BF37" s="1">
        <f t="shared" ref="BF37" si="858">BE37+1</f>
        <v>54</v>
      </c>
      <c r="BG37" s="1">
        <f t="shared" ref="BG37" si="859">BF37+1</f>
        <v>55</v>
      </c>
      <c r="BH37" s="1">
        <f t="shared" ref="BH37" si="860">BG37+1</f>
        <v>56</v>
      </c>
      <c r="BI37" s="1">
        <f t="shared" ref="BI37" si="861">BH37+1</f>
        <v>57</v>
      </c>
      <c r="BJ37" s="1">
        <f t="shared" ref="BJ37" si="862">BI37+1</f>
        <v>58</v>
      </c>
      <c r="BK37" s="1">
        <f t="shared" ref="BK37" si="863">BJ37+1</f>
        <v>59</v>
      </c>
      <c r="BL37" s="1">
        <f t="shared" ref="BL37" si="864">BK37+1</f>
        <v>60</v>
      </c>
      <c r="BM37" s="1">
        <f t="shared" ref="BM37" si="865">BL37+1</f>
        <v>61</v>
      </c>
      <c r="BN37" s="1">
        <f t="shared" ref="BN37" si="866">BM37+1</f>
        <v>62</v>
      </c>
      <c r="BO37" s="1">
        <f t="shared" ref="BO37" si="867">BN37+1</f>
        <v>63</v>
      </c>
      <c r="BP37" s="1">
        <f t="shared" ref="BP37" si="868">BO37+1</f>
        <v>64</v>
      </c>
      <c r="BQ37" s="1">
        <f t="shared" ref="BQ37" si="869">BP37+1</f>
        <v>65</v>
      </c>
      <c r="BR37" s="1">
        <f t="shared" ref="BR37" si="870">BQ37+1</f>
        <v>66</v>
      </c>
      <c r="BS37" s="1">
        <f t="shared" ref="BS37" si="871">BR37+1</f>
        <v>67</v>
      </c>
      <c r="BT37" s="1">
        <f t="shared" ref="BT37" si="872">BS37+1</f>
        <v>68</v>
      </c>
      <c r="BU37" s="1">
        <f t="shared" ref="BU37" si="873">BT37+1</f>
        <v>69</v>
      </c>
      <c r="BV37" s="1">
        <f t="shared" ref="BV37" si="874">BU37+1</f>
        <v>70</v>
      </c>
      <c r="BW37" s="1">
        <f t="shared" ref="BW37" si="875">BV37+1</f>
        <v>71</v>
      </c>
      <c r="BX37" s="1">
        <f t="shared" ref="BX37" si="876">BW37+1</f>
        <v>72</v>
      </c>
      <c r="BY37" s="1">
        <f t="shared" ref="BY37" si="877">BX37+1</f>
        <v>73</v>
      </c>
      <c r="BZ37" s="1">
        <f t="shared" ref="BZ37" si="878">BY37+1</f>
        <v>74</v>
      </c>
      <c r="CA37" s="1">
        <f t="shared" ref="CA37" si="879">BZ37+1</f>
        <v>75</v>
      </c>
      <c r="CB37" s="1">
        <f t="shared" ref="CB37" si="880">CA37+1</f>
        <v>76</v>
      </c>
      <c r="CC37" s="1">
        <f t="shared" ref="CC37" si="881">CB37+1</f>
        <v>77</v>
      </c>
      <c r="CD37" s="1">
        <f t="shared" ref="CD37" si="882">CC37+1</f>
        <v>78</v>
      </c>
      <c r="CE37" s="1">
        <f t="shared" ref="CE37" si="883">CD37+1</f>
        <v>79</v>
      </c>
      <c r="CF37" s="1">
        <f t="shared" ref="CF37" si="884">CE37+1</f>
        <v>80</v>
      </c>
      <c r="CG37" s="1">
        <f t="shared" ref="CG37" si="885">CF37+1</f>
        <v>81</v>
      </c>
      <c r="CH37" s="1">
        <f t="shared" ref="CH37" si="886">CG37+1</f>
        <v>82</v>
      </c>
      <c r="CI37" s="1">
        <f t="shared" ref="CI37" si="887">CH37+1</f>
        <v>83</v>
      </c>
      <c r="CJ37" s="1">
        <f t="shared" ref="CJ37" si="888">CI37+1</f>
        <v>84</v>
      </c>
      <c r="CK37" s="1">
        <f t="shared" ref="CK37" si="889">CJ37+1</f>
        <v>85</v>
      </c>
      <c r="CL37" s="1">
        <f t="shared" ref="CL37" si="890">CK37+1</f>
        <v>86</v>
      </c>
      <c r="CM37" s="1">
        <f t="shared" ref="CM37" si="891">CL37+1</f>
        <v>87</v>
      </c>
      <c r="CN37" s="1">
        <f t="shared" ref="CN37" si="892">CM37+1</f>
        <v>88</v>
      </c>
      <c r="CO37" s="1">
        <f t="shared" ref="CO37" si="893">CN37+1</f>
        <v>89</v>
      </c>
      <c r="CP37" s="1">
        <f t="shared" ref="CP37" si="894">CO37+1</f>
        <v>90</v>
      </c>
      <c r="CQ37" s="1">
        <f t="shared" ref="CQ37" si="895">CP37+1</f>
        <v>91</v>
      </c>
      <c r="CR37" s="1">
        <f t="shared" ref="CR37" si="896">CQ37+1</f>
        <v>92</v>
      </c>
      <c r="CS37" s="1">
        <f t="shared" ref="CS37" si="897">CR37+1</f>
        <v>93</v>
      </c>
      <c r="CT37" s="1">
        <f t="shared" ref="CT37" si="898">CS37+1</f>
        <v>94</v>
      </c>
      <c r="CU37" s="1">
        <f t="shared" ref="CU37" si="899">CT37+1</f>
        <v>95</v>
      </c>
      <c r="CV37" s="1">
        <f t="shared" ref="CV37" si="900">CU37+1</f>
        <v>96</v>
      </c>
      <c r="CW37" s="1">
        <f t="shared" ref="CW37" si="901">CV37+1</f>
        <v>97</v>
      </c>
      <c r="CX37" s="1">
        <f t="shared" ref="CX37" si="902">CW37+1</f>
        <v>98</v>
      </c>
      <c r="CY37" s="1">
        <f t="shared" ref="CY37" si="903">CX37+1</f>
        <v>99</v>
      </c>
      <c r="CZ37" s="1">
        <f t="shared" ref="CZ37" si="904">CY37+1</f>
        <v>100</v>
      </c>
      <c r="DA37" s="1">
        <f t="shared" ref="DA37" si="905">CZ37+1</f>
        <v>101</v>
      </c>
      <c r="DB37" s="1">
        <f t="shared" ref="DB37" si="906">DA37+1</f>
        <v>102</v>
      </c>
      <c r="DC37" s="1">
        <f t="shared" ref="DC37" si="907">DB37+1</f>
        <v>103</v>
      </c>
      <c r="DD37" s="1">
        <f t="shared" ref="DD37" si="908">DC37+1</f>
        <v>104</v>
      </c>
      <c r="DE37" s="1">
        <f t="shared" ref="DE37" si="909">DD37+1</f>
        <v>105</v>
      </c>
      <c r="DF37" s="1">
        <f t="shared" ref="DF37" si="910">DE37+1</f>
        <v>106</v>
      </c>
      <c r="DG37" s="1">
        <f t="shared" ref="DG37" si="911">DF37+1</f>
        <v>107</v>
      </c>
      <c r="DH37" s="1">
        <f t="shared" ref="DH37" si="912">DG37+1</f>
        <v>108</v>
      </c>
      <c r="DI37" s="1">
        <f t="shared" ref="DI37" si="913">DH37+1</f>
        <v>109</v>
      </c>
      <c r="DJ37" s="1">
        <f t="shared" ref="DJ37" si="914">DI37+1</f>
        <v>110</v>
      </c>
      <c r="DK37" s="1">
        <f t="shared" ref="DK37" si="915">DJ37+1</f>
        <v>111</v>
      </c>
      <c r="DL37" s="1">
        <f t="shared" ref="DL37" si="916">DK37+1</f>
        <v>112</v>
      </c>
      <c r="DM37" s="1">
        <f t="shared" ref="DM37" si="917">DL37+1</f>
        <v>113</v>
      </c>
      <c r="DN37" s="1">
        <f t="shared" ref="DN37" si="918">DM37+1</f>
        <v>114</v>
      </c>
      <c r="DO37" s="1">
        <f t="shared" ref="DO37" si="919">DN37+1</f>
        <v>115</v>
      </c>
      <c r="DP37" s="1">
        <f t="shared" ref="DP37" si="920">DO37+1</f>
        <v>116</v>
      </c>
      <c r="DQ37" s="1">
        <f t="shared" ref="DQ37" si="921">DP37+1</f>
        <v>117</v>
      </c>
      <c r="DR37" s="1">
        <f t="shared" ref="DR37" si="922">DQ37+1</f>
        <v>118</v>
      </c>
      <c r="DS37" s="1">
        <f t="shared" ref="DS37" si="923">DR37+1</f>
        <v>119</v>
      </c>
      <c r="DT37" s="1">
        <f t="shared" ref="DT37" si="924">DS37+1</f>
        <v>120</v>
      </c>
      <c r="DU37" s="1">
        <f t="shared" ref="DU37" si="925">DT37+1</f>
        <v>121</v>
      </c>
      <c r="DV37" s="1">
        <f t="shared" ref="DV37" si="926">DU37+1</f>
        <v>122</v>
      </c>
      <c r="DW37" s="1">
        <f t="shared" ref="DW37" si="927">DV37+1</f>
        <v>123</v>
      </c>
      <c r="DX37" s="1">
        <f t="shared" ref="DX37" si="928">DW37+1</f>
        <v>124</v>
      </c>
      <c r="DY37" s="1">
        <f t="shared" ref="DY37" si="929">DX37+1</f>
        <v>125</v>
      </c>
      <c r="DZ37" s="1">
        <f t="shared" ref="DZ37" si="930">DY37+1</f>
        <v>126</v>
      </c>
      <c r="EA37" s="1">
        <f t="shared" ref="EA37" si="931">DZ37+1</f>
        <v>127</v>
      </c>
      <c r="EB37" s="1">
        <f t="shared" ref="EB37" si="932">EA37+1</f>
        <v>128</v>
      </c>
      <c r="EC37" s="1">
        <f t="shared" ref="EC37" si="933">EB37+1</f>
        <v>129</v>
      </c>
      <c r="ED37" s="1">
        <f t="shared" ref="ED37" si="934">EC37+1</f>
        <v>130</v>
      </c>
      <c r="EE37" s="1">
        <f t="shared" ref="EE37" si="935">ED37+1</f>
        <v>131</v>
      </c>
      <c r="EF37" s="1">
        <f t="shared" ref="EF37" si="936">EE37+1</f>
        <v>132</v>
      </c>
      <c r="EG37" s="1">
        <f t="shared" ref="EG37" si="937">EF37+1</f>
        <v>133</v>
      </c>
      <c r="EH37" s="1">
        <f t="shared" ref="EH37" si="938">EG37+1</f>
        <v>134</v>
      </c>
      <c r="EI37" s="1">
        <f t="shared" ref="EI37" si="939">EH37+1</f>
        <v>135</v>
      </c>
      <c r="EJ37" s="1">
        <f t="shared" ref="EJ37" si="940">EI37+1</f>
        <v>136</v>
      </c>
      <c r="EK37" s="1">
        <f t="shared" ref="EK37" si="941">EJ37+1</f>
        <v>137</v>
      </c>
      <c r="EL37" s="1">
        <f t="shared" ref="EL37" si="942">EK37+1</f>
        <v>138</v>
      </c>
      <c r="EM37" s="1">
        <f t="shared" ref="EM37" si="943">EL37+1</f>
        <v>139</v>
      </c>
      <c r="EN37" s="1">
        <f t="shared" ref="EN37" si="944">EM37+1</f>
        <v>140</v>
      </c>
      <c r="EO37" s="1">
        <f t="shared" ref="EO37" si="945">EN37+1</f>
        <v>141</v>
      </c>
      <c r="EP37" s="1">
        <f t="shared" ref="EP37" si="946">EO37+1</f>
        <v>142</v>
      </c>
      <c r="EQ37" s="1">
        <f t="shared" ref="EQ37" si="947">EP37+1</f>
        <v>143</v>
      </c>
      <c r="ER37" s="1">
        <f t="shared" ref="ER37" si="948">EQ37+1</f>
        <v>144</v>
      </c>
      <c r="ES37" s="1">
        <f t="shared" ref="ES37" si="949">ER37+1</f>
        <v>145</v>
      </c>
      <c r="ET37" s="1">
        <f t="shared" ref="ET37" si="950">ES37+1</f>
        <v>146</v>
      </c>
      <c r="EU37" s="1">
        <f t="shared" ref="EU37" si="951">ET37+1</f>
        <v>147</v>
      </c>
      <c r="EV37" s="1">
        <f t="shared" ref="EV37" si="952">EU37+1</f>
        <v>148</v>
      </c>
      <c r="EW37" s="1">
        <f t="shared" ref="EW37" si="953">EV37+1</f>
        <v>149</v>
      </c>
      <c r="EX37" s="1">
        <f t="shared" ref="EX37" si="954">EW37+1</f>
        <v>150</v>
      </c>
      <c r="EY37" s="1">
        <f t="shared" ref="EY37" si="955">EX37+1</f>
        <v>151</v>
      </c>
      <c r="EZ37" s="1">
        <f t="shared" ref="EZ37" si="956">EY37+1</f>
        <v>152</v>
      </c>
      <c r="FA37" s="1">
        <f t="shared" ref="FA37" si="957">EZ37+1</f>
        <v>153</v>
      </c>
      <c r="FB37" s="1">
        <f t="shared" ref="FB37" si="958">FA37+1</f>
        <v>154</v>
      </c>
      <c r="FC37" s="1">
        <f t="shared" ref="FC37" si="959">FB37+1</f>
        <v>155</v>
      </c>
      <c r="FD37" s="1">
        <f t="shared" ref="FD37" si="960">FC37+1</f>
        <v>156</v>
      </c>
      <c r="FE37" s="1">
        <f t="shared" ref="FE37" si="961">FD37+1</f>
        <v>157</v>
      </c>
      <c r="FF37" s="1">
        <f t="shared" ref="FF37" si="962">FE37+1</f>
        <v>158</v>
      </c>
      <c r="FG37" s="1">
        <f t="shared" ref="FG37" si="963">FF37+1</f>
        <v>159</v>
      </c>
      <c r="FH37" s="1">
        <f t="shared" ref="FH37" si="964">FG37+1</f>
        <v>160</v>
      </c>
      <c r="FI37" s="1">
        <f t="shared" ref="FI37" si="965">FH37+1</f>
        <v>161</v>
      </c>
      <c r="FJ37" s="1">
        <f t="shared" ref="FJ37" si="966">FI37+1</f>
        <v>162</v>
      </c>
      <c r="FK37" s="1">
        <f t="shared" ref="FK37" si="967">FJ37+1</f>
        <v>163</v>
      </c>
      <c r="FL37" s="1">
        <f t="shared" ref="FL37" si="968">FK37+1</f>
        <v>164</v>
      </c>
      <c r="FM37" s="1">
        <f t="shared" ref="FM37" si="969">FL37+1</f>
        <v>165</v>
      </c>
      <c r="FN37" s="1">
        <f t="shared" ref="FN37" si="970">FM37+1</f>
        <v>166</v>
      </c>
      <c r="FO37" s="1">
        <f t="shared" ref="FO37" si="971">FN37+1</f>
        <v>167</v>
      </c>
      <c r="FP37" s="1">
        <f t="shared" ref="FP37" si="972">FO37+1</f>
        <v>168</v>
      </c>
      <c r="FQ37" s="1">
        <f t="shared" ref="FQ37" si="973">FP37+1</f>
        <v>169</v>
      </c>
      <c r="FR37" s="1">
        <f t="shared" ref="FR37" si="974">FQ37+1</f>
        <v>170</v>
      </c>
      <c r="FS37" s="1">
        <f t="shared" ref="FS37" si="975">FR37+1</f>
        <v>171</v>
      </c>
      <c r="FT37" s="1">
        <f t="shared" ref="FT37" si="976">FS37+1</f>
        <v>172</v>
      </c>
      <c r="FU37" s="1">
        <f t="shared" ref="FU37" si="977">FT37+1</f>
        <v>173</v>
      </c>
      <c r="FV37" s="1">
        <f t="shared" ref="FV37" si="978">FU37+1</f>
        <v>174</v>
      </c>
      <c r="FW37" s="1">
        <f t="shared" ref="FW37" si="979">FV37+1</f>
        <v>175</v>
      </c>
      <c r="FX37" s="1">
        <f t="shared" ref="FX37" si="980">FW37+1</f>
        <v>176</v>
      </c>
      <c r="FY37" s="1">
        <f t="shared" ref="FY37" si="981">FX37+1</f>
        <v>177</v>
      </c>
      <c r="FZ37" s="1">
        <f t="shared" ref="FZ37" si="982">FY37+1</f>
        <v>178</v>
      </c>
      <c r="GA37" s="1">
        <f t="shared" ref="GA37" si="983">FZ37+1</f>
        <v>179</v>
      </c>
      <c r="GB37" s="1">
        <f t="shared" ref="GB37" si="984">GA37+1</f>
        <v>180</v>
      </c>
      <c r="GC37" s="1">
        <f t="shared" ref="GC37" si="985">GB37+1</f>
        <v>181</v>
      </c>
      <c r="GD37" s="1">
        <f t="shared" ref="GD37" si="986">GC37+1</f>
        <v>182</v>
      </c>
      <c r="GE37" s="1">
        <f t="shared" ref="GE37" si="987">GD37+1</f>
        <v>183</v>
      </c>
      <c r="GF37" s="1">
        <f t="shared" ref="GF37" si="988">GE37+1</f>
        <v>184</v>
      </c>
      <c r="GG37" s="1">
        <f t="shared" ref="GG37" si="989">GF37+1</f>
        <v>185</v>
      </c>
      <c r="GH37" s="1">
        <f t="shared" ref="GH37" si="990">GG37+1</f>
        <v>186</v>
      </c>
      <c r="GI37" s="1">
        <f t="shared" ref="GI37" si="991">GH37+1</f>
        <v>187</v>
      </c>
      <c r="GJ37" s="1">
        <f t="shared" ref="GJ37" si="992">GI37+1</f>
        <v>188</v>
      </c>
      <c r="GK37" s="1">
        <f t="shared" ref="GK37" si="993">GJ37+1</f>
        <v>189</v>
      </c>
      <c r="GL37" s="1">
        <f t="shared" ref="GL37" si="994">GK37+1</f>
        <v>190</v>
      </c>
      <c r="GM37" s="1">
        <f t="shared" ref="GM37" si="995">GL37+1</f>
        <v>191</v>
      </c>
      <c r="GN37" s="1">
        <f t="shared" ref="GN37" si="996">GM37+1</f>
        <v>192</v>
      </c>
      <c r="GO37" s="1">
        <f t="shared" ref="GO37" si="997">GN37+1</f>
        <v>193</v>
      </c>
      <c r="GP37" s="1">
        <f t="shared" ref="GP37" si="998">GO37+1</f>
        <v>194</v>
      </c>
      <c r="GQ37" s="1">
        <f t="shared" ref="GQ37" si="999">GP37+1</f>
        <v>195</v>
      </c>
      <c r="GR37" s="1">
        <f t="shared" ref="GR37" si="1000">GQ37+1</f>
        <v>196</v>
      </c>
      <c r="GS37" s="1">
        <f t="shared" ref="GS37" si="1001">GR37+1</f>
        <v>197</v>
      </c>
      <c r="GT37" s="1">
        <f t="shared" ref="GT37" si="1002">GS37+1</f>
        <v>198</v>
      </c>
      <c r="GU37" s="1">
        <f t="shared" ref="GU37" si="1003">GT37+1</f>
        <v>199</v>
      </c>
      <c r="GV37" s="1">
        <f t="shared" ref="GV37" si="1004">GU37+1</f>
        <v>200</v>
      </c>
      <c r="GW37" s="1">
        <f t="shared" ref="GW37" si="1005">GV37+1</f>
        <v>201</v>
      </c>
      <c r="GX37" s="1">
        <f t="shared" ref="GX37" si="1006">GW37+1</f>
        <v>202</v>
      </c>
      <c r="GY37" s="1">
        <f t="shared" ref="GY37" si="1007">GX37+1</f>
        <v>203</v>
      </c>
      <c r="GZ37" s="1">
        <f t="shared" ref="GZ37" si="1008">GY37+1</f>
        <v>204</v>
      </c>
      <c r="HA37" s="1">
        <f t="shared" ref="HA37" si="1009">GZ37+1</f>
        <v>205</v>
      </c>
      <c r="HB37" s="1">
        <f t="shared" ref="HB37" si="1010">HA37+1</f>
        <v>206</v>
      </c>
      <c r="HC37" s="1">
        <f t="shared" ref="HC37" si="1011">HB37+1</f>
        <v>207</v>
      </c>
      <c r="HD37" s="1">
        <f t="shared" ref="HD37" si="1012">HC37+1</f>
        <v>208</v>
      </c>
      <c r="HE37" s="1">
        <f t="shared" ref="HE37" si="1013">HD37+1</f>
        <v>209</v>
      </c>
      <c r="HF37" s="1">
        <f t="shared" ref="HF37" si="1014">HE37+1</f>
        <v>210</v>
      </c>
      <c r="HG37" s="1">
        <f t="shared" ref="HG37" si="1015">HF37+1</f>
        <v>211</v>
      </c>
      <c r="HH37" s="1">
        <f t="shared" ref="HH37" si="1016">HG37+1</f>
        <v>212</v>
      </c>
      <c r="HI37" s="1">
        <f t="shared" ref="HI37" si="1017">HH37+1</f>
        <v>213</v>
      </c>
      <c r="HJ37" s="1">
        <f t="shared" ref="HJ37" si="1018">HI37+1</f>
        <v>214</v>
      </c>
      <c r="HK37" s="1">
        <f t="shared" ref="HK37" si="1019">HJ37+1</f>
        <v>215</v>
      </c>
      <c r="HL37" s="1">
        <f t="shared" ref="HL37" si="1020">HK37+1</f>
        <v>216</v>
      </c>
      <c r="HM37" s="1">
        <f t="shared" ref="HM37" si="1021">HL37+1</f>
        <v>217</v>
      </c>
      <c r="HN37" s="1">
        <f t="shared" ref="HN37" si="1022">HM37+1</f>
        <v>218</v>
      </c>
      <c r="HO37" s="1">
        <f t="shared" ref="HO37" si="1023">HN37+1</f>
        <v>219</v>
      </c>
      <c r="HP37" s="1">
        <f t="shared" ref="HP37" si="1024">HO37+1</f>
        <v>220</v>
      </c>
      <c r="HQ37" s="1">
        <f t="shared" ref="HQ37" si="1025">HP37+1</f>
        <v>221</v>
      </c>
      <c r="HR37" s="1">
        <f t="shared" ref="HR37" si="1026">HQ37+1</f>
        <v>222</v>
      </c>
      <c r="HS37" s="1">
        <f t="shared" ref="HS37" si="1027">HR37+1</f>
        <v>223</v>
      </c>
      <c r="HT37" s="1">
        <f t="shared" ref="HT37" si="1028">HS37+1</f>
        <v>224</v>
      </c>
      <c r="HU37" s="1">
        <f t="shared" ref="HU37" si="1029">HT37+1</f>
        <v>225</v>
      </c>
      <c r="HV37" s="1">
        <f t="shared" ref="HV37" si="1030">HU37+1</f>
        <v>226</v>
      </c>
      <c r="HW37" s="1">
        <f t="shared" ref="HW37" si="1031">HV37+1</f>
        <v>227</v>
      </c>
      <c r="HX37" s="1">
        <f t="shared" ref="HX37" si="1032">HW37+1</f>
        <v>228</v>
      </c>
      <c r="HY37" s="1">
        <f t="shared" ref="HY37" si="1033">HX37+1</f>
        <v>229</v>
      </c>
      <c r="HZ37" s="1">
        <f t="shared" ref="HZ37" si="1034">HY37+1</f>
        <v>230</v>
      </c>
      <c r="IA37" s="1">
        <f t="shared" ref="IA37" si="1035">HZ37+1</f>
        <v>231</v>
      </c>
      <c r="IB37" s="1">
        <f t="shared" ref="IB37" si="1036">IA37+1</f>
        <v>232</v>
      </c>
      <c r="IC37" s="1">
        <f t="shared" ref="IC37" si="1037">IB37+1</f>
        <v>233</v>
      </c>
      <c r="ID37" s="1">
        <f t="shared" ref="ID37" si="1038">IC37+1</f>
        <v>234</v>
      </c>
      <c r="IE37" s="1">
        <f t="shared" ref="IE37" si="1039">ID37+1</f>
        <v>235</v>
      </c>
      <c r="IF37" s="1">
        <f t="shared" ref="IF37" si="1040">IE37+1</f>
        <v>236</v>
      </c>
      <c r="IG37" s="1">
        <f t="shared" ref="IG37" si="1041">IF37+1</f>
        <v>237</v>
      </c>
      <c r="IH37" s="1">
        <f t="shared" ref="IH37" si="1042">IG37+1</f>
        <v>238</v>
      </c>
      <c r="II37" s="1">
        <f t="shared" ref="II37" si="1043">IH37+1</f>
        <v>239</v>
      </c>
      <c r="IJ37" s="1">
        <f t="shared" ref="IJ37" si="1044">II37+1</f>
        <v>240</v>
      </c>
      <c r="IK37" s="1">
        <f t="shared" ref="IK37" si="1045">IJ37+1</f>
        <v>241</v>
      </c>
      <c r="IL37" s="1">
        <f t="shared" ref="IL37" si="1046">IK37+1</f>
        <v>242</v>
      </c>
      <c r="IM37" s="1">
        <f t="shared" ref="IM37" si="1047">IL37+1</f>
        <v>243</v>
      </c>
      <c r="IN37" s="1">
        <f t="shared" ref="IN37" si="1048">IM37+1</f>
        <v>244</v>
      </c>
      <c r="IO37" s="1">
        <f t="shared" ref="IO37" si="1049">IN37+1</f>
        <v>245</v>
      </c>
      <c r="IP37" s="1">
        <f t="shared" ref="IP37" si="1050">IO37+1</f>
        <v>246</v>
      </c>
      <c r="IQ37" s="1">
        <f t="shared" ref="IQ37" si="1051">IP37+1</f>
        <v>247</v>
      </c>
      <c r="IR37" s="1">
        <f t="shared" ref="IR37" si="1052">IQ37+1</f>
        <v>248</v>
      </c>
      <c r="IS37" s="1">
        <f t="shared" ref="IS37" si="1053">IR37+1</f>
        <v>249</v>
      </c>
      <c r="IT37" s="1">
        <f t="shared" ref="IT37" si="1054">IS37+1</f>
        <v>250</v>
      </c>
      <c r="IU37" s="1">
        <f t="shared" ref="IU37" si="1055">IT37+1</f>
        <v>251</v>
      </c>
      <c r="IV37" s="1">
        <f t="shared" ref="IV37" si="1056">IU37+1</f>
        <v>252</v>
      </c>
      <c r="IW37" s="1">
        <f t="shared" ref="IW37" si="1057">IV37+1</f>
        <v>253</v>
      </c>
      <c r="IX37" s="1">
        <f t="shared" ref="IX37" si="1058">IW37+1</f>
        <v>254</v>
      </c>
      <c r="IY37" s="1">
        <f t="shared" ref="IY37" si="1059">IX37+1</f>
        <v>255</v>
      </c>
      <c r="IZ37" s="1">
        <f t="shared" ref="IZ37" si="1060">IY37+1</f>
        <v>256</v>
      </c>
      <c r="JA37" s="1">
        <f t="shared" ref="JA37" si="1061">IZ37+1</f>
        <v>257</v>
      </c>
      <c r="JB37" s="1">
        <f t="shared" ref="JB37" si="1062">JA37+1</f>
        <v>258</v>
      </c>
      <c r="JC37" s="1">
        <f t="shared" ref="JC37" si="1063">JB37+1</f>
        <v>259</v>
      </c>
      <c r="JD37" s="1">
        <f t="shared" ref="JD37" si="1064">JC37+1</f>
        <v>260</v>
      </c>
      <c r="JE37" s="1">
        <f t="shared" ref="JE37" si="1065">JD37+1</f>
        <v>261</v>
      </c>
      <c r="JF37" s="1">
        <f t="shared" ref="JF37" si="1066">JE37+1</f>
        <v>262</v>
      </c>
      <c r="JG37" s="1">
        <f t="shared" ref="JG37" si="1067">JF37+1</f>
        <v>263</v>
      </c>
      <c r="JH37" s="1">
        <f t="shared" ref="JH37" si="1068">JG37+1</f>
        <v>264</v>
      </c>
      <c r="JI37" s="1">
        <f t="shared" ref="JI37" si="1069">JH37+1</f>
        <v>265</v>
      </c>
      <c r="JJ37" s="1">
        <f t="shared" ref="JJ37" si="1070">JI37+1</f>
        <v>266</v>
      </c>
      <c r="JK37" s="1">
        <f t="shared" ref="JK37" si="1071">JJ37+1</f>
        <v>267</v>
      </c>
      <c r="JL37" s="1">
        <f t="shared" ref="JL37" si="1072">JK37+1</f>
        <v>268</v>
      </c>
      <c r="JM37" s="1">
        <f t="shared" ref="JM37" si="1073">JL37+1</f>
        <v>269</v>
      </c>
      <c r="JN37" s="1">
        <f t="shared" ref="JN37" si="1074">JM37+1</f>
        <v>270</v>
      </c>
      <c r="JO37" s="1">
        <f t="shared" ref="JO37" si="1075">JN37+1</f>
        <v>271</v>
      </c>
      <c r="JP37" s="1">
        <f t="shared" ref="JP37" si="1076">JO37+1</f>
        <v>272</v>
      </c>
      <c r="JQ37" s="1">
        <f t="shared" ref="JQ37" si="1077">JP37+1</f>
        <v>273</v>
      </c>
      <c r="JR37" s="1">
        <f t="shared" ref="JR37" si="1078">JQ37+1</f>
        <v>274</v>
      </c>
      <c r="JS37" s="1">
        <f t="shared" ref="JS37" si="1079">JR37+1</f>
        <v>275</v>
      </c>
      <c r="JT37" s="1">
        <f t="shared" ref="JT37" si="1080">JS37+1</f>
        <v>276</v>
      </c>
    </row>
    <row r="38" spans="1:280" x14ac:dyDescent="0.2">
      <c r="D38" s="3" t="s">
        <v>146</v>
      </c>
      <c r="E38" s="853">
        <v>2020</v>
      </c>
      <c r="F38" s="853"/>
      <c r="G38" s="853"/>
      <c r="H38" s="853"/>
      <c r="I38" s="853"/>
      <c r="J38" s="853"/>
      <c r="K38" s="853"/>
      <c r="L38" s="853"/>
      <c r="M38" s="853"/>
      <c r="N38" s="853"/>
      <c r="O38" s="853"/>
      <c r="P38" s="853"/>
      <c r="Q38" s="853">
        <v>2021</v>
      </c>
      <c r="R38" s="853"/>
      <c r="S38" s="853"/>
      <c r="T38" s="853"/>
      <c r="U38" s="853"/>
      <c r="V38" s="853"/>
      <c r="W38" s="853"/>
      <c r="X38" s="853"/>
      <c r="Y38" s="853"/>
      <c r="Z38" s="853"/>
      <c r="AA38" s="853"/>
      <c r="AB38" s="853"/>
      <c r="AC38" s="853">
        <v>2022</v>
      </c>
      <c r="AD38" s="853"/>
      <c r="AE38" s="853"/>
      <c r="AF38" s="853"/>
      <c r="AG38" s="853"/>
      <c r="AH38" s="853"/>
      <c r="AI38" s="853"/>
      <c r="AJ38" s="853"/>
      <c r="AK38" s="853"/>
      <c r="AL38" s="853"/>
      <c r="AM38" s="853"/>
      <c r="AN38" s="853"/>
      <c r="AO38" s="853">
        <f>AC38+1</f>
        <v>2023</v>
      </c>
      <c r="AP38" s="853"/>
      <c r="AQ38" s="853"/>
      <c r="AR38" s="853"/>
      <c r="AS38" s="853"/>
      <c r="AT38" s="853"/>
      <c r="AU38" s="853"/>
      <c r="AV38" s="853"/>
      <c r="AW38" s="853"/>
      <c r="AX38" s="853"/>
      <c r="AY38" s="853"/>
      <c r="AZ38" s="853"/>
      <c r="BA38" s="853">
        <f>AO38+1</f>
        <v>2024</v>
      </c>
      <c r="BB38" s="853"/>
      <c r="BC38" s="853"/>
      <c r="BD38" s="853"/>
      <c r="BE38" s="853"/>
      <c r="BF38" s="853"/>
      <c r="BG38" s="853"/>
      <c r="BH38" s="853"/>
      <c r="BI38" s="853"/>
      <c r="BJ38" s="853"/>
      <c r="BK38" s="853"/>
      <c r="BL38" s="853"/>
      <c r="BM38" s="853">
        <f>BA38+1</f>
        <v>2025</v>
      </c>
      <c r="BN38" s="853"/>
      <c r="BO38" s="853"/>
      <c r="BP38" s="853"/>
      <c r="BQ38" s="853"/>
      <c r="BR38" s="853"/>
      <c r="BS38" s="853"/>
      <c r="BT38" s="853"/>
      <c r="BU38" s="853"/>
      <c r="BV38" s="853"/>
      <c r="BW38" s="853"/>
      <c r="BX38" s="853"/>
      <c r="BY38" s="853">
        <f>BM38+1</f>
        <v>2026</v>
      </c>
      <c r="BZ38" s="853"/>
      <c r="CA38" s="853"/>
      <c r="CB38" s="853"/>
      <c r="CC38" s="853"/>
      <c r="CD38" s="853"/>
      <c r="CE38" s="853"/>
      <c r="CF38" s="853"/>
      <c r="CG38" s="853"/>
      <c r="CH38" s="853"/>
      <c r="CI38" s="853"/>
      <c r="CJ38" s="853"/>
      <c r="CK38" s="853">
        <f>BY38+1</f>
        <v>2027</v>
      </c>
      <c r="CL38" s="853"/>
      <c r="CM38" s="853"/>
      <c r="CN38" s="853"/>
      <c r="CO38" s="853"/>
      <c r="CP38" s="853"/>
      <c r="CQ38" s="853"/>
      <c r="CR38" s="853"/>
      <c r="CS38" s="853"/>
      <c r="CT38" s="853"/>
      <c r="CU38" s="853"/>
      <c r="CV38" s="853"/>
      <c r="CW38" s="853">
        <f>CK38+1</f>
        <v>2028</v>
      </c>
      <c r="CX38" s="853"/>
      <c r="CY38" s="853"/>
      <c r="CZ38" s="853"/>
      <c r="DA38" s="853"/>
      <c r="DB38" s="853"/>
      <c r="DC38" s="853"/>
      <c r="DD38" s="853"/>
      <c r="DE38" s="853"/>
      <c r="DF38" s="853"/>
      <c r="DG38" s="853"/>
      <c r="DH38" s="853"/>
      <c r="DI38" s="853">
        <f>CW38+1</f>
        <v>2029</v>
      </c>
      <c r="DJ38" s="853"/>
      <c r="DK38" s="853"/>
      <c r="DL38" s="853"/>
      <c r="DM38" s="853"/>
      <c r="DN38" s="853"/>
      <c r="DO38" s="853"/>
      <c r="DP38" s="853"/>
      <c r="DQ38" s="853"/>
      <c r="DR38" s="853"/>
      <c r="DS38" s="853"/>
      <c r="DT38" s="853"/>
      <c r="DU38" s="853">
        <f>DI38+1</f>
        <v>2030</v>
      </c>
      <c r="DV38" s="853"/>
      <c r="DW38" s="853"/>
      <c r="DX38" s="853"/>
      <c r="DY38" s="853"/>
      <c r="DZ38" s="853"/>
      <c r="EA38" s="853"/>
      <c r="EB38" s="853"/>
      <c r="EC38" s="853"/>
      <c r="ED38" s="853"/>
      <c r="EE38" s="853"/>
      <c r="EF38" s="853"/>
      <c r="EG38" s="853">
        <f>DU38+1</f>
        <v>2031</v>
      </c>
      <c r="EH38" s="853"/>
      <c r="EI38" s="853"/>
      <c r="EJ38" s="853"/>
      <c r="EK38" s="853"/>
      <c r="EL38" s="853"/>
      <c r="EM38" s="853"/>
      <c r="EN38" s="853"/>
      <c r="EO38" s="853"/>
      <c r="EP38" s="853"/>
      <c r="EQ38" s="853"/>
      <c r="ER38" s="853"/>
      <c r="ES38" s="853">
        <f>EG38+1</f>
        <v>2032</v>
      </c>
      <c r="ET38" s="853"/>
      <c r="EU38" s="853"/>
      <c r="EV38" s="853"/>
      <c r="EW38" s="853"/>
      <c r="EX38" s="853"/>
      <c r="EY38" s="853"/>
      <c r="EZ38" s="853"/>
      <c r="FA38" s="853"/>
      <c r="FB38" s="853"/>
      <c r="FC38" s="853"/>
      <c r="FD38" s="853"/>
      <c r="FE38" s="853">
        <f>ES38+1</f>
        <v>2033</v>
      </c>
      <c r="FF38" s="853"/>
      <c r="FG38" s="853"/>
      <c r="FH38" s="853"/>
      <c r="FI38" s="853"/>
      <c r="FJ38" s="853"/>
      <c r="FK38" s="853"/>
      <c r="FL38" s="853"/>
      <c r="FM38" s="853"/>
      <c r="FN38" s="853"/>
      <c r="FO38" s="853"/>
      <c r="FP38" s="853"/>
      <c r="FQ38" s="853">
        <f>FE38+1</f>
        <v>2034</v>
      </c>
      <c r="FR38" s="853"/>
      <c r="FS38" s="853"/>
      <c r="FT38" s="853"/>
      <c r="FU38" s="853"/>
      <c r="FV38" s="853"/>
      <c r="FW38" s="853"/>
      <c r="FX38" s="853"/>
      <c r="FY38" s="853"/>
      <c r="FZ38" s="853"/>
      <c r="GA38" s="853"/>
      <c r="GB38" s="853"/>
      <c r="GC38" s="853">
        <f>FQ38+1</f>
        <v>2035</v>
      </c>
      <c r="GD38" s="853"/>
      <c r="GE38" s="853"/>
      <c r="GF38" s="853"/>
      <c r="GG38" s="853"/>
      <c r="GH38" s="853"/>
      <c r="GI38" s="853"/>
      <c r="GJ38" s="853"/>
      <c r="GK38" s="853"/>
      <c r="GL38" s="853"/>
      <c r="GM38" s="853"/>
      <c r="GN38" s="853"/>
      <c r="GO38" s="853">
        <f>GC38+1</f>
        <v>2036</v>
      </c>
      <c r="GP38" s="853"/>
      <c r="GQ38" s="853"/>
      <c r="GR38" s="853"/>
      <c r="GS38" s="853"/>
      <c r="GT38" s="853"/>
      <c r="GU38" s="853"/>
      <c r="GV38" s="853"/>
      <c r="GW38" s="853"/>
      <c r="GX38" s="853"/>
      <c r="GY38" s="853"/>
      <c r="GZ38" s="853"/>
      <c r="HA38" s="853">
        <f>GO38+1</f>
        <v>2037</v>
      </c>
      <c r="HB38" s="853"/>
      <c r="HC38" s="853"/>
      <c r="HD38" s="853"/>
      <c r="HE38" s="853"/>
      <c r="HF38" s="853"/>
      <c r="HG38" s="853"/>
      <c r="HH38" s="853"/>
      <c r="HI38" s="853"/>
      <c r="HJ38" s="853"/>
      <c r="HK38" s="853"/>
      <c r="HL38" s="853"/>
      <c r="HM38" s="853">
        <f>HA38+1</f>
        <v>2038</v>
      </c>
      <c r="HN38" s="853"/>
      <c r="HO38" s="853"/>
      <c r="HP38" s="853"/>
      <c r="HQ38" s="853"/>
      <c r="HR38" s="853"/>
      <c r="HS38" s="853"/>
      <c r="HT38" s="853"/>
      <c r="HU38" s="853"/>
      <c r="HV38" s="853"/>
      <c r="HW38" s="853"/>
      <c r="HX38" s="853"/>
      <c r="HY38" s="853">
        <f>HM38+1</f>
        <v>2039</v>
      </c>
      <c r="HZ38" s="853"/>
      <c r="IA38" s="853"/>
      <c r="IB38" s="853"/>
      <c r="IC38" s="853"/>
      <c r="ID38" s="853"/>
      <c r="IE38" s="853"/>
      <c r="IF38" s="853"/>
      <c r="IG38" s="853"/>
      <c r="IH38" s="853"/>
      <c r="II38" s="853"/>
      <c r="IJ38" s="853"/>
      <c r="IK38" s="853">
        <f>HY38+1</f>
        <v>2040</v>
      </c>
      <c r="IL38" s="853"/>
      <c r="IM38" s="853"/>
      <c r="IN38" s="853"/>
      <c r="IO38" s="853"/>
      <c r="IP38" s="853"/>
      <c r="IQ38" s="853"/>
      <c r="IR38" s="853"/>
      <c r="IS38" s="853"/>
      <c r="IT38" s="853"/>
      <c r="IU38" s="853"/>
      <c r="IV38" s="853"/>
      <c r="IW38" s="853">
        <f>IK38+1</f>
        <v>2041</v>
      </c>
      <c r="IX38" s="853"/>
      <c r="IY38" s="853"/>
      <c r="IZ38" s="853"/>
      <c r="JA38" s="853"/>
      <c r="JB38" s="853"/>
      <c r="JC38" s="853"/>
      <c r="JD38" s="853"/>
      <c r="JE38" s="853"/>
      <c r="JF38" s="853"/>
      <c r="JG38" s="853"/>
      <c r="JH38" s="853"/>
      <c r="JI38" s="853">
        <f>IW38+1</f>
        <v>2042</v>
      </c>
      <c r="JJ38" s="853"/>
      <c r="JK38" s="853"/>
      <c r="JL38" s="853"/>
      <c r="JM38" s="853"/>
      <c r="JN38" s="853"/>
      <c r="JO38" s="853"/>
      <c r="JP38" s="853"/>
      <c r="JQ38" s="853"/>
      <c r="JR38" s="853"/>
      <c r="JS38" s="853"/>
      <c r="JT38" s="853"/>
    </row>
    <row r="39" spans="1:280" x14ac:dyDescent="0.2">
      <c r="A39" s="5" t="s">
        <v>986</v>
      </c>
      <c r="E39" s="19" t="s">
        <v>28</v>
      </c>
      <c r="F39" s="19" t="s">
        <v>29</v>
      </c>
      <c r="G39" s="19" t="s">
        <v>30</v>
      </c>
      <c r="H39" s="19" t="s">
        <v>31</v>
      </c>
      <c r="I39" s="19" t="s">
        <v>32</v>
      </c>
      <c r="J39" s="19" t="s">
        <v>33</v>
      </c>
      <c r="K39" s="19" t="s">
        <v>34</v>
      </c>
      <c r="L39" s="19" t="s">
        <v>35</v>
      </c>
      <c r="M39" s="19" t="s">
        <v>36</v>
      </c>
      <c r="N39" s="19" t="s">
        <v>37</v>
      </c>
      <c r="O39" s="19" t="s">
        <v>38</v>
      </c>
      <c r="P39" s="19" t="s">
        <v>39</v>
      </c>
      <c r="Q39" s="19" t="s">
        <v>28</v>
      </c>
      <c r="R39" s="19" t="s">
        <v>29</v>
      </c>
      <c r="S39" s="19" t="s">
        <v>30</v>
      </c>
      <c r="T39" s="19" t="s">
        <v>31</v>
      </c>
      <c r="U39" s="19" t="s">
        <v>32</v>
      </c>
      <c r="V39" s="19" t="s">
        <v>33</v>
      </c>
      <c r="W39" s="19" t="s">
        <v>34</v>
      </c>
      <c r="X39" s="19" t="s">
        <v>35</v>
      </c>
      <c r="Y39" s="19" t="s">
        <v>36</v>
      </c>
      <c r="Z39" s="19" t="s">
        <v>37</v>
      </c>
      <c r="AA39" s="19" t="s">
        <v>38</v>
      </c>
      <c r="AB39" s="19" t="s">
        <v>39</v>
      </c>
      <c r="AC39" s="19" t="s">
        <v>28</v>
      </c>
      <c r="AD39" s="19" t="s">
        <v>29</v>
      </c>
      <c r="AE39" s="19" t="s">
        <v>30</v>
      </c>
      <c r="AF39" s="19" t="s">
        <v>31</v>
      </c>
      <c r="AG39" s="19" t="s">
        <v>32</v>
      </c>
      <c r="AH39" s="19" t="s">
        <v>33</v>
      </c>
      <c r="AI39" s="19" t="s">
        <v>34</v>
      </c>
      <c r="AJ39" s="19" t="s">
        <v>35</v>
      </c>
      <c r="AK39" s="19" t="s">
        <v>36</v>
      </c>
      <c r="AL39" s="19" t="s">
        <v>37</v>
      </c>
      <c r="AM39" s="19" t="s">
        <v>38</v>
      </c>
      <c r="AN39" s="19" t="s">
        <v>39</v>
      </c>
      <c r="AO39" s="19" t="s">
        <v>28</v>
      </c>
      <c r="AP39" s="19" t="s">
        <v>29</v>
      </c>
      <c r="AQ39" s="19" t="s">
        <v>30</v>
      </c>
      <c r="AR39" s="19" t="s">
        <v>31</v>
      </c>
      <c r="AS39" s="19" t="s">
        <v>32</v>
      </c>
      <c r="AT39" s="19" t="s">
        <v>33</v>
      </c>
      <c r="AU39" s="19" t="s">
        <v>34</v>
      </c>
      <c r="AV39" s="19" t="s">
        <v>35</v>
      </c>
      <c r="AW39" s="19" t="s">
        <v>36</v>
      </c>
      <c r="AX39" s="19" t="s">
        <v>37</v>
      </c>
      <c r="AY39" s="19" t="s">
        <v>38</v>
      </c>
      <c r="AZ39" s="19" t="s">
        <v>39</v>
      </c>
      <c r="BA39" s="19" t="s">
        <v>28</v>
      </c>
      <c r="BB39" s="19" t="s">
        <v>29</v>
      </c>
      <c r="BC39" s="19" t="s">
        <v>30</v>
      </c>
      <c r="BD39" s="19" t="s">
        <v>31</v>
      </c>
      <c r="BE39" s="19" t="s">
        <v>32</v>
      </c>
      <c r="BF39" s="19" t="s">
        <v>33</v>
      </c>
      <c r="BG39" s="19" t="s">
        <v>34</v>
      </c>
      <c r="BH39" s="19" t="s">
        <v>35</v>
      </c>
      <c r="BI39" s="19" t="s">
        <v>36</v>
      </c>
      <c r="BJ39" s="19" t="s">
        <v>37</v>
      </c>
      <c r="BK39" s="19" t="s">
        <v>38</v>
      </c>
      <c r="BL39" s="19" t="s">
        <v>39</v>
      </c>
      <c r="BM39" s="19" t="s">
        <v>28</v>
      </c>
      <c r="BN39" s="19" t="s">
        <v>29</v>
      </c>
      <c r="BO39" s="19" t="s">
        <v>30</v>
      </c>
      <c r="BP39" s="19" t="s">
        <v>31</v>
      </c>
      <c r="BQ39" s="19" t="s">
        <v>32</v>
      </c>
      <c r="BR39" s="19" t="s">
        <v>33</v>
      </c>
      <c r="BS39" s="19" t="s">
        <v>34</v>
      </c>
      <c r="BT39" s="19" t="s">
        <v>35</v>
      </c>
      <c r="BU39" s="19" t="s">
        <v>36</v>
      </c>
      <c r="BV39" s="19" t="s">
        <v>37</v>
      </c>
      <c r="BW39" s="19" t="s">
        <v>38</v>
      </c>
      <c r="BX39" s="19" t="s">
        <v>39</v>
      </c>
      <c r="BY39" s="19" t="s">
        <v>28</v>
      </c>
      <c r="BZ39" s="19" t="s">
        <v>29</v>
      </c>
      <c r="CA39" s="19" t="s">
        <v>30</v>
      </c>
      <c r="CB39" s="19" t="s">
        <v>31</v>
      </c>
      <c r="CC39" s="19" t="s">
        <v>32</v>
      </c>
      <c r="CD39" s="19" t="s">
        <v>33</v>
      </c>
      <c r="CE39" s="19" t="s">
        <v>34</v>
      </c>
      <c r="CF39" s="19" t="s">
        <v>35</v>
      </c>
      <c r="CG39" s="19" t="s">
        <v>36</v>
      </c>
      <c r="CH39" s="19" t="s">
        <v>37</v>
      </c>
      <c r="CI39" s="19" t="s">
        <v>38</v>
      </c>
      <c r="CJ39" s="19" t="s">
        <v>39</v>
      </c>
      <c r="CK39" s="19" t="s">
        <v>28</v>
      </c>
      <c r="CL39" s="19" t="s">
        <v>29</v>
      </c>
      <c r="CM39" s="19" t="s">
        <v>30</v>
      </c>
      <c r="CN39" s="19" t="s">
        <v>31</v>
      </c>
      <c r="CO39" s="19" t="s">
        <v>32</v>
      </c>
      <c r="CP39" s="19" t="s">
        <v>33</v>
      </c>
      <c r="CQ39" s="19" t="s">
        <v>34</v>
      </c>
      <c r="CR39" s="19" t="s">
        <v>35</v>
      </c>
      <c r="CS39" s="19" t="s">
        <v>36</v>
      </c>
      <c r="CT39" s="19" t="s">
        <v>37</v>
      </c>
      <c r="CU39" s="19" t="s">
        <v>38</v>
      </c>
      <c r="CV39" s="19" t="s">
        <v>39</v>
      </c>
      <c r="CW39" s="19" t="s">
        <v>28</v>
      </c>
      <c r="CX39" s="19" t="s">
        <v>29</v>
      </c>
      <c r="CY39" s="19" t="s">
        <v>30</v>
      </c>
      <c r="CZ39" s="19" t="s">
        <v>31</v>
      </c>
      <c r="DA39" s="19" t="s">
        <v>32</v>
      </c>
      <c r="DB39" s="19" t="s">
        <v>33</v>
      </c>
      <c r="DC39" s="19" t="s">
        <v>34</v>
      </c>
      <c r="DD39" s="19" t="s">
        <v>35</v>
      </c>
      <c r="DE39" s="19" t="s">
        <v>36</v>
      </c>
      <c r="DF39" s="19" t="s">
        <v>37</v>
      </c>
      <c r="DG39" s="19" t="s">
        <v>38</v>
      </c>
      <c r="DH39" s="19" t="s">
        <v>39</v>
      </c>
      <c r="DI39" s="19" t="s">
        <v>28</v>
      </c>
      <c r="DJ39" s="19" t="s">
        <v>29</v>
      </c>
      <c r="DK39" s="19" t="s">
        <v>30</v>
      </c>
      <c r="DL39" s="19" t="s">
        <v>31</v>
      </c>
      <c r="DM39" s="19" t="s">
        <v>32</v>
      </c>
      <c r="DN39" s="19" t="s">
        <v>33</v>
      </c>
      <c r="DO39" s="19" t="s">
        <v>34</v>
      </c>
      <c r="DP39" s="19" t="s">
        <v>35</v>
      </c>
      <c r="DQ39" s="19" t="s">
        <v>36</v>
      </c>
      <c r="DR39" s="19" t="s">
        <v>37</v>
      </c>
      <c r="DS39" s="19" t="s">
        <v>38</v>
      </c>
      <c r="DT39" s="19" t="s">
        <v>39</v>
      </c>
      <c r="DU39" s="19" t="s">
        <v>28</v>
      </c>
      <c r="DV39" s="19" t="s">
        <v>29</v>
      </c>
      <c r="DW39" s="19" t="s">
        <v>30</v>
      </c>
      <c r="DX39" s="19" t="s">
        <v>31</v>
      </c>
      <c r="DY39" s="19" t="s">
        <v>32</v>
      </c>
      <c r="DZ39" s="19" t="s">
        <v>33</v>
      </c>
      <c r="EA39" s="19" t="s">
        <v>34</v>
      </c>
      <c r="EB39" s="19" t="s">
        <v>35</v>
      </c>
      <c r="EC39" s="19" t="s">
        <v>36</v>
      </c>
      <c r="ED39" s="19" t="s">
        <v>37</v>
      </c>
      <c r="EE39" s="19" t="s">
        <v>38</v>
      </c>
      <c r="EF39" s="19" t="s">
        <v>39</v>
      </c>
      <c r="EG39" s="19" t="s">
        <v>28</v>
      </c>
      <c r="EH39" s="19" t="s">
        <v>29</v>
      </c>
      <c r="EI39" s="19" t="s">
        <v>30</v>
      </c>
      <c r="EJ39" s="19" t="s">
        <v>31</v>
      </c>
      <c r="EK39" s="19" t="s">
        <v>32</v>
      </c>
      <c r="EL39" s="19" t="s">
        <v>33</v>
      </c>
      <c r="EM39" s="19" t="s">
        <v>34</v>
      </c>
      <c r="EN39" s="19" t="s">
        <v>35</v>
      </c>
      <c r="EO39" s="19" t="s">
        <v>36</v>
      </c>
      <c r="EP39" s="19" t="s">
        <v>37</v>
      </c>
      <c r="EQ39" s="19" t="s">
        <v>38</v>
      </c>
      <c r="ER39" s="19" t="s">
        <v>39</v>
      </c>
      <c r="ES39" s="19" t="s">
        <v>28</v>
      </c>
      <c r="ET39" s="19" t="s">
        <v>29</v>
      </c>
      <c r="EU39" s="19" t="s">
        <v>30</v>
      </c>
      <c r="EV39" s="19" t="s">
        <v>31</v>
      </c>
      <c r="EW39" s="19" t="s">
        <v>32</v>
      </c>
      <c r="EX39" s="19" t="s">
        <v>33</v>
      </c>
      <c r="EY39" s="19" t="s">
        <v>34</v>
      </c>
      <c r="EZ39" s="19" t="s">
        <v>35</v>
      </c>
      <c r="FA39" s="19" t="s">
        <v>36</v>
      </c>
      <c r="FB39" s="19" t="s">
        <v>37</v>
      </c>
      <c r="FC39" s="19" t="s">
        <v>38</v>
      </c>
      <c r="FD39" s="19" t="s">
        <v>39</v>
      </c>
      <c r="FE39" s="19" t="s">
        <v>28</v>
      </c>
      <c r="FF39" s="19" t="s">
        <v>29</v>
      </c>
      <c r="FG39" s="19" t="s">
        <v>30</v>
      </c>
      <c r="FH39" s="19" t="s">
        <v>31</v>
      </c>
      <c r="FI39" s="19" t="s">
        <v>32</v>
      </c>
      <c r="FJ39" s="19" t="s">
        <v>33</v>
      </c>
      <c r="FK39" s="19" t="s">
        <v>34</v>
      </c>
      <c r="FL39" s="19" t="s">
        <v>35</v>
      </c>
      <c r="FM39" s="19" t="s">
        <v>36</v>
      </c>
      <c r="FN39" s="19" t="s">
        <v>37</v>
      </c>
      <c r="FO39" s="19" t="s">
        <v>38</v>
      </c>
      <c r="FP39" s="19" t="s">
        <v>39</v>
      </c>
      <c r="FQ39" s="19" t="s">
        <v>28</v>
      </c>
      <c r="FR39" s="19" t="s">
        <v>29</v>
      </c>
      <c r="FS39" s="19" t="s">
        <v>30</v>
      </c>
      <c r="FT39" s="19" t="s">
        <v>31</v>
      </c>
      <c r="FU39" s="19" t="s">
        <v>32</v>
      </c>
      <c r="FV39" s="19" t="s">
        <v>33</v>
      </c>
      <c r="FW39" s="19" t="s">
        <v>34</v>
      </c>
      <c r="FX39" s="19" t="s">
        <v>35</v>
      </c>
      <c r="FY39" s="19" t="s">
        <v>36</v>
      </c>
      <c r="FZ39" s="19" t="s">
        <v>37</v>
      </c>
      <c r="GA39" s="19" t="s">
        <v>38</v>
      </c>
      <c r="GB39" s="19" t="s">
        <v>39</v>
      </c>
      <c r="GC39" s="19" t="s">
        <v>28</v>
      </c>
      <c r="GD39" s="19" t="s">
        <v>29</v>
      </c>
      <c r="GE39" s="19" t="s">
        <v>30</v>
      </c>
      <c r="GF39" s="19" t="s">
        <v>31</v>
      </c>
      <c r="GG39" s="19" t="s">
        <v>32</v>
      </c>
      <c r="GH39" s="19" t="s">
        <v>33</v>
      </c>
      <c r="GI39" s="19" t="s">
        <v>34</v>
      </c>
      <c r="GJ39" s="19" t="s">
        <v>35</v>
      </c>
      <c r="GK39" s="19" t="s">
        <v>36</v>
      </c>
      <c r="GL39" s="19" t="s">
        <v>37</v>
      </c>
      <c r="GM39" s="19" t="s">
        <v>38</v>
      </c>
      <c r="GN39" s="19" t="s">
        <v>39</v>
      </c>
      <c r="GO39" s="19" t="s">
        <v>28</v>
      </c>
      <c r="GP39" s="19" t="s">
        <v>29</v>
      </c>
      <c r="GQ39" s="19" t="s">
        <v>30</v>
      </c>
      <c r="GR39" s="19" t="s">
        <v>31</v>
      </c>
      <c r="GS39" s="19" t="s">
        <v>32</v>
      </c>
      <c r="GT39" s="19" t="s">
        <v>33</v>
      </c>
      <c r="GU39" s="19" t="s">
        <v>34</v>
      </c>
      <c r="GV39" s="19" t="s">
        <v>35</v>
      </c>
      <c r="GW39" s="19" t="s">
        <v>36</v>
      </c>
      <c r="GX39" s="19" t="s">
        <v>37</v>
      </c>
      <c r="GY39" s="19" t="s">
        <v>38</v>
      </c>
      <c r="GZ39" s="19" t="s">
        <v>39</v>
      </c>
      <c r="HA39" s="19" t="s">
        <v>28</v>
      </c>
      <c r="HB39" s="19" t="s">
        <v>29</v>
      </c>
      <c r="HC39" s="19" t="s">
        <v>30</v>
      </c>
      <c r="HD39" s="19" t="s">
        <v>31</v>
      </c>
      <c r="HE39" s="19" t="s">
        <v>32</v>
      </c>
      <c r="HF39" s="19" t="s">
        <v>33</v>
      </c>
      <c r="HG39" s="19" t="s">
        <v>34</v>
      </c>
      <c r="HH39" s="19" t="s">
        <v>35</v>
      </c>
      <c r="HI39" s="19" t="s">
        <v>36</v>
      </c>
      <c r="HJ39" s="19" t="s">
        <v>37</v>
      </c>
      <c r="HK39" s="19" t="s">
        <v>38</v>
      </c>
      <c r="HL39" s="19" t="s">
        <v>39</v>
      </c>
      <c r="HM39" s="19" t="s">
        <v>28</v>
      </c>
      <c r="HN39" s="19" t="s">
        <v>29</v>
      </c>
      <c r="HO39" s="19" t="s">
        <v>30</v>
      </c>
      <c r="HP39" s="19" t="s">
        <v>31</v>
      </c>
      <c r="HQ39" s="19" t="s">
        <v>32</v>
      </c>
      <c r="HR39" s="19" t="s">
        <v>33</v>
      </c>
      <c r="HS39" s="19" t="s">
        <v>34</v>
      </c>
      <c r="HT39" s="19" t="s">
        <v>35</v>
      </c>
      <c r="HU39" s="19" t="s">
        <v>36</v>
      </c>
      <c r="HV39" s="19" t="s">
        <v>37</v>
      </c>
      <c r="HW39" s="19" t="s">
        <v>38</v>
      </c>
      <c r="HX39" s="19" t="s">
        <v>39</v>
      </c>
      <c r="HY39" s="19" t="s">
        <v>28</v>
      </c>
      <c r="HZ39" s="19" t="s">
        <v>29</v>
      </c>
      <c r="IA39" s="19" t="s">
        <v>30</v>
      </c>
      <c r="IB39" s="19" t="s">
        <v>31</v>
      </c>
      <c r="IC39" s="19" t="s">
        <v>32</v>
      </c>
      <c r="ID39" s="19" t="s">
        <v>33</v>
      </c>
      <c r="IE39" s="19" t="s">
        <v>34</v>
      </c>
      <c r="IF39" s="19" t="s">
        <v>35</v>
      </c>
      <c r="IG39" s="19" t="s">
        <v>36</v>
      </c>
      <c r="IH39" s="19" t="s">
        <v>37</v>
      </c>
      <c r="II39" s="19" t="s">
        <v>38</v>
      </c>
      <c r="IJ39" s="19" t="s">
        <v>39</v>
      </c>
      <c r="IK39" s="19" t="s">
        <v>28</v>
      </c>
      <c r="IL39" s="19" t="s">
        <v>29</v>
      </c>
      <c r="IM39" s="19" t="s">
        <v>30</v>
      </c>
      <c r="IN39" s="19" t="s">
        <v>31</v>
      </c>
      <c r="IO39" s="19" t="s">
        <v>32</v>
      </c>
      <c r="IP39" s="19" t="s">
        <v>33</v>
      </c>
      <c r="IQ39" s="19" t="s">
        <v>34</v>
      </c>
      <c r="IR39" s="19" t="s">
        <v>35</v>
      </c>
      <c r="IS39" s="19" t="s">
        <v>36</v>
      </c>
      <c r="IT39" s="19" t="s">
        <v>37</v>
      </c>
      <c r="IU39" s="19" t="s">
        <v>38</v>
      </c>
      <c r="IV39" s="19" t="s">
        <v>39</v>
      </c>
      <c r="IW39" s="19" t="s">
        <v>28</v>
      </c>
      <c r="IX39" s="19" t="s">
        <v>29</v>
      </c>
      <c r="IY39" s="19" t="s">
        <v>30</v>
      </c>
      <c r="IZ39" s="19" t="s">
        <v>31</v>
      </c>
      <c r="JA39" s="19" t="s">
        <v>32</v>
      </c>
      <c r="JB39" s="19" t="s">
        <v>33</v>
      </c>
      <c r="JC39" s="19" t="s">
        <v>34</v>
      </c>
      <c r="JD39" s="19" t="s">
        <v>35</v>
      </c>
      <c r="JE39" s="19" t="s">
        <v>36</v>
      </c>
      <c r="JF39" s="19" t="s">
        <v>37</v>
      </c>
      <c r="JG39" s="19" t="s">
        <v>38</v>
      </c>
      <c r="JH39" s="19" t="s">
        <v>39</v>
      </c>
      <c r="JI39" s="19" t="s">
        <v>28</v>
      </c>
      <c r="JJ39" s="19" t="s">
        <v>29</v>
      </c>
      <c r="JK39" s="19" t="s">
        <v>30</v>
      </c>
      <c r="JL39" s="19" t="s">
        <v>31</v>
      </c>
      <c r="JM39" s="19" t="s">
        <v>32</v>
      </c>
      <c r="JN39" s="19" t="s">
        <v>33</v>
      </c>
      <c r="JO39" s="19" t="s">
        <v>34</v>
      </c>
      <c r="JP39" s="19" t="s">
        <v>35</v>
      </c>
      <c r="JQ39" s="19" t="s">
        <v>36</v>
      </c>
      <c r="JR39" s="19" t="s">
        <v>37</v>
      </c>
      <c r="JS39" s="19" t="s">
        <v>38</v>
      </c>
      <c r="JT39" s="19" t="s">
        <v>39</v>
      </c>
    </row>
    <row r="40" spans="1:280" x14ac:dyDescent="0.2">
      <c r="A40" s="7">
        <f>Summary!$D$3</f>
        <v>64955661.612550527</v>
      </c>
      <c r="D40" s="1" t="s">
        <v>985</v>
      </c>
      <c r="E40" s="33">
        <f>IFERROR($A$40*VLOOKUP(E$37,CapEx!$N$11:$O$34,2,0),0)</f>
        <v>14105824.0532533</v>
      </c>
      <c r="F40" s="33">
        <f>IFERROR($A$40*VLOOKUP(F$37,CapEx!$N$11:$O$34,2,0),0)</f>
        <v>4438693.4633492697</v>
      </c>
      <c r="G40" s="33">
        <f>IFERROR($A$40*VLOOKUP(G$37,CapEx!$N$11:$O$34,2,0),0)</f>
        <v>3577780.8951081438</v>
      </c>
      <c r="H40" s="33">
        <f>IFERROR($A$40*VLOOKUP(H$37,CapEx!$N$11:$O$34,2,0),0)</f>
        <v>2283108.955551052</v>
      </c>
      <c r="I40" s="33">
        <f>IFERROR($A$40*VLOOKUP(I$37,CapEx!$N$11:$O$34,2,0),0)</f>
        <v>5413574.9108241564</v>
      </c>
      <c r="J40" s="33">
        <f>IFERROR($A$40*VLOOKUP(J$37,CapEx!$N$11:$O$34,2,0),0)</f>
        <v>6719674.6881163707</v>
      </c>
      <c r="K40" s="33">
        <f>IFERROR($A$40*VLOOKUP(K$37,CapEx!$N$11:$O$34,2,0),0)</f>
        <v>5885673.6156065557</v>
      </c>
      <c r="L40" s="33">
        <f>IFERROR($A$40*VLOOKUP(L$37,CapEx!$N$11:$O$34,2,0),0)</f>
        <v>5046830.5829036953</v>
      </c>
      <c r="M40" s="33">
        <f>IFERROR($A$40*VLOOKUP(M$37,CapEx!$N$11:$O$34,2,0),0)</f>
        <v>4638174.9053709097</v>
      </c>
      <c r="N40" s="33">
        <f>IFERROR($A$40*VLOOKUP(N$37,CapEx!$N$11:$O$34,2,0),0)</f>
        <v>3788091.0922239595</v>
      </c>
      <c r="O40" s="33">
        <f>IFERROR($A$40*VLOOKUP(O$37,CapEx!$N$11:$O$34,2,0),0)</f>
        <v>3680511.0278601125</v>
      </c>
      <c r="P40" s="33">
        <f>IFERROR($A$40*VLOOKUP(P$37,CapEx!$N$11:$O$34,2,0),0)</f>
        <v>5377723.4223829815</v>
      </c>
      <c r="Q40" s="33">
        <f>IFERROR($A$40*VLOOKUP(Q$37,CapEx!$N$11:$O$34,2,0),0)</f>
        <v>0</v>
      </c>
      <c r="R40" s="33">
        <f>IFERROR($A$40*VLOOKUP(R$37,CapEx!$N$11:$O$34,2,0),0)</f>
        <v>0</v>
      </c>
      <c r="S40" s="33">
        <f>IFERROR($A$40*VLOOKUP(S$37,CapEx!$N$11:$O$34,2,0),0)</f>
        <v>0</v>
      </c>
      <c r="T40" s="33">
        <f>IFERROR($A$40*VLOOKUP(T$37,CapEx!$N$11:$O$34,2,0),0)</f>
        <v>0</v>
      </c>
      <c r="U40" s="33">
        <f>IFERROR($A$40*VLOOKUP(U$37,CapEx!$N$11:$O$34,2,0),0)</f>
        <v>0</v>
      </c>
      <c r="V40" s="33">
        <f>IFERROR($A$40*VLOOKUP(V$37,CapEx!$N$11:$O$34,2,0),0)</f>
        <v>0</v>
      </c>
      <c r="W40" s="33">
        <f>IFERROR($A$40*VLOOKUP(W$37,CapEx!$N$11:$O$34,2,0),0)</f>
        <v>0</v>
      </c>
      <c r="X40" s="33">
        <f>IFERROR($A$40*VLOOKUP(X$37,CapEx!$N$11:$O$34,2,0),0)</f>
        <v>0</v>
      </c>
      <c r="Y40" s="33">
        <f>IFERROR($A$40*VLOOKUP(Y$37,CapEx!$N$11:$O$34,2,0),0)</f>
        <v>0</v>
      </c>
      <c r="Z40" s="33">
        <f>IFERROR($A$40*VLOOKUP(Z$37,CapEx!$N$11:$O$34,2,0),0)</f>
        <v>0</v>
      </c>
      <c r="AA40" s="33">
        <f>IFERROR($A$40*VLOOKUP(AA$37,CapEx!$N$11:$O$34,2,0),0)</f>
        <v>0</v>
      </c>
      <c r="AB40" s="33">
        <f>IFERROR($A$40*VLOOKUP(AB$37,CapEx!$N$11:$O$34,2,0),0)</f>
        <v>0</v>
      </c>
      <c r="AC40" s="33">
        <f>IFERROR($A$40*VLOOKUP(AC$37,CapEx!$N$11:$O$34,2,0),0)</f>
        <v>0</v>
      </c>
      <c r="AD40" s="33">
        <f>IFERROR($A$40*VLOOKUP(AD$37,CapEx!$N$11:$O$34,2,0),0)</f>
        <v>0</v>
      </c>
      <c r="AE40" s="33">
        <f>IFERROR($A$40*VLOOKUP(AE$37,CapEx!$N$11:$O$34,2,0),0)</f>
        <v>0</v>
      </c>
      <c r="AF40" s="33">
        <f>IFERROR($A$40*VLOOKUP(AF$37,CapEx!$N$11:$O$34,2,0),0)</f>
        <v>0</v>
      </c>
      <c r="AG40" s="33">
        <f>IFERROR($A$40*VLOOKUP(AG$37,CapEx!$N$11:$O$34,2,0),0)</f>
        <v>0</v>
      </c>
      <c r="AH40" s="33">
        <f>IFERROR($A$40*VLOOKUP(AH$37,CapEx!$N$11:$O$34,2,0),0)</f>
        <v>0</v>
      </c>
      <c r="AI40" s="33">
        <f>IFERROR($A$40*VLOOKUP(AI$37,CapEx!$N$11:$O$34,2,0),0)</f>
        <v>0</v>
      </c>
      <c r="AJ40" s="33">
        <f>IFERROR($A$40*VLOOKUP(AJ$37,CapEx!$N$11:$O$34,2,0),0)</f>
        <v>0</v>
      </c>
      <c r="AK40" s="33">
        <f>IFERROR($A$40*VLOOKUP(AK$37,CapEx!$N$11:$O$34,2,0),0)</f>
        <v>0</v>
      </c>
      <c r="AL40" s="33">
        <f>IFERROR($A$40*VLOOKUP(AL$37,CapEx!$N$11:$O$34,2,0),0)</f>
        <v>0</v>
      </c>
      <c r="AM40" s="33">
        <f>IFERROR($A$40*VLOOKUP(AM$37,CapEx!$N$11:$O$34,2,0),0)</f>
        <v>0</v>
      </c>
      <c r="AN40" s="33">
        <f>IFERROR($A$40*VLOOKUP(AN$37,CapEx!$N$11:$O$34,2,0),0)</f>
        <v>0</v>
      </c>
      <c r="AO40" s="33">
        <f>IFERROR($A$40*VLOOKUP(AO$37,CapEx!$N$11:$O$34,2,0),0)</f>
        <v>0</v>
      </c>
      <c r="AP40" s="33">
        <f>IFERROR($A$40*VLOOKUP(AP$37,CapEx!$N$11:$O$34,2,0),0)</f>
        <v>0</v>
      </c>
      <c r="AQ40" s="33">
        <f>IFERROR($A$40*VLOOKUP(AQ$37,CapEx!$N$11:$O$34,2,0),0)</f>
        <v>0</v>
      </c>
      <c r="AR40" s="33">
        <f>IFERROR($A$40*VLOOKUP(AR$37,CapEx!$N$11:$O$34,2,0),0)</f>
        <v>0</v>
      </c>
      <c r="AS40" s="33">
        <f>IFERROR($A$40*VLOOKUP(AS$37,CapEx!$N$11:$O$34,2,0),0)</f>
        <v>0</v>
      </c>
      <c r="AT40" s="33">
        <f>IFERROR($A$40*VLOOKUP(AT$37,CapEx!$N$11:$O$34,2,0),0)</f>
        <v>0</v>
      </c>
      <c r="AU40" s="33">
        <f>IFERROR($A$40*VLOOKUP(AU$37,CapEx!$N$11:$O$34,2,0),0)</f>
        <v>0</v>
      </c>
      <c r="AV40" s="33">
        <f>IFERROR($A$40*VLOOKUP(AV$37,CapEx!$N$11:$O$34,2,0),0)</f>
        <v>0</v>
      </c>
      <c r="AW40" s="33">
        <f>IFERROR($A$40*VLOOKUP(AW$37,CapEx!$N$11:$O$34,2,0),0)</f>
        <v>0</v>
      </c>
      <c r="AX40" s="33">
        <f>IFERROR($A$40*VLOOKUP(AX$37,CapEx!$N$11:$O$34,2,0),0)</f>
        <v>0</v>
      </c>
      <c r="AY40" s="33">
        <f>IFERROR($A$40*VLOOKUP(AY$37,CapEx!$N$11:$O$34,2,0),0)</f>
        <v>0</v>
      </c>
      <c r="AZ40" s="33">
        <f>IFERROR($A$40*VLOOKUP(AZ$37,CapEx!$N$11:$O$34,2,0),0)</f>
        <v>0</v>
      </c>
      <c r="BA40" s="33">
        <f>IFERROR($A$40*VLOOKUP(BA$37,CapEx!$N$11:$O$34,2,0),0)</f>
        <v>0</v>
      </c>
      <c r="BB40" s="33">
        <f>IFERROR($A$40*VLOOKUP(BB$37,CapEx!$N$11:$O$34,2,0),0)</f>
        <v>0</v>
      </c>
      <c r="BC40" s="33">
        <f>IFERROR($A$40*VLOOKUP(BC$37,CapEx!$N$11:$O$34,2,0),0)</f>
        <v>0</v>
      </c>
      <c r="BD40" s="33">
        <f>IFERROR($A$40*VLOOKUP(BD$37,CapEx!$N$11:$O$34,2,0),0)</f>
        <v>0</v>
      </c>
      <c r="BE40" s="33">
        <f>IFERROR($A$40*VLOOKUP(BE$37,CapEx!$N$11:$O$34,2,0),0)</f>
        <v>0</v>
      </c>
      <c r="BF40" s="33">
        <f>IFERROR($A$40*VLOOKUP(BF$37,CapEx!$N$11:$O$34,2,0),0)</f>
        <v>0</v>
      </c>
      <c r="BG40" s="33">
        <f>IFERROR($A$40*VLOOKUP(BG$37,CapEx!$N$11:$O$34,2,0),0)</f>
        <v>0</v>
      </c>
      <c r="BH40" s="33">
        <f>IFERROR($A$40*VLOOKUP(BH$37,CapEx!$N$11:$O$34,2,0),0)</f>
        <v>0</v>
      </c>
      <c r="BI40" s="33">
        <f>IFERROR($A$40*VLOOKUP(BI$37,CapEx!$N$11:$O$34,2,0),0)</f>
        <v>0</v>
      </c>
      <c r="BJ40" s="33">
        <f>IFERROR($A$40*VLOOKUP(BJ$37,CapEx!$N$11:$O$34,2,0),0)</f>
        <v>0</v>
      </c>
      <c r="BK40" s="33">
        <f>IFERROR($A$40*VLOOKUP(BK$37,CapEx!$N$11:$O$34,2,0),0)</f>
        <v>0</v>
      </c>
      <c r="BL40" s="33">
        <f>IFERROR($A$40*VLOOKUP(BL$37,CapEx!$N$11:$O$34,2,0),0)</f>
        <v>0</v>
      </c>
      <c r="BM40" s="33">
        <f>IFERROR($A$40*VLOOKUP(BM$37,CapEx!$N$11:$O$34,2,0),0)</f>
        <v>0</v>
      </c>
      <c r="BN40" s="33">
        <f>IFERROR($A$40*VLOOKUP(BN$37,CapEx!$N$11:$O$34,2,0),0)</f>
        <v>0</v>
      </c>
      <c r="BO40" s="33">
        <f>IFERROR($A$40*VLOOKUP(BO$37,CapEx!$N$11:$O$34,2,0),0)</f>
        <v>0</v>
      </c>
      <c r="BP40" s="33">
        <f>IFERROR($A$40*VLOOKUP(BP$37,CapEx!$N$11:$O$34,2,0),0)</f>
        <v>0</v>
      </c>
      <c r="BQ40" s="33">
        <f>IFERROR($A$40*VLOOKUP(BQ$37,CapEx!$N$11:$O$34,2,0),0)</f>
        <v>0</v>
      </c>
      <c r="BR40" s="33">
        <f>IFERROR($A$40*VLOOKUP(BR$37,CapEx!$N$11:$O$34,2,0),0)</f>
        <v>0</v>
      </c>
      <c r="BS40" s="33">
        <f>IFERROR($A$40*VLOOKUP(BS$37,CapEx!$N$11:$O$34,2,0),0)</f>
        <v>0</v>
      </c>
      <c r="BT40" s="33">
        <f>IFERROR($A$40*VLOOKUP(BT$37,CapEx!$N$11:$O$34,2,0),0)</f>
        <v>0</v>
      </c>
      <c r="BU40" s="33">
        <f>IFERROR($A$40*VLOOKUP(BU$37,CapEx!$N$11:$O$34,2,0),0)</f>
        <v>0</v>
      </c>
      <c r="BV40" s="33">
        <f>IFERROR($A$40*VLOOKUP(BV$37,CapEx!$N$11:$O$34,2,0),0)</f>
        <v>0</v>
      </c>
      <c r="BW40" s="33">
        <f>IFERROR($A$40*VLOOKUP(BW$37,CapEx!$N$11:$O$34,2,0),0)</f>
        <v>0</v>
      </c>
      <c r="BX40" s="33">
        <f>IFERROR($A$40*VLOOKUP(BX$37,CapEx!$N$11:$O$34,2,0),0)</f>
        <v>0</v>
      </c>
      <c r="BY40" s="33">
        <f>IFERROR($A$40*VLOOKUP(BY$37,CapEx!$N$11:$O$34,2,0),0)</f>
        <v>0</v>
      </c>
      <c r="BZ40" s="33">
        <f>IFERROR($A$40*VLOOKUP(BZ$37,CapEx!$N$11:$O$34,2,0),0)</f>
        <v>0</v>
      </c>
      <c r="CA40" s="33">
        <f>IFERROR($A$40*VLOOKUP(CA$37,CapEx!$N$11:$O$34,2,0),0)</f>
        <v>0</v>
      </c>
      <c r="CB40" s="33">
        <f>IFERROR($A$40*VLOOKUP(CB$37,CapEx!$N$11:$O$34,2,0),0)</f>
        <v>0</v>
      </c>
      <c r="CC40" s="33">
        <f>IFERROR($A$40*VLOOKUP(CC$37,CapEx!$N$11:$O$34,2,0),0)</f>
        <v>0</v>
      </c>
      <c r="CD40" s="33">
        <f>IFERROR($A$40*VLOOKUP(CD$37,CapEx!$N$11:$O$34,2,0),0)</f>
        <v>0</v>
      </c>
      <c r="CE40" s="33">
        <f>IFERROR($A$40*VLOOKUP(CE$37,CapEx!$N$11:$O$34,2,0),0)</f>
        <v>0</v>
      </c>
      <c r="CF40" s="33">
        <f>IFERROR($A$40*VLOOKUP(CF$37,CapEx!$N$11:$O$34,2,0),0)</f>
        <v>0</v>
      </c>
      <c r="CG40" s="33">
        <f>IFERROR($A$40*VLOOKUP(CG$37,CapEx!$N$11:$O$34,2,0),0)</f>
        <v>0</v>
      </c>
      <c r="CH40" s="33">
        <f>IFERROR($A$40*VLOOKUP(CH$37,CapEx!$N$11:$O$34,2,0),0)</f>
        <v>0</v>
      </c>
      <c r="CI40" s="33">
        <f>IFERROR($A$40*VLOOKUP(CI$37,CapEx!$N$11:$O$34,2,0),0)</f>
        <v>0</v>
      </c>
      <c r="CJ40" s="33">
        <f>IFERROR($A$40*VLOOKUP(CJ$37,CapEx!$N$11:$O$34,2,0),0)</f>
        <v>0</v>
      </c>
      <c r="CK40" s="33">
        <f>IFERROR($A$40*VLOOKUP(CK$37,CapEx!$N$11:$O$34,2,0),0)</f>
        <v>0</v>
      </c>
      <c r="CL40" s="33">
        <f>IFERROR($A$40*VLOOKUP(CL$37,CapEx!$N$11:$O$34,2,0),0)</f>
        <v>0</v>
      </c>
      <c r="CM40" s="33">
        <f>IFERROR($A$40*VLOOKUP(CM$37,CapEx!$N$11:$O$34,2,0),0)</f>
        <v>0</v>
      </c>
      <c r="CN40" s="33">
        <f>IFERROR($A$40*VLOOKUP(CN$37,CapEx!$N$11:$O$34,2,0),0)</f>
        <v>0</v>
      </c>
      <c r="CO40" s="33">
        <f>IFERROR($A$40*VLOOKUP(CO$37,CapEx!$N$11:$O$34,2,0),0)</f>
        <v>0</v>
      </c>
      <c r="CP40" s="33">
        <f>IFERROR($A$40*VLOOKUP(CP$37,CapEx!$N$11:$O$34,2,0),0)</f>
        <v>0</v>
      </c>
      <c r="CQ40" s="33">
        <f>IFERROR($A$40*VLOOKUP(CQ$37,CapEx!$N$11:$O$34,2,0),0)</f>
        <v>0</v>
      </c>
      <c r="CR40" s="33">
        <f>IFERROR($A$40*VLOOKUP(CR$37,CapEx!$N$11:$O$34,2,0),0)</f>
        <v>0</v>
      </c>
      <c r="CS40" s="33">
        <f>IFERROR($A$40*VLOOKUP(CS$37,CapEx!$N$11:$O$34,2,0),0)</f>
        <v>0</v>
      </c>
      <c r="CT40" s="33">
        <f>IFERROR($A$40*VLOOKUP(CT$37,CapEx!$N$11:$O$34,2,0),0)</f>
        <v>0</v>
      </c>
      <c r="CU40" s="33">
        <f>IFERROR($A$40*VLOOKUP(CU$37,CapEx!$N$11:$O$34,2,0),0)</f>
        <v>0</v>
      </c>
      <c r="CV40" s="33">
        <f>IFERROR($A$40*VLOOKUP(CV$37,CapEx!$N$11:$O$34,2,0),0)</f>
        <v>0</v>
      </c>
      <c r="CW40" s="33">
        <f>IFERROR($A$40*VLOOKUP(CW$37,CapEx!$N$11:$O$34,2,0),0)</f>
        <v>0</v>
      </c>
      <c r="CX40" s="33">
        <f>IFERROR($A$40*VLOOKUP(CX$37,CapEx!$N$11:$O$34,2,0),0)</f>
        <v>0</v>
      </c>
      <c r="CY40" s="33">
        <f>IFERROR($A$40*VLOOKUP(CY$37,CapEx!$N$11:$O$34,2,0),0)</f>
        <v>0</v>
      </c>
      <c r="CZ40" s="33">
        <f>IFERROR($A$40*VLOOKUP(CZ$37,CapEx!$N$11:$O$34,2,0),0)</f>
        <v>0</v>
      </c>
      <c r="DA40" s="33">
        <f>IFERROR($A$40*VLOOKUP(DA$37,CapEx!$N$11:$O$34,2,0),0)</f>
        <v>0</v>
      </c>
      <c r="DB40" s="33">
        <f>IFERROR($A$40*VLOOKUP(DB$37,CapEx!$N$11:$O$34,2,0),0)</f>
        <v>0</v>
      </c>
      <c r="DC40" s="33">
        <f>IFERROR($A$40*VLOOKUP(DC$37,CapEx!$N$11:$O$34,2,0),0)</f>
        <v>0</v>
      </c>
      <c r="DD40" s="33">
        <f>IFERROR($A$40*VLOOKUP(DD$37,CapEx!$N$11:$O$34,2,0),0)</f>
        <v>0</v>
      </c>
      <c r="DE40" s="33">
        <f>IFERROR($A$40*VLOOKUP(DE$37,CapEx!$N$11:$O$34,2,0),0)</f>
        <v>0</v>
      </c>
      <c r="DF40" s="33">
        <f>IFERROR($A$40*VLOOKUP(DF$37,CapEx!$N$11:$O$34,2,0),0)</f>
        <v>0</v>
      </c>
      <c r="DG40" s="33">
        <f>IFERROR($A$40*VLOOKUP(DG$37,CapEx!$N$11:$O$34,2,0),0)</f>
        <v>0</v>
      </c>
      <c r="DH40" s="33">
        <f>IFERROR($A$40*VLOOKUP(DH$37,CapEx!$N$11:$O$34,2,0),0)</f>
        <v>0</v>
      </c>
      <c r="DI40" s="33">
        <f>IFERROR($A$40*VLOOKUP(DI$37,CapEx!$N$11:$O$34,2,0),0)</f>
        <v>0</v>
      </c>
      <c r="DJ40" s="33">
        <f>IFERROR($A$40*VLOOKUP(DJ$37,CapEx!$N$11:$O$34,2,0),0)</f>
        <v>0</v>
      </c>
      <c r="DK40" s="33">
        <f>IFERROR($A$40*VLOOKUP(DK$37,CapEx!$N$11:$O$34,2,0),0)</f>
        <v>0</v>
      </c>
      <c r="DL40" s="33">
        <f>IFERROR($A$40*VLOOKUP(DL$37,CapEx!$N$11:$O$34,2,0),0)</f>
        <v>0</v>
      </c>
      <c r="DM40" s="33">
        <f>IFERROR($A$40*VLOOKUP(DM$37,CapEx!$N$11:$O$34,2,0),0)</f>
        <v>0</v>
      </c>
      <c r="DN40" s="33">
        <f>IFERROR($A$40*VLOOKUP(DN$37,CapEx!$N$11:$O$34,2,0),0)</f>
        <v>0</v>
      </c>
      <c r="DO40" s="33">
        <f>IFERROR($A$40*VLOOKUP(DO$37,CapEx!$N$11:$O$34,2,0),0)</f>
        <v>0</v>
      </c>
      <c r="DP40" s="33">
        <f>IFERROR($A$40*VLOOKUP(DP$37,CapEx!$N$11:$O$34,2,0),0)</f>
        <v>0</v>
      </c>
      <c r="DQ40" s="33">
        <f>IFERROR($A$40*VLOOKUP(DQ$37,CapEx!$N$11:$O$34,2,0),0)</f>
        <v>0</v>
      </c>
      <c r="DR40" s="33">
        <f>IFERROR($A$40*VLOOKUP(DR$37,CapEx!$N$11:$O$34,2,0),0)</f>
        <v>0</v>
      </c>
      <c r="DS40" s="33">
        <f>IFERROR($A$40*VLOOKUP(DS$37,CapEx!$N$11:$O$34,2,0),0)</f>
        <v>0</v>
      </c>
      <c r="DT40" s="33">
        <f>IFERROR($A$40*VLOOKUP(DT$37,CapEx!$N$11:$O$34,2,0),0)</f>
        <v>0</v>
      </c>
      <c r="DU40" s="33">
        <f>IFERROR($A$40*VLOOKUP(DU$37,CapEx!$N$11:$O$34,2,0),0)</f>
        <v>0</v>
      </c>
      <c r="DV40" s="33">
        <f>IFERROR($A$40*VLOOKUP(DV$37,CapEx!$N$11:$O$34,2,0),0)</f>
        <v>0</v>
      </c>
      <c r="DW40" s="33">
        <f>IFERROR($A$40*VLOOKUP(DW$37,CapEx!$N$11:$O$34,2,0),0)</f>
        <v>0</v>
      </c>
      <c r="DX40" s="33">
        <f>IFERROR($A$40*VLOOKUP(DX$37,CapEx!$N$11:$O$34,2,0),0)</f>
        <v>0</v>
      </c>
      <c r="DY40" s="33">
        <f>IFERROR($A$40*VLOOKUP(DY$37,CapEx!$N$11:$O$34,2,0),0)</f>
        <v>0</v>
      </c>
      <c r="DZ40" s="33">
        <f>IFERROR($A$40*VLOOKUP(DZ$37,CapEx!$N$11:$O$34,2,0),0)</f>
        <v>0</v>
      </c>
      <c r="EA40" s="33">
        <f>IFERROR($A$40*VLOOKUP(EA$37,CapEx!$N$11:$O$34,2,0),0)</f>
        <v>0</v>
      </c>
      <c r="EB40" s="33">
        <f>IFERROR($A$40*VLOOKUP(EB$37,CapEx!$N$11:$O$34,2,0),0)</f>
        <v>0</v>
      </c>
      <c r="EC40" s="33">
        <f>IFERROR($A$40*VLOOKUP(EC$37,CapEx!$N$11:$O$34,2,0),0)</f>
        <v>0</v>
      </c>
      <c r="ED40" s="33">
        <f>IFERROR($A$40*VLOOKUP(ED$37,CapEx!$N$11:$O$34,2,0),0)</f>
        <v>0</v>
      </c>
      <c r="EE40" s="33">
        <f>IFERROR($A$40*VLOOKUP(EE$37,CapEx!$N$11:$O$34,2,0),0)</f>
        <v>0</v>
      </c>
      <c r="EF40" s="33">
        <f>IFERROR($A$40*VLOOKUP(EF$37,CapEx!$N$11:$O$34,2,0),0)</f>
        <v>0</v>
      </c>
      <c r="EG40" s="33">
        <f>IFERROR($A$40*VLOOKUP(EG$37,CapEx!$N$11:$O$34,2,0),0)</f>
        <v>0</v>
      </c>
      <c r="EH40" s="33">
        <f>IFERROR($A$40*VLOOKUP(EH$37,CapEx!$N$11:$O$34,2,0),0)</f>
        <v>0</v>
      </c>
      <c r="EI40" s="33">
        <f>IFERROR($A$40*VLOOKUP(EI$37,CapEx!$N$11:$O$34,2,0),0)</f>
        <v>0</v>
      </c>
      <c r="EJ40" s="33">
        <f>IFERROR($A$40*VLOOKUP(EJ$37,CapEx!$N$11:$O$34,2,0),0)</f>
        <v>0</v>
      </c>
      <c r="EK40" s="33">
        <f>IFERROR($A$40*VLOOKUP(EK$37,CapEx!$N$11:$O$34,2,0),0)</f>
        <v>0</v>
      </c>
      <c r="EL40" s="33">
        <f>IFERROR($A$40*VLOOKUP(EL$37,CapEx!$N$11:$O$34,2,0),0)</f>
        <v>0</v>
      </c>
      <c r="EM40" s="33">
        <f>IFERROR($A$40*VLOOKUP(EM$37,CapEx!$N$11:$O$34,2,0),0)</f>
        <v>0</v>
      </c>
      <c r="EN40" s="33">
        <f>IFERROR($A$40*VLOOKUP(EN$37,CapEx!$N$11:$O$34,2,0),0)</f>
        <v>0</v>
      </c>
      <c r="EO40" s="33">
        <f>IFERROR($A$40*VLOOKUP(EO$37,CapEx!$N$11:$O$34,2,0),0)</f>
        <v>0</v>
      </c>
      <c r="EP40" s="33">
        <f>IFERROR($A$40*VLOOKUP(EP$37,CapEx!$N$11:$O$34,2,0),0)</f>
        <v>0</v>
      </c>
      <c r="EQ40" s="33">
        <f>IFERROR($A$40*VLOOKUP(EQ$37,CapEx!$N$11:$O$34,2,0),0)</f>
        <v>0</v>
      </c>
      <c r="ER40" s="33">
        <f>IFERROR($A$40*VLOOKUP(ER$37,CapEx!$N$11:$O$34,2,0),0)</f>
        <v>0</v>
      </c>
      <c r="ES40" s="33">
        <f>IFERROR($A$40*VLOOKUP(ES$37,CapEx!$N$11:$O$34,2,0),0)</f>
        <v>0</v>
      </c>
      <c r="ET40" s="33">
        <f>IFERROR($A$40*VLOOKUP(ET$37,CapEx!$N$11:$O$34,2,0),0)</f>
        <v>0</v>
      </c>
      <c r="EU40" s="33">
        <f>IFERROR($A$40*VLOOKUP(EU$37,CapEx!$N$11:$O$34,2,0),0)</f>
        <v>0</v>
      </c>
      <c r="EV40" s="33">
        <f>IFERROR($A$40*VLOOKUP(EV$37,CapEx!$N$11:$O$34,2,0),0)</f>
        <v>0</v>
      </c>
      <c r="EW40" s="33">
        <f>IFERROR($A$40*VLOOKUP(EW$37,CapEx!$N$11:$O$34,2,0),0)</f>
        <v>0</v>
      </c>
      <c r="EX40" s="33">
        <f>IFERROR($A$40*VLOOKUP(EX$37,CapEx!$N$11:$O$34,2,0),0)</f>
        <v>0</v>
      </c>
      <c r="EY40" s="33">
        <f>IFERROR($A$40*VLOOKUP(EY$37,CapEx!$N$11:$O$34,2,0),0)</f>
        <v>0</v>
      </c>
      <c r="EZ40" s="33">
        <f>IFERROR($A$40*VLOOKUP(EZ$37,CapEx!$N$11:$O$34,2,0),0)</f>
        <v>0</v>
      </c>
      <c r="FA40" s="33">
        <f>IFERROR($A$40*VLOOKUP(FA$37,CapEx!$N$11:$O$34,2,0),0)</f>
        <v>0</v>
      </c>
      <c r="FB40" s="33">
        <f>IFERROR($A$40*VLOOKUP(FB$37,CapEx!$N$11:$O$34,2,0),0)</f>
        <v>0</v>
      </c>
      <c r="FC40" s="33">
        <f>IFERROR($A$40*VLOOKUP(FC$37,CapEx!$N$11:$O$34,2,0),0)</f>
        <v>0</v>
      </c>
      <c r="FD40" s="33">
        <f>IFERROR($A$40*VLOOKUP(FD$37,CapEx!$N$11:$O$34,2,0),0)</f>
        <v>0</v>
      </c>
      <c r="FE40" s="33">
        <f>IFERROR($A$40*VLOOKUP(FE$37,CapEx!$N$11:$O$34,2,0),0)</f>
        <v>0</v>
      </c>
      <c r="FF40" s="33">
        <f>IFERROR($A$40*VLOOKUP(FF$37,CapEx!$N$11:$O$34,2,0),0)</f>
        <v>0</v>
      </c>
      <c r="FG40" s="33">
        <f>IFERROR($A$40*VLOOKUP(FG$37,CapEx!$N$11:$O$34,2,0),0)</f>
        <v>0</v>
      </c>
      <c r="FH40" s="33">
        <f>IFERROR($A$40*VLOOKUP(FH$37,CapEx!$N$11:$O$34,2,0),0)</f>
        <v>0</v>
      </c>
      <c r="FI40" s="33">
        <f>IFERROR($A$40*VLOOKUP(FI$37,CapEx!$N$11:$O$34,2,0),0)</f>
        <v>0</v>
      </c>
      <c r="FJ40" s="33">
        <f>IFERROR($A$40*VLOOKUP(FJ$37,CapEx!$N$11:$O$34,2,0),0)</f>
        <v>0</v>
      </c>
      <c r="FK40" s="33">
        <f>IFERROR($A$40*VLOOKUP(FK$37,CapEx!$N$11:$O$34,2,0),0)</f>
        <v>0</v>
      </c>
      <c r="FL40" s="33">
        <f>IFERROR($A$40*VLOOKUP(FL$37,CapEx!$N$11:$O$34,2,0),0)</f>
        <v>0</v>
      </c>
      <c r="FM40" s="33">
        <f>IFERROR($A$40*VLOOKUP(FM$37,CapEx!$N$11:$O$34,2,0),0)</f>
        <v>0</v>
      </c>
      <c r="FN40" s="33">
        <f>IFERROR($A$40*VLOOKUP(FN$37,CapEx!$N$11:$O$34,2,0),0)</f>
        <v>0</v>
      </c>
      <c r="FO40" s="33">
        <f>IFERROR($A$40*VLOOKUP(FO$37,CapEx!$N$11:$O$34,2,0),0)</f>
        <v>0</v>
      </c>
      <c r="FP40" s="33">
        <f>IFERROR($A$40*VLOOKUP(FP$37,CapEx!$N$11:$O$34,2,0),0)</f>
        <v>0</v>
      </c>
      <c r="FQ40" s="33">
        <f>IFERROR($A$40*VLOOKUP(FQ$37,CapEx!$N$11:$O$34,2,0),0)</f>
        <v>0</v>
      </c>
      <c r="FR40" s="33">
        <f>IFERROR($A$40*VLOOKUP(FR$37,CapEx!$N$11:$O$34,2,0),0)</f>
        <v>0</v>
      </c>
      <c r="FS40" s="33">
        <f>IFERROR($A$40*VLOOKUP(FS$37,CapEx!$N$11:$O$34,2,0),0)</f>
        <v>0</v>
      </c>
      <c r="FT40" s="33">
        <f>IFERROR($A$40*VLOOKUP(FT$37,CapEx!$N$11:$O$34,2,0),0)</f>
        <v>0</v>
      </c>
      <c r="FU40" s="33">
        <f>IFERROR($A$40*VLOOKUP(FU$37,CapEx!$N$11:$O$34,2,0),0)</f>
        <v>0</v>
      </c>
      <c r="FV40" s="33">
        <f>IFERROR($A$40*VLOOKUP(FV$37,CapEx!$N$11:$O$34,2,0),0)</f>
        <v>0</v>
      </c>
      <c r="FW40" s="33">
        <f>IFERROR($A$40*VLOOKUP(FW$37,CapEx!$N$11:$O$34,2,0),0)</f>
        <v>0</v>
      </c>
      <c r="FX40" s="33">
        <f>IFERROR($A$40*VLOOKUP(FX$37,CapEx!$N$11:$O$34,2,0),0)</f>
        <v>0</v>
      </c>
      <c r="FY40" s="33">
        <f>IFERROR($A$40*VLOOKUP(FY$37,CapEx!$N$11:$O$34,2,0),0)</f>
        <v>0</v>
      </c>
      <c r="FZ40" s="33">
        <f>IFERROR($A$40*VLOOKUP(FZ$37,CapEx!$N$11:$O$34,2,0),0)</f>
        <v>0</v>
      </c>
      <c r="GA40" s="33">
        <f>IFERROR($A$40*VLOOKUP(GA$37,CapEx!$N$11:$O$34,2,0),0)</f>
        <v>0</v>
      </c>
      <c r="GB40" s="33">
        <f>IFERROR($A$40*VLOOKUP(GB$37,CapEx!$N$11:$O$34,2,0),0)</f>
        <v>0</v>
      </c>
      <c r="GC40" s="33">
        <f>IFERROR($A$40*VLOOKUP(GC$37,CapEx!$N$11:$O$34,2,0),0)</f>
        <v>0</v>
      </c>
      <c r="GD40" s="33">
        <f>IFERROR($A$40*VLOOKUP(GD$37,CapEx!$N$11:$O$34,2,0),0)</f>
        <v>0</v>
      </c>
      <c r="GE40" s="33">
        <f>IFERROR($A$40*VLOOKUP(GE$37,CapEx!$N$11:$O$34,2,0),0)</f>
        <v>0</v>
      </c>
      <c r="GF40" s="33">
        <f>IFERROR($A$40*VLOOKUP(GF$37,CapEx!$N$11:$O$34,2,0),0)</f>
        <v>0</v>
      </c>
      <c r="GG40" s="33">
        <f>IFERROR($A$40*VLOOKUP(GG$37,CapEx!$N$11:$O$34,2,0),0)</f>
        <v>0</v>
      </c>
      <c r="GH40" s="33">
        <f>IFERROR($A$40*VLOOKUP(GH$37,CapEx!$N$11:$O$34,2,0),0)</f>
        <v>0</v>
      </c>
      <c r="GI40" s="33">
        <f>IFERROR($A$40*VLOOKUP(GI$37,CapEx!$N$11:$O$34,2,0),0)</f>
        <v>0</v>
      </c>
      <c r="GJ40" s="33">
        <f>IFERROR($A$40*VLOOKUP(GJ$37,CapEx!$N$11:$O$34,2,0),0)</f>
        <v>0</v>
      </c>
      <c r="GK40" s="33">
        <f>IFERROR($A$40*VLOOKUP(GK$37,CapEx!$N$11:$O$34,2,0),0)</f>
        <v>0</v>
      </c>
      <c r="GL40" s="33">
        <f>IFERROR($A$40*VLOOKUP(GL$37,CapEx!$N$11:$O$34,2,0),0)</f>
        <v>0</v>
      </c>
      <c r="GM40" s="33">
        <f>IFERROR($A$40*VLOOKUP(GM$37,CapEx!$N$11:$O$34,2,0),0)</f>
        <v>0</v>
      </c>
      <c r="GN40" s="33">
        <f>IFERROR($A$40*VLOOKUP(GN$37,CapEx!$N$11:$O$34,2,0),0)</f>
        <v>0</v>
      </c>
      <c r="GO40" s="33">
        <f>IFERROR($A$40*VLOOKUP(GO$37,CapEx!$N$11:$O$34,2,0),0)</f>
        <v>0</v>
      </c>
      <c r="GP40" s="33">
        <f>IFERROR($A$40*VLOOKUP(GP$37,CapEx!$N$11:$O$34,2,0),0)</f>
        <v>0</v>
      </c>
      <c r="GQ40" s="33">
        <f>IFERROR($A$40*VLOOKUP(GQ$37,CapEx!$N$11:$O$34,2,0),0)</f>
        <v>0</v>
      </c>
      <c r="GR40" s="33">
        <f>IFERROR($A$40*VLOOKUP(GR$37,CapEx!$N$11:$O$34,2,0),0)</f>
        <v>0</v>
      </c>
      <c r="GS40" s="33">
        <f>IFERROR($A$40*VLOOKUP(GS$37,CapEx!$N$11:$O$34,2,0),0)</f>
        <v>0</v>
      </c>
      <c r="GT40" s="33">
        <f>IFERROR($A$40*VLOOKUP(GT$37,CapEx!$N$11:$O$34,2,0),0)</f>
        <v>0</v>
      </c>
      <c r="GU40" s="33">
        <f>IFERROR($A$40*VLOOKUP(GU$37,CapEx!$N$11:$O$34,2,0),0)</f>
        <v>0</v>
      </c>
      <c r="GV40" s="33">
        <f>IFERROR($A$40*VLOOKUP(GV$37,CapEx!$N$11:$O$34,2,0),0)</f>
        <v>0</v>
      </c>
      <c r="GW40" s="33">
        <f>IFERROR($A$40*VLOOKUP(GW$37,CapEx!$N$11:$O$34,2,0),0)</f>
        <v>0</v>
      </c>
      <c r="GX40" s="33">
        <f>IFERROR($A$40*VLOOKUP(GX$37,CapEx!$N$11:$O$34,2,0),0)</f>
        <v>0</v>
      </c>
      <c r="GY40" s="33">
        <f>IFERROR($A$40*VLOOKUP(GY$37,CapEx!$N$11:$O$34,2,0),0)</f>
        <v>0</v>
      </c>
      <c r="GZ40" s="33">
        <f>IFERROR($A$40*VLOOKUP(GZ$37,CapEx!$N$11:$O$34,2,0),0)</f>
        <v>0</v>
      </c>
      <c r="HA40" s="33">
        <f>IFERROR($A$40*VLOOKUP(HA$37,CapEx!$N$11:$O$34,2,0),0)</f>
        <v>0</v>
      </c>
      <c r="HB40" s="33">
        <f>IFERROR($A$40*VLOOKUP(HB$37,CapEx!$N$11:$O$34,2,0),0)</f>
        <v>0</v>
      </c>
      <c r="HC40" s="33">
        <f>IFERROR($A$40*VLOOKUP(HC$37,CapEx!$N$11:$O$34,2,0),0)</f>
        <v>0</v>
      </c>
      <c r="HD40" s="33">
        <f>IFERROR($A$40*VLOOKUP(HD$37,CapEx!$N$11:$O$34,2,0),0)</f>
        <v>0</v>
      </c>
      <c r="HE40" s="33">
        <f>IFERROR($A$40*VLOOKUP(HE$37,CapEx!$N$11:$O$34,2,0),0)</f>
        <v>0</v>
      </c>
      <c r="HF40" s="33">
        <f>IFERROR($A$40*VLOOKUP(HF$37,CapEx!$N$11:$O$34,2,0),0)</f>
        <v>0</v>
      </c>
      <c r="HG40" s="33">
        <f>IFERROR($A$40*VLOOKUP(HG$37,CapEx!$N$11:$O$34,2,0),0)</f>
        <v>0</v>
      </c>
      <c r="HH40" s="33">
        <f>IFERROR($A$40*VLOOKUP(HH$37,CapEx!$N$11:$O$34,2,0),0)</f>
        <v>0</v>
      </c>
      <c r="HI40" s="33">
        <f>IFERROR($A$40*VLOOKUP(HI$37,CapEx!$N$11:$O$34,2,0),0)</f>
        <v>0</v>
      </c>
      <c r="HJ40" s="33">
        <f>IFERROR($A$40*VLOOKUP(HJ$37,CapEx!$N$11:$O$34,2,0),0)</f>
        <v>0</v>
      </c>
      <c r="HK40" s="33">
        <f>IFERROR($A$40*VLOOKUP(HK$37,CapEx!$N$11:$O$34,2,0),0)</f>
        <v>0</v>
      </c>
      <c r="HL40" s="33">
        <f>IFERROR($A$40*VLOOKUP(HL$37,CapEx!$N$11:$O$34,2,0),0)</f>
        <v>0</v>
      </c>
      <c r="HM40" s="33">
        <f>IFERROR($A$40*VLOOKUP(HM$37,CapEx!$N$11:$O$34,2,0),0)</f>
        <v>0</v>
      </c>
      <c r="HN40" s="33">
        <f>IFERROR($A$40*VLOOKUP(HN$37,CapEx!$N$11:$O$34,2,0),0)</f>
        <v>0</v>
      </c>
      <c r="HO40" s="33">
        <f>IFERROR($A$40*VLOOKUP(HO$37,CapEx!$N$11:$O$34,2,0),0)</f>
        <v>0</v>
      </c>
      <c r="HP40" s="33">
        <f>IFERROR($A$40*VLOOKUP(HP$37,CapEx!$N$11:$O$34,2,0),0)</f>
        <v>0</v>
      </c>
      <c r="HQ40" s="33">
        <f>IFERROR($A$40*VLOOKUP(HQ$37,CapEx!$N$11:$O$34,2,0),0)</f>
        <v>0</v>
      </c>
      <c r="HR40" s="33">
        <f>IFERROR($A$40*VLOOKUP(HR$37,CapEx!$N$11:$O$34,2,0),0)</f>
        <v>0</v>
      </c>
      <c r="HS40" s="33">
        <f>IFERROR($A$40*VLOOKUP(HS$37,CapEx!$N$11:$O$34,2,0),0)</f>
        <v>0</v>
      </c>
      <c r="HT40" s="33">
        <f>IFERROR($A$40*VLOOKUP(HT$37,CapEx!$N$11:$O$34,2,0),0)</f>
        <v>0</v>
      </c>
      <c r="HU40" s="33">
        <f>IFERROR($A$40*VLOOKUP(HU$37,CapEx!$N$11:$O$34,2,0),0)</f>
        <v>0</v>
      </c>
      <c r="HV40" s="33">
        <f>IFERROR($A$40*VLOOKUP(HV$37,CapEx!$N$11:$O$34,2,0),0)</f>
        <v>0</v>
      </c>
      <c r="HW40" s="33">
        <f>IFERROR($A$40*VLOOKUP(HW$37,CapEx!$N$11:$O$34,2,0),0)</f>
        <v>0</v>
      </c>
      <c r="HX40" s="33">
        <f>IFERROR($A$40*VLOOKUP(HX$37,CapEx!$N$11:$O$34,2,0),0)</f>
        <v>0</v>
      </c>
      <c r="HY40" s="33">
        <f>IFERROR($A$40*VLOOKUP(HY$37,CapEx!$N$11:$O$34,2,0),0)</f>
        <v>0</v>
      </c>
      <c r="HZ40" s="33">
        <f>IFERROR($A$40*VLOOKUP(HZ$37,CapEx!$N$11:$O$34,2,0),0)</f>
        <v>0</v>
      </c>
      <c r="IA40" s="33">
        <f>IFERROR($A$40*VLOOKUP(IA$37,CapEx!$N$11:$O$34,2,0),0)</f>
        <v>0</v>
      </c>
      <c r="IB40" s="33">
        <f>IFERROR($A$40*VLOOKUP(IB$37,CapEx!$N$11:$O$34,2,0),0)</f>
        <v>0</v>
      </c>
      <c r="IC40" s="33">
        <f>IFERROR($A$40*VLOOKUP(IC$37,CapEx!$N$11:$O$34,2,0),0)</f>
        <v>0</v>
      </c>
      <c r="ID40" s="33">
        <f>IFERROR($A$40*VLOOKUP(ID$37,CapEx!$N$11:$O$34,2,0),0)</f>
        <v>0</v>
      </c>
      <c r="IE40" s="33">
        <f>IFERROR($A$40*VLOOKUP(IE$37,CapEx!$N$11:$O$34,2,0),0)</f>
        <v>0</v>
      </c>
      <c r="IF40" s="33">
        <f>IFERROR($A$40*VLOOKUP(IF$37,CapEx!$N$11:$O$34,2,0),0)</f>
        <v>0</v>
      </c>
      <c r="IG40" s="33">
        <f>IFERROR($A$40*VLOOKUP(IG$37,CapEx!$N$11:$O$34,2,0),0)</f>
        <v>0</v>
      </c>
      <c r="IH40" s="33">
        <f>IFERROR($A$40*VLOOKUP(IH$37,CapEx!$N$11:$O$34,2,0),0)</f>
        <v>0</v>
      </c>
      <c r="II40" s="33">
        <f>IFERROR($A$40*VLOOKUP(II$37,CapEx!$N$11:$O$34,2,0),0)</f>
        <v>0</v>
      </c>
      <c r="IJ40" s="33">
        <f>IFERROR($A$40*VLOOKUP(IJ$37,CapEx!$N$11:$O$34,2,0),0)</f>
        <v>0</v>
      </c>
      <c r="IK40" s="33">
        <f>IFERROR($A$40*VLOOKUP(IK$37,CapEx!$N$11:$O$34,2,0),0)</f>
        <v>0</v>
      </c>
      <c r="IL40" s="33">
        <f>IFERROR($A$40*VLOOKUP(IL$37,CapEx!$N$11:$O$34,2,0),0)</f>
        <v>0</v>
      </c>
      <c r="IM40" s="33">
        <f>IFERROR($A$40*VLOOKUP(IM$37,CapEx!$N$11:$O$34,2,0),0)</f>
        <v>0</v>
      </c>
      <c r="IN40" s="33">
        <f>IFERROR($A$40*VLOOKUP(IN$37,CapEx!$N$11:$O$34,2,0),0)</f>
        <v>0</v>
      </c>
      <c r="IO40" s="33">
        <f>IFERROR($A$40*VLOOKUP(IO$37,CapEx!$N$11:$O$34,2,0),0)</f>
        <v>0</v>
      </c>
      <c r="IP40" s="33">
        <f>IFERROR($A$40*VLOOKUP(IP$37,CapEx!$N$11:$O$34,2,0),0)</f>
        <v>0</v>
      </c>
      <c r="IQ40" s="33">
        <f>IFERROR($A$40*VLOOKUP(IQ$37,CapEx!$N$11:$O$34,2,0),0)</f>
        <v>0</v>
      </c>
      <c r="IR40" s="33">
        <f>IFERROR($A$40*VLOOKUP(IR$37,CapEx!$N$11:$O$34,2,0),0)</f>
        <v>0</v>
      </c>
      <c r="IS40" s="33">
        <f>IFERROR($A$40*VLOOKUP(IS$37,CapEx!$N$11:$O$34,2,0),0)</f>
        <v>0</v>
      </c>
      <c r="IT40" s="33">
        <f>IFERROR($A$40*VLOOKUP(IT$37,CapEx!$N$11:$O$34,2,0),0)</f>
        <v>0</v>
      </c>
      <c r="IU40" s="33">
        <f>IFERROR($A$40*VLOOKUP(IU$37,CapEx!$N$11:$O$34,2,0),0)</f>
        <v>0</v>
      </c>
      <c r="IV40" s="33">
        <f>IFERROR($A$40*VLOOKUP(IV$37,CapEx!$N$11:$O$34,2,0),0)</f>
        <v>0</v>
      </c>
      <c r="IW40" s="33">
        <f>IFERROR($A$40*VLOOKUP(IW$37,CapEx!$N$11:$O$34,2,0),0)</f>
        <v>0</v>
      </c>
      <c r="IX40" s="33">
        <f>IFERROR($A$40*VLOOKUP(IX$37,CapEx!$N$11:$O$34,2,0),0)</f>
        <v>0</v>
      </c>
      <c r="IY40" s="33">
        <f>IFERROR($A$40*VLOOKUP(IY$37,CapEx!$N$11:$O$34,2,0),0)</f>
        <v>0</v>
      </c>
      <c r="IZ40" s="33">
        <f>IFERROR($A$40*VLOOKUP(IZ$37,CapEx!$N$11:$O$34,2,0),0)</f>
        <v>0</v>
      </c>
      <c r="JA40" s="33">
        <f>IFERROR($A$40*VLOOKUP(JA$37,CapEx!$N$11:$O$34,2,0),0)</f>
        <v>0</v>
      </c>
      <c r="JB40" s="33">
        <f>IFERROR($A$40*VLOOKUP(JB$37,CapEx!$N$11:$O$34,2,0),0)</f>
        <v>0</v>
      </c>
      <c r="JC40" s="33">
        <f>IFERROR($A$40*VLOOKUP(JC$37,CapEx!$N$11:$O$34,2,0),0)</f>
        <v>0</v>
      </c>
      <c r="JD40" s="33">
        <f>IFERROR($A$40*VLOOKUP(JD$37,CapEx!$N$11:$O$34,2,0),0)</f>
        <v>0</v>
      </c>
      <c r="JE40" s="33">
        <f>IFERROR($A$40*VLOOKUP(JE$37,CapEx!$N$11:$O$34,2,0),0)</f>
        <v>0</v>
      </c>
      <c r="JF40" s="33">
        <f>IFERROR($A$40*VLOOKUP(JF$37,CapEx!$N$11:$O$34,2,0),0)</f>
        <v>0</v>
      </c>
      <c r="JG40" s="33">
        <f>IFERROR($A$40*VLOOKUP(JG$37,CapEx!$N$11:$O$34,2,0),0)</f>
        <v>0</v>
      </c>
      <c r="JH40" s="33">
        <f>IFERROR($A$40*VLOOKUP(JH$37,CapEx!$N$11:$O$34,2,0),0)</f>
        <v>0</v>
      </c>
      <c r="JI40" s="33">
        <f>IFERROR($A$40*VLOOKUP(JI$37,CapEx!$N$11:$O$34,2,0),0)</f>
        <v>0</v>
      </c>
      <c r="JJ40" s="33">
        <f>IFERROR($A$40*VLOOKUP(JJ$37,CapEx!$N$11:$O$34,2,0),0)</f>
        <v>0</v>
      </c>
      <c r="JK40" s="33">
        <f>IFERROR($A$40*VLOOKUP(JK$37,CapEx!$N$11:$O$34,2,0),0)</f>
        <v>0</v>
      </c>
      <c r="JL40" s="33">
        <f>IFERROR($A$40*VLOOKUP(JL$37,CapEx!$N$11:$O$34,2,0),0)</f>
        <v>0</v>
      </c>
      <c r="JM40" s="33">
        <f>IFERROR($A$40*VLOOKUP(JM$37,CapEx!$N$11:$O$34,2,0),0)</f>
        <v>0</v>
      </c>
      <c r="JN40" s="33">
        <f>IFERROR($A$40*VLOOKUP(JN$37,CapEx!$N$11:$O$34,2,0),0)</f>
        <v>0</v>
      </c>
      <c r="JO40" s="33">
        <f>IFERROR($A$40*VLOOKUP(JO$37,CapEx!$N$11:$O$34,2,0),0)</f>
        <v>0</v>
      </c>
      <c r="JP40" s="33">
        <f>IFERROR($A$40*VLOOKUP(JP$37,CapEx!$N$11:$O$34,2,0),0)</f>
        <v>0</v>
      </c>
      <c r="JQ40" s="33">
        <f>IFERROR($A$40*VLOOKUP(JQ$37,CapEx!$N$11:$O$34,2,0),0)</f>
        <v>0</v>
      </c>
      <c r="JR40" s="33">
        <f>IFERROR($A$40*VLOOKUP(JR$37,CapEx!$N$11:$O$34,2,0),0)</f>
        <v>0</v>
      </c>
      <c r="JS40" s="33">
        <f>IFERROR($A$40*VLOOKUP(JS$37,CapEx!$N$11:$O$34,2,0),0)</f>
        <v>0</v>
      </c>
      <c r="JT40" s="33">
        <f>IFERROR($A$40*VLOOKUP(JT$37,CapEx!$N$11:$O$34,2,0),0)</f>
        <v>0</v>
      </c>
    </row>
    <row r="41" spans="1:280" x14ac:dyDescent="0.2">
      <c r="A41" s="7">
        <f>Summary!$D$4</f>
        <v>13395164.777380109</v>
      </c>
      <c r="D41" s="1" t="s">
        <v>984</v>
      </c>
      <c r="E41" s="7">
        <f t="shared" ref="E41:BP41" si="1081">E10</f>
        <v>149874.38056581622</v>
      </c>
      <c r="F41" s="7">
        <f t="shared" si="1081"/>
        <v>346909.87917971844</v>
      </c>
      <c r="G41" s="7">
        <f t="shared" si="1081"/>
        <v>432084.91923832841</v>
      </c>
      <c r="H41" s="7">
        <f t="shared" si="1081"/>
        <v>494356.87390158226</v>
      </c>
      <c r="I41" s="7">
        <f t="shared" si="1081"/>
        <v>576134.13998181873</v>
      </c>
      <c r="J41" s="7">
        <f t="shared" si="1081"/>
        <v>705049.91697056184</v>
      </c>
      <c r="K41" s="7">
        <f t="shared" si="1081"/>
        <v>838981.74269761785</v>
      </c>
      <c r="L41" s="7">
        <f t="shared" si="1081"/>
        <v>955139.59980678908</v>
      </c>
      <c r="M41" s="7">
        <f t="shared" si="1081"/>
        <v>1058042.7831197069</v>
      </c>
      <c r="N41" s="7">
        <f t="shared" si="1081"/>
        <v>1147571.8593441523</v>
      </c>
      <c r="O41" s="7">
        <f t="shared" si="1081"/>
        <v>1226925.7568700456</v>
      </c>
      <c r="P41" s="7">
        <f t="shared" si="1081"/>
        <v>1323169.4979038786</v>
      </c>
      <c r="Q41" s="7">
        <f t="shared" si="1081"/>
        <v>1380307.8092666978</v>
      </c>
      <c r="R41" s="7">
        <f t="shared" si="1081"/>
        <v>1380307.8092666978</v>
      </c>
      <c r="S41" s="7">
        <f t="shared" si="1081"/>
        <v>1380307.8092666978</v>
      </c>
      <c r="T41" s="7">
        <f t="shared" si="1081"/>
        <v>0</v>
      </c>
      <c r="U41" s="7">
        <f t="shared" si="1081"/>
        <v>0</v>
      </c>
      <c r="V41" s="7">
        <f t="shared" si="1081"/>
        <v>0</v>
      </c>
      <c r="W41" s="7">
        <f t="shared" si="1081"/>
        <v>0</v>
      </c>
      <c r="X41" s="7">
        <f t="shared" si="1081"/>
        <v>0</v>
      </c>
      <c r="Y41" s="7">
        <f t="shared" si="1081"/>
        <v>0</v>
      </c>
      <c r="Z41" s="7">
        <f t="shared" si="1081"/>
        <v>0</v>
      </c>
      <c r="AA41" s="7">
        <f t="shared" si="1081"/>
        <v>0</v>
      </c>
      <c r="AB41" s="7">
        <f t="shared" si="1081"/>
        <v>0</v>
      </c>
      <c r="AC41" s="7">
        <f t="shared" si="1081"/>
        <v>0</v>
      </c>
      <c r="AD41" s="7">
        <f t="shared" si="1081"/>
        <v>0</v>
      </c>
      <c r="AE41" s="7">
        <f t="shared" si="1081"/>
        <v>0</v>
      </c>
      <c r="AF41" s="7">
        <f t="shared" si="1081"/>
        <v>0</v>
      </c>
      <c r="AG41" s="7">
        <f t="shared" si="1081"/>
        <v>0</v>
      </c>
      <c r="AH41" s="7">
        <f t="shared" si="1081"/>
        <v>0</v>
      </c>
      <c r="AI41" s="7">
        <f t="shared" si="1081"/>
        <v>0</v>
      </c>
      <c r="AJ41" s="7">
        <f t="shared" si="1081"/>
        <v>0</v>
      </c>
      <c r="AK41" s="7">
        <f t="shared" si="1081"/>
        <v>0</v>
      </c>
      <c r="AL41" s="7">
        <f t="shared" si="1081"/>
        <v>0</v>
      </c>
      <c r="AM41" s="7">
        <f t="shared" si="1081"/>
        <v>0</v>
      </c>
      <c r="AN41" s="7">
        <f t="shared" si="1081"/>
        <v>0</v>
      </c>
      <c r="AO41" s="7">
        <f t="shared" si="1081"/>
        <v>0</v>
      </c>
      <c r="AP41" s="7">
        <f t="shared" si="1081"/>
        <v>0</v>
      </c>
      <c r="AQ41" s="7">
        <f t="shared" si="1081"/>
        <v>0</v>
      </c>
      <c r="AR41" s="7">
        <f t="shared" si="1081"/>
        <v>0</v>
      </c>
      <c r="AS41" s="7">
        <f t="shared" si="1081"/>
        <v>0</v>
      </c>
      <c r="AT41" s="7">
        <f t="shared" si="1081"/>
        <v>0</v>
      </c>
      <c r="AU41" s="7">
        <f t="shared" si="1081"/>
        <v>0</v>
      </c>
      <c r="AV41" s="7">
        <f t="shared" si="1081"/>
        <v>0</v>
      </c>
      <c r="AW41" s="7">
        <f t="shared" si="1081"/>
        <v>0</v>
      </c>
      <c r="AX41" s="7">
        <f t="shared" si="1081"/>
        <v>0</v>
      </c>
      <c r="AY41" s="7">
        <f t="shared" si="1081"/>
        <v>0</v>
      </c>
      <c r="AZ41" s="7">
        <f t="shared" si="1081"/>
        <v>0</v>
      </c>
      <c r="BA41" s="7">
        <f t="shared" si="1081"/>
        <v>0</v>
      </c>
      <c r="BB41" s="7">
        <f t="shared" si="1081"/>
        <v>0</v>
      </c>
      <c r="BC41" s="7">
        <f t="shared" si="1081"/>
        <v>0</v>
      </c>
      <c r="BD41" s="7">
        <f t="shared" si="1081"/>
        <v>0</v>
      </c>
      <c r="BE41" s="7">
        <f t="shared" si="1081"/>
        <v>0</v>
      </c>
      <c r="BF41" s="7">
        <f t="shared" si="1081"/>
        <v>0</v>
      </c>
      <c r="BG41" s="7">
        <f t="shared" si="1081"/>
        <v>0</v>
      </c>
      <c r="BH41" s="7">
        <f t="shared" si="1081"/>
        <v>0</v>
      </c>
      <c r="BI41" s="7">
        <f t="shared" si="1081"/>
        <v>0</v>
      </c>
      <c r="BJ41" s="7">
        <f t="shared" si="1081"/>
        <v>0</v>
      </c>
      <c r="BK41" s="7">
        <f t="shared" si="1081"/>
        <v>0</v>
      </c>
      <c r="BL41" s="7">
        <f t="shared" si="1081"/>
        <v>0</v>
      </c>
      <c r="BM41" s="7">
        <f t="shared" si="1081"/>
        <v>0</v>
      </c>
      <c r="BN41" s="7">
        <f t="shared" si="1081"/>
        <v>0</v>
      </c>
      <c r="BO41" s="7">
        <f t="shared" si="1081"/>
        <v>0</v>
      </c>
      <c r="BP41" s="7">
        <f t="shared" si="1081"/>
        <v>0</v>
      </c>
      <c r="BQ41" s="7">
        <f t="shared" ref="BQ41:EB41" si="1082">BQ10</f>
        <v>0</v>
      </c>
      <c r="BR41" s="7">
        <f t="shared" si="1082"/>
        <v>0</v>
      </c>
      <c r="BS41" s="7">
        <f t="shared" si="1082"/>
        <v>0</v>
      </c>
      <c r="BT41" s="7">
        <f t="shared" si="1082"/>
        <v>0</v>
      </c>
      <c r="BU41" s="7">
        <f t="shared" si="1082"/>
        <v>0</v>
      </c>
      <c r="BV41" s="7">
        <f t="shared" si="1082"/>
        <v>0</v>
      </c>
      <c r="BW41" s="7">
        <f t="shared" si="1082"/>
        <v>0</v>
      </c>
      <c r="BX41" s="7">
        <f t="shared" si="1082"/>
        <v>0</v>
      </c>
      <c r="BY41" s="7">
        <f t="shared" si="1082"/>
        <v>0</v>
      </c>
      <c r="BZ41" s="7">
        <f t="shared" si="1082"/>
        <v>0</v>
      </c>
      <c r="CA41" s="7">
        <f t="shared" si="1082"/>
        <v>0</v>
      </c>
      <c r="CB41" s="7">
        <f t="shared" si="1082"/>
        <v>0</v>
      </c>
      <c r="CC41" s="7">
        <f t="shared" si="1082"/>
        <v>0</v>
      </c>
      <c r="CD41" s="7">
        <f t="shared" si="1082"/>
        <v>0</v>
      </c>
      <c r="CE41" s="7">
        <f t="shared" si="1082"/>
        <v>0</v>
      </c>
      <c r="CF41" s="7">
        <f t="shared" si="1082"/>
        <v>0</v>
      </c>
      <c r="CG41" s="7">
        <f t="shared" si="1082"/>
        <v>0</v>
      </c>
      <c r="CH41" s="7">
        <f t="shared" si="1082"/>
        <v>0</v>
      </c>
      <c r="CI41" s="7">
        <f t="shared" si="1082"/>
        <v>0</v>
      </c>
      <c r="CJ41" s="7">
        <f t="shared" si="1082"/>
        <v>0</v>
      </c>
      <c r="CK41" s="7">
        <f t="shared" si="1082"/>
        <v>0</v>
      </c>
      <c r="CL41" s="7">
        <f t="shared" si="1082"/>
        <v>0</v>
      </c>
      <c r="CM41" s="7">
        <f t="shared" si="1082"/>
        <v>0</v>
      </c>
      <c r="CN41" s="7">
        <f t="shared" si="1082"/>
        <v>0</v>
      </c>
      <c r="CO41" s="7">
        <f t="shared" si="1082"/>
        <v>0</v>
      </c>
      <c r="CP41" s="7">
        <f t="shared" si="1082"/>
        <v>0</v>
      </c>
      <c r="CQ41" s="7">
        <f t="shared" si="1082"/>
        <v>0</v>
      </c>
      <c r="CR41" s="7">
        <f t="shared" si="1082"/>
        <v>0</v>
      </c>
      <c r="CS41" s="7">
        <f t="shared" si="1082"/>
        <v>0</v>
      </c>
      <c r="CT41" s="7">
        <f t="shared" si="1082"/>
        <v>0</v>
      </c>
      <c r="CU41" s="7">
        <f t="shared" si="1082"/>
        <v>0</v>
      </c>
      <c r="CV41" s="7">
        <f t="shared" si="1082"/>
        <v>0</v>
      </c>
      <c r="CW41" s="7">
        <f t="shared" si="1082"/>
        <v>0</v>
      </c>
      <c r="CX41" s="7">
        <f t="shared" si="1082"/>
        <v>0</v>
      </c>
      <c r="CY41" s="7">
        <f t="shared" si="1082"/>
        <v>0</v>
      </c>
      <c r="CZ41" s="7">
        <f t="shared" si="1082"/>
        <v>0</v>
      </c>
      <c r="DA41" s="7">
        <f t="shared" si="1082"/>
        <v>0</v>
      </c>
      <c r="DB41" s="7">
        <f t="shared" si="1082"/>
        <v>0</v>
      </c>
      <c r="DC41" s="7">
        <f t="shared" si="1082"/>
        <v>0</v>
      </c>
      <c r="DD41" s="7">
        <f t="shared" si="1082"/>
        <v>0</v>
      </c>
      <c r="DE41" s="7">
        <f t="shared" si="1082"/>
        <v>0</v>
      </c>
      <c r="DF41" s="7">
        <f t="shared" si="1082"/>
        <v>0</v>
      </c>
      <c r="DG41" s="7">
        <f t="shared" si="1082"/>
        <v>0</v>
      </c>
      <c r="DH41" s="7">
        <f t="shared" si="1082"/>
        <v>0</v>
      </c>
      <c r="DI41" s="7">
        <f t="shared" si="1082"/>
        <v>0</v>
      </c>
      <c r="DJ41" s="7">
        <f t="shared" si="1082"/>
        <v>0</v>
      </c>
      <c r="DK41" s="7">
        <f t="shared" si="1082"/>
        <v>0</v>
      </c>
      <c r="DL41" s="7">
        <f t="shared" si="1082"/>
        <v>0</v>
      </c>
      <c r="DM41" s="7">
        <f t="shared" si="1082"/>
        <v>0</v>
      </c>
      <c r="DN41" s="7">
        <f t="shared" si="1082"/>
        <v>0</v>
      </c>
      <c r="DO41" s="7">
        <f t="shared" si="1082"/>
        <v>0</v>
      </c>
      <c r="DP41" s="7">
        <f t="shared" si="1082"/>
        <v>0</v>
      </c>
      <c r="DQ41" s="7">
        <f t="shared" si="1082"/>
        <v>0</v>
      </c>
      <c r="DR41" s="7">
        <f t="shared" si="1082"/>
        <v>0</v>
      </c>
      <c r="DS41" s="7">
        <f t="shared" si="1082"/>
        <v>0</v>
      </c>
      <c r="DT41" s="7">
        <f t="shared" si="1082"/>
        <v>0</v>
      </c>
      <c r="DU41" s="7">
        <f t="shared" si="1082"/>
        <v>0</v>
      </c>
      <c r="DV41" s="7">
        <f t="shared" si="1082"/>
        <v>0</v>
      </c>
      <c r="DW41" s="7">
        <f t="shared" si="1082"/>
        <v>0</v>
      </c>
      <c r="DX41" s="7">
        <f t="shared" si="1082"/>
        <v>0</v>
      </c>
      <c r="DY41" s="7">
        <f t="shared" si="1082"/>
        <v>0</v>
      </c>
      <c r="DZ41" s="7">
        <f t="shared" si="1082"/>
        <v>0</v>
      </c>
      <c r="EA41" s="7">
        <f t="shared" si="1082"/>
        <v>0</v>
      </c>
      <c r="EB41" s="7">
        <f t="shared" si="1082"/>
        <v>0</v>
      </c>
      <c r="EC41" s="7">
        <f t="shared" ref="EC41:GN41" si="1083">EC10</f>
        <v>0</v>
      </c>
      <c r="ED41" s="7">
        <f t="shared" si="1083"/>
        <v>0</v>
      </c>
      <c r="EE41" s="7">
        <f t="shared" si="1083"/>
        <v>0</v>
      </c>
      <c r="EF41" s="7">
        <f t="shared" si="1083"/>
        <v>0</v>
      </c>
      <c r="EG41" s="7">
        <f t="shared" si="1083"/>
        <v>0</v>
      </c>
      <c r="EH41" s="7">
        <f t="shared" si="1083"/>
        <v>0</v>
      </c>
      <c r="EI41" s="7">
        <f t="shared" si="1083"/>
        <v>0</v>
      </c>
      <c r="EJ41" s="7">
        <f t="shared" si="1083"/>
        <v>0</v>
      </c>
      <c r="EK41" s="7">
        <f t="shared" si="1083"/>
        <v>0</v>
      </c>
      <c r="EL41" s="7">
        <f t="shared" si="1083"/>
        <v>0</v>
      </c>
      <c r="EM41" s="7">
        <f t="shared" si="1083"/>
        <v>0</v>
      </c>
      <c r="EN41" s="7">
        <f t="shared" si="1083"/>
        <v>0</v>
      </c>
      <c r="EO41" s="7">
        <f t="shared" si="1083"/>
        <v>0</v>
      </c>
      <c r="EP41" s="7">
        <f t="shared" si="1083"/>
        <v>0</v>
      </c>
      <c r="EQ41" s="7">
        <f t="shared" si="1083"/>
        <v>0</v>
      </c>
      <c r="ER41" s="7">
        <f t="shared" si="1083"/>
        <v>0</v>
      </c>
      <c r="ES41" s="7">
        <f t="shared" si="1083"/>
        <v>0</v>
      </c>
      <c r="ET41" s="7">
        <f t="shared" si="1083"/>
        <v>0</v>
      </c>
      <c r="EU41" s="7">
        <f t="shared" si="1083"/>
        <v>0</v>
      </c>
      <c r="EV41" s="7">
        <f t="shared" si="1083"/>
        <v>0</v>
      </c>
      <c r="EW41" s="7">
        <f t="shared" si="1083"/>
        <v>0</v>
      </c>
      <c r="EX41" s="7">
        <f t="shared" si="1083"/>
        <v>0</v>
      </c>
      <c r="EY41" s="7">
        <f t="shared" si="1083"/>
        <v>0</v>
      </c>
      <c r="EZ41" s="7">
        <f t="shared" si="1083"/>
        <v>0</v>
      </c>
      <c r="FA41" s="7">
        <f t="shared" si="1083"/>
        <v>0</v>
      </c>
      <c r="FB41" s="7">
        <f t="shared" si="1083"/>
        <v>0</v>
      </c>
      <c r="FC41" s="7">
        <f t="shared" si="1083"/>
        <v>0</v>
      </c>
      <c r="FD41" s="7">
        <f t="shared" si="1083"/>
        <v>0</v>
      </c>
      <c r="FE41" s="7">
        <f t="shared" si="1083"/>
        <v>0</v>
      </c>
      <c r="FF41" s="7">
        <f t="shared" si="1083"/>
        <v>0</v>
      </c>
      <c r="FG41" s="7">
        <f t="shared" si="1083"/>
        <v>0</v>
      </c>
      <c r="FH41" s="7">
        <f t="shared" si="1083"/>
        <v>0</v>
      </c>
      <c r="FI41" s="7">
        <f t="shared" si="1083"/>
        <v>0</v>
      </c>
      <c r="FJ41" s="7">
        <f t="shared" si="1083"/>
        <v>0</v>
      </c>
      <c r="FK41" s="7">
        <f t="shared" si="1083"/>
        <v>0</v>
      </c>
      <c r="FL41" s="7">
        <f t="shared" si="1083"/>
        <v>0</v>
      </c>
      <c r="FM41" s="7">
        <f t="shared" si="1083"/>
        <v>0</v>
      </c>
      <c r="FN41" s="7">
        <f t="shared" si="1083"/>
        <v>0</v>
      </c>
      <c r="FO41" s="7">
        <f t="shared" si="1083"/>
        <v>0</v>
      </c>
      <c r="FP41" s="7">
        <f t="shared" si="1083"/>
        <v>0</v>
      </c>
      <c r="FQ41" s="7">
        <f t="shared" si="1083"/>
        <v>0</v>
      </c>
      <c r="FR41" s="7">
        <f t="shared" si="1083"/>
        <v>0</v>
      </c>
      <c r="FS41" s="7">
        <f t="shared" si="1083"/>
        <v>0</v>
      </c>
      <c r="FT41" s="7">
        <f t="shared" si="1083"/>
        <v>0</v>
      </c>
      <c r="FU41" s="7">
        <f t="shared" si="1083"/>
        <v>0</v>
      </c>
      <c r="FV41" s="7">
        <f t="shared" si="1083"/>
        <v>0</v>
      </c>
      <c r="FW41" s="7">
        <f t="shared" si="1083"/>
        <v>0</v>
      </c>
      <c r="FX41" s="7">
        <f t="shared" si="1083"/>
        <v>0</v>
      </c>
      <c r="FY41" s="7">
        <f t="shared" si="1083"/>
        <v>0</v>
      </c>
      <c r="FZ41" s="7">
        <f t="shared" si="1083"/>
        <v>0</v>
      </c>
      <c r="GA41" s="7">
        <f t="shared" si="1083"/>
        <v>0</v>
      </c>
      <c r="GB41" s="7">
        <f t="shared" si="1083"/>
        <v>0</v>
      </c>
      <c r="GC41" s="7">
        <f t="shared" si="1083"/>
        <v>0</v>
      </c>
      <c r="GD41" s="7">
        <f t="shared" si="1083"/>
        <v>0</v>
      </c>
      <c r="GE41" s="7">
        <f t="shared" si="1083"/>
        <v>0</v>
      </c>
      <c r="GF41" s="7">
        <f t="shared" si="1083"/>
        <v>0</v>
      </c>
      <c r="GG41" s="7">
        <f t="shared" si="1083"/>
        <v>0</v>
      </c>
      <c r="GH41" s="7">
        <f t="shared" si="1083"/>
        <v>0</v>
      </c>
      <c r="GI41" s="7">
        <f t="shared" si="1083"/>
        <v>0</v>
      </c>
      <c r="GJ41" s="7">
        <f t="shared" si="1083"/>
        <v>0</v>
      </c>
      <c r="GK41" s="7">
        <f t="shared" si="1083"/>
        <v>0</v>
      </c>
      <c r="GL41" s="7">
        <f t="shared" si="1083"/>
        <v>0</v>
      </c>
      <c r="GM41" s="7">
        <f t="shared" si="1083"/>
        <v>0</v>
      </c>
      <c r="GN41" s="7">
        <f t="shared" si="1083"/>
        <v>0</v>
      </c>
      <c r="GO41" s="7">
        <f t="shared" ref="GO41:IZ41" si="1084">GO10</f>
        <v>0</v>
      </c>
      <c r="GP41" s="7">
        <f t="shared" si="1084"/>
        <v>0</v>
      </c>
      <c r="GQ41" s="7">
        <f t="shared" si="1084"/>
        <v>0</v>
      </c>
      <c r="GR41" s="7">
        <f t="shared" si="1084"/>
        <v>0</v>
      </c>
      <c r="GS41" s="7">
        <f t="shared" si="1084"/>
        <v>0</v>
      </c>
      <c r="GT41" s="7">
        <f t="shared" si="1084"/>
        <v>0</v>
      </c>
      <c r="GU41" s="7">
        <f t="shared" si="1084"/>
        <v>0</v>
      </c>
      <c r="GV41" s="7">
        <f t="shared" si="1084"/>
        <v>0</v>
      </c>
      <c r="GW41" s="7">
        <f t="shared" si="1084"/>
        <v>0</v>
      </c>
      <c r="GX41" s="7">
        <f t="shared" si="1084"/>
        <v>0</v>
      </c>
      <c r="GY41" s="7">
        <f t="shared" si="1084"/>
        <v>0</v>
      </c>
      <c r="GZ41" s="7">
        <f t="shared" si="1084"/>
        <v>0</v>
      </c>
      <c r="HA41" s="7">
        <f t="shared" si="1084"/>
        <v>0</v>
      </c>
      <c r="HB41" s="7">
        <f t="shared" si="1084"/>
        <v>0</v>
      </c>
      <c r="HC41" s="7">
        <f t="shared" si="1084"/>
        <v>0</v>
      </c>
      <c r="HD41" s="7">
        <f t="shared" si="1084"/>
        <v>0</v>
      </c>
      <c r="HE41" s="7">
        <f t="shared" si="1084"/>
        <v>0</v>
      </c>
      <c r="HF41" s="7">
        <f t="shared" si="1084"/>
        <v>0</v>
      </c>
      <c r="HG41" s="7">
        <f t="shared" si="1084"/>
        <v>0</v>
      </c>
      <c r="HH41" s="7">
        <f t="shared" si="1084"/>
        <v>0</v>
      </c>
      <c r="HI41" s="7">
        <f t="shared" si="1084"/>
        <v>0</v>
      </c>
      <c r="HJ41" s="7">
        <f t="shared" si="1084"/>
        <v>0</v>
      </c>
      <c r="HK41" s="7">
        <f t="shared" si="1084"/>
        <v>0</v>
      </c>
      <c r="HL41" s="7">
        <f t="shared" si="1084"/>
        <v>0</v>
      </c>
      <c r="HM41" s="7">
        <f t="shared" si="1084"/>
        <v>0</v>
      </c>
      <c r="HN41" s="7">
        <f t="shared" si="1084"/>
        <v>0</v>
      </c>
      <c r="HO41" s="7">
        <f t="shared" si="1084"/>
        <v>0</v>
      </c>
      <c r="HP41" s="7">
        <f t="shared" si="1084"/>
        <v>0</v>
      </c>
      <c r="HQ41" s="7">
        <f t="shared" si="1084"/>
        <v>0</v>
      </c>
      <c r="HR41" s="7">
        <f t="shared" si="1084"/>
        <v>0</v>
      </c>
      <c r="HS41" s="7">
        <f t="shared" si="1084"/>
        <v>0</v>
      </c>
      <c r="HT41" s="7">
        <f t="shared" si="1084"/>
        <v>0</v>
      </c>
      <c r="HU41" s="7">
        <f t="shared" si="1084"/>
        <v>0</v>
      </c>
      <c r="HV41" s="7">
        <f t="shared" si="1084"/>
        <v>0</v>
      </c>
      <c r="HW41" s="7">
        <f t="shared" si="1084"/>
        <v>0</v>
      </c>
      <c r="HX41" s="7">
        <f t="shared" si="1084"/>
        <v>0</v>
      </c>
      <c r="HY41" s="7">
        <f t="shared" si="1084"/>
        <v>0</v>
      </c>
      <c r="HZ41" s="7">
        <f t="shared" si="1084"/>
        <v>0</v>
      </c>
      <c r="IA41" s="7">
        <f t="shared" si="1084"/>
        <v>0</v>
      </c>
      <c r="IB41" s="7">
        <f t="shared" si="1084"/>
        <v>0</v>
      </c>
      <c r="IC41" s="7">
        <f t="shared" si="1084"/>
        <v>0</v>
      </c>
      <c r="ID41" s="7">
        <f t="shared" si="1084"/>
        <v>0</v>
      </c>
      <c r="IE41" s="7">
        <f t="shared" si="1084"/>
        <v>0</v>
      </c>
      <c r="IF41" s="7">
        <f t="shared" si="1084"/>
        <v>0</v>
      </c>
      <c r="IG41" s="7">
        <f t="shared" si="1084"/>
        <v>0</v>
      </c>
      <c r="IH41" s="7">
        <f t="shared" si="1084"/>
        <v>0</v>
      </c>
      <c r="II41" s="7">
        <f t="shared" si="1084"/>
        <v>0</v>
      </c>
      <c r="IJ41" s="7">
        <f t="shared" si="1084"/>
        <v>0</v>
      </c>
      <c r="IK41" s="7">
        <f t="shared" si="1084"/>
        <v>0</v>
      </c>
      <c r="IL41" s="7">
        <f t="shared" si="1084"/>
        <v>0</v>
      </c>
      <c r="IM41" s="7">
        <f t="shared" si="1084"/>
        <v>0</v>
      </c>
      <c r="IN41" s="7">
        <f t="shared" si="1084"/>
        <v>0</v>
      </c>
      <c r="IO41" s="7">
        <f t="shared" si="1084"/>
        <v>0</v>
      </c>
      <c r="IP41" s="7">
        <f t="shared" si="1084"/>
        <v>0</v>
      </c>
      <c r="IQ41" s="7">
        <f t="shared" si="1084"/>
        <v>0</v>
      </c>
      <c r="IR41" s="7">
        <f t="shared" si="1084"/>
        <v>0</v>
      </c>
      <c r="IS41" s="7">
        <f t="shared" si="1084"/>
        <v>0</v>
      </c>
      <c r="IT41" s="7">
        <f t="shared" si="1084"/>
        <v>0</v>
      </c>
      <c r="IU41" s="7">
        <f t="shared" si="1084"/>
        <v>0</v>
      </c>
      <c r="IV41" s="7">
        <f t="shared" si="1084"/>
        <v>0</v>
      </c>
      <c r="IW41" s="7">
        <f t="shared" si="1084"/>
        <v>0</v>
      </c>
      <c r="IX41" s="7">
        <f t="shared" si="1084"/>
        <v>0</v>
      </c>
      <c r="IY41" s="7">
        <f t="shared" si="1084"/>
        <v>0</v>
      </c>
      <c r="IZ41" s="7">
        <f t="shared" si="1084"/>
        <v>0</v>
      </c>
      <c r="JA41" s="7">
        <f t="shared" ref="JA41:JS41" si="1085">JA10</f>
        <v>0</v>
      </c>
      <c r="JB41" s="7">
        <f t="shared" si="1085"/>
        <v>0</v>
      </c>
      <c r="JC41" s="7">
        <f t="shared" si="1085"/>
        <v>0</v>
      </c>
      <c r="JD41" s="7">
        <f t="shared" si="1085"/>
        <v>0</v>
      </c>
      <c r="JE41" s="7">
        <f t="shared" si="1085"/>
        <v>0</v>
      </c>
      <c r="JF41" s="7">
        <f t="shared" si="1085"/>
        <v>0</v>
      </c>
      <c r="JG41" s="7">
        <f t="shared" si="1085"/>
        <v>0</v>
      </c>
      <c r="JH41" s="7">
        <f t="shared" si="1085"/>
        <v>0</v>
      </c>
      <c r="JI41" s="7">
        <f t="shared" si="1085"/>
        <v>0</v>
      </c>
      <c r="JJ41" s="7">
        <f t="shared" si="1085"/>
        <v>0</v>
      </c>
      <c r="JK41" s="7">
        <f t="shared" si="1085"/>
        <v>0</v>
      </c>
      <c r="JL41" s="7">
        <f t="shared" si="1085"/>
        <v>0</v>
      </c>
      <c r="JM41" s="7">
        <f t="shared" si="1085"/>
        <v>0</v>
      </c>
      <c r="JN41" s="7">
        <f t="shared" si="1085"/>
        <v>0</v>
      </c>
      <c r="JO41" s="7">
        <f t="shared" si="1085"/>
        <v>0</v>
      </c>
      <c r="JP41" s="7">
        <f t="shared" si="1085"/>
        <v>0</v>
      </c>
      <c r="JQ41" s="7">
        <f t="shared" si="1085"/>
        <v>0</v>
      </c>
      <c r="JR41" s="7">
        <f t="shared" si="1085"/>
        <v>0</v>
      </c>
      <c r="JS41" s="7">
        <f t="shared" si="1085"/>
        <v>0</v>
      </c>
      <c r="JT41" s="7">
        <f>JT10</f>
        <v>0</v>
      </c>
    </row>
    <row r="42" spans="1:280" x14ac:dyDescent="0.2">
      <c r="A42" s="70">
        <f>SUM(A40:A41)</f>
        <v>78350826.389930636</v>
      </c>
      <c r="D42" s="76" t="s">
        <v>986</v>
      </c>
      <c r="E42" s="77">
        <f t="shared" ref="E42:BP42" si="1086">SUM(E40:E41)</f>
        <v>14255698.433819117</v>
      </c>
      <c r="F42" s="77">
        <f t="shared" si="1086"/>
        <v>4785603.3425289877</v>
      </c>
      <c r="G42" s="77">
        <f t="shared" si="1086"/>
        <v>4009865.8143464723</v>
      </c>
      <c r="H42" s="77">
        <f t="shared" si="1086"/>
        <v>2777465.8294526343</v>
      </c>
      <c r="I42" s="77">
        <f t="shared" si="1086"/>
        <v>5989709.0508059748</v>
      </c>
      <c r="J42" s="77">
        <f t="shared" si="1086"/>
        <v>7424724.6050869329</v>
      </c>
      <c r="K42" s="77">
        <f t="shared" si="1086"/>
        <v>6724655.3583041737</v>
      </c>
      <c r="L42" s="77">
        <f t="shared" si="1086"/>
        <v>6001970.1827104846</v>
      </c>
      <c r="M42" s="77">
        <f t="shared" si="1086"/>
        <v>5696217.6884906162</v>
      </c>
      <c r="N42" s="77">
        <f t="shared" si="1086"/>
        <v>4935662.9515681118</v>
      </c>
      <c r="O42" s="77">
        <f t="shared" si="1086"/>
        <v>4907436.7847301578</v>
      </c>
      <c r="P42" s="77">
        <f t="shared" si="1086"/>
        <v>6700892.9202868603</v>
      </c>
      <c r="Q42" s="77">
        <f t="shared" si="1086"/>
        <v>1380307.8092666978</v>
      </c>
      <c r="R42" s="77">
        <f t="shared" si="1086"/>
        <v>1380307.8092666978</v>
      </c>
      <c r="S42" s="77">
        <f t="shared" si="1086"/>
        <v>1380307.8092666978</v>
      </c>
      <c r="T42" s="77">
        <f t="shared" si="1086"/>
        <v>0</v>
      </c>
      <c r="U42" s="77">
        <f t="shared" si="1086"/>
        <v>0</v>
      </c>
      <c r="V42" s="77">
        <f t="shared" si="1086"/>
        <v>0</v>
      </c>
      <c r="W42" s="77">
        <f t="shared" si="1086"/>
        <v>0</v>
      </c>
      <c r="X42" s="77">
        <f t="shared" si="1086"/>
        <v>0</v>
      </c>
      <c r="Y42" s="77">
        <f t="shared" si="1086"/>
        <v>0</v>
      </c>
      <c r="Z42" s="77">
        <f t="shared" si="1086"/>
        <v>0</v>
      </c>
      <c r="AA42" s="77">
        <f t="shared" si="1086"/>
        <v>0</v>
      </c>
      <c r="AB42" s="77">
        <f t="shared" si="1086"/>
        <v>0</v>
      </c>
      <c r="AC42" s="77">
        <f t="shared" si="1086"/>
        <v>0</v>
      </c>
      <c r="AD42" s="77">
        <f t="shared" si="1086"/>
        <v>0</v>
      </c>
      <c r="AE42" s="77">
        <f t="shared" si="1086"/>
        <v>0</v>
      </c>
      <c r="AF42" s="77">
        <f t="shared" si="1086"/>
        <v>0</v>
      </c>
      <c r="AG42" s="77">
        <f t="shared" si="1086"/>
        <v>0</v>
      </c>
      <c r="AH42" s="77">
        <f t="shared" si="1086"/>
        <v>0</v>
      </c>
      <c r="AI42" s="77">
        <f t="shared" si="1086"/>
        <v>0</v>
      </c>
      <c r="AJ42" s="77">
        <f t="shared" si="1086"/>
        <v>0</v>
      </c>
      <c r="AK42" s="77">
        <f t="shared" si="1086"/>
        <v>0</v>
      </c>
      <c r="AL42" s="77">
        <f t="shared" si="1086"/>
        <v>0</v>
      </c>
      <c r="AM42" s="77">
        <f t="shared" si="1086"/>
        <v>0</v>
      </c>
      <c r="AN42" s="77">
        <f t="shared" si="1086"/>
        <v>0</v>
      </c>
      <c r="AO42" s="77">
        <f t="shared" si="1086"/>
        <v>0</v>
      </c>
      <c r="AP42" s="77">
        <f t="shared" si="1086"/>
        <v>0</v>
      </c>
      <c r="AQ42" s="77">
        <f t="shared" si="1086"/>
        <v>0</v>
      </c>
      <c r="AR42" s="77">
        <f t="shared" si="1086"/>
        <v>0</v>
      </c>
      <c r="AS42" s="77">
        <f t="shared" si="1086"/>
        <v>0</v>
      </c>
      <c r="AT42" s="77">
        <f t="shared" si="1086"/>
        <v>0</v>
      </c>
      <c r="AU42" s="77">
        <f t="shared" si="1086"/>
        <v>0</v>
      </c>
      <c r="AV42" s="77">
        <f t="shared" si="1086"/>
        <v>0</v>
      </c>
      <c r="AW42" s="77">
        <f t="shared" si="1086"/>
        <v>0</v>
      </c>
      <c r="AX42" s="77">
        <f t="shared" si="1086"/>
        <v>0</v>
      </c>
      <c r="AY42" s="77">
        <f t="shared" si="1086"/>
        <v>0</v>
      </c>
      <c r="AZ42" s="77">
        <f t="shared" si="1086"/>
        <v>0</v>
      </c>
      <c r="BA42" s="77">
        <f t="shared" si="1086"/>
        <v>0</v>
      </c>
      <c r="BB42" s="77">
        <f t="shared" si="1086"/>
        <v>0</v>
      </c>
      <c r="BC42" s="77">
        <f t="shared" si="1086"/>
        <v>0</v>
      </c>
      <c r="BD42" s="77">
        <f t="shared" si="1086"/>
        <v>0</v>
      </c>
      <c r="BE42" s="77">
        <f t="shared" si="1086"/>
        <v>0</v>
      </c>
      <c r="BF42" s="77">
        <f t="shared" si="1086"/>
        <v>0</v>
      </c>
      <c r="BG42" s="77">
        <f t="shared" si="1086"/>
        <v>0</v>
      </c>
      <c r="BH42" s="77">
        <f t="shared" si="1086"/>
        <v>0</v>
      </c>
      <c r="BI42" s="77">
        <f t="shared" si="1086"/>
        <v>0</v>
      </c>
      <c r="BJ42" s="77">
        <f t="shared" si="1086"/>
        <v>0</v>
      </c>
      <c r="BK42" s="77">
        <f t="shared" si="1086"/>
        <v>0</v>
      </c>
      <c r="BL42" s="77">
        <f t="shared" si="1086"/>
        <v>0</v>
      </c>
      <c r="BM42" s="77">
        <f t="shared" si="1086"/>
        <v>0</v>
      </c>
      <c r="BN42" s="77">
        <f t="shared" si="1086"/>
        <v>0</v>
      </c>
      <c r="BO42" s="77">
        <f t="shared" si="1086"/>
        <v>0</v>
      </c>
      <c r="BP42" s="77">
        <f t="shared" si="1086"/>
        <v>0</v>
      </c>
      <c r="BQ42" s="77">
        <f t="shared" ref="BQ42:EB42" si="1087">SUM(BQ40:BQ41)</f>
        <v>0</v>
      </c>
      <c r="BR42" s="77">
        <f t="shared" si="1087"/>
        <v>0</v>
      </c>
      <c r="BS42" s="77">
        <f t="shared" si="1087"/>
        <v>0</v>
      </c>
      <c r="BT42" s="77">
        <f t="shared" si="1087"/>
        <v>0</v>
      </c>
      <c r="BU42" s="77">
        <f t="shared" si="1087"/>
        <v>0</v>
      </c>
      <c r="BV42" s="77">
        <f t="shared" si="1087"/>
        <v>0</v>
      </c>
      <c r="BW42" s="77">
        <f t="shared" si="1087"/>
        <v>0</v>
      </c>
      <c r="BX42" s="77">
        <f t="shared" si="1087"/>
        <v>0</v>
      </c>
      <c r="BY42" s="77">
        <f t="shared" si="1087"/>
        <v>0</v>
      </c>
      <c r="BZ42" s="77">
        <f t="shared" si="1087"/>
        <v>0</v>
      </c>
      <c r="CA42" s="77">
        <f t="shared" si="1087"/>
        <v>0</v>
      </c>
      <c r="CB42" s="77">
        <f t="shared" si="1087"/>
        <v>0</v>
      </c>
      <c r="CC42" s="77">
        <f t="shared" si="1087"/>
        <v>0</v>
      </c>
      <c r="CD42" s="77">
        <f t="shared" si="1087"/>
        <v>0</v>
      </c>
      <c r="CE42" s="77">
        <f t="shared" si="1087"/>
        <v>0</v>
      </c>
      <c r="CF42" s="77">
        <f t="shared" si="1087"/>
        <v>0</v>
      </c>
      <c r="CG42" s="77">
        <f t="shared" si="1087"/>
        <v>0</v>
      </c>
      <c r="CH42" s="77">
        <f t="shared" si="1087"/>
        <v>0</v>
      </c>
      <c r="CI42" s="77">
        <f t="shared" si="1087"/>
        <v>0</v>
      </c>
      <c r="CJ42" s="77">
        <f t="shared" si="1087"/>
        <v>0</v>
      </c>
      <c r="CK42" s="77">
        <f t="shared" si="1087"/>
        <v>0</v>
      </c>
      <c r="CL42" s="77">
        <f t="shared" si="1087"/>
        <v>0</v>
      </c>
      <c r="CM42" s="77">
        <f t="shared" si="1087"/>
        <v>0</v>
      </c>
      <c r="CN42" s="77">
        <f t="shared" si="1087"/>
        <v>0</v>
      </c>
      <c r="CO42" s="77">
        <f t="shared" si="1087"/>
        <v>0</v>
      </c>
      <c r="CP42" s="77">
        <f t="shared" si="1087"/>
        <v>0</v>
      </c>
      <c r="CQ42" s="77">
        <f t="shared" si="1087"/>
        <v>0</v>
      </c>
      <c r="CR42" s="77">
        <f t="shared" si="1087"/>
        <v>0</v>
      </c>
      <c r="CS42" s="77">
        <f t="shared" si="1087"/>
        <v>0</v>
      </c>
      <c r="CT42" s="77">
        <f t="shared" si="1087"/>
        <v>0</v>
      </c>
      <c r="CU42" s="77">
        <f t="shared" si="1087"/>
        <v>0</v>
      </c>
      <c r="CV42" s="77">
        <f t="shared" si="1087"/>
        <v>0</v>
      </c>
      <c r="CW42" s="77">
        <f t="shared" si="1087"/>
        <v>0</v>
      </c>
      <c r="CX42" s="77">
        <f t="shared" si="1087"/>
        <v>0</v>
      </c>
      <c r="CY42" s="77">
        <f t="shared" si="1087"/>
        <v>0</v>
      </c>
      <c r="CZ42" s="77">
        <f t="shared" si="1087"/>
        <v>0</v>
      </c>
      <c r="DA42" s="77">
        <f t="shared" si="1087"/>
        <v>0</v>
      </c>
      <c r="DB42" s="77">
        <f t="shared" si="1087"/>
        <v>0</v>
      </c>
      <c r="DC42" s="77">
        <f t="shared" si="1087"/>
        <v>0</v>
      </c>
      <c r="DD42" s="77">
        <f t="shared" si="1087"/>
        <v>0</v>
      </c>
      <c r="DE42" s="77">
        <f t="shared" si="1087"/>
        <v>0</v>
      </c>
      <c r="DF42" s="77">
        <f t="shared" si="1087"/>
        <v>0</v>
      </c>
      <c r="DG42" s="77">
        <f t="shared" si="1087"/>
        <v>0</v>
      </c>
      <c r="DH42" s="77">
        <f t="shared" si="1087"/>
        <v>0</v>
      </c>
      <c r="DI42" s="77">
        <f t="shared" si="1087"/>
        <v>0</v>
      </c>
      <c r="DJ42" s="77">
        <f t="shared" si="1087"/>
        <v>0</v>
      </c>
      <c r="DK42" s="77">
        <f t="shared" si="1087"/>
        <v>0</v>
      </c>
      <c r="DL42" s="77">
        <f t="shared" si="1087"/>
        <v>0</v>
      </c>
      <c r="DM42" s="77">
        <f t="shared" si="1087"/>
        <v>0</v>
      </c>
      <c r="DN42" s="77">
        <f t="shared" si="1087"/>
        <v>0</v>
      </c>
      <c r="DO42" s="77">
        <f t="shared" si="1087"/>
        <v>0</v>
      </c>
      <c r="DP42" s="77">
        <f t="shared" si="1087"/>
        <v>0</v>
      </c>
      <c r="DQ42" s="77">
        <f t="shared" si="1087"/>
        <v>0</v>
      </c>
      <c r="DR42" s="77">
        <f t="shared" si="1087"/>
        <v>0</v>
      </c>
      <c r="DS42" s="77">
        <f t="shared" si="1087"/>
        <v>0</v>
      </c>
      <c r="DT42" s="77">
        <f t="shared" si="1087"/>
        <v>0</v>
      </c>
      <c r="DU42" s="77">
        <f t="shared" si="1087"/>
        <v>0</v>
      </c>
      <c r="DV42" s="77">
        <f t="shared" si="1087"/>
        <v>0</v>
      </c>
      <c r="DW42" s="77">
        <f t="shared" si="1087"/>
        <v>0</v>
      </c>
      <c r="DX42" s="77">
        <f t="shared" si="1087"/>
        <v>0</v>
      </c>
      <c r="DY42" s="77">
        <f t="shared" si="1087"/>
        <v>0</v>
      </c>
      <c r="DZ42" s="77">
        <f t="shared" si="1087"/>
        <v>0</v>
      </c>
      <c r="EA42" s="77">
        <f t="shared" si="1087"/>
        <v>0</v>
      </c>
      <c r="EB42" s="77">
        <f t="shared" si="1087"/>
        <v>0</v>
      </c>
      <c r="EC42" s="77">
        <f t="shared" ref="EC42:GN42" si="1088">SUM(EC40:EC41)</f>
        <v>0</v>
      </c>
      <c r="ED42" s="77">
        <f t="shared" si="1088"/>
        <v>0</v>
      </c>
      <c r="EE42" s="77">
        <f t="shared" si="1088"/>
        <v>0</v>
      </c>
      <c r="EF42" s="77">
        <f t="shared" si="1088"/>
        <v>0</v>
      </c>
      <c r="EG42" s="77">
        <f t="shared" si="1088"/>
        <v>0</v>
      </c>
      <c r="EH42" s="77">
        <f t="shared" si="1088"/>
        <v>0</v>
      </c>
      <c r="EI42" s="77">
        <f t="shared" si="1088"/>
        <v>0</v>
      </c>
      <c r="EJ42" s="77">
        <f t="shared" si="1088"/>
        <v>0</v>
      </c>
      <c r="EK42" s="77">
        <f t="shared" si="1088"/>
        <v>0</v>
      </c>
      <c r="EL42" s="77">
        <f t="shared" si="1088"/>
        <v>0</v>
      </c>
      <c r="EM42" s="77">
        <f t="shared" si="1088"/>
        <v>0</v>
      </c>
      <c r="EN42" s="77">
        <f t="shared" si="1088"/>
        <v>0</v>
      </c>
      <c r="EO42" s="77">
        <f t="shared" si="1088"/>
        <v>0</v>
      </c>
      <c r="EP42" s="77">
        <f t="shared" si="1088"/>
        <v>0</v>
      </c>
      <c r="EQ42" s="77">
        <f t="shared" si="1088"/>
        <v>0</v>
      </c>
      <c r="ER42" s="77">
        <f t="shared" si="1088"/>
        <v>0</v>
      </c>
      <c r="ES42" s="77">
        <f t="shared" si="1088"/>
        <v>0</v>
      </c>
      <c r="ET42" s="77">
        <f t="shared" si="1088"/>
        <v>0</v>
      </c>
      <c r="EU42" s="77">
        <f t="shared" si="1088"/>
        <v>0</v>
      </c>
      <c r="EV42" s="77">
        <f t="shared" si="1088"/>
        <v>0</v>
      </c>
      <c r="EW42" s="77">
        <f t="shared" si="1088"/>
        <v>0</v>
      </c>
      <c r="EX42" s="77">
        <f t="shared" si="1088"/>
        <v>0</v>
      </c>
      <c r="EY42" s="77">
        <f t="shared" si="1088"/>
        <v>0</v>
      </c>
      <c r="EZ42" s="77">
        <f t="shared" si="1088"/>
        <v>0</v>
      </c>
      <c r="FA42" s="77">
        <f t="shared" si="1088"/>
        <v>0</v>
      </c>
      <c r="FB42" s="77">
        <f t="shared" si="1088"/>
        <v>0</v>
      </c>
      <c r="FC42" s="77">
        <f t="shared" si="1088"/>
        <v>0</v>
      </c>
      <c r="FD42" s="77">
        <f t="shared" si="1088"/>
        <v>0</v>
      </c>
      <c r="FE42" s="77">
        <f t="shared" si="1088"/>
        <v>0</v>
      </c>
      <c r="FF42" s="77">
        <f t="shared" si="1088"/>
        <v>0</v>
      </c>
      <c r="FG42" s="77">
        <f t="shared" si="1088"/>
        <v>0</v>
      </c>
      <c r="FH42" s="77">
        <f t="shared" si="1088"/>
        <v>0</v>
      </c>
      <c r="FI42" s="77">
        <f t="shared" si="1088"/>
        <v>0</v>
      </c>
      <c r="FJ42" s="77">
        <f t="shared" si="1088"/>
        <v>0</v>
      </c>
      <c r="FK42" s="77">
        <f t="shared" si="1088"/>
        <v>0</v>
      </c>
      <c r="FL42" s="77">
        <f t="shared" si="1088"/>
        <v>0</v>
      </c>
      <c r="FM42" s="77">
        <f t="shared" si="1088"/>
        <v>0</v>
      </c>
      <c r="FN42" s="77">
        <f t="shared" si="1088"/>
        <v>0</v>
      </c>
      <c r="FO42" s="77">
        <f t="shared" si="1088"/>
        <v>0</v>
      </c>
      <c r="FP42" s="77">
        <f t="shared" si="1088"/>
        <v>0</v>
      </c>
      <c r="FQ42" s="77">
        <f t="shared" si="1088"/>
        <v>0</v>
      </c>
      <c r="FR42" s="77">
        <f t="shared" si="1088"/>
        <v>0</v>
      </c>
      <c r="FS42" s="77">
        <f t="shared" si="1088"/>
        <v>0</v>
      </c>
      <c r="FT42" s="77">
        <f t="shared" si="1088"/>
        <v>0</v>
      </c>
      <c r="FU42" s="77">
        <f t="shared" si="1088"/>
        <v>0</v>
      </c>
      <c r="FV42" s="77">
        <f t="shared" si="1088"/>
        <v>0</v>
      </c>
      <c r="FW42" s="77">
        <f t="shared" si="1088"/>
        <v>0</v>
      </c>
      <c r="FX42" s="77">
        <f t="shared" si="1088"/>
        <v>0</v>
      </c>
      <c r="FY42" s="77">
        <f t="shared" si="1088"/>
        <v>0</v>
      </c>
      <c r="FZ42" s="77">
        <f t="shared" si="1088"/>
        <v>0</v>
      </c>
      <c r="GA42" s="77">
        <f t="shared" si="1088"/>
        <v>0</v>
      </c>
      <c r="GB42" s="77">
        <f t="shared" si="1088"/>
        <v>0</v>
      </c>
      <c r="GC42" s="77">
        <f t="shared" si="1088"/>
        <v>0</v>
      </c>
      <c r="GD42" s="77">
        <f t="shared" si="1088"/>
        <v>0</v>
      </c>
      <c r="GE42" s="77">
        <f t="shared" si="1088"/>
        <v>0</v>
      </c>
      <c r="GF42" s="77">
        <f t="shared" si="1088"/>
        <v>0</v>
      </c>
      <c r="GG42" s="77">
        <f t="shared" si="1088"/>
        <v>0</v>
      </c>
      <c r="GH42" s="77">
        <f t="shared" si="1088"/>
        <v>0</v>
      </c>
      <c r="GI42" s="77">
        <f t="shared" si="1088"/>
        <v>0</v>
      </c>
      <c r="GJ42" s="77">
        <f t="shared" si="1088"/>
        <v>0</v>
      </c>
      <c r="GK42" s="77">
        <f t="shared" si="1088"/>
        <v>0</v>
      </c>
      <c r="GL42" s="77">
        <f t="shared" si="1088"/>
        <v>0</v>
      </c>
      <c r="GM42" s="77">
        <f t="shared" si="1088"/>
        <v>0</v>
      </c>
      <c r="GN42" s="77">
        <f t="shared" si="1088"/>
        <v>0</v>
      </c>
      <c r="GO42" s="77">
        <f t="shared" ref="GO42:IZ42" si="1089">SUM(GO40:GO41)</f>
        <v>0</v>
      </c>
      <c r="GP42" s="77">
        <f t="shared" si="1089"/>
        <v>0</v>
      </c>
      <c r="GQ42" s="77">
        <f t="shared" si="1089"/>
        <v>0</v>
      </c>
      <c r="GR42" s="77">
        <f t="shared" si="1089"/>
        <v>0</v>
      </c>
      <c r="GS42" s="77">
        <f t="shared" si="1089"/>
        <v>0</v>
      </c>
      <c r="GT42" s="77">
        <f t="shared" si="1089"/>
        <v>0</v>
      </c>
      <c r="GU42" s="77">
        <f t="shared" si="1089"/>
        <v>0</v>
      </c>
      <c r="GV42" s="77">
        <f t="shared" si="1089"/>
        <v>0</v>
      </c>
      <c r="GW42" s="77">
        <f t="shared" si="1089"/>
        <v>0</v>
      </c>
      <c r="GX42" s="77">
        <f t="shared" si="1089"/>
        <v>0</v>
      </c>
      <c r="GY42" s="77">
        <f t="shared" si="1089"/>
        <v>0</v>
      </c>
      <c r="GZ42" s="77">
        <f t="shared" si="1089"/>
        <v>0</v>
      </c>
      <c r="HA42" s="77">
        <f t="shared" si="1089"/>
        <v>0</v>
      </c>
      <c r="HB42" s="77">
        <f t="shared" si="1089"/>
        <v>0</v>
      </c>
      <c r="HC42" s="77">
        <f t="shared" si="1089"/>
        <v>0</v>
      </c>
      <c r="HD42" s="77">
        <f t="shared" si="1089"/>
        <v>0</v>
      </c>
      <c r="HE42" s="77">
        <f t="shared" si="1089"/>
        <v>0</v>
      </c>
      <c r="HF42" s="77">
        <f t="shared" si="1089"/>
        <v>0</v>
      </c>
      <c r="HG42" s="77">
        <f t="shared" si="1089"/>
        <v>0</v>
      </c>
      <c r="HH42" s="77">
        <f t="shared" si="1089"/>
        <v>0</v>
      </c>
      <c r="HI42" s="77">
        <f t="shared" si="1089"/>
        <v>0</v>
      </c>
      <c r="HJ42" s="77">
        <f t="shared" si="1089"/>
        <v>0</v>
      </c>
      <c r="HK42" s="77">
        <f t="shared" si="1089"/>
        <v>0</v>
      </c>
      <c r="HL42" s="77">
        <f t="shared" si="1089"/>
        <v>0</v>
      </c>
      <c r="HM42" s="77">
        <f t="shared" si="1089"/>
        <v>0</v>
      </c>
      <c r="HN42" s="77">
        <f t="shared" si="1089"/>
        <v>0</v>
      </c>
      <c r="HO42" s="77">
        <f t="shared" si="1089"/>
        <v>0</v>
      </c>
      <c r="HP42" s="77">
        <f t="shared" si="1089"/>
        <v>0</v>
      </c>
      <c r="HQ42" s="77">
        <f t="shared" si="1089"/>
        <v>0</v>
      </c>
      <c r="HR42" s="77">
        <f t="shared" si="1089"/>
        <v>0</v>
      </c>
      <c r="HS42" s="77">
        <f t="shared" si="1089"/>
        <v>0</v>
      </c>
      <c r="HT42" s="77">
        <f t="shared" si="1089"/>
        <v>0</v>
      </c>
      <c r="HU42" s="77">
        <f t="shared" si="1089"/>
        <v>0</v>
      </c>
      <c r="HV42" s="77">
        <f t="shared" si="1089"/>
        <v>0</v>
      </c>
      <c r="HW42" s="77">
        <f t="shared" si="1089"/>
        <v>0</v>
      </c>
      <c r="HX42" s="77">
        <f t="shared" si="1089"/>
        <v>0</v>
      </c>
      <c r="HY42" s="77">
        <f t="shared" si="1089"/>
        <v>0</v>
      </c>
      <c r="HZ42" s="77">
        <f t="shared" si="1089"/>
        <v>0</v>
      </c>
      <c r="IA42" s="77">
        <f t="shared" si="1089"/>
        <v>0</v>
      </c>
      <c r="IB42" s="77">
        <f t="shared" si="1089"/>
        <v>0</v>
      </c>
      <c r="IC42" s="77">
        <f t="shared" si="1089"/>
        <v>0</v>
      </c>
      <c r="ID42" s="77">
        <f t="shared" si="1089"/>
        <v>0</v>
      </c>
      <c r="IE42" s="77">
        <f t="shared" si="1089"/>
        <v>0</v>
      </c>
      <c r="IF42" s="77">
        <f t="shared" si="1089"/>
        <v>0</v>
      </c>
      <c r="IG42" s="77">
        <f t="shared" si="1089"/>
        <v>0</v>
      </c>
      <c r="IH42" s="77">
        <f t="shared" si="1089"/>
        <v>0</v>
      </c>
      <c r="II42" s="77">
        <f t="shared" si="1089"/>
        <v>0</v>
      </c>
      <c r="IJ42" s="77">
        <f t="shared" si="1089"/>
        <v>0</v>
      </c>
      <c r="IK42" s="77">
        <f t="shared" si="1089"/>
        <v>0</v>
      </c>
      <c r="IL42" s="77">
        <f t="shared" si="1089"/>
        <v>0</v>
      </c>
      <c r="IM42" s="77">
        <f t="shared" si="1089"/>
        <v>0</v>
      </c>
      <c r="IN42" s="77">
        <f t="shared" si="1089"/>
        <v>0</v>
      </c>
      <c r="IO42" s="77">
        <f t="shared" si="1089"/>
        <v>0</v>
      </c>
      <c r="IP42" s="77">
        <f t="shared" si="1089"/>
        <v>0</v>
      </c>
      <c r="IQ42" s="77">
        <f t="shared" si="1089"/>
        <v>0</v>
      </c>
      <c r="IR42" s="77">
        <f t="shared" si="1089"/>
        <v>0</v>
      </c>
      <c r="IS42" s="77">
        <f t="shared" si="1089"/>
        <v>0</v>
      </c>
      <c r="IT42" s="77">
        <f t="shared" si="1089"/>
        <v>0</v>
      </c>
      <c r="IU42" s="77">
        <f t="shared" si="1089"/>
        <v>0</v>
      </c>
      <c r="IV42" s="77">
        <f t="shared" si="1089"/>
        <v>0</v>
      </c>
      <c r="IW42" s="77">
        <f t="shared" si="1089"/>
        <v>0</v>
      </c>
      <c r="IX42" s="77">
        <f t="shared" si="1089"/>
        <v>0</v>
      </c>
      <c r="IY42" s="77">
        <f t="shared" si="1089"/>
        <v>0</v>
      </c>
      <c r="IZ42" s="77">
        <f t="shared" si="1089"/>
        <v>0</v>
      </c>
      <c r="JA42" s="77">
        <f t="shared" ref="JA42:JS42" si="1090">SUM(JA40:JA41)</f>
        <v>0</v>
      </c>
      <c r="JB42" s="77">
        <f t="shared" si="1090"/>
        <v>0</v>
      </c>
      <c r="JC42" s="77">
        <f t="shared" si="1090"/>
        <v>0</v>
      </c>
      <c r="JD42" s="77">
        <f t="shared" si="1090"/>
        <v>0</v>
      </c>
      <c r="JE42" s="77">
        <f t="shared" si="1090"/>
        <v>0</v>
      </c>
      <c r="JF42" s="77">
        <f t="shared" si="1090"/>
        <v>0</v>
      </c>
      <c r="JG42" s="77">
        <f t="shared" si="1090"/>
        <v>0</v>
      </c>
      <c r="JH42" s="77">
        <f t="shared" si="1090"/>
        <v>0</v>
      </c>
      <c r="JI42" s="77">
        <f t="shared" si="1090"/>
        <v>0</v>
      </c>
      <c r="JJ42" s="77">
        <f t="shared" si="1090"/>
        <v>0</v>
      </c>
      <c r="JK42" s="77">
        <f t="shared" si="1090"/>
        <v>0</v>
      </c>
      <c r="JL42" s="77">
        <f t="shared" si="1090"/>
        <v>0</v>
      </c>
      <c r="JM42" s="77">
        <f t="shared" si="1090"/>
        <v>0</v>
      </c>
      <c r="JN42" s="77">
        <f t="shared" si="1090"/>
        <v>0</v>
      </c>
      <c r="JO42" s="77">
        <f t="shared" si="1090"/>
        <v>0</v>
      </c>
      <c r="JP42" s="77">
        <f t="shared" si="1090"/>
        <v>0</v>
      </c>
      <c r="JQ42" s="77">
        <f t="shared" si="1090"/>
        <v>0</v>
      </c>
      <c r="JR42" s="77">
        <f t="shared" si="1090"/>
        <v>0</v>
      </c>
      <c r="JS42" s="77">
        <f t="shared" si="1090"/>
        <v>0</v>
      </c>
      <c r="JT42" s="77">
        <f>SUM(JT40:JT41)</f>
        <v>0</v>
      </c>
    </row>
    <row r="49" spans="1:7" ht="13.5" thickBot="1" x14ac:dyDescent="0.25"/>
    <row r="50" spans="1:7" ht="15.75" thickTop="1" x14ac:dyDescent="0.25">
      <c r="A50" s="795">
        <v>45975</v>
      </c>
      <c r="B50" s="189"/>
      <c r="C50" s="189"/>
      <c r="D50" s="189"/>
      <c r="E50" s="796" t="s">
        <v>1161</v>
      </c>
      <c r="F50" s="189"/>
      <c r="G50" s="797"/>
    </row>
    <row r="51" spans="1:7" ht="15" x14ac:dyDescent="0.25">
      <c r="A51" s="798"/>
      <c r="B51"/>
      <c r="C51"/>
      <c r="D51"/>
      <c r="E51"/>
      <c r="F51"/>
      <c r="G51" s="799"/>
    </row>
    <row r="52" spans="1:7" ht="15" x14ac:dyDescent="0.25">
      <c r="A52" s="800" t="s">
        <v>1162</v>
      </c>
      <c r="B52"/>
      <c r="C52"/>
      <c r="D52"/>
      <c r="E52"/>
      <c r="F52"/>
      <c r="G52" s="799"/>
    </row>
    <row r="53" spans="1:7" ht="15" x14ac:dyDescent="0.25">
      <c r="A53" s="801"/>
      <c r="B53"/>
      <c r="C53"/>
      <c r="D53"/>
      <c r="E53"/>
      <c r="F53"/>
      <c r="G53" s="799"/>
    </row>
    <row r="54" spans="1:7" ht="15.75" thickBot="1" x14ac:dyDescent="0.3">
      <c r="A54" s="801"/>
      <c r="B54" s="858" t="s">
        <v>1163</v>
      </c>
      <c r="C54" s="859"/>
      <c r="D54" s="858" t="s">
        <v>1164</v>
      </c>
      <c r="E54" s="859"/>
      <c r="F54" s="858" t="s">
        <v>1165</v>
      </c>
      <c r="G54" s="860"/>
    </row>
    <row r="55" spans="1:7" ht="15" x14ac:dyDescent="0.25">
      <c r="A55" s="802" t="s">
        <v>1166</v>
      </c>
      <c r="B55" s="803">
        <v>13</v>
      </c>
      <c r="C55" s="804">
        <v>1</v>
      </c>
      <c r="D55" s="805">
        <v>26</v>
      </c>
      <c r="E55" s="804">
        <v>0.72199999999999998</v>
      </c>
      <c r="F55" s="805">
        <v>44.8</v>
      </c>
      <c r="G55" s="806">
        <v>0.44800000000000001</v>
      </c>
    </row>
    <row r="56" spans="1:7" ht="15" x14ac:dyDescent="0.25">
      <c r="A56" s="802"/>
      <c r="B56" s="807"/>
      <c r="C56"/>
      <c r="D56" s="807"/>
      <c r="E56"/>
      <c r="F56" s="807"/>
      <c r="G56" s="799"/>
    </row>
    <row r="57" spans="1:7" ht="15" x14ac:dyDescent="0.25">
      <c r="A57" s="802" t="s">
        <v>1167</v>
      </c>
      <c r="B57" s="807"/>
      <c r="C57"/>
      <c r="D57" s="808">
        <v>10</v>
      </c>
      <c r="E57" s="278">
        <v>0.27800000000000002</v>
      </c>
      <c r="F57" s="809">
        <v>17.2</v>
      </c>
      <c r="G57" s="810">
        <v>0.17199999999999999</v>
      </c>
    </row>
    <row r="58" spans="1:7" ht="15" x14ac:dyDescent="0.25">
      <c r="A58" s="802" t="s">
        <v>1168</v>
      </c>
      <c r="B58" s="807"/>
      <c r="C58"/>
      <c r="D58" s="807"/>
      <c r="E58"/>
      <c r="F58" s="808">
        <v>38</v>
      </c>
      <c r="G58" s="810">
        <v>0.38</v>
      </c>
    </row>
    <row r="59" spans="1:7" ht="15.75" thickBot="1" x14ac:dyDescent="0.3">
      <c r="A59" s="802" t="s">
        <v>16</v>
      </c>
      <c r="B59" s="811">
        <v>13</v>
      </c>
      <c r="C59" s="812">
        <v>1</v>
      </c>
      <c r="D59" s="811">
        <v>36</v>
      </c>
      <c r="E59" s="812">
        <v>1</v>
      </c>
      <c r="F59" s="811">
        <v>100</v>
      </c>
      <c r="G59" s="813">
        <v>1</v>
      </c>
    </row>
    <row r="60" spans="1:7" ht="15" x14ac:dyDescent="0.25">
      <c r="A60" s="801"/>
      <c r="B60"/>
      <c r="C60"/>
      <c r="D60"/>
      <c r="E60"/>
      <c r="F60"/>
      <c r="G60" s="799"/>
    </row>
    <row r="61" spans="1:7" ht="15.75" thickBot="1" x14ac:dyDescent="0.3">
      <c r="A61" s="801"/>
      <c r="B61"/>
      <c r="C61" s="134" t="s">
        <v>1169</v>
      </c>
      <c r="D61"/>
      <c r="E61" s="134" t="s">
        <v>1169</v>
      </c>
      <c r="F61"/>
      <c r="G61" s="799"/>
    </row>
    <row r="62" spans="1:7" ht="15.75" thickBot="1" x14ac:dyDescent="0.3">
      <c r="A62" s="802" t="s">
        <v>1170</v>
      </c>
      <c r="B62"/>
      <c r="C62" s="814">
        <v>2</v>
      </c>
      <c r="D62" s="815">
        <v>26</v>
      </c>
      <c r="E62" s="816">
        <v>1.72</v>
      </c>
      <c r="F62" s="815">
        <v>61</v>
      </c>
      <c r="G62" s="799"/>
    </row>
    <row r="63" spans="1:7" ht="15.75" thickBot="1" x14ac:dyDescent="0.3">
      <c r="A63" s="817" t="s">
        <v>1171</v>
      </c>
      <c r="B63" s="818">
        <v>13</v>
      </c>
      <c r="C63" s="194"/>
      <c r="D63" s="818">
        <v>36</v>
      </c>
      <c r="E63" s="194"/>
      <c r="F63" s="818">
        <v>100</v>
      </c>
      <c r="G63" s="819"/>
    </row>
    <row r="64" spans="1:7" ht="15.75" thickTop="1" x14ac:dyDescent="0.25">
      <c r="A64"/>
      <c r="B64"/>
      <c r="C64"/>
      <c r="D64"/>
      <c r="E64"/>
      <c r="F64"/>
      <c r="G64"/>
    </row>
    <row r="65" spans="1:7" ht="15.75" thickBot="1" x14ac:dyDescent="0.3">
      <c r="A65"/>
      <c r="B65"/>
      <c r="C65"/>
      <c r="D65"/>
      <c r="E65"/>
      <c r="F65"/>
      <c r="G65"/>
    </row>
    <row r="66" spans="1:7" ht="15.75" thickTop="1" x14ac:dyDescent="0.25">
      <c r="A66" s="795">
        <v>45975</v>
      </c>
      <c r="B66" s="189"/>
      <c r="C66" s="796" t="s">
        <v>1161</v>
      </c>
      <c r="D66" s="189"/>
      <c r="E66" s="189"/>
      <c r="F66" s="801"/>
      <c r="G66"/>
    </row>
    <row r="67" spans="1:7" ht="15" x14ac:dyDescent="0.25">
      <c r="A67" s="798"/>
      <c r="B67"/>
      <c r="C67"/>
      <c r="D67"/>
      <c r="E67"/>
      <c r="F67" s="801"/>
      <c r="G67"/>
    </row>
    <row r="68" spans="1:7" ht="15" x14ac:dyDescent="0.25">
      <c r="A68" s="800" t="s">
        <v>1162</v>
      </c>
      <c r="B68"/>
      <c r="C68"/>
      <c r="D68"/>
      <c r="E68"/>
      <c r="F68" s="801"/>
      <c r="G68"/>
    </row>
    <row r="69" spans="1:7" ht="15" x14ac:dyDescent="0.25">
      <c r="A69" s="801"/>
      <c r="B69"/>
      <c r="C69"/>
      <c r="D69"/>
      <c r="E69"/>
      <c r="F69" s="801"/>
      <c r="G69"/>
    </row>
    <row r="70" spans="1:7" ht="15.75" thickBot="1" x14ac:dyDescent="0.3">
      <c r="A70" s="801"/>
      <c r="B70" s="858" t="s">
        <v>1163</v>
      </c>
      <c r="C70" s="859"/>
      <c r="D70" s="858" t="s">
        <v>1172</v>
      </c>
      <c r="E70" s="859"/>
      <c r="F70" s="801"/>
      <c r="G70"/>
    </row>
    <row r="71" spans="1:7" ht="15" x14ac:dyDescent="0.25">
      <c r="A71" s="802" t="s">
        <v>1166</v>
      </c>
      <c r="B71" s="803">
        <v>13</v>
      </c>
      <c r="C71" s="804">
        <v>1</v>
      </c>
      <c r="D71" s="805">
        <v>44.8</v>
      </c>
      <c r="E71" s="804">
        <v>0.44800000000000001</v>
      </c>
      <c r="F71" s="801"/>
      <c r="G71"/>
    </row>
    <row r="72" spans="1:7" ht="15" x14ac:dyDescent="0.25">
      <c r="A72" s="802"/>
      <c r="B72" s="807"/>
      <c r="C72"/>
      <c r="D72" s="807"/>
      <c r="E72"/>
      <c r="F72" s="801"/>
      <c r="G72"/>
    </row>
    <row r="73" spans="1:7" ht="15" x14ac:dyDescent="0.25">
      <c r="A73" s="802" t="s">
        <v>1173</v>
      </c>
      <c r="B73" s="807"/>
      <c r="C73"/>
      <c r="D73" s="808">
        <v>48</v>
      </c>
      <c r="E73" s="278">
        <v>0.55200000000000005</v>
      </c>
      <c r="F73" s="801"/>
      <c r="G73"/>
    </row>
    <row r="74" spans="1:7" ht="15.75" thickBot="1" x14ac:dyDescent="0.3">
      <c r="A74" s="802" t="s">
        <v>16</v>
      </c>
      <c r="B74" s="811">
        <v>13</v>
      </c>
      <c r="C74" s="812">
        <v>1</v>
      </c>
      <c r="D74" s="811">
        <v>100</v>
      </c>
      <c r="E74" s="812">
        <v>1</v>
      </c>
      <c r="F74" s="801"/>
      <c r="G74"/>
    </row>
    <row r="75" spans="1:7" ht="15" x14ac:dyDescent="0.25">
      <c r="A75" s="801"/>
      <c r="B75"/>
      <c r="C75"/>
      <c r="D75"/>
      <c r="E75"/>
      <c r="F75" s="801"/>
      <c r="G75"/>
    </row>
    <row r="76" spans="1:7" ht="15.75" thickBot="1" x14ac:dyDescent="0.3">
      <c r="A76" s="801"/>
      <c r="B76"/>
      <c r="C76" s="134" t="s">
        <v>1169</v>
      </c>
      <c r="D76"/>
      <c r="E76"/>
      <c r="F76" s="801"/>
      <c r="G76"/>
    </row>
    <row r="77" spans="1:7" ht="15.75" thickBot="1" x14ac:dyDescent="0.3">
      <c r="A77" s="802" t="s">
        <v>1170</v>
      </c>
      <c r="B77"/>
      <c r="C77" s="816">
        <v>3.44</v>
      </c>
      <c r="D77" s="815">
        <v>61</v>
      </c>
      <c r="E77"/>
      <c r="F77" s="801"/>
      <c r="G77"/>
    </row>
    <row r="78" spans="1:7" ht="15.75" thickBot="1" x14ac:dyDescent="0.3">
      <c r="A78" s="817" t="s">
        <v>1171</v>
      </c>
      <c r="B78" s="818">
        <v>13</v>
      </c>
      <c r="C78" s="194"/>
      <c r="D78" s="818">
        <v>100</v>
      </c>
      <c r="E78" s="194"/>
      <c r="F78" s="801"/>
      <c r="G78"/>
    </row>
    <row r="79" spans="1:7" ht="13.5" thickTop="1" x14ac:dyDescent="0.2"/>
  </sheetData>
  <mergeCells count="54">
    <mergeCell ref="B54:C54"/>
    <mergeCell ref="D54:E54"/>
    <mergeCell ref="F54:G54"/>
    <mergeCell ref="B70:C70"/>
    <mergeCell ref="D70:E70"/>
    <mergeCell ref="AC4:AN4"/>
    <mergeCell ref="AO4:AZ4"/>
    <mergeCell ref="BA4:BL4"/>
    <mergeCell ref="BM4:BX4"/>
    <mergeCell ref="BY4:CJ4"/>
    <mergeCell ref="A6:B6"/>
    <mergeCell ref="A13:B13"/>
    <mergeCell ref="A21:B21"/>
    <mergeCell ref="Q4:AB4"/>
    <mergeCell ref="E4:P4"/>
    <mergeCell ref="E38:P38"/>
    <mergeCell ref="Q38:AB38"/>
    <mergeCell ref="AC38:AN38"/>
    <mergeCell ref="AO38:AZ38"/>
    <mergeCell ref="BA38:BL38"/>
    <mergeCell ref="BM38:BX38"/>
    <mergeCell ref="BY38:CJ38"/>
    <mergeCell ref="CK38:CV38"/>
    <mergeCell ref="CW4:DH4"/>
    <mergeCell ref="CW38:DH38"/>
    <mergeCell ref="CK4:CV4"/>
    <mergeCell ref="DI4:DT4"/>
    <mergeCell ref="DI38:DT38"/>
    <mergeCell ref="DU4:EF4"/>
    <mergeCell ref="DU38:EF38"/>
    <mergeCell ref="EG4:ER4"/>
    <mergeCell ref="EG38:ER38"/>
    <mergeCell ref="ES4:FD4"/>
    <mergeCell ref="ES38:FD38"/>
    <mergeCell ref="FE4:FP4"/>
    <mergeCell ref="FE38:FP38"/>
    <mergeCell ref="FQ4:GB4"/>
    <mergeCell ref="GC4:GN4"/>
    <mergeCell ref="FQ38:GB38"/>
    <mergeCell ref="GC38:GN38"/>
    <mergeCell ref="GO4:GZ4"/>
    <mergeCell ref="GO38:GZ38"/>
    <mergeCell ref="HA4:HL4"/>
    <mergeCell ref="HA38:HL38"/>
    <mergeCell ref="HM4:HX4"/>
    <mergeCell ref="HM38:HX38"/>
    <mergeCell ref="HY4:IJ4"/>
    <mergeCell ref="HY38:IJ38"/>
    <mergeCell ref="IK4:IV4"/>
    <mergeCell ref="IK38:IV38"/>
    <mergeCell ref="IW4:JH4"/>
    <mergeCell ref="IW38:JH38"/>
    <mergeCell ref="JI4:JT4"/>
    <mergeCell ref="JI38:JT38"/>
  </mergeCells>
  <pageMargins left="0.7" right="0.7" top="0.75" bottom="0.75" header="0.3" footer="0.3"/>
  <pageSetup orientation="portrait"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C4040-62D6-46BC-8AD4-1BCE93821891}">
  <dimension ref="A1:Z12"/>
  <sheetViews>
    <sheetView workbookViewId="0">
      <selection activeCell="C17" sqref="C17"/>
    </sheetView>
  </sheetViews>
  <sheetFormatPr defaultRowHeight="15" x14ac:dyDescent="0.25"/>
  <cols>
    <col min="1" max="1" width="24.28515625" customWidth="1"/>
    <col min="3" max="3" width="18.140625" customWidth="1"/>
    <col min="4" max="4" width="14.5703125" bestFit="1" customWidth="1"/>
    <col min="5" max="11" width="13.5703125" bestFit="1" customWidth="1"/>
    <col min="12" max="12" width="13.28515625" customWidth="1"/>
    <col min="13" max="13" width="13.42578125" customWidth="1"/>
    <col min="14" max="14" width="13.28515625" customWidth="1"/>
    <col min="15" max="15" width="14.140625" customWidth="1"/>
    <col min="16" max="16" width="13.28515625" customWidth="1"/>
    <col min="17" max="17" width="14.7109375" customWidth="1"/>
    <col min="18" max="18" width="13.28515625" customWidth="1"/>
    <col min="19" max="20" width="14.42578125" customWidth="1"/>
    <col min="21" max="21" width="14.140625" customWidth="1"/>
    <col min="22" max="22" width="14.28515625" customWidth="1"/>
    <col min="23" max="23" width="13.85546875" customWidth="1"/>
    <col min="24" max="24" width="13.5703125" customWidth="1"/>
    <col min="25" max="25" width="13.42578125" customWidth="1"/>
    <col min="26" max="26" width="14" customWidth="1"/>
  </cols>
  <sheetData>
    <row r="1" spans="1:26" x14ac:dyDescent="0.25">
      <c r="A1" t="s">
        <v>1072</v>
      </c>
    </row>
    <row r="3" spans="1:26" s="757" customFormat="1" x14ac:dyDescent="0.25">
      <c r="A3" s="757" t="s">
        <v>1073</v>
      </c>
      <c r="B3" s="757" t="s">
        <v>1074</v>
      </c>
      <c r="C3" s="757" t="s">
        <v>1081</v>
      </c>
      <c r="D3" s="757">
        <f>'Financials Yearly'!C2</f>
        <v>2026</v>
      </c>
      <c r="E3" s="757">
        <f>'Financials Yearly'!D2</f>
        <v>2027</v>
      </c>
      <c r="F3" s="757">
        <f>'Financials Yearly'!E2</f>
        <v>2028</v>
      </c>
      <c r="G3" s="757">
        <f>'Financials Yearly'!F2</f>
        <v>2029</v>
      </c>
      <c r="H3" s="757">
        <f>'Financials Yearly'!G2</f>
        <v>2030</v>
      </c>
      <c r="I3" s="757">
        <f>'Financials Yearly'!H2</f>
        <v>2031</v>
      </c>
      <c r="J3" s="757">
        <f>'Financials Yearly'!I2</f>
        <v>2032</v>
      </c>
      <c r="K3" s="757">
        <f>'Financials Yearly'!J2</f>
        <v>2033</v>
      </c>
      <c r="L3" s="757">
        <f>'Financials Yearly'!K2</f>
        <v>2034</v>
      </c>
      <c r="M3" s="757">
        <f>'Financials Yearly'!L2</f>
        <v>2035</v>
      </c>
      <c r="N3" s="757">
        <f>'Financials Yearly'!M2</f>
        <v>2036</v>
      </c>
      <c r="O3" s="757">
        <f>'Financials Yearly'!N2</f>
        <v>2037</v>
      </c>
      <c r="P3" s="757">
        <f>'Financials Yearly'!O2</f>
        <v>2038</v>
      </c>
      <c r="Q3" s="757">
        <f>'Financials Yearly'!P2</f>
        <v>2039</v>
      </c>
      <c r="R3" s="757">
        <f>'Financials Yearly'!Q2</f>
        <v>2040</v>
      </c>
      <c r="S3" s="757">
        <f>'Financials Yearly'!R2</f>
        <v>2041</v>
      </c>
      <c r="T3" s="757">
        <f>'Financials Yearly'!S2</f>
        <v>2042</v>
      </c>
      <c r="U3" s="757">
        <f>'Financials Yearly'!T2</f>
        <v>2043</v>
      </c>
      <c r="V3" s="757">
        <f>'Financials Yearly'!U2</f>
        <v>2044</v>
      </c>
      <c r="W3" s="757">
        <f>'Financials Yearly'!V2</f>
        <v>2045</v>
      </c>
      <c r="X3" s="757">
        <f>'Financials Yearly'!W2</f>
        <v>2046</v>
      </c>
      <c r="Y3" s="757">
        <f>'Financials Yearly'!X2</f>
        <v>2047</v>
      </c>
      <c r="Z3" s="757">
        <f>'Financials Yearly'!Y2</f>
        <v>2048</v>
      </c>
    </row>
    <row r="4" spans="1:26" x14ac:dyDescent="0.25">
      <c r="A4" s="774" t="str">
        <f>'Data Sources'!A8</f>
        <v>MIGA Debt insurance</v>
      </c>
      <c r="B4" s="781">
        <f>'Data Sources'!C8</f>
        <v>2.1999999999999999E-2</v>
      </c>
      <c r="D4" s="772">
        <f>SUM('Capital Contributions'!P29*Insurance!$B$4)</f>
        <v>3932143.9205510546</v>
      </c>
      <c r="E4" s="772">
        <f>SUM('Capital Contributions'!AB29*Insurance!$B$4)</f>
        <v>4129881.6248909966</v>
      </c>
      <c r="F4" s="772">
        <f>SUM('Capital Contributions'!AN29*Insurance!$B$4)</f>
        <v>3879944.352769353</v>
      </c>
      <c r="G4" s="772">
        <f>SUM('Capital Contributions'!AZ29*Insurance!$B$4)</f>
        <v>3611939.0950370482</v>
      </c>
      <c r="H4" s="772">
        <f>SUM('Capital Contributions'!BL29*Insurance!$B$4)</f>
        <v>3324559.7155533787</v>
      </c>
      <c r="I4" s="772">
        <f>SUM('Capital Contributions'!BX29*Insurance!$B$4)</f>
        <v>3016405.6574904202</v>
      </c>
      <c r="J4" s="772">
        <f>SUM('Capital Contributions'!CJ29*Insurance!$B$4)</f>
        <v>2685975.1176539129</v>
      </c>
      <c r="K4" s="772">
        <f>SUM('Capital Contributions'!CV29*Insurance!$B$4)</f>
        <v>2331657.727375255</v>
      </c>
      <c r="L4" s="772">
        <f>SUM('Capital Contributions'!DH29*Insurance!$B$4)</f>
        <v>1951726.7043045824</v>
      </c>
      <c r="M4" s="772">
        <f>SUM('Capital Contributions'!DT29*Insurance!$B$4)</f>
        <v>1544330.4368563385</v>
      </c>
      <c r="N4" s="772">
        <f>SUM('Capital Contributions'!EF29*Insurance!$B$4)</f>
        <v>1107483.4602937328</v>
      </c>
      <c r="O4" s="772">
        <f>SUM('Capital Contributions'!ER29*Insurance!$B$4)</f>
        <v>846045.31849764113</v>
      </c>
      <c r="P4" s="772">
        <f>SUM('Capital Contributions'!FD29*Insurance!$B$4)</f>
        <v>672870.34781108052</v>
      </c>
      <c r="Q4" s="772">
        <f>SUM('Capital Contributions'!FP29*Insurance!$B$4)</f>
        <v>487176.54449131252</v>
      </c>
      <c r="R4" s="772">
        <f>SUM('Capital Contributions'!GB29*Insurance!$B$4)</f>
        <v>288058.9211150565</v>
      </c>
      <c r="S4" s="772">
        <f>SUM('Capital Contributions'!GN29*Insurance!$B$4)</f>
        <v>74547.068645029532</v>
      </c>
      <c r="T4" s="772">
        <f>SUM('Capital Contributions'!GZ29*Insurance!$B$4)</f>
        <v>0</v>
      </c>
      <c r="U4" s="772">
        <f>SUM('Capital Contributions'!HL29*Insurance!$B$4)</f>
        <v>0</v>
      </c>
      <c r="V4" s="772">
        <f>SUM('Capital Contributions'!HX29*Insurance!$B$4)</f>
        <v>0</v>
      </c>
      <c r="W4" s="772">
        <f>SUM('Capital Contributions'!IJ29*Insurance!$B$4)</f>
        <v>0</v>
      </c>
      <c r="X4" s="772">
        <f>SUM('Capital Contributions'!IV29*Insurance!$B$4)</f>
        <v>0</v>
      </c>
      <c r="Y4" s="772">
        <f>SUM('Capital Contributions'!JH29*Insurance!$B$4)</f>
        <v>0</v>
      </c>
      <c r="Z4" s="772">
        <f>SUM('Capital Contributions'!JT29*Insurance!$B$4)</f>
        <v>0</v>
      </c>
    </row>
    <row r="5" spans="1:26" x14ac:dyDescent="0.25">
      <c r="A5" s="774" t="str">
        <f>'Data Sources'!A9</f>
        <v>MIGA Equity insurance</v>
      </c>
      <c r="B5" s="781">
        <f>'Data Sources'!C9</f>
        <v>0.02</v>
      </c>
      <c r="D5" s="772">
        <f>SUM(Summary!$D$3-10000000)*$B$5</f>
        <v>1099113.2322510106</v>
      </c>
      <c r="E5" s="772">
        <f>SUM(Summary!$D$3-10000000)*$B$5</f>
        <v>1099113.2322510106</v>
      </c>
      <c r="F5" s="772">
        <f>SUM(Summary!$D$3-10000000)*$B$5</f>
        <v>1099113.2322510106</v>
      </c>
      <c r="G5" s="772">
        <f>SUM(Summary!$D$3-10000000)*$B$5</f>
        <v>1099113.2322510106</v>
      </c>
      <c r="H5" s="772">
        <f>SUM(Summary!$D$3-10000000)*$B$5</f>
        <v>1099113.2322510106</v>
      </c>
      <c r="I5" s="772">
        <f>SUM(Summary!$D$3-10000000)*$B$5</f>
        <v>1099113.2322510106</v>
      </c>
      <c r="J5" s="772">
        <f>SUM(Summary!$D$3-10000000)*$B$5</f>
        <v>1099113.2322510106</v>
      </c>
      <c r="K5" s="772">
        <f>SUM(Summary!$D$3-10000000)*$B$5</f>
        <v>1099113.2322510106</v>
      </c>
      <c r="L5" s="772">
        <f>SUM(Summary!$D$3-10000000)*$B$5</f>
        <v>1099113.2322510106</v>
      </c>
      <c r="M5" s="772">
        <f>SUM(Summary!$D$3-10000000)*$B$5</f>
        <v>1099113.2322510106</v>
      </c>
      <c r="N5" s="772">
        <f>SUM(Summary!$D$3-10000000)*$B$5</f>
        <v>1099113.2322510106</v>
      </c>
      <c r="O5" s="772">
        <f>SUM(Summary!$D$3-10000000)*$B$5</f>
        <v>1099113.2322510106</v>
      </c>
      <c r="P5" s="772">
        <f>SUM(Summary!$D$3-10000000)*$B$5</f>
        <v>1099113.2322510106</v>
      </c>
      <c r="Q5" s="772">
        <f>SUM(Summary!$D$3-10000000)*$B$5</f>
        <v>1099113.2322510106</v>
      </c>
      <c r="R5" s="772">
        <f>SUM(Summary!$D$3-10000000)*$B$5</f>
        <v>1099113.2322510106</v>
      </c>
      <c r="S5" s="772">
        <f>SUM(Summary!$D$3-10000000)*$B$5</f>
        <v>1099113.2322510106</v>
      </c>
      <c r="T5" s="772">
        <f>SUM(Summary!$D$3-10000000)*$B$5</f>
        <v>1099113.2322510106</v>
      </c>
      <c r="U5" s="772">
        <f>SUM(Summary!$D$3-10000000)*$B$5</f>
        <v>1099113.2322510106</v>
      </c>
      <c r="V5" s="772">
        <f>SUM(Summary!$D$3-10000000)*$B$5</f>
        <v>1099113.2322510106</v>
      </c>
      <c r="W5" s="772">
        <f>SUM(Summary!$D$3-10000000)*$B$5</f>
        <v>1099113.2322510106</v>
      </c>
      <c r="X5" s="772">
        <f>SUM(Summary!$D$3-10000000)*$B$5</f>
        <v>1099113.2322510106</v>
      </c>
      <c r="Y5" s="772">
        <f>SUM(Summary!$D$3-10000000)*$B$5</f>
        <v>1099113.2322510106</v>
      </c>
      <c r="Z5" s="772">
        <f>SUM(Summary!$D$3-10000000)*$B$5</f>
        <v>1099113.2322510106</v>
      </c>
    </row>
    <row r="6" spans="1:26" x14ac:dyDescent="0.25">
      <c r="A6" s="774" t="str">
        <f>'Data Sources'!A7</f>
        <v>Technical Risk insurance</v>
      </c>
      <c r="B6" s="781">
        <f>'Data Sources'!C7</f>
        <v>0.01</v>
      </c>
      <c r="D6" s="772">
        <f>SUM('Capital Contributions'!P29*Insurance!$B$6)</f>
        <v>1787338.1457050249</v>
      </c>
      <c r="E6" s="772">
        <f>SUM('Capital Contributions'!AB29*Insurance!$B$6)</f>
        <v>1877218.9204049986</v>
      </c>
      <c r="F6" s="772">
        <f>SUM('Capital Contributions'!AN29*Insurance!$B$6)</f>
        <v>1763611.0694406151</v>
      </c>
      <c r="G6" s="772">
        <f>SUM('Capital Contributions'!AZ29*Insurance!$B$6)</f>
        <v>1641790.497744113</v>
      </c>
      <c r="H6" s="772">
        <f>SUM('Capital Contributions'!BL29*Insurance!$B$6)</f>
        <v>1511163.5070697176</v>
      </c>
      <c r="I6" s="772">
        <f>SUM('Capital Contributions'!BX29*Insurance!$B$6)</f>
        <v>1371093.4806774638</v>
      </c>
      <c r="J6" s="772">
        <f>SUM('Capital Contributions'!CJ29*Insurance!$B$6)</f>
        <v>1220897.7807517787</v>
      </c>
      <c r="K6" s="772">
        <f>SUM('Capital Contributions'!CV29*Insurance!$B$6)</f>
        <v>1059844.421534207</v>
      </c>
      <c r="L6" s="772">
        <f>SUM('Capital Contributions'!DH29*Insurance!$B$6)</f>
        <v>887148.5019566284</v>
      </c>
      <c r="M6" s="772">
        <f>SUM('Capital Contributions'!DT29*Insurance!$B$6)</f>
        <v>701968.38038924488</v>
      </c>
      <c r="N6" s="772">
        <f>SUM('Capital Contributions'!EF29*Insurance!$B$6)</f>
        <v>503401.57286078768</v>
      </c>
      <c r="O6" s="772">
        <f>SUM('Capital Contributions'!ER29*Insurance!$B$6)</f>
        <v>384566.05386256421</v>
      </c>
      <c r="P6" s="772">
        <f>SUM('Capital Contributions'!FD29*Insurance!$B$6)</f>
        <v>305850.15809594572</v>
      </c>
      <c r="Q6" s="772">
        <f>SUM('Capital Contributions'!FP29*Insurance!$B$6)</f>
        <v>221443.88385968751</v>
      </c>
      <c r="R6" s="772">
        <f>SUM('Capital Contributions'!GB29*Insurance!$B$6)</f>
        <v>130935.8732341166</v>
      </c>
      <c r="S6" s="772">
        <f>SUM('Capital Contributions'!GN29*Insurance!$B$6)</f>
        <v>33885.031202286154</v>
      </c>
      <c r="T6" s="772">
        <f>SUM('Capital Contributions'!GZ29*Insurance!$B$6)</f>
        <v>0</v>
      </c>
      <c r="U6" s="772">
        <f>SUM('Capital Contributions'!HL29*Insurance!$B$6)</f>
        <v>0</v>
      </c>
      <c r="V6" s="772">
        <f>SUM('Capital Contributions'!HX29*Insurance!$B$6)</f>
        <v>0</v>
      </c>
      <c r="W6" s="772">
        <f>SUM('Capital Contributions'!IJ29*Insurance!$B$6)</f>
        <v>0</v>
      </c>
      <c r="X6" s="772">
        <f>SUM('Capital Contributions'!IV29*Insurance!$B$6)</f>
        <v>0</v>
      </c>
      <c r="Y6" s="772">
        <f>SUM('Capital Contributions'!JH29*Insurance!$B$6)</f>
        <v>0</v>
      </c>
      <c r="Z6" s="772">
        <f>SUM('Capital Contributions'!JT29*Insurance!$B$6)</f>
        <v>0</v>
      </c>
    </row>
    <row r="7" spans="1:26" x14ac:dyDescent="0.25">
      <c r="A7" s="768" t="s">
        <v>1075</v>
      </c>
      <c r="B7" s="780">
        <v>5.0000000000000001E-4</v>
      </c>
      <c r="C7" s="769">
        <v>200000</v>
      </c>
      <c r="D7" s="147">
        <f>SUM(C7*B7) +C7</f>
        <v>200100</v>
      </c>
      <c r="E7" s="147">
        <f t="shared" ref="E7:Z10" si="0">D7</f>
        <v>200100</v>
      </c>
      <c r="F7" s="147">
        <f t="shared" si="0"/>
        <v>200100</v>
      </c>
      <c r="G7" s="147">
        <f t="shared" si="0"/>
        <v>200100</v>
      </c>
      <c r="H7" s="147">
        <f t="shared" si="0"/>
        <v>200100</v>
      </c>
      <c r="I7" s="147">
        <f t="shared" si="0"/>
        <v>200100</v>
      </c>
      <c r="J7" s="147">
        <f t="shared" si="0"/>
        <v>200100</v>
      </c>
      <c r="K7" s="147">
        <f t="shared" si="0"/>
        <v>200100</v>
      </c>
      <c r="L7" s="147">
        <f t="shared" si="0"/>
        <v>200100</v>
      </c>
      <c r="M7" s="147">
        <f t="shared" si="0"/>
        <v>200100</v>
      </c>
      <c r="N7" s="147">
        <f t="shared" si="0"/>
        <v>200100</v>
      </c>
      <c r="O7" s="147">
        <f t="shared" si="0"/>
        <v>200100</v>
      </c>
      <c r="P7" s="147">
        <f t="shared" si="0"/>
        <v>200100</v>
      </c>
      <c r="Q7" s="147">
        <f t="shared" si="0"/>
        <v>200100</v>
      </c>
      <c r="R7" s="147">
        <f t="shared" si="0"/>
        <v>200100</v>
      </c>
      <c r="S7" s="147">
        <f t="shared" si="0"/>
        <v>200100</v>
      </c>
      <c r="T7" s="147">
        <f t="shared" si="0"/>
        <v>200100</v>
      </c>
      <c r="U7" s="147">
        <f t="shared" si="0"/>
        <v>200100</v>
      </c>
      <c r="V7" s="147">
        <f t="shared" si="0"/>
        <v>200100</v>
      </c>
      <c r="W7" s="147">
        <f t="shared" si="0"/>
        <v>200100</v>
      </c>
      <c r="X7" s="147">
        <f t="shared" si="0"/>
        <v>200100</v>
      </c>
      <c r="Y7" s="147">
        <f t="shared" si="0"/>
        <v>200100</v>
      </c>
      <c r="Z7" s="147">
        <f t="shared" si="0"/>
        <v>200100</v>
      </c>
    </row>
    <row r="8" spans="1:26" x14ac:dyDescent="0.25">
      <c r="A8" s="768" t="s">
        <v>1076</v>
      </c>
      <c r="B8" s="780">
        <v>5.0000000000000001E-4</v>
      </c>
      <c r="C8" s="769">
        <v>125000</v>
      </c>
      <c r="D8" s="147">
        <f t="shared" ref="D8:D10" si="1">SUM(C8*B8) +C8</f>
        <v>125062.5</v>
      </c>
      <c r="E8" s="147">
        <f t="shared" ref="E8:S8" si="2">D8</f>
        <v>125062.5</v>
      </c>
      <c r="F8" s="147">
        <f t="shared" si="2"/>
        <v>125062.5</v>
      </c>
      <c r="G8" s="147">
        <f t="shared" si="2"/>
        <v>125062.5</v>
      </c>
      <c r="H8" s="147">
        <f t="shared" si="2"/>
        <v>125062.5</v>
      </c>
      <c r="I8" s="147">
        <f t="shared" si="2"/>
        <v>125062.5</v>
      </c>
      <c r="J8" s="147">
        <f t="shared" si="2"/>
        <v>125062.5</v>
      </c>
      <c r="K8" s="147">
        <f t="shared" si="2"/>
        <v>125062.5</v>
      </c>
      <c r="L8" s="147">
        <f t="shared" si="2"/>
        <v>125062.5</v>
      </c>
      <c r="M8" s="147">
        <f t="shared" si="2"/>
        <v>125062.5</v>
      </c>
      <c r="N8" s="147">
        <f t="shared" si="2"/>
        <v>125062.5</v>
      </c>
      <c r="O8" s="147">
        <f t="shared" si="2"/>
        <v>125062.5</v>
      </c>
      <c r="P8" s="147">
        <f t="shared" si="2"/>
        <v>125062.5</v>
      </c>
      <c r="Q8" s="147">
        <f t="shared" si="2"/>
        <v>125062.5</v>
      </c>
      <c r="R8" s="147">
        <f t="shared" si="2"/>
        <v>125062.5</v>
      </c>
      <c r="S8" s="147">
        <f t="shared" si="2"/>
        <v>125062.5</v>
      </c>
      <c r="T8" s="147">
        <f t="shared" si="0"/>
        <v>125062.5</v>
      </c>
      <c r="U8" s="147">
        <f t="shared" si="0"/>
        <v>125062.5</v>
      </c>
      <c r="V8" s="147">
        <f t="shared" si="0"/>
        <v>125062.5</v>
      </c>
      <c r="W8" s="147">
        <f t="shared" si="0"/>
        <v>125062.5</v>
      </c>
      <c r="X8" s="147">
        <f t="shared" si="0"/>
        <v>125062.5</v>
      </c>
      <c r="Y8" s="147">
        <f t="shared" si="0"/>
        <v>125062.5</v>
      </c>
      <c r="Z8" s="147">
        <f t="shared" si="0"/>
        <v>125062.5</v>
      </c>
    </row>
    <row r="9" spans="1:26" x14ac:dyDescent="0.25">
      <c r="A9" s="768" t="s">
        <v>1077</v>
      </c>
      <c r="B9" s="780">
        <v>5.0000000000000001E-4</v>
      </c>
      <c r="C9" s="769">
        <v>40000</v>
      </c>
      <c r="D9" s="147">
        <f t="shared" si="1"/>
        <v>40020</v>
      </c>
      <c r="E9" s="147">
        <f t="shared" si="0"/>
        <v>40020</v>
      </c>
      <c r="F9" s="147">
        <f t="shared" si="0"/>
        <v>40020</v>
      </c>
      <c r="G9" s="147">
        <f t="shared" si="0"/>
        <v>40020</v>
      </c>
      <c r="H9" s="147">
        <f t="shared" si="0"/>
        <v>40020</v>
      </c>
      <c r="I9" s="147">
        <f t="shared" si="0"/>
        <v>40020</v>
      </c>
      <c r="J9" s="147">
        <f t="shared" si="0"/>
        <v>40020</v>
      </c>
      <c r="K9" s="147">
        <f t="shared" si="0"/>
        <v>40020</v>
      </c>
      <c r="L9" s="147">
        <f t="shared" si="0"/>
        <v>40020</v>
      </c>
      <c r="M9" s="147">
        <f t="shared" si="0"/>
        <v>40020</v>
      </c>
      <c r="N9" s="147">
        <f t="shared" si="0"/>
        <v>40020</v>
      </c>
      <c r="O9" s="147">
        <f t="shared" si="0"/>
        <v>40020</v>
      </c>
      <c r="P9" s="147">
        <f t="shared" si="0"/>
        <v>40020</v>
      </c>
      <c r="Q9" s="147">
        <f t="shared" si="0"/>
        <v>40020</v>
      </c>
      <c r="R9" s="147">
        <f t="shared" si="0"/>
        <v>40020</v>
      </c>
      <c r="S9" s="147">
        <f t="shared" si="0"/>
        <v>40020</v>
      </c>
      <c r="T9" s="147">
        <f t="shared" si="0"/>
        <v>40020</v>
      </c>
      <c r="U9" s="147">
        <f t="shared" si="0"/>
        <v>40020</v>
      </c>
      <c r="V9" s="147">
        <f t="shared" si="0"/>
        <v>40020</v>
      </c>
      <c r="W9" s="147">
        <f t="shared" si="0"/>
        <v>40020</v>
      </c>
      <c r="X9" s="147">
        <f t="shared" si="0"/>
        <v>40020</v>
      </c>
      <c r="Y9" s="147">
        <f t="shared" si="0"/>
        <v>40020</v>
      </c>
      <c r="Z9" s="147">
        <f t="shared" si="0"/>
        <v>40020</v>
      </c>
    </row>
    <row r="10" spans="1:26" x14ac:dyDescent="0.25">
      <c r="A10" s="768" t="s">
        <v>1078</v>
      </c>
      <c r="B10" s="780">
        <v>5.0000000000000001E-4</v>
      </c>
      <c r="C10" s="769">
        <v>40000</v>
      </c>
      <c r="D10" s="147">
        <f t="shared" si="1"/>
        <v>40020</v>
      </c>
      <c r="E10" s="147">
        <f t="shared" si="0"/>
        <v>40020</v>
      </c>
      <c r="F10" s="147">
        <f t="shared" si="0"/>
        <v>40020</v>
      </c>
      <c r="G10" s="147">
        <f t="shared" si="0"/>
        <v>40020</v>
      </c>
      <c r="H10" s="147">
        <f t="shared" si="0"/>
        <v>40020</v>
      </c>
      <c r="I10" s="147">
        <f t="shared" si="0"/>
        <v>40020</v>
      </c>
      <c r="J10" s="147">
        <f t="shared" si="0"/>
        <v>40020</v>
      </c>
      <c r="K10" s="147">
        <f t="shared" si="0"/>
        <v>40020</v>
      </c>
      <c r="L10" s="147">
        <f t="shared" si="0"/>
        <v>40020</v>
      </c>
      <c r="M10" s="147">
        <f t="shared" si="0"/>
        <v>40020</v>
      </c>
      <c r="N10" s="147">
        <f t="shared" si="0"/>
        <v>40020</v>
      </c>
      <c r="O10" s="147">
        <f t="shared" si="0"/>
        <v>40020</v>
      </c>
      <c r="P10" s="147">
        <f t="shared" si="0"/>
        <v>40020</v>
      </c>
      <c r="Q10" s="147">
        <f t="shared" si="0"/>
        <v>40020</v>
      </c>
      <c r="R10" s="147">
        <f t="shared" si="0"/>
        <v>40020</v>
      </c>
      <c r="S10" s="147">
        <f t="shared" si="0"/>
        <v>40020</v>
      </c>
      <c r="T10" s="147">
        <f t="shared" si="0"/>
        <v>40020</v>
      </c>
      <c r="U10" s="147">
        <f t="shared" si="0"/>
        <v>40020</v>
      </c>
      <c r="V10" s="147">
        <f t="shared" si="0"/>
        <v>40020</v>
      </c>
      <c r="W10" s="147">
        <f t="shared" si="0"/>
        <v>40020</v>
      </c>
      <c r="X10" s="147">
        <f t="shared" si="0"/>
        <v>40020</v>
      </c>
      <c r="Y10" s="147">
        <f t="shared" si="0"/>
        <v>40020</v>
      </c>
      <c r="Z10" s="147">
        <f t="shared" si="0"/>
        <v>40020</v>
      </c>
    </row>
    <row r="11" spans="1:26" ht="15.75" thickBot="1" x14ac:dyDescent="0.3">
      <c r="A11" s="768"/>
      <c r="B11" s="768"/>
    </row>
    <row r="12" spans="1:26" s="770" customFormat="1" ht="15.75" thickTop="1" x14ac:dyDescent="0.25">
      <c r="C12" s="770" t="s">
        <v>16</v>
      </c>
      <c r="D12" s="775">
        <f>SUM(D4:D11)</f>
        <v>7223797.7985070897</v>
      </c>
      <c r="E12" s="775">
        <f t="shared" ref="E12:K12" si="3">SUM(E4:E11)</f>
        <v>7511416.2775470056</v>
      </c>
      <c r="F12" s="775">
        <f t="shared" si="3"/>
        <v>7147871.1544609787</v>
      </c>
      <c r="G12" s="775">
        <f t="shared" si="3"/>
        <v>6758045.3250321718</v>
      </c>
      <c r="H12" s="775">
        <f t="shared" si="3"/>
        <v>6340038.9548741076</v>
      </c>
      <c r="I12" s="775">
        <f t="shared" si="3"/>
        <v>5891814.870418895</v>
      </c>
      <c r="J12" s="775">
        <f t="shared" si="3"/>
        <v>5411188.6306567024</v>
      </c>
      <c r="K12" s="775">
        <f t="shared" si="3"/>
        <v>4895817.8811604725</v>
      </c>
      <c r="L12" s="775">
        <f t="shared" ref="L12" si="4">SUM(L4:L11)</f>
        <v>4343190.9385122219</v>
      </c>
      <c r="M12" s="775">
        <f t="shared" ref="M12" si="5">SUM(M4:M11)</f>
        <v>3750614.5494965939</v>
      </c>
      <c r="N12" s="775">
        <f t="shared" ref="N12" si="6">SUM(N4:N11)</f>
        <v>3115200.765405531</v>
      </c>
      <c r="O12" s="775">
        <f t="shared" ref="O12" si="7">SUM(O4:O11)</f>
        <v>2734927.1046112161</v>
      </c>
      <c r="P12" s="775">
        <f t="shared" ref="P12" si="8">SUM(P4:P11)</f>
        <v>2483036.238158037</v>
      </c>
      <c r="Q12" s="775">
        <f t="shared" ref="Q12" si="9">SUM(Q4:Q11)</f>
        <v>2212936.1606020108</v>
      </c>
      <c r="R12" s="775">
        <f t="shared" ref="R12" si="10">SUM(R4:R11)</f>
        <v>1923310.5266001837</v>
      </c>
      <c r="S12" s="775">
        <f t="shared" ref="S12" si="11">SUM(S4:S11)</f>
        <v>1612747.8320983264</v>
      </c>
      <c r="T12" s="775">
        <f t="shared" ref="T12" si="12">SUM(T4:T11)</f>
        <v>1504315.7322510106</v>
      </c>
      <c r="U12" s="775">
        <f t="shared" ref="U12" si="13">SUM(U4:U11)</f>
        <v>1504315.7322510106</v>
      </c>
      <c r="V12" s="775">
        <f t="shared" ref="V12" si="14">SUM(V4:V11)</f>
        <v>1504315.7322510106</v>
      </c>
      <c r="W12" s="775">
        <f t="shared" ref="W12" si="15">SUM(W4:W11)</f>
        <v>1504315.7322510106</v>
      </c>
      <c r="X12" s="775">
        <f t="shared" ref="X12" si="16">SUM(X4:X11)</f>
        <v>1504315.7322510106</v>
      </c>
      <c r="Y12" s="775">
        <f t="shared" ref="Y12" si="17">SUM(Y4:Y11)</f>
        <v>1504315.7322510106</v>
      </c>
      <c r="Z12" s="775">
        <f t="shared" ref="Z12" si="18">SUM(Z4:Z11)</f>
        <v>1504315.7322510106</v>
      </c>
    </row>
  </sheetData>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2498-3991-4941-BBD1-864EAFC11C9E}">
  <sheetPr>
    <tabColor theme="0" tint="-0.249977111117893"/>
  </sheetPr>
  <dimension ref="A1:X28"/>
  <sheetViews>
    <sheetView topLeftCell="A4" workbookViewId="0">
      <pane xSplit="10305" ySplit="1200" topLeftCell="P8" activePane="bottomRight"/>
      <selection activeCell="U14" sqref="U14"/>
      <selection pane="topRight" activeCell="X3" sqref="X1:AB1048576"/>
      <selection pane="bottomLeft" activeCell="E15" sqref="E15"/>
      <selection pane="bottomRight" activeCell="J15" sqref="J15"/>
    </sheetView>
  </sheetViews>
  <sheetFormatPr defaultRowHeight="15" x14ac:dyDescent="0.25"/>
  <cols>
    <col min="1" max="1" width="4.5703125" style="173" customWidth="1"/>
    <col min="2" max="2" width="19.7109375" style="323" customWidth="1"/>
    <col min="3" max="3" width="23" style="143" customWidth="1"/>
    <col min="4" max="4" width="16.42578125" customWidth="1"/>
    <col min="5" max="5" width="15.28515625" customWidth="1"/>
    <col min="6" max="6" width="15.42578125" customWidth="1"/>
    <col min="7" max="7" width="15.85546875" customWidth="1"/>
    <col min="8" max="8" width="15.28515625" customWidth="1"/>
    <col min="9" max="9" width="16.5703125" customWidth="1"/>
    <col min="10" max="10" width="16.42578125" customWidth="1"/>
    <col min="11" max="11" width="17.28515625" customWidth="1"/>
    <col min="12" max="12" width="16.42578125" customWidth="1"/>
    <col min="13" max="14" width="16.7109375" customWidth="1"/>
    <col min="15" max="15" width="17.28515625" customWidth="1"/>
    <col min="16" max="16" width="18.140625" customWidth="1"/>
    <col min="17" max="17" width="16.7109375" customWidth="1"/>
    <col min="18" max="18" width="16" customWidth="1"/>
    <col min="19" max="19" width="16.140625" customWidth="1"/>
    <col min="20" max="20" width="16.5703125" customWidth="1"/>
    <col min="21" max="21" width="17.7109375" customWidth="1"/>
    <col min="22" max="22" width="16.7109375" customWidth="1"/>
    <col min="23" max="23" width="17.28515625" customWidth="1"/>
    <col min="24" max="24" width="16.28515625" bestFit="1" customWidth="1"/>
  </cols>
  <sheetData>
    <row r="1" spans="1:24" ht="45" x14ac:dyDescent="0.25">
      <c r="C1" s="759" t="s">
        <v>1057</v>
      </c>
      <c r="D1" s="739"/>
      <c r="E1" s="739"/>
      <c r="F1" s="739"/>
      <c r="G1" s="739"/>
      <c r="H1" s="739"/>
    </row>
    <row r="2" spans="1:24" x14ac:dyDescent="0.25">
      <c r="C2" s="759" t="s">
        <v>1020</v>
      </c>
      <c r="D2" s="739"/>
      <c r="E2" s="739"/>
      <c r="F2" s="739"/>
      <c r="G2" s="739"/>
      <c r="H2" s="739"/>
      <c r="X2" t="s">
        <v>1068</v>
      </c>
    </row>
    <row r="3" spans="1:24" x14ac:dyDescent="0.25">
      <c r="H3" s="861" t="s">
        <v>1066</v>
      </c>
      <c r="I3" s="862"/>
      <c r="J3" s="862"/>
      <c r="K3" s="862"/>
      <c r="L3" s="862"/>
      <c r="M3" s="862"/>
      <c r="N3" s="862"/>
      <c r="O3" s="862"/>
      <c r="P3" s="862"/>
      <c r="Q3" s="862"/>
      <c r="R3" s="862"/>
      <c r="S3" s="863" t="s">
        <v>1065</v>
      </c>
      <c r="T3" s="864"/>
      <c r="U3" s="864"/>
      <c r="V3" s="864"/>
      <c r="X3" s="147">
        <f>CapEx!D134</f>
        <v>254728084.75509998</v>
      </c>
    </row>
    <row r="4" spans="1:24" x14ac:dyDescent="0.25">
      <c r="B4" s="323" t="s">
        <v>266</v>
      </c>
      <c r="C4" s="869" t="s">
        <v>1035</v>
      </c>
      <c r="D4" s="870"/>
      <c r="E4" s="147">
        <f>SUM(E5)</f>
        <v>931368.75275122793</v>
      </c>
      <c r="F4" s="147">
        <f>SUM(E4+F5)</f>
        <v>1862737.5055024559</v>
      </c>
      <c r="G4" s="147">
        <f t="shared" ref="G4:W4" si="0">SUM(F4+G5)</f>
        <v>2794106.2582536838</v>
      </c>
      <c r="H4" s="147">
        <f t="shared" si="0"/>
        <v>3725475.0110049117</v>
      </c>
      <c r="I4" s="147">
        <f t="shared" si="0"/>
        <v>100439912.88875614</v>
      </c>
      <c r="J4" s="147">
        <f t="shared" si="0"/>
        <v>116951941.74150737</v>
      </c>
      <c r="K4" s="147">
        <f t="shared" si="0"/>
        <v>120772497.9942586</v>
      </c>
      <c r="L4" s="147">
        <f t="shared" si="0"/>
        <v>145144490.58700985</v>
      </c>
      <c r="M4" s="147">
        <f t="shared" si="0"/>
        <v>146808860.64892775</v>
      </c>
      <c r="N4" s="147">
        <f t="shared" si="0"/>
        <v>158880577.13584563</v>
      </c>
      <c r="O4" s="147">
        <f t="shared" si="0"/>
        <v>160544947.19776353</v>
      </c>
      <c r="P4" s="147">
        <f t="shared" si="0"/>
        <v>175913817.25968143</v>
      </c>
      <c r="Q4" s="147">
        <f t="shared" si="0"/>
        <v>225229656.92159933</v>
      </c>
      <c r="R4" s="147">
        <f t="shared" si="0"/>
        <v>240264012.0155172</v>
      </c>
      <c r="S4" s="147">
        <f t="shared" si="0"/>
        <v>255537550.52158844</v>
      </c>
      <c r="T4" s="147">
        <f t="shared" si="0"/>
        <v>259073376.63296634</v>
      </c>
      <c r="U4" s="147">
        <f t="shared" si="0"/>
        <v>261843562.99234423</v>
      </c>
      <c r="V4" s="147">
        <f t="shared" si="0"/>
        <v>263754231.72372213</v>
      </c>
      <c r="W4" s="147">
        <f t="shared" si="0"/>
        <v>265539470.45510003</v>
      </c>
    </row>
    <row r="5" spans="1:24" x14ac:dyDescent="0.25">
      <c r="C5" s="869" t="s">
        <v>1034</v>
      </c>
      <c r="D5" s="870"/>
      <c r="E5" s="666">
        <f>SUM(E9:E26)</f>
        <v>931368.75275122793</v>
      </c>
      <c r="F5" s="666">
        <f t="shared" ref="F5:W5" si="1">SUM(F9:F26)</f>
        <v>931368.75275122793</v>
      </c>
      <c r="G5" s="666">
        <f t="shared" si="1"/>
        <v>931368.75275122793</v>
      </c>
      <c r="H5" s="666">
        <f t="shared" si="1"/>
        <v>931368.75275122793</v>
      </c>
      <c r="I5" s="666">
        <f t="shared" si="1"/>
        <v>96714437.877751231</v>
      </c>
      <c r="J5" s="666">
        <f t="shared" si="1"/>
        <v>16512028.852751229</v>
      </c>
      <c r="K5" s="666">
        <f t="shared" si="1"/>
        <v>3820556.2527512279</v>
      </c>
      <c r="L5" s="666">
        <f t="shared" si="1"/>
        <v>24371992.592751235</v>
      </c>
      <c r="M5" s="666">
        <f t="shared" si="1"/>
        <v>1664370.0619178896</v>
      </c>
      <c r="N5" s="666">
        <f t="shared" si="1"/>
        <v>12071716.486917891</v>
      </c>
      <c r="O5" s="666">
        <f t="shared" si="1"/>
        <v>1664370.0619178896</v>
      </c>
      <c r="P5" s="666">
        <f t="shared" si="1"/>
        <v>15368870.06191789</v>
      </c>
      <c r="Q5" s="666">
        <f t="shared" si="1"/>
        <v>49315839.661917895</v>
      </c>
      <c r="R5" s="666">
        <f t="shared" si="1"/>
        <v>15034355.09391789</v>
      </c>
      <c r="S5" s="666">
        <f t="shared" si="1"/>
        <v>15273538.506071229</v>
      </c>
      <c r="T5" s="666">
        <f t="shared" si="1"/>
        <v>3535826.1113778949</v>
      </c>
      <c r="U5" s="666">
        <f t="shared" si="1"/>
        <v>2770186.3593778946</v>
      </c>
      <c r="V5" s="666">
        <f t="shared" si="1"/>
        <v>1910668.7313778945</v>
      </c>
      <c r="W5" s="666">
        <f t="shared" si="1"/>
        <v>1785238.7313778945</v>
      </c>
    </row>
    <row r="6" spans="1:24" x14ac:dyDescent="0.25">
      <c r="E6" s="136">
        <f>Financials!C1</f>
        <v>1</v>
      </c>
      <c r="F6" s="136">
        <f>Financials!D1</f>
        <v>2</v>
      </c>
      <c r="G6" s="136">
        <f>Financials!E1</f>
        <v>3</v>
      </c>
      <c r="H6" s="136">
        <f>Financials!F1</f>
        <v>4</v>
      </c>
      <c r="I6" s="136">
        <f>Financials!G1</f>
        <v>5</v>
      </c>
      <c r="J6" s="136">
        <f>Financials!H1</f>
        <v>6</v>
      </c>
      <c r="K6" s="136">
        <f>Financials!I1</f>
        <v>7</v>
      </c>
      <c r="L6" s="136">
        <f>Financials!J1</f>
        <v>8</v>
      </c>
      <c r="M6" s="136">
        <f>Financials!K1</f>
        <v>9</v>
      </c>
      <c r="N6" s="136">
        <f>Financials!L1</f>
        <v>10</v>
      </c>
      <c r="O6" s="136">
        <f>Financials!M1</f>
        <v>11</v>
      </c>
      <c r="P6" s="136">
        <f>Financials!N1</f>
        <v>12</v>
      </c>
      <c r="Q6" s="136">
        <f>Financials!O1</f>
        <v>13</v>
      </c>
      <c r="R6" s="136">
        <f>Financials!P1</f>
        <v>14</v>
      </c>
      <c r="S6" s="136">
        <f>Financials!Q1</f>
        <v>15</v>
      </c>
      <c r="T6" s="136">
        <f>Financials!R1</f>
        <v>16</v>
      </c>
      <c r="U6" s="136">
        <f>Financials!S1</f>
        <v>17</v>
      </c>
      <c r="V6" s="136">
        <f>Financials!T1</f>
        <v>18</v>
      </c>
      <c r="W6" s="136">
        <f>Financials!U1</f>
        <v>19</v>
      </c>
    </row>
    <row r="7" spans="1:24" x14ac:dyDescent="0.25">
      <c r="A7" s="762"/>
      <c r="B7" s="868" t="s">
        <v>1036</v>
      </c>
      <c r="C7" s="822"/>
      <c r="D7" s="680"/>
      <c r="E7" s="865">
        <f>Financials!C5</f>
        <v>2026</v>
      </c>
      <c r="F7" s="866"/>
      <c r="G7" s="866"/>
      <c r="H7" s="866"/>
      <c r="I7" s="866"/>
      <c r="J7" s="866"/>
      <c r="K7" s="866"/>
      <c r="L7" s="866"/>
      <c r="M7" s="866"/>
      <c r="N7" s="866"/>
      <c r="O7" s="866"/>
      <c r="P7" s="866"/>
      <c r="Q7" s="867">
        <f>Financials!O5</f>
        <v>2027</v>
      </c>
      <c r="R7" s="868"/>
      <c r="S7" s="868"/>
      <c r="T7" s="868"/>
      <c r="U7" s="868"/>
      <c r="V7" s="868"/>
      <c r="W7" s="868"/>
    </row>
    <row r="8" spans="1:24" s="170" customFormat="1" x14ac:dyDescent="0.25">
      <c r="A8" s="762" t="s">
        <v>910</v>
      </c>
      <c r="B8" s="761" t="s">
        <v>1033</v>
      </c>
      <c r="C8" s="756" t="s">
        <v>1037</v>
      </c>
      <c r="D8" s="757" t="s">
        <v>104</v>
      </c>
      <c r="E8" s="758" t="str">
        <f>Financials!C7</f>
        <v>January</v>
      </c>
      <c r="F8" s="758" t="str">
        <f>Financials!D7</f>
        <v>February</v>
      </c>
      <c r="G8" s="758" t="str">
        <f>Financials!E7</f>
        <v>March</v>
      </c>
      <c r="H8" s="758" t="str">
        <f>Financials!F7</f>
        <v>April</v>
      </c>
      <c r="I8" s="758" t="str">
        <f>Financials!G7</f>
        <v>May</v>
      </c>
      <c r="J8" s="758" t="str">
        <f>Financials!H7</f>
        <v>June</v>
      </c>
      <c r="K8" s="758" t="str">
        <f>Financials!I7</f>
        <v>July</v>
      </c>
      <c r="L8" s="758" t="str">
        <f>Financials!J7</f>
        <v>August</v>
      </c>
      <c r="M8" s="758" t="str">
        <f>Financials!K7</f>
        <v>September</v>
      </c>
      <c r="N8" s="758" t="str">
        <f>Financials!L7</f>
        <v>October</v>
      </c>
      <c r="O8" s="758" t="str">
        <f>Financials!M7</f>
        <v>November</v>
      </c>
      <c r="P8" s="758" t="str">
        <f>Financials!N7</f>
        <v>December</v>
      </c>
      <c r="Q8" s="757" t="str">
        <f>Financials!O7</f>
        <v>January</v>
      </c>
      <c r="R8" s="757" t="str">
        <f>Financials!P7</f>
        <v>February</v>
      </c>
      <c r="S8" s="757" t="str">
        <f>Financials!Q7</f>
        <v>March</v>
      </c>
      <c r="T8" s="757" t="str">
        <f>Financials!R7</f>
        <v>April</v>
      </c>
      <c r="U8" s="757" t="str">
        <f>Financials!S7</f>
        <v>May</v>
      </c>
      <c r="V8" s="757" t="str">
        <f>Financials!T7</f>
        <v>June</v>
      </c>
      <c r="W8" s="757" t="str">
        <f>Financials!U7</f>
        <v>July</v>
      </c>
      <c r="X8" s="170" t="s">
        <v>1069</v>
      </c>
    </row>
    <row r="9" spans="1:24" x14ac:dyDescent="0.25">
      <c r="A9" s="173">
        <v>1</v>
      </c>
      <c r="B9" s="760" t="s">
        <v>1039</v>
      </c>
      <c r="C9" s="760" t="s">
        <v>1038</v>
      </c>
      <c r="D9" s="132">
        <f>SUM(CapEx!D10+CapEx!D18+CapEx!D19+CapEx!D20+CapEx!D21+CapEx!D22+CapEx!D23+CapEx!D24+CapEx!D25+CapEx!D26+CapEx!D27+CapEx!D28+CapEx!D29+CapEx!D30+CapEx!D31+CapEx!D32+CapEx!D33+CapEx!D34+CapEx!D35+CapEx!D36+CapEx!D37+CapEx!D38+CapEx!D39+CapEx!D40+CapEx!D41+CapEx!D42+CapEx!D43+CapEx!D44)</f>
        <v>9849476.2800000012</v>
      </c>
      <c r="E9" s="666">
        <v>0</v>
      </c>
      <c r="F9" s="666">
        <v>0</v>
      </c>
      <c r="G9" s="666">
        <v>0</v>
      </c>
      <c r="H9" s="666">
        <v>0</v>
      </c>
      <c r="I9" s="666">
        <v>0</v>
      </c>
      <c r="J9" s="666">
        <v>0</v>
      </c>
      <c r="K9" s="666">
        <v>0</v>
      </c>
      <c r="L9" s="666">
        <f>SUM(D9*CapEx!J10)</f>
        <v>4924738.1400000006</v>
      </c>
      <c r="M9" s="666">
        <f>IF($T$6-CapEx!$M10='Cash Drawdown schedule'!M6,($D9*CapEx!$J10),0)</f>
        <v>0</v>
      </c>
      <c r="N9" s="666">
        <f>IF($T$6-CapEx!$M10='Cash Drawdown schedule'!N6,($D9*CapEx!$J10),0)</f>
        <v>0</v>
      </c>
      <c r="O9" s="666">
        <f>IF($T$6-CapEx!$M10='Cash Drawdown schedule'!O6,($D9*CapEx!$J10),0)</f>
        <v>0</v>
      </c>
      <c r="P9" s="666">
        <f>IF($T$6-CapEx!$M10='Cash Drawdown schedule'!P6,($D9*CapEx!$J10),0)</f>
        <v>0</v>
      </c>
      <c r="Q9" s="666">
        <f>IF($T$6-CapEx!$M10='Cash Drawdown schedule'!Q6,($D9*CapEx!$J10),0)</f>
        <v>0</v>
      </c>
      <c r="R9" s="666">
        <f>SUM(D9*CapEx!K10)</f>
        <v>3939790.5120000006</v>
      </c>
      <c r="S9" s="666">
        <f>IF($T$6-CapEx!$M10='Cash Drawdown schedule'!S6,($D9*CapEx!$J10),0)</f>
        <v>0</v>
      </c>
      <c r="T9" s="666">
        <f>IF($T$6-CapEx!$M10='Cash Drawdown schedule'!T6,($D9*CapEx!$J10),0)</f>
        <v>0</v>
      </c>
      <c r="U9" s="666">
        <f>SUM(D9*CapEx!L10)</f>
        <v>984947.62800000014</v>
      </c>
      <c r="V9" s="666">
        <f>IF($T$6-CapEx!$M10='Cash Drawdown schedule'!V6,($D9*CapEx!$J10),0)</f>
        <v>0</v>
      </c>
      <c r="W9" s="666">
        <f>IF($T$6-CapEx!$M10='Cash Drawdown schedule'!W6,($D9*CapEx!$J10),0)</f>
        <v>0</v>
      </c>
      <c r="X9" s="765">
        <f>SUM(E9:W9)</f>
        <v>9849476.2800000012</v>
      </c>
    </row>
    <row r="10" spans="1:24" x14ac:dyDescent="0.25">
      <c r="A10" s="173">
        <f>SUM(A9+1)</f>
        <v>2</v>
      </c>
      <c r="B10" s="760" t="s">
        <v>1040</v>
      </c>
      <c r="C10" s="760" t="s">
        <v>1041</v>
      </c>
      <c r="D10" s="132">
        <f>SUM(CapEx!D45)</f>
        <v>1148000</v>
      </c>
      <c r="E10" s="666">
        <v>0</v>
      </c>
      <c r="F10" s="666">
        <v>0</v>
      </c>
      <c r="G10" s="666">
        <v>0</v>
      </c>
      <c r="H10" s="666">
        <v>0</v>
      </c>
      <c r="I10" s="666">
        <f>SUM(D10*CapEx!J45)</f>
        <v>574000</v>
      </c>
      <c r="J10" s="666">
        <v>0</v>
      </c>
      <c r="K10" s="666">
        <v>0</v>
      </c>
      <c r="L10" s="666">
        <v>0</v>
      </c>
      <c r="M10" s="666">
        <v>0</v>
      </c>
      <c r="N10" s="666">
        <v>0</v>
      </c>
      <c r="O10" s="666">
        <v>0</v>
      </c>
      <c r="P10" s="666">
        <v>0</v>
      </c>
      <c r="Q10" s="666">
        <f>SUM(D10*CapEx!K45)</f>
        <v>459200</v>
      </c>
      <c r="R10" s="666">
        <v>0</v>
      </c>
      <c r="S10" s="666">
        <f>SUM(D10*CapEx!L45)</f>
        <v>114800</v>
      </c>
      <c r="T10" s="666">
        <v>0</v>
      </c>
      <c r="U10" s="666">
        <v>0</v>
      </c>
      <c r="V10" s="666">
        <v>0</v>
      </c>
      <c r="W10" s="666">
        <v>0</v>
      </c>
      <c r="X10" s="765">
        <f t="shared" ref="X10:X26" si="2">SUM(E10:W10)</f>
        <v>1148000</v>
      </c>
    </row>
    <row r="11" spans="1:24" ht="30" x14ac:dyDescent="0.25">
      <c r="A11" s="173">
        <f t="shared" ref="A11:A26" si="3">SUM(A10+1)</f>
        <v>3</v>
      </c>
      <c r="B11" s="760" t="s">
        <v>1058</v>
      </c>
      <c r="C11" s="760" t="s">
        <v>1059</v>
      </c>
      <c r="D11" s="132">
        <f>SUM(CapEx!D16+CapEx!D17)</f>
        <v>3885974</v>
      </c>
      <c r="E11" s="666">
        <v>0</v>
      </c>
      <c r="F11" s="666">
        <v>0</v>
      </c>
      <c r="G11" s="666">
        <v>0</v>
      </c>
      <c r="H11" s="666">
        <v>0</v>
      </c>
      <c r="I11" s="666">
        <f>SUM(D11*CapEx!J16)</f>
        <v>1942987</v>
      </c>
      <c r="J11" s="666">
        <v>0</v>
      </c>
      <c r="K11" s="666">
        <v>0</v>
      </c>
      <c r="L11" s="666">
        <v>0</v>
      </c>
      <c r="M11" s="666">
        <v>0</v>
      </c>
      <c r="N11" s="666">
        <v>0</v>
      </c>
      <c r="O11" s="666">
        <v>0</v>
      </c>
      <c r="P11" s="666">
        <v>0</v>
      </c>
      <c r="Q11" s="666">
        <f>SUM(D11*CapEx!K16)</f>
        <v>1554389.6</v>
      </c>
      <c r="R11" s="666">
        <v>0</v>
      </c>
      <c r="S11" s="666">
        <f>SUM(D11*CapEx!L16)</f>
        <v>388597.4</v>
      </c>
      <c r="T11" s="666">
        <v>0</v>
      </c>
      <c r="U11" s="666">
        <v>0</v>
      </c>
      <c r="V11" s="666">
        <v>0</v>
      </c>
      <c r="W11" s="666">
        <v>0</v>
      </c>
      <c r="X11" s="765">
        <f t="shared" si="2"/>
        <v>3885974</v>
      </c>
    </row>
    <row r="12" spans="1:24" x14ac:dyDescent="0.25">
      <c r="A12" s="173">
        <f t="shared" si="3"/>
        <v>4</v>
      </c>
      <c r="B12" s="760" t="s">
        <v>1042</v>
      </c>
      <c r="C12" s="760" t="s">
        <v>1043</v>
      </c>
      <c r="D12" s="132">
        <f>SUM(CapEx!D13+CapEx!D14+CapEx!D15)</f>
        <v>1267800</v>
      </c>
      <c r="E12" s="666">
        <v>0</v>
      </c>
      <c r="F12" s="666">
        <v>0</v>
      </c>
      <c r="G12" s="666">
        <v>0</v>
      </c>
      <c r="H12" s="666">
        <v>0</v>
      </c>
      <c r="I12" s="666">
        <v>0</v>
      </c>
      <c r="J12" s="666">
        <f>SUM(D12*CapEx!J13)</f>
        <v>633900</v>
      </c>
      <c r="K12" s="666">
        <v>0</v>
      </c>
      <c r="L12" s="666">
        <v>0</v>
      </c>
      <c r="M12" s="666">
        <v>0</v>
      </c>
      <c r="N12" s="666">
        <v>0</v>
      </c>
      <c r="O12" s="666">
        <v>0</v>
      </c>
      <c r="P12" s="666">
        <v>0</v>
      </c>
      <c r="Q12" s="666">
        <v>0</v>
      </c>
      <c r="R12" s="666">
        <f>SUM(D12*CapEx!K13)</f>
        <v>507120</v>
      </c>
      <c r="S12" s="666">
        <v>0</v>
      </c>
      <c r="T12" s="666">
        <f>SUM(D12*CapEx!L13)</f>
        <v>126780</v>
      </c>
      <c r="U12" s="666">
        <v>0</v>
      </c>
      <c r="V12" s="666">
        <v>0</v>
      </c>
      <c r="W12" s="666">
        <v>0</v>
      </c>
      <c r="X12" s="765">
        <f t="shared" si="2"/>
        <v>1267800</v>
      </c>
    </row>
    <row r="13" spans="1:24" x14ac:dyDescent="0.25">
      <c r="A13" s="173">
        <f t="shared" si="3"/>
        <v>5</v>
      </c>
      <c r="B13" s="760" t="s">
        <v>1044</v>
      </c>
      <c r="C13" s="760" t="s">
        <v>1045</v>
      </c>
      <c r="D13" s="132">
        <f>SUM(CapEx!D11+CapEx!D12)</f>
        <v>1238073.8</v>
      </c>
      <c r="E13" s="666">
        <v>0</v>
      </c>
      <c r="F13" s="666">
        <v>0</v>
      </c>
      <c r="G13" s="666">
        <v>0</v>
      </c>
      <c r="H13" s="666">
        <v>0</v>
      </c>
      <c r="I13" s="666">
        <v>0</v>
      </c>
      <c r="J13" s="666">
        <f>SUM(D13*CapEx!J11)</f>
        <v>619036.9</v>
      </c>
      <c r="K13" s="666">
        <v>0</v>
      </c>
      <c r="L13" s="666">
        <v>0</v>
      </c>
      <c r="M13" s="666">
        <v>0</v>
      </c>
      <c r="N13" s="666">
        <v>0</v>
      </c>
      <c r="O13" s="666">
        <v>0</v>
      </c>
      <c r="P13" s="666">
        <v>0</v>
      </c>
      <c r="Q13" s="666">
        <v>0</v>
      </c>
      <c r="R13" s="666">
        <f>SUM(D13*CapEx!K11)</f>
        <v>495229.52</v>
      </c>
      <c r="S13" s="666">
        <v>0</v>
      </c>
      <c r="T13" s="666">
        <f>SUM(D13*CapEx!L11)</f>
        <v>123807.38</v>
      </c>
      <c r="U13" s="666">
        <v>0</v>
      </c>
      <c r="V13" s="666">
        <v>0</v>
      </c>
      <c r="W13" s="666">
        <v>0</v>
      </c>
      <c r="X13" s="765">
        <f t="shared" si="2"/>
        <v>1238073.7999999998</v>
      </c>
    </row>
    <row r="14" spans="1:24" ht="30" x14ac:dyDescent="0.25">
      <c r="A14" s="173">
        <f t="shared" si="3"/>
        <v>6</v>
      </c>
      <c r="B14" s="760" t="s">
        <v>1046</v>
      </c>
      <c r="C14" s="760" t="s">
        <v>1060</v>
      </c>
      <c r="D14" s="132">
        <f>SUM(CapEx!D46:D64)</f>
        <v>80600000</v>
      </c>
      <c r="E14" s="666">
        <v>0</v>
      </c>
      <c r="F14" s="666">
        <v>0</v>
      </c>
      <c r="G14" s="666">
        <v>0</v>
      </c>
      <c r="H14" s="666">
        <v>0</v>
      </c>
      <c r="I14" s="666">
        <f>SUM(D14*CapEx!J50)</f>
        <v>40300000</v>
      </c>
      <c r="J14" s="666">
        <v>0</v>
      </c>
      <c r="K14" s="666">
        <v>0</v>
      </c>
      <c r="L14" s="666">
        <v>0</v>
      </c>
      <c r="M14" s="666">
        <v>0</v>
      </c>
      <c r="N14" s="666">
        <v>0</v>
      </c>
      <c r="O14" s="666">
        <v>0</v>
      </c>
      <c r="P14" s="666">
        <v>0</v>
      </c>
      <c r="Q14" s="666">
        <f>SUM(D14*CapEx!K50)</f>
        <v>32240000</v>
      </c>
      <c r="R14" s="666">
        <v>0</v>
      </c>
      <c r="S14" s="666">
        <f>SUM(D14*CapEx!L50)</f>
        <v>8060000</v>
      </c>
      <c r="T14" s="666">
        <v>0</v>
      </c>
      <c r="U14" s="666">
        <v>0</v>
      </c>
      <c r="V14" s="666">
        <v>0</v>
      </c>
      <c r="W14" s="666">
        <v>0</v>
      </c>
      <c r="X14" s="765">
        <f t="shared" si="2"/>
        <v>80600000</v>
      </c>
    </row>
    <row r="15" spans="1:24" ht="30" x14ac:dyDescent="0.25">
      <c r="A15" s="173">
        <f t="shared" si="3"/>
        <v>7</v>
      </c>
      <c r="B15" s="760" t="s">
        <v>1132</v>
      </c>
      <c r="C15" s="760" t="s">
        <v>1047</v>
      </c>
      <c r="D15" s="132">
        <f>SUM(CapEx!D66:D77)</f>
        <v>38522500</v>
      </c>
      <c r="E15" s="666">
        <v>0</v>
      </c>
      <c r="F15" s="666">
        <v>0</v>
      </c>
      <c r="G15" s="666">
        <v>0</v>
      </c>
      <c r="H15" s="666">
        <v>0</v>
      </c>
      <c r="I15" s="666">
        <f>SUM($D$15*20%)</f>
        <v>7704500</v>
      </c>
      <c r="J15" s="666">
        <f>SUM($D$15 * 7.5%)</f>
        <v>2889187.5</v>
      </c>
      <c r="K15" s="666">
        <f>SUM($D$15 * 7.5%)</f>
        <v>2889187.5</v>
      </c>
      <c r="L15" s="666">
        <f t="shared" ref="L15:P15" si="4">SUM($D$15*20%)</f>
        <v>7704500</v>
      </c>
      <c r="M15" s="666">
        <v>0</v>
      </c>
      <c r="N15" s="666">
        <f t="shared" si="4"/>
        <v>7704500</v>
      </c>
      <c r="O15" s="666">
        <v>0</v>
      </c>
      <c r="P15" s="666">
        <f t="shared" si="4"/>
        <v>7704500</v>
      </c>
      <c r="Q15" s="666">
        <v>0</v>
      </c>
      <c r="R15" s="666">
        <f>SUM($D$15 * 5%)</f>
        <v>1926125</v>
      </c>
      <c r="S15" s="666">
        <v>0</v>
      </c>
      <c r="T15" s="666">
        <v>0</v>
      </c>
      <c r="U15" s="666">
        <v>0</v>
      </c>
      <c r="V15" s="666">
        <v>0</v>
      </c>
      <c r="W15" s="666">
        <v>0</v>
      </c>
      <c r="X15" s="765">
        <f t="shared" si="2"/>
        <v>38522500</v>
      </c>
    </row>
    <row r="16" spans="1:24" ht="30" x14ac:dyDescent="0.25">
      <c r="A16" s="173">
        <f t="shared" si="3"/>
        <v>8</v>
      </c>
      <c r="B16" s="760" t="s">
        <v>1132</v>
      </c>
      <c r="C16" s="760" t="s">
        <v>1061</v>
      </c>
      <c r="D16" s="132">
        <f>SUM(CapEx!D77:D83)</f>
        <v>33494700</v>
      </c>
      <c r="E16" s="666">
        <v>0</v>
      </c>
      <c r="F16" s="666">
        <v>0</v>
      </c>
      <c r="G16" s="666">
        <v>0</v>
      </c>
      <c r="H16" s="666">
        <v>0</v>
      </c>
      <c r="I16" s="666">
        <f>SUM(D16*CapEx!J76)</f>
        <v>16747350</v>
      </c>
      <c r="J16" s="666">
        <v>0</v>
      </c>
      <c r="K16" s="666">
        <v>0</v>
      </c>
      <c r="L16" s="666">
        <v>0</v>
      </c>
      <c r="M16" s="666">
        <v>0</v>
      </c>
      <c r="N16" s="666">
        <v>0</v>
      </c>
      <c r="O16" s="666">
        <v>0</v>
      </c>
      <c r="P16" s="666">
        <v>0</v>
      </c>
      <c r="Q16" s="666">
        <f>SUM(D16*CapEx!K76)</f>
        <v>13397880</v>
      </c>
      <c r="R16" s="666">
        <v>0</v>
      </c>
      <c r="S16" s="666">
        <f>SUM(D16*CapEx!L76)</f>
        <v>3349470</v>
      </c>
      <c r="T16" s="666">
        <v>0</v>
      </c>
      <c r="U16" s="666">
        <v>0</v>
      </c>
      <c r="V16" s="666">
        <v>0</v>
      </c>
      <c r="W16" s="666">
        <v>0</v>
      </c>
      <c r="X16" s="765">
        <f t="shared" si="2"/>
        <v>33494700</v>
      </c>
    </row>
    <row r="17" spans="1:24" x14ac:dyDescent="0.25">
      <c r="A17" s="173">
        <f t="shared" si="3"/>
        <v>9</v>
      </c>
      <c r="B17" s="760" t="s">
        <v>1063</v>
      </c>
      <c r="C17" s="760" t="s">
        <v>1064</v>
      </c>
      <c r="D17" s="132">
        <f>CapEx!D102</f>
        <v>15000000</v>
      </c>
      <c r="E17" s="666">
        <v>0</v>
      </c>
      <c r="F17" s="666">
        <v>0</v>
      </c>
      <c r="G17" s="666">
        <v>0</v>
      </c>
      <c r="H17" s="666">
        <v>0</v>
      </c>
      <c r="I17" s="666">
        <f>SUM(D17*CapEx!J102)</f>
        <v>7500000</v>
      </c>
      <c r="J17" s="666">
        <v>0</v>
      </c>
      <c r="K17" s="666">
        <v>0</v>
      </c>
      <c r="L17" s="666">
        <v>0</v>
      </c>
      <c r="M17" s="666">
        <v>0</v>
      </c>
      <c r="N17" s="666">
        <v>0</v>
      </c>
      <c r="O17" s="666">
        <v>0</v>
      </c>
      <c r="P17" s="666">
        <f>SUM(D17*CapEx!K102)</f>
        <v>6000000</v>
      </c>
      <c r="Q17" s="666">
        <v>0</v>
      </c>
      <c r="R17" s="666">
        <v>0</v>
      </c>
      <c r="S17" s="666">
        <f>SUM(D17*CapEx!L102)</f>
        <v>1500000</v>
      </c>
      <c r="T17" s="666">
        <v>0</v>
      </c>
      <c r="U17" s="666">
        <v>0</v>
      </c>
      <c r="V17" s="666">
        <v>0</v>
      </c>
      <c r="W17" s="666">
        <v>0</v>
      </c>
      <c r="X17" s="765">
        <f t="shared" si="2"/>
        <v>15000000</v>
      </c>
    </row>
    <row r="18" spans="1:24" x14ac:dyDescent="0.25">
      <c r="A18" s="173">
        <f t="shared" si="3"/>
        <v>10</v>
      </c>
      <c r="B18" s="760" t="s">
        <v>1063</v>
      </c>
      <c r="C18" s="760" t="s">
        <v>963</v>
      </c>
      <c r="D18" s="132">
        <f>CapEx!D87</f>
        <v>15000000</v>
      </c>
      <c r="E18" s="666">
        <v>0</v>
      </c>
      <c r="F18" s="666">
        <v>0</v>
      </c>
      <c r="G18" s="666">
        <v>0</v>
      </c>
      <c r="H18" s="666">
        <v>0</v>
      </c>
      <c r="I18" s="666">
        <f>SUM(D18*CapEx!J87)</f>
        <v>7500000</v>
      </c>
      <c r="J18" s="666">
        <v>0</v>
      </c>
      <c r="K18" s="666">
        <v>0</v>
      </c>
      <c r="L18" s="666">
        <v>0</v>
      </c>
      <c r="M18" s="666">
        <v>0</v>
      </c>
      <c r="N18" s="666">
        <v>0</v>
      </c>
      <c r="O18" s="666">
        <v>0</v>
      </c>
      <c r="P18" s="666">
        <v>0</v>
      </c>
      <c r="Q18" s="666">
        <v>0</v>
      </c>
      <c r="R18" s="666">
        <f>SUM(D18*CapEx!K87)</f>
        <v>6000000</v>
      </c>
      <c r="S18" s="666">
        <v>0</v>
      </c>
      <c r="T18" s="666">
        <f>SUM(D18*CapEx!L87)</f>
        <v>1500000</v>
      </c>
      <c r="U18" s="666">
        <v>0</v>
      </c>
      <c r="V18" s="666">
        <v>0</v>
      </c>
      <c r="W18" s="666">
        <v>0</v>
      </c>
      <c r="X18" s="765">
        <f t="shared" si="2"/>
        <v>15000000</v>
      </c>
    </row>
    <row r="19" spans="1:24" x14ac:dyDescent="0.25">
      <c r="A19" s="173">
        <f t="shared" si="3"/>
        <v>11</v>
      </c>
      <c r="B19" s="760" t="s">
        <v>1063</v>
      </c>
      <c r="C19" s="760" t="s">
        <v>1062</v>
      </c>
      <c r="D19" s="132">
        <f>CapEx!D84</f>
        <v>0</v>
      </c>
      <c r="E19" s="666">
        <v>0</v>
      </c>
      <c r="F19" s="666">
        <v>0</v>
      </c>
      <c r="G19" s="666">
        <f>SUM(D19*CapEx!J84)</f>
        <v>0</v>
      </c>
      <c r="H19" s="666">
        <v>0</v>
      </c>
      <c r="I19" s="666">
        <v>0</v>
      </c>
      <c r="J19" s="666">
        <f>SUM(D19*CapEx!K84)</f>
        <v>0</v>
      </c>
      <c r="K19" s="666">
        <v>0</v>
      </c>
      <c r="L19" s="666">
        <f>SUM(D19*CapEx!L84)</f>
        <v>0</v>
      </c>
      <c r="M19" s="666">
        <v>0</v>
      </c>
      <c r="N19" s="666">
        <v>0</v>
      </c>
      <c r="O19" s="666">
        <v>0</v>
      </c>
      <c r="P19" s="666">
        <v>0</v>
      </c>
      <c r="Q19" s="666">
        <v>0</v>
      </c>
      <c r="R19" s="666">
        <v>0</v>
      </c>
      <c r="S19" s="666">
        <v>0</v>
      </c>
      <c r="T19" s="666">
        <v>0</v>
      </c>
      <c r="U19" s="666">
        <v>0</v>
      </c>
      <c r="V19" s="666">
        <v>0</v>
      </c>
      <c r="W19" s="666">
        <v>0</v>
      </c>
      <c r="X19" s="765">
        <f t="shared" si="2"/>
        <v>0</v>
      </c>
    </row>
    <row r="20" spans="1:24" x14ac:dyDescent="0.25">
      <c r="A20" s="173">
        <f t="shared" si="3"/>
        <v>12</v>
      </c>
      <c r="B20" s="760" t="s">
        <v>1048</v>
      </c>
      <c r="C20" s="760" t="s">
        <v>1049</v>
      </c>
      <c r="D20" s="132">
        <f>SUM(CapEx!D105+CapEx!D104+CapEx!D99+CapEx!D97+CapEx!D96)</f>
        <v>27028464.25</v>
      </c>
      <c r="E20" s="666">
        <v>0</v>
      </c>
      <c r="F20" s="666">
        <v>0</v>
      </c>
      <c r="G20" s="666"/>
      <c r="H20" s="666">
        <v>0</v>
      </c>
      <c r="I20" s="666">
        <f>SUM(D20*CapEx!J99)</f>
        <v>13514232.125</v>
      </c>
      <c r="J20" s="666">
        <f>SUM(D20*CapEx!K85)</f>
        <v>10811385.700000001</v>
      </c>
      <c r="K20" s="666">
        <v>0</v>
      </c>
      <c r="L20" s="666">
        <f>SUM(D20*CapEx!K99)</f>
        <v>10811385.700000001</v>
      </c>
      <c r="M20" s="666">
        <v>0</v>
      </c>
      <c r="N20" s="666">
        <f>SUM(D20*CapEx!L99)</f>
        <v>2702846.4250000003</v>
      </c>
      <c r="O20" s="666">
        <v>0</v>
      </c>
      <c r="P20" s="666">
        <v>0</v>
      </c>
      <c r="Q20" s="666">
        <v>0</v>
      </c>
      <c r="R20" s="666">
        <v>0</v>
      </c>
      <c r="S20" s="666"/>
      <c r="T20" s="666">
        <v>0</v>
      </c>
      <c r="U20" s="666">
        <v>0</v>
      </c>
      <c r="V20" s="666">
        <v>0</v>
      </c>
      <c r="W20" s="666">
        <v>0</v>
      </c>
      <c r="X20" s="765">
        <f t="shared" si="2"/>
        <v>37839849.950000003</v>
      </c>
    </row>
    <row r="21" spans="1:24" x14ac:dyDescent="0.25">
      <c r="A21" s="173">
        <f t="shared" si="3"/>
        <v>13</v>
      </c>
      <c r="B21" s="760" t="s">
        <v>1053</v>
      </c>
      <c r="C21" s="760" t="s">
        <v>1054</v>
      </c>
      <c r="D21" s="132">
        <f>SUM(CapEx!D98+CapEx!D101)</f>
        <v>1254300</v>
      </c>
      <c r="E21" s="666">
        <v>0</v>
      </c>
      <c r="F21" s="666">
        <v>0</v>
      </c>
      <c r="G21" s="666">
        <v>0</v>
      </c>
      <c r="H21" s="666">
        <v>0</v>
      </c>
      <c r="I21" s="666">
        <v>0</v>
      </c>
      <c r="J21" s="666">
        <f>SUM(D21*CapEx!J101)</f>
        <v>627150</v>
      </c>
      <c r="K21" s="666">
        <v>0</v>
      </c>
      <c r="L21" s="666">
        <v>0</v>
      </c>
      <c r="M21" s="666">
        <v>0</v>
      </c>
      <c r="N21" s="666">
        <v>0</v>
      </c>
      <c r="O21" s="666">
        <v>0</v>
      </c>
      <c r="P21" s="666">
        <v>0</v>
      </c>
      <c r="Q21" s="666">
        <v>0</v>
      </c>
      <c r="R21" s="666">
        <f>SUM(D21*CapEx!K99)</f>
        <v>501720</v>
      </c>
      <c r="S21" s="666">
        <v>0</v>
      </c>
      <c r="T21" s="666">
        <v>0</v>
      </c>
      <c r="U21" s="666">
        <v>0</v>
      </c>
      <c r="V21" s="666">
        <f>SUM(D21*CapEx!L98)</f>
        <v>125430</v>
      </c>
      <c r="W21" s="666">
        <v>0</v>
      </c>
      <c r="X21" s="765">
        <f t="shared" si="2"/>
        <v>1254300</v>
      </c>
    </row>
    <row r="22" spans="1:24" x14ac:dyDescent="0.25">
      <c r="A22" s="173">
        <f t="shared" si="3"/>
        <v>14</v>
      </c>
      <c r="B22" s="760" t="s">
        <v>1056</v>
      </c>
      <c r="C22" s="760" t="s">
        <v>1055</v>
      </c>
      <c r="D22" s="764">
        <f>SUM(CapEx!D113-'Cash Drawdown schedule'!D9-'Cash Drawdown schedule'!D10-'Cash Drawdown schedule'!D11-'Cash Drawdown schedule'!D12-'Cash Drawdown schedule'!D13-'Cash Drawdown schedule'!D14-'Cash Drawdown schedule'!D15-'Cash Drawdown schedule'!D16-'Cash Drawdown schedule'!D17-'Cash Drawdown schedule'!D18-'Cash Drawdown schedule'!D19-'Cash Drawdown schedule'!D20-'Cash Drawdown schedule'!D21-D23-'Cash Drawdown schedule'!D26-'Cash Drawdown schedule'!D25-'Cash Drawdown schedule'!D24)</f>
        <v>4398007.8549999697</v>
      </c>
      <c r="E22" s="666">
        <v>0</v>
      </c>
      <c r="F22" s="666">
        <v>0</v>
      </c>
      <c r="G22" s="666">
        <v>0</v>
      </c>
      <c r="H22" s="666">
        <v>0</v>
      </c>
      <c r="I22" s="666">
        <v>0</v>
      </c>
      <c r="J22" s="666">
        <v>0</v>
      </c>
      <c r="K22" s="666">
        <v>0</v>
      </c>
      <c r="L22" s="666">
        <v>0</v>
      </c>
      <c r="M22" s="666">
        <f>SUM($D$22/6)</f>
        <v>733001.30916666158</v>
      </c>
      <c r="N22" s="666">
        <f t="shared" ref="N22:R22" si="5">SUM($D$22/6)</f>
        <v>733001.30916666158</v>
      </c>
      <c r="O22" s="666">
        <f t="shared" si="5"/>
        <v>733001.30916666158</v>
      </c>
      <c r="P22" s="666">
        <f t="shared" si="5"/>
        <v>733001.30916666158</v>
      </c>
      <c r="Q22" s="666">
        <f t="shared" si="5"/>
        <v>733001.30916666158</v>
      </c>
      <c r="R22" s="666">
        <f t="shared" si="5"/>
        <v>733001.30916666158</v>
      </c>
      <c r="S22" s="666">
        <v>0</v>
      </c>
      <c r="T22" s="666">
        <v>0</v>
      </c>
      <c r="U22" s="666">
        <v>0</v>
      </c>
      <c r="V22" s="666">
        <v>0</v>
      </c>
      <c r="W22" s="666">
        <v>0</v>
      </c>
      <c r="X22" s="765">
        <f t="shared" si="2"/>
        <v>4398007.8549999697</v>
      </c>
    </row>
    <row r="23" spans="1:24" x14ac:dyDescent="0.25">
      <c r="A23" s="173">
        <f t="shared" si="3"/>
        <v>15</v>
      </c>
      <c r="B23" s="763" t="str">
        <f>CapEx!C130</f>
        <v>Engineering Expense</v>
      </c>
      <c r="C23" s="760" t="s">
        <v>1050</v>
      </c>
      <c r="D23" s="147">
        <f>CapEx!D130</f>
        <v>9293023.5331999995</v>
      </c>
      <c r="E23" s="666">
        <f>SUM($D$23/19)</f>
        <v>489106.50174736837</v>
      </c>
      <c r="F23" s="666">
        <f t="shared" ref="F23:W23" si="6">SUM($D$23/19)</f>
        <v>489106.50174736837</v>
      </c>
      <c r="G23" s="666">
        <f t="shared" si="6"/>
        <v>489106.50174736837</v>
      </c>
      <c r="H23" s="666">
        <f t="shared" si="6"/>
        <v>489106.50174736837</v>
      </c>
      <c r="I23" s="666">
        <f t="shared" si="6"/>
        <v>489106.50174736837</v>
      </c>
      <c r="J23" s="666">
        <f t="shared" si="6"/>
        <v>489106.50174736837</v>
      </c>
      <c r="K23" s="666">
        <f t="shared" si="6"/>
        <v>489106.50174736837</v>
      </c>
      <c r="L23" s="666">
        <f t="shared" si="6"/>
        <v>489106.50174736837</v>
      </c>
      <c r="M23" s="666">
        <f t="shared" si="6"/>
        <v>489106.50174736837</v>
      </c>
      <c r="N23" s="666">
        <f t="shared" si="6"/>
        <v>489106.50174736837</v>
      </c>
      <c r="O23" s="666">
        <f t="shared" si="6"/>
        <v>489106.50174736837</v>
      </c>
      <c r="P23" s="666">
        <f t="shared" si="6"/>
        <v>489106.50174736837</v>
      </c>
      <c r="Q23" s="666">
        <f t="shared" si="6"/>
        <v>489106.50174736837</v>
      </c>
      <c r="R23" s="666">
        <f t="shared" si="6"/>
        <v>489106.50174736837</v>
      </c>
      <c r="S23" s="666">
        <f t="shared" si="6"/>
        <v>489106.50174736837</v>
      </c>
      <c r="T23" s="666">
        <f t="shared" si="6"/>
        <v>489106.50174736837</v>
      </c>
      <c r="U23" s="666">
        <f t="shared" si="6"/>
        <v>489106.50174736837</v>
      </c>
      <c r="V23" s="666">
        <f t="shared" si="6"/>
        <v>489106.50174736837</v>
      </c>
      <c r="W23" s="666">
        <f t="shared" si="6"/>
        <v>489106.50174736837</v>
      </c>
      <c r="X23" s="765">
        <f t="shared" si="2"/>
        <v>9293023.5331999939</v>
      </c>
    </row>
    <row r="24" spans="1:24" ht="30" x14ac:dyDescent="0.25">
      <c r="A24" s="173">
        <f t="shared" si="3"/>
        <v>16</v>
      </c>
      <c r="B24" s="763" t="str">
        <f>CapEx!C131</f>
        <v>Contingency</v>
      </c>
      <c r="C24" s="760" t="s">
        <v>1051</v>
      </c>
      <c r="D24" s="147">
        <f>CapEx!D131</f>
        <v>6969767.6498999996</v>
      </c>
      <c r="E24" s="666">
        <f>SUM($D$24/19)</f>
        <v>366829.87631052628</v>
      </c>
      <c r="F24" s="666">
        <f t="shared" ref="F24:W24" si="7">SUM($D$24/19)</f>
        <v>366829.87631052628</v>
      </c>
      <c r="G24" s="666">
        <f t="shared" si="7"/>
        <v>366829.87631052628</v>
      </c>
      <c r="H24" s="666">
        <f t="shared" si="7"/>
        <v>366829.87631052628</v>
      </c>
      <c r="I24" s="666">
        <f t="shared" si="7"/>
        <v>366829.87631052628</v>
      </c>
      <c r="J24" s="666">
        <f t="shared" si="7"/>
        <v>366829.87631052628</v>
      </c>
      <c r="K24" s="666">
        <f t="shared" si="7"/>
        <v>366829.87631052628</v>
      </c>
      <c r="L24" s="666">
        <f t="shared" si="7"/>
        <v>366829.87631052628</v>
      </c>
      <c r="M24" s="666">
        <f t="shared" si="7"/>
        <v>366829.87631052628</v>
      </c>
      <c r="N24" s="666">
        <f t="shared" si="7"/>
        <v>366829.87631052628</v>
      </c>
      <c r="O24" s="666">
        <f t="shared" si="7"/>
        <v>366829.87631052628</v>
      </c>
      <c r="P24" s="666">
        <f t="shared" si="7"/>
        <v>366829.87631052628</v>
      </c>
      <c r="Q24" s="666">
        <f t="shared" si="7"/>
        <v>366829.87631052628</v>
      </c>
      <c r="R24" s="666">
        <f t="shared" si="7"/>
        <v>366829.87631052628</v>
      </c>
      <c r="S24" s="666">
        <f t="shared" si="7"/>
        <v>366829.87631052628</v>
      </c>
      <c r="T24" s="666">
        <f t="shared" si="7"/>
        <v>366829.87631052628</v>
      </c>
      <c r="U24" s="666">
        <f t="shared" si="7"/>
        <v>366829.87631052628</v>
      </c>
      <c r="V24" s="666">
        <f t="shared" si="7"/>
        <v>366829.87631052628</v>
      </c>
      <c r="W24" s="666">
        <f t="shared" si="7"/>
        <v>366829.87631052628</v>
      </c>
      <c r="X24" s="765">
        <f t="shared" si="2"/>
        <v>6969767.6499000005</v>
      </c>
    </row>
    <row r="25" spans="1:24" ht="30" x14ac:dyDescent="0.25">
      <c r="A25" s="173">
        <f t="shared" si="3"/>
        <v>17</v>
      </c>
      <c r="B25" s="763" t="str">
        <f>CapEx!C132</f>
        <v xml:space="preserve">CREC Top-CO Procurement Fee </v>
      </c>
      <c r="C25" s="760" t="s">
        <v>1052</v>
      </c>
      <c r="D25" s="147">
        <f>CapEx!D132</f>
        <v>1131485.6203999999</v>
      </c>
      <c r="E25" s="666">
        <f>SUM($D$25/$S$6)</f>
        <v>75432.374693333331</v>
      </c>
      <c r="F25" s="666">
        <f t="shared" ref="F25:S25" si="8">SUM($D$25/$S$6)</f>
        <v>75432.374693333331</v>
      </c>
      <c r="G25" s="666">
        <f t="shared" si="8"/>
        <v>75432.374693333331</v>
      </c>
      <c r="H25" s="666">
        <f t="shared" si="8"/>
        <v>75432.374693333331</v>
      </c>
      <c r="I25" s="666">
        <f t="shared" si="8"/>
        <v>75432.374693333331</v>
      </c>
      <c r="J25" s="666">
        <f t="shared" si="8"/>
        <v>75432.374693333331</v>
      </c>
      <c r="K25" s="666">
        <f t="shared" si="8"/>
        <v>75432.374693333331</v>
      </c>
      <c r="L25" s="666">
        <f t="shared" si="8"/>
        <v>75432.374693333331</v>
      </c>
      <c r="M25" s="666">
        <f t="shared" si="8"/>
        <v>75432.374693333331</v>
      </c>
      <c r="N25" s="666">
        <f t="shared" si="8"/>
        <v>75432.374693333331</v>
      </c>
      <c r="O25" s="666">
        <f t="shared" si="8"/>
        <v>75432.374693333331</v>
      </c>
      <c r="P25" s="666">
        <f t="shared" si="8"/>
        <v>75432.374693333331</v>
      </c>
      <c r="Q25" s="666">
        <f t="shared" si="8"/>
        <v>75432.374693333331</v>
      </c>
      <c r="R25" s="666">
        <f t="shared" si="8"/>
        <v>75432.374693333331</v>
      </c>
      <c r="S25" s="666">
        <f t="shared" si="8"/>
        <v>75432.374693333331</v>
      </c>
      <c r="T25" s="666">
        <v>0</v>
      </c>
      <c r="U25" s="666">
        <v>0</v>
      </c>
      <c r="V25" s="666">
        <v>0</v>
      </c>
      <c r="W25" s="666">
        <v>0</v>
      </c>
      <c r="X25" s="765">
        <f t="shared" si="2"/>
        <v>1131485.6203999999</v>
      </c>
    </row>
    <row r="26" spans="1:24" ht="30" x14ac:dyDescent="0.25">
      <c r="A26" s="173">
        <f t="shared" si="3"/>
        <v>18</v>
      </c>
      <c r="B26" s="763" t="str">
        <f>CapEx!C133</f>
        <v xml:space="preserve">Installation cost not quoted </v>
      </c>
      <c r="C26" s="760" t="s">
        <v>1051</v>
      </c>
      <c r="D26" s="147">
        <f>CapEx!D133</f>
        <v>4646511.7665999997</v>
      </c>
      <c r="E26" s="666">
        <v>0</v>
      </c>
      <c r="F26" s="666">
        <v>0</v>
      </c>
      <c r="G26" s="666">
        <v>0</v>
      </c>
      <c r="H26" s="666">
        <v>0</v>
      </c>
      <c r="I26" s="666">
        <v>0</v>
      </c>
      <c r="J26" s="666">
        <v>0</v>
      </c>
      <c r="K26" s="666">
        <v>0</v>
      </c>
      <c r="L26" s="666">
        <v>0</v>
      </c>
      <c r="M26" s="666">
        <v>0</v>
      </c>
      <c r="N26" s="666">
        <v>0</v>
      </c>
      <c r="O26" s="666">
        <v>0</v>
      </c>
      <c r="P26" s="666">
        <v>0</v>
      </c>
      <c r="Q26" s="666">
        <v>0</v>
      </c>
      <c r="R26" s="666">
        <v>0</v>
      </c>
      <c r="S26" s="666">
        <f>SUM($D$26/5)</f>
        <v>929302.35331999999</v>
      </c>
      <c r="T26" s="666">
        <f t="shared" ref="T26:W26" si="9">SUM($D$26/5)</f>
        <v>929302.35331999999</v>
      </c>
      <c r="U26" s="666">
        <f t="shared" si="9"/>
        <v>929302.35331999999</v>
      </c>
      <c r="V26" s="666">
        <f t="shared" si="9"/>
        <v>929302.35331999999</v>
      </c>
      <c r="W26" s="666">
        <f t="shared" si="9"/>
        <v>929302.35331999999</v>
      </c>
      <c r="X26" s="765">
        <f t="shared" si="2"/>
        <v>4646511.7665999997</v>
      </c>
    </row>
    <row r="27" spans="1:24" x14ac:dyDescent="0.25">
      <c r="C27" s="323"/>
      <c r="D27" s="323"/>
      <c r="E27" s="323"/>
      <c r="F27" s="323"/>
      <c r="X27" s="765">
        <f>SUM(X9:X26)</f>
        <v>265539470.45509994</v>
      </c>
    </row>
    <row r="28" spans="1:24" x14ac:dyDescent="0.25">
      <c r="C28" s="323"/>
    </row>
  </sheetData>
  <mergeCells count="7">
    <mergeCell ref="H3:R3"/>
    <mergeCell ref="S3:V3"/>
    <mergeCell ref="E7:P7"/>
    <mergeCell ref="Q7:W7"/>
    <mergeCell ref="B7:C7"/>
    <mergeCell ref="C4:D4"/>
    <mergeCell ref="C5:D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E14D-EBF8-4294-863A-D9A4EE670EFF}">
  <sheetPr>
    <tabColor theme="0" tint="-0.249977111117893"/>
  </sheetPr>
  <dimension ref="B2:JS36"/>
  <sheetViews>
    <sheetView topLeftCell="B1" zoomScale="85" zoomScaleNormal="85" workbookViewId="0">
      <pane xSplit="6480" ySplit="3600" topLeftCell="E17"/>
      <selection activeCell="D36" sqref="D36"/>
      <selection pane="topRight" activeCell="U13" sqref="U13"/>
      <selection pane="bottomLeft" activeCell="A15" sqref="A15"/>
      <selection pane="bottomRight" activeCell="V41" sqref="V41"/>
    </sheetView>
  </sheetViews>
  <sheetFormatPr defaultColWidth="22.85546875" defaultRowHeight="12.75" x14ac:dyDescent="0.2"/>
  <cols>
    <col min="1" max="1" width="22.85546875" style="1"/>
    <col min="2" max="2" width="25" style="1" bestFit="1" customWidth="1"/>
    <col min="3" max="16384" width="22.85546875" style="1"/>
  </cols>
  <sheetData>
    <row r="2" spans="2:279" x14ac:dyDescent="0.2">
      <c r="C2" s="854">
        <f>'Data Sources'!C1</f>
        <v>2026</v>
      </c>
      <c r="D2" s="853"/>
      <c r="E2" s="853"/>
      <c r="F2" s="853"/>
      <c r="G2" s="853"/>
      <c r="H2" s="853"/>
      <c r="I2" s="853"/>
      <c r="J2" s="853"/>
      <c r="K2" s="853"/>
      <c r="L2" s="853"/>
      <c r="M2" s="853"/>
      <c r="N2" s="853"/>
      <c r="O2" s="854">
        <f>SUM(C2+1)</f>
        <v>2027</v>
      </c>
      <c r="P2" s="853"/>
      <c r="Q2" s="853"/>
      <c r="R2" s="853"/>
      <c r="S2" s="853"/>
      <c r="T2" s="853"/>
      <c r="U2" s="853"/>
      <c r="V2" s="853"/>
      <c r="W2" s="853"/>
      <c r="X2" s="853"/>
      <c r="Y2" s="853"/>
      <c r="Z2" s="853"/>
      <c r="AA2" s="854">
        <f>SUM(O2+1)</f>
        <v>2028</v>
      </c>
      <c r="AB2" s="853"/>
      <c r="AC2" s="853"/>
      <c r="AD2" s="853"/>
      <c r="AE2" s="853"/>
      <c r="AF2" s="853"/>
      <c r="AG2" s="853"/>
      <c r="AH2" s="853"/>
      <c r="AI2" s="853"/>
      <c r="AJ2" s="853"/>
      <c r="AK2" s="853"/>
      <c r="AL2" s="853"/>
      <c r="AM2" s="853">
        <f>AA2+1</f>
        <v>2029</v>
      </c>
      <c r="AN2" s="853"/>
      <c r="AO2" s="853"/>
      <c r="AP2" s="853"/>
      <c r="AQ2" s="853"/>
      <c r="AR2" s="853"/>
      <c r="AS2" s="853"/>
      <c r="AT2" s="853"/>
      <c r="AU2" s="853"/>
      <c r="AV2" s="853"/>
      <c r="AW2" s="853"/>
      <c r="AX2" s="853"/>
      <c r="AY2" s="853">
        <f>AM2+1</f>
        <v>2030</v>
      </c>
      <c r="AZ2" s="853"/>
      <c r="BA2" s="853"/>
      <c r="BB2" s="853"/>
      <c r="BC2" s="853"/>
      <c r="BD2" s="853"/>
      <c r="BE2" s="853"/>
      <c r="BF2" s="853"/>
      <c r="BG2" s="853"/>
      <c r="BH2" s="853"/>
      <c r="BI2" s="853"/>
      <c r="BJ2" s="853"/>
      <c r="BK2" s="853">
        <f>AY2+1</f>
        <v>2031</v>
      </c>
      <c r="BL2" s="853"/>
      <c r="BM2" s="853"/>
      <c r="BN2" s="853"/>
      <c r="BO2" s="853"/>
      <c r="BP2" s="853"/>
      <c r="BQ2" s="853"/>
      <c r="BR2" s="853"/>
      <c r="BS2" s="853"/>
      <c r="BT2" s="853"/>
      <c r="BU2" s="853"/>
      <c r="BV2" s="853"/>
      <c r="BW2" s="853">
        <f>BK2+1</f>
        <v>2032</v>
      </c>
      <c r="BX2" s="853"/>
      <c r="BY2" s="853"/>
      <c r="BZ2" s="853"/>
      <c r="CA2" s="853"/>
      <c r="CB2" s="853"/>
      <c r="CC2" s="853"/>
      <c r="CD2" s="853"/>
      <c r="CE2" s="853"/>
      <c r="CF2" s="853"/>
      <c r="CG2" s="853"/>
      <c r="CH2" s="853"/>
      <c r="CI2" s="853">
        <f>BW2+1</f>
        <v>2033</v>
      </c>
      <c r="CJ2" s="853"/>
      <c r="CK2" s="853"/>
      <c r="CL2" s="853"/>
      <c r="CM2" s="853"/>
      <c r="CN2" s="853"/>
      <c r="CO2" s="853"/>
      <c r="CP2" s="853"/>
      <c r="CQ2" s="853"/>
      <c r="CR2" s="853"/>
      <c r="CS2" s="853"/>
      <c r="CT2" s="853"/>
      <c r="CU2" s="853">
        <f>CI2+1</f>
        <v>2034</v>
      </c>
      <c r="CV2" s="853"/>
      <c r="CW2" s="853"/>
      <c r="CX2" s="853"/>
      <c r="CY2" s="853"/>
      <c r="CZ2" s="853"/>
      <c r="DA2" s="853"/>
      <c r="DB2" s="853"/>
      <c r="DC2" s="853"/>
      <c r="DD2" s="853"/>
      <c r="DE2" s="853"/>
      <c r="DF2" s="853"/>
      <c r="DG2" s="853">
        <f>CU2+1</f>
        <v>2035</v>
      </c>
      <c r="DH2" s="853"/>
      <c r="DI2" s="853"/>
      <c r="DJ2" s="853"/>
      <c r="DK2" s="853"/>
      <c r="DL2" s="853"/>
      <c r="DM2" s="853"/>
      <c r="DN2" s="853"/>
      <c r="DO2" s="853"/>
      <c r="DP2" s="853"/>
      <c r="DQ2" s="853"/>
      <c r="DR2" s="853"/>
      <c r="DS2" s="853">
        <f>DG2+1</f>
        <v>2036</v>
      </c>
      <c r="DT2" s="853"/>
      <c r="DU2" s="853"/>
      <c r="DV2" s="853"/>
      <c r="DW2" s="853"/>
      <c r="DX2" s="853"/>
      <c r="DY2" s="853"/>
      <c r="DZ2" s="853"/>
      <c r="EA2" s="853"/>
      <c r="EB2" s="853"/>
      <c r="EC2" s="853"/>
      <c r="ED2" s="853"/>
      <c r="EE2" s="853">
        <f>DS2+1</f>
        <v>2037</v>
      </c>
      <c r="EF2" s="853"/>
      <c r="EG2" s="853"/>
      <c r="EH2" s="853"/>
      <c r="EI2" s="853"/>
      <c r="EJ2" s="853"/>
      <c r="EK2" s="853"/>
      <c r="EL2" s="853"/>
      <c r="EM2" s="853"/>
      <c r="EN2" s="853"/>
      <c r="EO2" s="853"/>
      <c r="EP2" s="853"/>
      <c r="EQ2" s="853">
        <f>EE2+1</f>
        <v>2038</v>
      </c>
      <c r="ER2" s="853"/>
      <c r="ES2" s="853"/>
      <c r="ET2" s="853"/>
      <c r="EU2" s="853"/>
      <c r="EV2" s="853"/>
      <c r="EW2" s="853"/>
      <c r="EX2" s="853"/>
      <c r="EY2" s="853"/>
      <c r="EZ2" s="853"/>
      <c r="FA2" s="853"/>
      <c r="FB2" s="853"/>
      <c r="FC2" s="853">
        <f>EQ2+1</f>
        <v>2039</v>
      </c>
      <c r="FD2" s="853"/>
      <c r="FE2" s="853"/>
      <c r="FF2" s="853"/>
      <c r="FG2" s="853"/>
      <c r="FH2" s="853"/>
      <c r="FI2" s="853"/>
      <c r="FJ2" s="853"/>
      <c r="FK2" s="853"/>
      <c r="FL2" s="853"/>
      <c r="FM2" s="853"/>
      <c r="FN2" s="853"/>
      <c r="FO2" s="853">
        <f>FC2+1</f>
        <v>2040</v>
      </c>
      <c r="FP2" s="853"/>
      <c r="FQ2" s="853"/>
      <c r="FR2" s="853"/>
      <c r="FS2" s="853"/>
      <c r="FT2" s="853"/>
      <c r="FU2" s="853"/>
      <c r="FV2" s="853"/>
      <c r="FW2" s="853"/>
      <c r="FX2" s="853"/>
      <c r="FY2" s="853"/>
      <c r="FZ2" s="853"/>
      <c r="GA2" s="853">
        <f>FO2+1</f>
        <v>2041</v>
      </c>
      <c r="GB2" s="853"/>
      <c r="GC2" s="853"/>
      <c r="GD2" s="853"/>
      <c r="GE2" s="853"/>
      <c r="GF2" s="853"/>
      <c r="GG2" s="853"/>
      <c r="GH2" s="853"/>
      <c r="GI2" s="853"/>
      <c r="GJ2" s="853"/>
      <c r="GK2" s="853"/>
      <c r="GL2" s="853"/>
      <c r="GM2" s="853">
        <f>GA2+1</f>
        <v>2042</v>
      </c>
      <c r="GN2" s="853"/>
      <c r="GO2" s="853"/>
      <c r="GP2" s="853"/>
      <c r="GQ2" s="853"/>
      <c r="GR2" s="853"/>
      <c r="GS2" s="853"/>
      <c r="GT2" s="853"/>
      <c r="GU2" s="853"/>
      <c r="GV2" s="853"/>
      <c r="GW2" s="853"/>
      <c r="GX2" s="853"/>
      <c r="GY2" s="853">
        <f>GM2+1</f>
        <v>2043</v>
      </c>
      <c r="GZ2" s="853"/>
      <c r="HA2" s="853"/>
      <c r="HB2" s="853"/>
      <c r="HC2" s="853"/>
      <c r="HD2" s="853"/>
      <c r="HE2" s="853"/>
      <c r="HF2" s="853"/>
      <c r="HG2" s="853"/>
      <c r="HH2" s="853"/>
      <c r="HI2" s="853"/>
      <c r="HJ2" s="853"/>
      <c r="HK2" s="853">
        <f>GY2+1</f>
        <v>2044</v>
      </c>
      <c r="HL2" s="853"/>
      <c r="HM2" s="853"/>
      <c r="HN2" s="853"/>
      <c r="HO2" s="853"/>
      <c r="HP2" s="853"/>
      <c r="HQ2" s="853"/>
      <c r="HR2" s="853"/>
      <c r="HS2" s="853"/>
      <c r="HT2" s="853"/>
      <c r="HU2" s="853"/>
      <c r="HV2" s="853"/>
      <c r="HW2" s="853">
        <f>HK2+1</f>
        <v>2045</v>
      </c>
      <c r="HX2" s="853"/>
      <c r="HY2" s="853"/>
      <c r="HZ2" s="853"/>
      <c r="IA2" s="853"/>
      <c r="IB2" s="853"/>
      <c r="IC2" s="853"/>
      <c r="ID2" s="853"/>
      <c r="IE2" s="853"/>
      <c r="IF2" s="853"/>
      <c r="IG2" s="853"/>
      <c r="IH2" s="853"/>
      <c r="II2" s="853">
        <f>HW2+1</f>
        <v>2046</v>
      </c>
      <c r="IJ2" s="853"/>
      <c r="IK2" s="853"/>
      <c r="IL2" s="853"/>
      <c r="IM2" s="853"/>
      <c r="IN2" s="853"/>
      <c r="IO2" s="853"/>
      <c r="IP2" s="853"/>
      <c r="IQ2" s="853"/>
      <c r="IR2" s="853"/>
      <c r="IS2" s="853"/>
      <c r="IT2" s="853"/>
      <c r="IU2" s="853">
        <f>II2+1</f>
        <v>2047</v>
      </c>
      <c r="IV2" s="853"/>
      <c r="IW2" s="853"/>
      <c r="IX2" s="853"/>
      <c r="IY2" s="853"/>
      <c r="IZ2" s="853"/>
      <c r="JA2" s="853"/>
      <c r="JB2" s="853"/>
      <c r="JC2" s="853"/>
      <c r="JD2" s="853"/>
      <c r="JE2" s="853"/>
      <c r="JF2" s="853"/>
      <c r="JG2" s="853">
        <f>IU2+1</f>
        <v>2048</v>
      </c>
      <c r="JH2" s="853"/>
      <c r="JI2" s="853"/>
      <c r="JJ2" s="853"/>
      <c r="JK2" s="853"/>
      <c r="JL2" s="853"/>
      <c r="JM2" s="853"/>
      <c r="JN2" s="853"/>
      <c r="JO2" s="853"/>
      <c r="JP2" s="853"/>
      <c r="JQ2" s="853"/>
      <c r="JR2" s="853"/>
      <c r="JS2" s="48" t="s">
        <v>238</v>
      </c>
    </row>
    <row r="3" spans="2:279" hidden="1" x14ac:dyDescent="0.2">
      <c r="C3" s="6">
        <f>C2</f>
        <v>2026</v>
      </c>
      <c r="D3" s="6">
        <f>C3</f>
        <v>2026</v>
      </c>
      <c r="E3" s="6">
        <f t="shared" ref="E3:N3" si="0">D3</f>
        <v>2026</v>
      </c>
      <c r="F3" s="6">
        <f t="shared" si="0"/>
        <v>2026</v>
      </c>
      <c r="G3" s="6">
        <f t="shared" si="0"/>
        <v>2026</v>
      </c>
      <c r="H3" s="6">
        <f t="shared" si="0"/>
        <v>2026</v>
      </c>
      <c r="I3" s="6">
        <f t="shared" si="0"/>
        <v>2026</v>
      </c>
      <c r="J3" s="6">
        <f t="shared" si="0"/>
        <v>2026</v>
      </c>
      <c r="K3" s="6">
        <f t="shared" si="0"/>
        <v>2026</v>
      </c>
      <c r="L3" s="6">
        <f t="shared" si="0"/>
        <v>2026</v>
      </c>
      <c r="M3" s="6">
        <f t="shared" si="0"/>
        <v>2026</v>
      </c>
      <c r="N3" s="6">
        <f t="shared" si="0"/>
        <v>2026</v>
      </c>
      <c r="O3" s="6">
        <f>O2</f>
        <v>2027</v>
      </c>
      <c r="P3" s="6">
        <f>O3</f>
        <v>2027</v>
      </c>
      <c r="Q3" s="6">
        <f t="shared" ref="Q3:Z3" si="1">P3</f>
        <v>2027</v>
      </c>
      <c r="R3" s="6">
        <f t="shared" si="1"/>
        <v>2027</v>
      </c>
      <c r="S3" s="6">
        <f t="shared" si="1"/>
        <v>2027</v>
      </c>
      <c r="T3" s="6">
        <f t="shared" si="1"/>
        <v>2027</v>
      </c>
      <c r="U3" s="6">
        <f t="shared" si="1"/>
        <v>2027</v>
      </c>
      <c r="V3" s="6">
        <f t="shared" si="1"/>
        <v>2027</v>
      </c>
      <c r="W3" s="6">
        <f t="shared" si="1"/>
        <v>2027</v>
      </c>
      <c r="X3" s="6">
        <f t="shared" si="1"/>
        <v>2027</v>
      </c>
      <c r="Y3" s="6">
        <f t="shared" si="1"/>
        <v>2027</v>
      </c>
      <c r="Z3" s="6">
        <f t="shared" si="1"/>
        <v>2027</v>
      </c>
      <c r="AA3" s="6">
        <f>AA2</f>
        <v>2028</v>
      </c>
      <c r="AB3" s="6">
        <f>AA3</f>
        <v>2028</v>
      </c>
      <c r="AC3" s="6">
        <f t="shared" ref="AC3:AL3" si="2">AB3</f>
        <v>2028</v>
      </c>
      <c r="AD3" s="6">
        <f t="shared" si="2"/>
        <v>2028</v>
      </c>
      <c r="AE3" s="6">
        <f t="shared" si="2"/>
        <v>2028</v>
      </c>
      <c r="AF3" s="6">
        <f t="shared" si="2"/>
        <v>2028</v>
      </c>
      <c r="AG3" s="6">
        <f t="shared" si="2"/>
        <v>2028</v>
      </c>
      <c r="AH3" s="6">
        <f t="shared" si="2"/>
        <v>2028</v>
      </c>
      <c r="AI3" s="6">
        <f t="shared" si="2"/>
        <v>2028</v>
      </c>
      <c r="AJ3" s="6">
        <f t="shared" si="2"/>
        <v>2028</v>
      </c>
      <c r="AK3" s="6">
        <f t="shared" si="2"/>
        <v>2028</v>
      </c>
      <c r="AL3" s="6">
        <f t="shared" si="2"/>
        <v>2028</v>
      </c>
      <c r="AM3" s="6">
        <f>AM2</f>
        <v>2029</v>
      </c>
      <c r="AN3" s="6">
        <f>AM3</f>
        <v>2029</v>
      </c>
      <c r="AO3" s="6">
        <f t="shared" ref="AO3:AX3" si="3">AN3</f>
        <v>2029</v>
      </c>
      <c r="AP3" s="6">
        <f t="shared" si="3"/>
        <v>2029</v>
      </c>
      <c r="AQ3" s="6">
        <f t="shared" si="3"/>
        <v>2029</v>
      </c>
      <c r="AR3" s="6">
        <f t="shared" si="3"/>
        <v>2029</v>
      </c>
      <c r="AS3" s="6">
        <f t="shared" si="3"/>
        <v>2029</v>
      </c>
      <c r="AT3" s="6">
        <f t="shared" si="3"/>
        <v>2029</v>
      </c>
      <c r="AU3" s="6">
        <f t="shared" si="3"/>
        <v>2029</v>
      </c>
      <c r="AV3" s="6">
        <f t="shared" si="3"/>
        <v>2029</v>
      </c>
      <c r="AW3" s="6">
        <f t="shared" si="3"/>
        <v>2029</v>
      </c>
      <c r="AX3" s="6">
        <f t="shared" si="3"/>
        <v>2029</v>
      </c>
      <c r="AY3" s="6">
        <f>AY2</f>
        <v>2030</v>
      </c>
      <c r="AZ3" s="6">
        <f>AY3</f>
        <v>2030</v>
      </c>
      <c r="BA3" s="6">
        <f t="shared" ref="BA3:BJ3" si="4">AZ3</f>
        <v>2030</v>
      </c>
      <c r="BB3" s="6">
        <f t="shared" si="4"/>
        <v>2030</v>
      </c>
      <c r="BC3" s="6">
        <f t="shared" si="4"/>
        <v>2030</v>
      </c>
      <c r="BD3" s="6">
        <f t="shared" si="4"/>
        <v>2030</v>
      </c>
      <c r="BE3" s="6">
        <f t="shared" si="4"/>
        <v>2030</v>
      </c>
      <c r="BF3" s="6">
        <f t="shared" si="4"/>
        <v>2030</v>
      </c>
      <c r="BG3" s="6">
        <f t="shared" si="4"/>
        <v>2030</v>
      </c>
      <c r="BH3" s="6">
        <f t="shared" si="4"/>
        <v>2030</v>
      </c>
      <c r="BI3" s="6">
        <f t="shared" si="4"/>
        <v>2030</v>
      </c>
      <c r="BJ3" s="6">
        <f t="shared" si="4"/>
        <v>2030</v>
      </c>
      <c r="BK3" s="6">
        <f>BK2</f>
        <v>2031</v>
      </c>
      <c r="BL3" s="6">
        <f>BK3</f>
        <v>2031</v>
      </c>
      <c r="BM3" s="6">
        <f t="shared" ref="BM3:BV3" si="5">BL3</f>
        <v>2031</v>
      </c>
      <c r="BN3" s="6">
        <f t="shared" si="5"/>
        <v>2031</v>
      </c>
      <c r="BO3" s="6">
        <f t="shared" si="5"/>
        <v>2031</v>
      </c>
      <c r="BP3" s="6">
        <f t="shared" si="5"/>
        <v>2031</v>
      </c>
      <c r="BQ3" s="6">
        <f t="shared" si="5"/>
        <v>2031</v>
      </c>
      <c r="BR3" s="6">
        <f t="shared" si="5"/>
        <v>2031</v>
      </c>
      <c r="BS3" s="6">
        <f t="shared" si="5"/>
        <v>2031</v>
      </c>
      <c r="BT3" s="6">
        <f t="shared" si="5"/>
        <v>2031</v>
      </c>
      <c r="BU3" s="6">
        <f t="shared" si="5"/>
        <v>2031</v>
      </c>
      <c r="BV3" s="6">
        <f t="shared" si="5"/>
        <v>2031</v>
      </c>
      <c r="BW3" s="6">
        <f>BW2</f>
        <v>2032</v>
      </c>
      <c r="BX3" s="6">
        <f>BW3</f>
        <v>2032</v>
      </c>
      <c r="BY3" s="6">
        <f t="shared" ref="BY3:CH3" si="6">BX3</f>
        <v>2032</v>
      </c>
      <c r="BZ3" s="6">
        <f t="shared" si="6"/>
        <v>2032</v>
      </c>
      <c r="CA3" s="6">
        <f t="shared" si="6"/>
        <v>2032</v>
      </c>
      <c r="CB3" s="6">
        <f t="shared" si="6"/>
        <v>2032</v>
      </c>
      <c r="CC3" s="6">
        <f t="shared" si="6"/>
        <v>2032</v>
      </c>
      <c r="CD3" s="6">
        <f t="shared" si="6"/>
        <v>2032</v>
      </c>
      <c r="CE3" s="6">
        <f t="shared" si="6"/>
        <v>2032</v>
      </c>
      <c r="CF3" s="6">
        <f t="shared" si="6"/>
        <v>2032</v>
      </c>
      <c r="CG3" s="6">
        <f t="shared" si="6"/>
        <v>2032</v>
      </c>
      <c r="CH3" s="6">
        <f t="shared" si="6"/>
        <v>2032</v>
      </c>
      <c r="CI3" s="6">
        <f>CI2</f>
        <v>2033</v>
      </c>
      <c r="CJ3" s="6">
        <f>CI3</f>
        <v>2033</v>
      </c>
      <c r="CK3" s="6">
        <f t="shared" ref="CK3:CT3" si="7">CJ3</f>
        <v>2033</v>
      </c>
      <c r="CL3" s="6">
        <f t="shared" si="7"/>
        <v>2033</v>
      </c>
      <c r="CM3" s="6">
        <f t="shared" si="7"/>
        <v>2033</v>
      </c>
      <c r="CN3" s="6">
        <f t="shared" si="7"/>
        <v>2033</v>
      </c>
      <c r="CO3" s="6">
        <f t="shared" si="7"/>
        <v>2033</v>
      </c>
      <c r="CP3" s="6">
        <f t="shared" si="7"/>
        <v>2033</v>
      </c>
      <c r="CQ3" s="6">
        <f t="shared" si="7"/>
        <v>2033</v>
      </c>
      <c r="CR3" s="6">
        <f t="shared" si="7"/>
        <v>2033</v>
      </c>
      <c r="CS3" s="6">
        <f t="shared" si="7"/>
        <v>2033</v>
      </c>
      <c r="CT3" s="6">
        <f t="shared" si="7"/>
        <v>2033</v>
      </c>
      <c r="CU3" s="6">
        <f>CU2</f>
        <v>2034</v>
      </c>
      <c r="CV3" s="6">
        <f>CU3</f>
        <v>2034</v>
      </c>
      <c r="CW3" s="6">
        <f t="shared" ref="CW3:DF3" si="8">CV3</f>
        <v>2034</v>
      </c>
      <c r="CX3" s="6">
        <f t="shared" si="8"/>
        <v>2034</v>
      </c>
      <c r="CY3" s="6">
        <f t="shared" si="8"/>
        <v>2034</v>
      </c>
      <c r="CZ3" s="6">
        <f t="shared" si="8"/>
        <v>2034</v>
      </c>
      <c r="DA3" s="6">
        <f t="shared" si="8"/>
        <v>2034</v>
      </c>
      <c r="DB3" s="6">
        <f t="shared" si="8"/>
        <v>2034</v>
      </c>
      <c r="DC3" s="6">
        <f t="shared" si="8"/>
        <v>2034</v>
      </c>
      <c r="DD3" s="6">
        <f t="shared" si="8"/>
        <v>2034</v>
      </c>
      <c r="DE3" s="6">
        <f t="shared" si="8"/>
        <v>2034</v>
      </c>
      <c r="DF3" s="6">
        <f t="shared" si="8"/>
        <v>2034</v>
      </c>
      <c r="DG3" s="6">
        <f>DG2</f>
        <v>2035</v>
      </c>
      <c r="DH3" s="6">
        <f>DG3</f>
        <v>2035</v>
      </c>
      <c r="DI3" s="6">
        <f t="shared" ref="DI3:DR3" si="9">DH3</f>
        <v>2035</v>
      </c>
      <c r="DJ3" s="6">
        <f t="shared" si="9"/>
        <v>2035</v>
      </c>
      <c r="DK3" s="6">
        <f t="shared" si="9"/>
        <v>2035</v>
      </c>
      <c r="DL3" s="6">
        <f t="shared" si="9"/>
        <v>2035</v>
      </c>
      <c r="DM3" s="6">
        <f t="shared" si="9"/>
        <v>2035</v>
      </c>
      <c r="DN3" s="6">
        <f t="shared" si="9"/>
        <v>2035</v>
      </c>
      <c r="DO3" s="6">
        <f t="shared" si="9"/>
        <v>2035</v>
      </c>
      <c r="DP3" s="6">
        <f t="shared" si="9"/>
        <v>2035</v>
      </c>
      <c r="DQ3" s="6">
        <f t="shared" si="9"/>
        <v>2035</v>
      </c>
      <c r="DR3" s="6">
        <f t="shared" si="9"/>
        <v>2035</v>
      </c>
      <c r="DS3" s="6">
        <f>DS2</f>
        <v>2036</v>
      </c>
      <c r="DT3" s="6">
        <f>DS3</f>
        <v>2036</v>
      </c>
      <c r="DU3" s="6">
        <f t="shared" ref="DU3:ED3" si="10">DT3</f>
        <v>2036</v>
      </c>
      <c r="DV3" s="6">
        <f t="shared" si="10"/>
        <v>2036</v>
      </c>
      <c r="DW3" s="6">
        <f t="shared" si="10"/>
        <v>2036</v>
      </c>
      <c r="DX3" s="6">
        <f t="shared" si="10"/>
        <v>2036</v>
      </c>
      <c r="DY3" s="6">
        <f t="shared" si="10"/>
        <v>2036</v>
      </c>
      <c r="DZ3" s="6">
        <f t="shared" si="10"/>
        <v>2036</v>
      </c>
      <c r="EA3" s="6">
        <f t="shared" si="10"/>
        <v>2036</v>
      </c>
      <c r="EB3" s="6">
        <f t="shared" si="10"/>
        <v>2036</v>
      </c>
      <c r="EC3" s="6">
        <f t="shared" si="10"/>
        <v>2036</v>
      </c>
      <c r="ED3" s="6">
        <f t="shared" si="10"/>
        <v>2036</v>
      </c>
      <c r="EE3" s="6">
        <f>EE2</f>
        <v>2037</v>
      </c>
      <c r="EF3" s="6">
        <f>EE3</f>
        <v>2037</v>
      </c>
      <c r="EG3" s="6">
        <f t="shared" ref="EG3:EP3" si="11">EF3</f>
        <v>2037</v>
      </c>
      <c r="EH3" s="6">
        <f t="shared" si="11"/>
        <v>2037</v>
      </c>
      <c r="EI3" s="6">
        <f t="shared" si="11"/>
        <v>2037</v>
      </c>
      <c r="EJ3" s="6">
        <f t="shared" si="11"/>
        <v>2037</v>
      </c>
      <c r="EK3" s="6">
        <f t="shared" si="11"/>
        <v>2037</v>
      </c>
      <c r="EL3" s="6">
        <f t="shared" si="11"/>
        <v>2037</v>
      </c>
      <c r="EM3" s="6">
        <f t="shared" si="11"/>
        <v>2037</v>
      </c>
      <c r="EN3" s="6">
        <f t="shared" si="11"/>
        <v>2037</v>
      </c>
      <c r="EO3" s="6">
        <f t="shared" si="11"/>
        <v>2037</v>
      </c>
      <c r="EP3" s="6">
        <f t="shared" si="11"/>
        <v>2037</v>
      </c>
      <c r="EQ3" s="6">
        <f>EQ2</f>
        <v>2038</v>
      </c>
      <c r="ER3" s="6">
        <f>EQ3</f>
        <v>2038</v>
      </c>
      <c r="ES3" s="6">
        <f t="shared" ref="ES3:FB3" si="12">ER3</f>
        <v>2038</v>
      </c>
      <c r="ET3" s="6">
        <f t="shared" si="12"/>
        <v>2038</v>
      </c>
      <c r="EU3" s="6">
        <f t="shared" si="12"/>
        <v>2038</v>
      </c>
      <c r="EV3" s="6">
        <f t="shared" si="12"/>
        <v>2038</v>
      </c>
      <c r="EW3" s="6">
        <f t="shared" si="12"/>
        <v>2038</v>
      </c>
      <c r="EX3" s="6">
        <f t="shared" si="12"/>
        <v>2038</v>
      </c>
      <c r="EY3" s="6">
        <f t="shared" si="12"/>
        <v>2038</v>
      </c>
      <c r="EZ3" s="6">
        <f t="shared" si="12"/>
        <v>2038</v>
      </c>
      <c r="FA3" s="6">
        <f t="shared" si="12"/>
        <v>2038</v>
      </c>
      <c r="FB3" s="6">
        <f t="shared" si="12"/>
        <v>2038</v>
      </c>
      <c r="FC3" s="6">
        <f>FC2</f>
        <v>2039</v>
      </c>
      <c r="FD3" s="6">
        <f>FC3</f>
        <v>2039</v>
      </c>
      <c r="FE3" s="6">
        <f t="shared" ref="FE3:FN3" si="13">FD3</f>
        <v>2039</v>
      </c>
      <c r="FF3" s="6">
        <f t="shared" si="13"/>
        <v>2039</v>
      </c>
      <c r="FG3" s="6">
        <f t="shared" si="13"/>
        <v>2039</v>
      </c>
      <c r="FH3" s="6">
        <f t="shared" si="13"/>
        <v>2039</v>
      </c>
      <c r="FI3" s="6">
        <f t="shared" si="13"/>
        <v>2039</v>
      </c>
      <c r="FJ3" s="6">
        <f t="shared" si="13"/>
        <v>2039</v>
      </c>
      <c r="FK3" s="6">
        <f t="shared" si="13"/>
        <v>2039</v>
      </c>
      <c r="FL3" s="6">
        <f t="shared" si="13"/>
        <v>2039</v>
      </c>
      <c r="FM3" s="6">
        <f t="shared" si="13"/>
        <v>2039</v>
      </c>
      <c r="FN3" s="6">
        <f t="shared" si="13"/>
        <v>2039</v>
      </c>
      <c r="FO3" s="6">
        <f>FO2</f>
        <v>2040</v>
      </c>
      <c r="FP3" s="6">
        <f>FO3</f>
        <v>2040</v>
      </c>
      <c r="FQ3" s="6">
        <f t="shared" ref="FQ3:FZ3" si="14">FP3</f>
        <v>2040</v>
      </c>
      <c r="FR3" s="6">
        <f t="shared" si="14"/>
        <v>2040</v>
      </c>
      <c r="FS3" s="6">
        <f t="shared" si="14"/>
        <v>2040</v>
      </c>
      <c r="FT3" s="6">
        <f t="shared" si="14"/>
        <v>2040</v>
      </c>
      <c r="FU3" s="6">
        <f t="shared" si="14"/>
        <v>2040</v>
      </c>
      <c r="FV3" s="6">
        <f t="shared" si="14"/>
        <v>2040</v>
      </c>
      <c r="FW3" s="6">
        <f t="shared" si="14"/>
        <v>2040</v>
      </c>
      <c r="FX3" s="6">
        <f t="shared" si="14"/>
        <v>2040</v>
      </c>
      <c r="FY3" s="6">
        <f t="shared" si="14"/>
        <v>2040</v>
      </c>
      <c r="FZ3" s="6">
        <f t="shared" si="14"/>
        <v>2040</v>
      </c>
      <c r="GA3" s="6">
        <f>GA2</f>
        <v>2041</v>
      </c>
      <c r="GB3" s="6">
        <f>GA3</f>
        <v>2041</v>
      </c>
      <c r="GC3" s="6">
        <f t="shared" ref="GC3:GL3" si="15">GB3</f>
        <v>2041</v>
      </c>
      <c r="GD3" s="6">
        <f t="shared" si="15"/>
        <v>2041</v>
      </c>
      <c r="GE3" s="6">
        <f t="shared" si="15"/>
        <v>2041</v>
      </c>
      <c r="GF3" s="6">
        <f t="shared" si="15"/>
        <v>2041</v>
      </c>
      <c r="GG3" s="6">
        <f t="shared" si="15"/>
        <v>2041</v>
      </c>
      <c r="GH3" s="6">
        <f t="shared" si="15"/>
        <v>2041</v>
      </c>
      <c r="GI3" s="6">
        <f t="shared" si="15"/>
        <v>2041</v>
      </c>
      <c r="GJ3" s="6">
        <f t="shared" si="15"/>
        <v>2041</v>
      </c>
      <c r="GK3" s="6">
        <f t="shared" si="15"/>
        <v>2041</v>
      </c>
      <c r="GL3" s="6">
        <f t="shared" si="15"/>
        <v>2041</v>
      </c>
      <c r="GM3" s="6">
        <f>GM2</f>
        <v>2042</v>
      </c>
      <c r="GN3" s="6">
        <f>GM3</f>
        <v>2042</v>
      </c>
      <c r="GO3" s="6">
        <f t="shared" ref="GO3:GX3" si="16">GN3</f>
        <v>2042</v>
      </c>
      <c r="GP3" s="6">
        <f t="shared" si="16"/>
        <v>2042</v>
      </c>
      <c r="GQ3" s="6">
        <f t="shared" si="16"/>
        <v>2042</v>
      </c>
      <c r="GR3" s="6">
        <f t="shared" si="16"/>
        <v>2042</v>
      </c>
      <c r="GS3" s="6">
        <f t="shared" si="16"/>
        <v>2042</v>
      </c>
      <c r="GT3" s="6">
        <f t="shared" si="16"/>
        <v>2042</v>
      </c>
      <c r="GU3" s="6">
        <f t="shared" si="16"/>
        <v>2042</v>
      </c>
      <c r="GV3" s="6">
        <f t="shared" si="16"/>
        <v>2042</v>
      </c>
      <c r="GW3" s="6">
        <f t="shared" si="16"/>
        <v>2042</v>
      </c>
      <c r="GX3" s="6">
        <f t="shared" si="16"/>
        <v>2042</v>
      </c>
      <c r="GY3" s="6">
        <f>GY2</f>
        <v>2043</v>
      </c>
      <c r="GZ3" s="6">
        <f>GY3</f>
        <v>2043</v>
      </c>
      <c r="HA3" s="6">
        <f t="shared" ref="HA3:HJ3" si="17">GZ3</f>
        <v>2043</v>
      </c>
      <c r="HB3" s="6">
        <f t="shared" si="17"/>
        <v>2043</v>
      </c>
      <c r="HC3" s="6">
        <f t="shared" si="17"/>
        <v>2043</v>
      </c>
      <c r="HD3" s="6">
        <f t="shared" si="17"/>
        <v>2043</v>
      </c>
      <c r="HE3" s="6">
        <f t="shared" si="17"/>
        <v>2043</v>
      </c>
      <c r="HF3" s="6">
        <f t="shared" si="17"/>
        <v>2043</v>
      </c>
      <c r="HG3" s="6">
        <f t="shared" si="17"/>
        <v>2043</v>
      </c>
      <c r="HH3" s="6">
        <f t="shared" si="17"/>
        <v>2043</v>
      </c>
      <c r="HI3" s="6">
        <f t="shared" si="17"/>
        <v>2043</v>
      </c>
      <c r="HJ3" s="6">
        <f t="shared" si="17"/>
        <v>2043</v>
      </c>
      <c r="HK3" s="6">
        <f>HK2</f>
        <v>2044</v>
      </c>
      <c r="HL3" s="6">
        <f>HK3</f>
        <v>2044</v>
      </c>
      <c r="HM3" s="6">
        <f t="shared" ref="HM3:HV3" si="18">HL3</f>
        <v>2044</v>
      </c>
      <c r="HN3" s="6">
        <f t="shared" si="18"/>
        <v>2044</v>
      </c>
      <c r="HO3" s="6">
        <f t="shared" si="18"/>
        <v>2044</v>
      </c>
      <c r="HP3" s="6">
        <f t="shared" si="18"/>
        <v>2044</v>
      </c>
      <c r="HQ3" s="6">
        <f t="shared" si="18"/>
        <v>2044</v>
      </c>
      <c r="HR3" s="6">
        <f t="shared" si="18"/>
        <v>2044</v>
      </c>
      <c r="HS3" s="6">
        <f t="shared" si="18"/>
        <v>2044</v>
      </c>
      <c r="HT3" s="6">
        <f t="shared" si="18"/>
        <v>2044</v>
      </c>
      <c r="HU3" s="6">
        <f t="shared" si="18"/>
        <v>2044</v>
      </c>
      <c r="HV3" s="6">
        <f t="shared" si="18"/>
        <v>2044</v>
      </c>
      <c r="HW3" s="6">
        <f>HW2</f>
        <v>2045</v>
      </c>
      <c r="HX3" s="6">
        <f>HW3</f>
        <v>2045</v>
      </c>
      <c r="HY3" s="6">
        <f t="shared" ref="HY3:IH3" si="19">HX3</f>
        <v>2045</v>
      </c>
      <c r="HZ3" s="6">
        <f t="shared" si="19"/>
        <v>2045</v>
      </c>
      <c r="IA3" s="6">
        <f t="shared" si="19"/>
        <v>2045</v>
      </c>
      <c r="IB3" s="6">
        <f t="shared" si="19"/>
        <v>2045</v>
      </c>
      <c r="IC3" s="6">
        <f t="shared" si="19"/>
        <v>2045</v>
      </c>
      <c r="ID3" s="6">
        <f t="shared" si="19"/>
        <v>2045</v>
      </c>
      <c r="IE3" s="6">
        <f t="shared" si="19"/>
        <v>2045</v>
      </c>
      <c r="IF3" s="6">
        <f t="shared" si="19"/>
        <v>2045</v>
      </c>
      <c r="IG3" s="6">
        <f t="shared" si="19"/>
        <v>2045</v>
      </c>
      <c r="IH3" s="6">
        <f t="shared" si="19"/>
        <v>2045</v>
      </c>
      <c r="II3" s="6">
        <f>II2</f>
        <v>2046</v>
      </c>
      <c r="IJ3" s="6">
        <f>II3</f>
        <v>2046</v>
      </c>
      <c r="IK3" s="6">
        <f t="shared" ref="IK3:IT3" si="20">IJ3</f>
        <v>2046</v>
      </c>
      <c r="IL3" s="6">
        <f t="shared" si="20"/>
        <v>2046</v>
      </c>
      <c r="IM3" s="6">
        <f t="shared" si="20"/>
        <v>2046</v>
      </c>
      <c r="IN3" s="6">
        <f t="shared" si="20"/>
        <v>2046</v>
      </c>
      <c r="IO3" s="6">
        <f t="shared" si="20"/>
        <v>2046</v>
      </c>
      <c r="IP3" s="6">
        <f t="shared" si="20"/>
        <v>2046</v>
      </c>
      <c r="IQ3" s="6">
        <f t="shared" si="20"/>
        <v>2046</v>
      </c>
      <c r="IR3" s="6">
        <f t="shared" si="20"/>
        <v>2046</v>
      </c>
      <c r="IS3" s="6">
        <f t="shared" si="20"/>
        <v>2046</v>
      </c>
      <c r="IT3" s="6">
        <f t="shared" si="20"/>
        <v>2046</v>
      </c>
      <c r="IU3" s="6">
        <f>IU2</f>
        <v>2047</v>
      </c>
      <c r="IV3" s="6">
        <f>IU3</f>
        <v>2047</v>
      </c>
      <c r="IW3" s="6">
        <f t="shared" ref="IW3:JF3" si="21">IV3</f>
        <v>2047</v>
      </c>
      <c r="IX3" s="6">
        <f t="shared" si="21"/>
        <v>2047</v>
      </c>
      <c r="IY3" s="6">
        <f t="shared" si="21"/>
        <v>2047</v>
      </c>
      <c r="IZ3" s="6">
        <f t="shared" si="21"/>
        <v>2047</v>
      </c>
      <c r="JA3" s="6">
        <f t="shared" si="21"/>
        <v>2047</v>
      </c>
      <c r="JB3" s="6">
        <f t="shared" si="21"/>
        <v>2047</v>
      </c>
      <c r="JC3" s="6">
        <f t="shared" si="21"/>
        <v>2047</v>
      </c>
      <c r="JD3" s="6">
        <f t="shared" si="21"/>
        <v>2047</v>
      </c>
      <c r="JE3" s="6">
        <f t="shared" si="21"/>
        <v>2047</v>
      </c>
      <c r="JF3" s="6">
        <f t="shared" si="21"/>
        <v>2047</v>
      </c>
      <c r="JG3" s="6">
        <f>JG2</f>
        <v>2048</v>
      </c>
      <c r="JH3" s="6">
        <f>JG3</f>
        <v>2048</v>
      </c>
      <c r="JI3" s="6">
        <f t="shared" ref="JI3:JR3" si="22">JH3</f>
        <v>2048</v>
      </c>
      <c r="JJ3" s="6">
        <f t="shared" si="22"/>
        <v>2048</v>
      </c>
      <c r="JK3" s="6">
        <f t="shared" si="22"/>
        <v>2048</v>
      </c>
      <c r="JL3" s="6">
        <f t="shared" si="22"/>
        <v>2048</v>
      </c>
      <c r="JM3" s="6">
        <f t="shared" si="22"/>
        <v>2048</v>
      </c>
      <c r="JN3" s="6">
        <f t="shared" si="22"/>
        <v>2048</v>
      </c>
      <c r="JO3" s="6">
        <f t="shared" si="22"/>
        <v>2048</v>
      </c>
      <c r="JP3" s="6">
        <f t="shared" si="22"/>
        <v>2048</v>
      </c>
      <c r="JQ3" s="6">
        <f t="shared" si="22"/>
        <v>2048</v>
      </c>
      <c r="JR3" s="6">
        <f t="shared" si="22"/>
        <v>2048</v>
      </c>
    </row>
    <row r="4" spans="2:279" x14ac:dyDescent="0.2">
      <c r="C4" s="52">
        <f>DATE('Data Sources'!C1,'Data Sources'!C2,'Data Sources'!C3)</f>
        <v>46052</v>
      </c>
      <c r="D4" s="52">
        <f>EOMONTH(C4,1)</f>
        <v>46081</v>
      </c>
      <c r="E4" s="52">
        <f>EOMONTH(D4,1)</f>
        <v>46112</v>
      </c>
      <c r="F4" s="52">
        <f t="shared" ref="F4:BQ4" si="23">EOMONTH(E4,1)</f>
        <v>46142</v>
      </c>
      <c r="G4" s="52">
        <f t="shared" si="23"/>
        <v>46173</v>
      </c>
      <c r="H4" s="52">
        <f t="shared" si="23"/>
        <v>46203</v>
      </c>
      <c r="I4" s="52">
        <f t="shared" si="23"/>
        <v>46234</v>
      </c>
      <c r="J4" s="52">
        <f t="shared" si="23"/>
        <v>46265</v>
      </c>
      <c r="K4" s="52">
        <f t="shared" si="23"/>
        <v>46295</v>
      </c>
      <c r="L4" s="52">
        <f t="shared" si="23"/>
        <v>46326</v>
      </c>
      <c r="M4" s="52">
        <f t="shared" si="23"/>
        <v>46356</v>
      </c>
      <c r="N4" s="52">
        <f t="shared" si="23"/>
        <v>46387</v>
      </c>
      <c r="O4" s="52">
        <f t="shared" si="23"/>
        <v>46418</v>
      </c>
      <c r="P4" s="52">
        <f t="shared" si="23"/>
        <v>46446</v>
      </c>
      <c r="Q4" s="52">
        <f t="shared" si="23"/>
        <v>46477</v>
      </c>
      <c r="R4" s="52">
        <f t="shared" si="23"/>
        <v>46507</v>
      </c>
      <c r="S4" s="52">
        <f t="shared" si="23"/>
        <v>46538</v>
      </c>
      <c r="T4" s="52">
        <f t="shared" si="23"/>
        <v>46568</v>
      </c>
      <c r="U4" s="52">
        <f t="shared" si="23"/>
        <v>46599</v>
      </c>
      <c r="V4" s="52">
        <f t="shared" si="23"/>
        <v>46630</v>
      </c>
      <c r="W4" s="52">
        <f t="shared" si="23"/>
        <v>46660</v>
      </c>
      <c r="X4" s="52">
        <f t="shared" si="23"/>
        <v>46691</v>
      </c>
      <c r="Y4" s="52">
        <f t="shared" si="23"/>
        <v>46721</v>
      </c>
      <c r="Z4" s="52">
        <f t="shared" si="23"/>
        <v>46752</v>
      </c>
      <c r="AA4" s="52">
        <f t="shared" si="23"/>
        <v>46783</v>
      </c>
      <c r="AB4" s="52">
        <f t="shared" si="23"/>
        <v>46812</v>
      </c>
      <c r="AC4" s="52">
        <f t="shared" si="23"/>
        <v>46843</v>
      </c>
      <c r="AD4" s="52">
        <f t="shared" si="23"/>
        <v>46873</v>
      </c>
      <c r="AE4" s="52">
        <f t="shared" si="23"/>
        <v>46904</v>
      </c>
      <c r="AF4" s="52">
        <f t="shared" si="23"/>
        <v>46934</v>
      </c>
      <c r="AG4" s="52">
        <f t="shared" si="23"/>
        <v>46965</v>
      </c>
      <c r="AH4" s="52">
        <f t="shared" si="23"/>
        <v>46996</v>
      </c>
      <c r="AI4" s="52">
        <f t="shared" si="23"/>
        <v>47026</v>
      </c>
      <c r="AJ4" s="52">
        <f t="shared" si="23"/>
        <v>47057</v>
      </c>
      <c r="AK4" s="52">
        <f t="shared" si="23"/>
        <v>47087</v>
      </c>
      <c r="AL4" s="52">
        <f t="shared" si="23"/>
        <v>47118</v>
      </c>
      <c r="AM4" s="52">
        <f t="shared" si="23"/>
        <v>47149</v>
      </c>
      <c r="AN4" s="52">
        <f t="shared" si="23"/>
        <v>47177</v>
      </c>
      <c r="AO4" s="52">
        <f t="shared" si="23"/>
        <v>47208</v>
      </c>
      <c r="AP4" s="52">
        <f t="shared" si="23"/>
        <v>47238</v>
      </c>
      <c r="AQ4" s="52">
        <f t="shared" si="23"/>
        <v>47269</v>
      </c>
      <c r="AR4" s="52">
        <f t="shared" si="23"/>
        <v>47299</v>
      </c>
      <c r="AS4" s="52">
        <f t="shared" si="23"/>
        <v>47330</v>
      </c>
      <c r="AT4" s="52">
        <f t="shared" si="23"/>
        <v>47361</v>
      </c>
      <c r="AU4" s="52">
        <f t="shared" si="23"/>
        <v>47391</v>
      </c>
      <c r="AV4" s="52">
        <f t="shared" si="23"/>
        <v>47422</v>
      </c>
      <c r="AW4" s="52">
        <f t="shared" si="23"/>
        <v>47452</v>
      </c>
      <c r="AX4" s="52">
        <f t="shared" si="23"/>
        <v>47483</v>
      </c>
      <c r="AY4" s="52">
        <f t="shared" si="23"/>
        <v>47514</v>
      </c>
      <c r="AZ4" s="52">
        <f t="shared" si="23"/>
        <v>47542</v>
      </c>
      <c r="BA4" s="52">
        <f t="shared" si="23"/>
        <v>47573</v>
      </c>
      <c r="BB4" s="52">
        <f t="shared" si="23"/>
        <v>47603</v>
      </c>
      <c r="BC4" s="52">
        <f t="shared" si="23"/>
        <v>47634</v>
      </c>
      <c r="BD4" s="52">
        <f t="shared" si="23"/>
        <v>47664</v>
      </c>
      <c r="BE4" s="52">
        <f t="shared" si="23"/>
        <v>47695</v>
      </c>
      <c r="BF4" s="52">
        <f t="shared" si="23"/>
        <v>47726</v>
      </c>
      <c r="BG4" s="52">
        <f t="shared" si="23"/>
        <v>47756</v>
      </c>
      <c r="BH4" s="52">
        <f t="shared" si="23"/>
        <v>47787</v>
      </c>
      <c r="BI4" s="52">
        <f t="shared" si="23"/>
        <v>47817</v>
      </c>
      <c r="BJ4" s="52">
        <f t="shared" si="23"/>
        <v>47848</v>
      </c>
      <c r="BK4" s="52">
        <f t="shared" si="23"/>
        <v>47879</v>
      </c>
      <c r="BL4" s="52">
        <f t="shared" si="23"/>
        <v>47907</v>
      </c>
      <c r="BM4" s="52">
        <f t="shared" si="23"/>
        <v>47938</v>
      </c>
      <c r="BN4" s="52">
        <f t="shared" si="23"/>
        <v>47968</v>
      </c>
      <c r="BO4" s="52">
        <f t="shared" si="23"/>
        <v>47999</v>
      </c>
      <c r="BP4" s="52">
        <f t="shared" si="23"/>
        <v>48029</v>
      </c>
      <c r="BQ4" s="52">
        <f t="shared" si="23"/>
        <v>48060</v>
      </c>
      <c r="BR4" s="52">
        <f t="shared" ref="BR4:CT4" si="24">EOMONTH(BQ4,1)</f>
        <v>48091</v>
      </c>
      <c r="BS4" s="52">
        <f t="shared" si="24"/>
        <v>48121</v>
      </c>
      <c r="BT4" s="52">
        <f t="shared" si="24"/>
        <v>48152</v>
      </c>
      <c r="BU4" s="52">
        <f t="shared" si="24"/>
        <v>48182</v>
      </c>
      <c r="BV4" s="52">
        <f t="shared" si="24"/>
        <v>48213</v>
      </c>
      <c r="BW4" s="52">
        <f t="shared" si="24"/>
        <v>48244</v>
      </c>
      <c r="BX4" s="52">
        <f t="shared" si="24"/>
        <v>48273</v>
      </c>
      <c r="BY4" s="52">
        <f t="shared" si="24"/>
        <v>48304</v>
      </c>
      <c r="BZ4" s="52">
        <f t="shared" si="24"/>
        <v>48334</v>
      </c>
      <c r="CA4" s="52">
        <f t="shared" si="24"/>
        <v>48365</v>
      </c>
      <c r="CB4" s="52">
        <f t="shared" si="24"/>
        <v>48395</v>
      </c>
      <c r="CC4" s="52">
        <f t="shared" si="24"/>
        <v>48426</v>
      </c>
      <c r="CD4" s="52">
        <f t="shared" si="24"/>
        <v>48457</v>
      </c>
      <c r="CE4" s="52">
        <f t="shared" si="24"/>
        <v>48487</v>
      </c>
      <c r="CF4" s="52">
        <f t="shared" si="24"/>
        <v>48518</v>
      </c>
      <c r="CG4" s="52">
        <f t="shared" si="24"/>
        <v>48548</v>
      </c>
      <c r="CH4" s="52">
        <f t="shared" si="24"/>
        <v>48579</v>
      </c>
      <c r="CI4" s="52">
        <f t="shared" si="24"/>
        <v>48610</v>
      </c>
      <c r="CJ4" s="52">
        <f t="shared" si="24"/>
        <v>48638</v>
      </c>
      <c r="CK4" s="52">
        <f t="shared" si="24"/>
        <v>48669</v>
      </c>
      <c r="CL4" s="52">
        <f t="shared" si="24"/>
        <v>48699</v>
      </c>
      <c r="CM4" s="52">
        <f t="shared" si="24"/>
        <v>48730</v>
      </c>
      <c r="CN4" s="52">
        <f t="shared" si="24"/>
        <v>48760</v>
      </c>
      <c r="CO4" s="52">
        <f t="shared" si="24"/>
        <v>48791</v>
      </c>
      <c r="CP4" s="52">
        <f t="shared" si="24"/>
        <v>48822</v>
      </c>
      <c r="CQ4" s="52">
        <f t="shared" si="24"/>
        <v>48852</v>
      </c>
      <c r="CR4" s="52">
        <f t="shared" si="24"/>
        <v>48883</v>
      </c>
      <c r="CS4" s="52">
        <f t="shared" si="24"/>
        <v>48913</v>
      </c>
      <c r="CT4" s="52">
        <f t="shared" si="24"/>
        <v>48944</v>
      </c>
      <c r="CU4" s="52">
        <f t="shared" ref="CU4:DF4" si="25">EOMONTH(CT4,1)</f>
        <v>48975</v>
      </c>
      <c r="CV4" s="52">
        <f t="shared" si="25"/>
        <v>49003</v>
      </c>
      <c r="CW4" s="52">
        <f t="shared" si="25"/>
        <v>49034</v>
      </c>
      <c r="CX4" s="52">
        <f t="shared" si="25"/>
        <v>49064</v>
      </c>
      <c r="CY4" s="52">
        <f t="shared" si="25"/>
        <v>49095</v>
      </c>
      <c r="CZ4" s="52">
        <f t="shared" si="25"/>
        <v>49125</v>
      </c>
      <c r="DA4" s="52">
        <f t="shared" si="25"/>
        <v>49156</v>
      </c>
      <c r="DB4" s="52">
        <f t="shared" si="25"/>
        <v>49187</v>
      </c>
      <c r="DC4" s="52">
        <f t="shared" si="25"/>
        <v>49217</v>
      </c>
      <c r="DD4" s="52">
        <f t="shared" si="25"/>
        <v>49248</v>
      </c>
      <c r="DE4" s="52">
        <f t="shared" si="25"/>
        <v>49278</v>
      </c>
      <c r="DF4" s="52">
        <f t="shared" si="25"/>
        <v>49309</v>
      </c>
      <c r="DG4" s="52">
        <f t="shared" ref="DG4:DR4" si="26">EOMONTH(DF4,1)</f>
        <v>49340</v>
      </c>
      <c r="DH4" s="52">
        <f t="shared" si="26"/>
        <v>49368</v>
      </c>
      <c r="DI4" s="52">
        <f t="shared" si="26"/>
        <v>49399</v>
      </c>
      <c r="DJ4" s="52">
        <f t="shared" si="26"/>
        <v>49429</v>
      </c>
      <c r="DK4" s="52">
        <f t="shared" si="26"/>
        <v>49460</v>
      </c>
      <c r="DL4" s="52">
        <f t="shared" si="26"/>
        <v>49490</v>
      </c>
      <c r="DM4" s="52">
        <f t="shared" si="26"/>
        <v>49521</v>
      </c>
      <c r="DN4" s="52">
        <f t="shared" si="26"/>
        <v>49552</v>
      </c>
      <c r="DO4" s="52">
        <f t="shared" si="26"/>
        <v>49582</v>
      </c>
      <c r="DP4" s="52">
        <f t="shared" si="26"/>
        <v>49613</v>
      </c>
      <c r="DQ4" s="52">
        <f t="shared" si="26"/>
        <v>49643</v>
      </c>
      <c r="DR4" s="52">
        <f t="shared" si="26"/>
        <v>49674</v>
      </c>
      <c r="DS4" s="52">
        <f t="shared" ref="DS4:ED4" si="27">EOMONTH(DR4,1)</f>
        <v>49705</v>
      </c>
      <c r="DT4" s="52">
        <f t="shared" si="27"/>
        <v>49734</v>
      </c>
      <c r="DU4" s="52">
        <f t="shared" si="27"/>
        <v>49765</v>
      </c>
      <c r="DV4" s="52">
        <f t="shared" si="27"/>
        <v>49795</v>
      </c>
      <c r="DW4" s="52">
        <f t="shared" si="27"/>
        <v>49826</v>
      </c>
      <c r="DX4" s="52">
        <f t="shared" si="27"/>
        <v>49856</v>
      </c>
      <c r="DY4" s="52">
        <f t="shared" si="27"/>
        <v>49887</v>
      </c>
      <c r="DZ4" s="52">
        <f t="shared" si="27"/>
        <v>49918</v>
      </c>
      <c r="EA4" s="52">
        <f t="shared" si="27"/>
        <v>49948</v>
      </c>
      <c r="EB4" s="52">
        <f t="shared" si="27"/>
        <v>49979</v>
      </c>
      <c r="EC4" s="52">
        <f t="shared" si="27"/>
        <v>50009</v>
      </c>
      <c r="ED4" s="52">
        <f t="shared" si="27"/>
        <v>50040</v>
      </c>
      <c r="EE4" s="52">
        <f t="shared" ref="EE4:EP4" si="28">EOMONTH(ED4,1)</f>
        <v>50071</v>
      </c>
      <c r="EF4" s="52">
        <f t="shared" si="28"/>
        <v>50099</v>
      </c>
      <c r="EG4" s="52">
        <f t="shared" si="28"/>
        <v>50130</v>
      </c>
      <c r="EH4" s="52">
        <f t="shared" si="28"/>
        <v>50160</v>
      </c>
      <c r="EI4" s="52">
        <f t="shared" si="28"/>
        <v>50191</v>
      </c>
      <c r="EJ4" s="52">
        <f t="shared" si="28"/>
        <v>50221</v>
      </c>
      <c r="EK4" s="52">
        <f t="shared" si="28"/>
        <v>50252</v>
      </c>
      <c r="EL4" s="52">
        <f t="shared" si="28"/>
        <v>50283</v>
      </c>
      <c r="EM4" s="52">
        <f t="shared" si="28"/>
        <v>50313</v>
      </c>
      <c r="EN4" s="52">
        <f t="shared" si="28"/>
        <v>50344</v>
      </c>
      <c r="EO4" s="52">
        <f t="shared" si="28"/>
        <v>50374</v>
      </c>
      <c r="EP4" s="52">
        <f t="shared" si="28"/>
        <v>50405</v>
      </c>
      <c r="EQ4" s="52">
        <f t="shared" ref="EQ4:HB4" si="29">EOMONTH(EP4,1)</f>
        <v>50436</v>
      </c>
      <c r="ER4" s="52">
        <f t="shared" si="29"/>
        <v>50464</v>
      </c>
      <c r="ES4" s="52">
        <f t="shared" si="29"/>
        <v>50495</v>
      </c>
      <c r="ET4" s="52">
        <f t="shared" si="29"/>
        <v>50525</v>
      </c>
      <c r="EU4" s="52">
        <f t="shared" si="29"/>
        <v>50556</v>
      </c>
      <c r="EV4" s="52">
        <f t="shared" si="29"/>
        <v>50586</v>
      </c>
      <c r="EW4" s="52">
        <f t="shared" si="29"/>
        <v>50617</v>
      </c>
      <c r="EX4" s="52">
        <f t="shared" si="29"/>
        <v>50648</v>
      </c>
      <c r="EY4" s="52">
        <f t="shared" si="29"/>
        <v>50678</v>
      </c>
      <c r="EZ4" s="52">
        <f t="shared" si="29"/>
        <v>50709</v>
      </c>
      <c r="FA4" s="52">
        <f t="shared" si="29"/>
        <v>50739</v>
      </c>
      <c r="FB4" s="52">
        <f t="shared" si="29"/>
        <v>50770</v>
      </c>
      <c r="FC4" s="52">
        <f t="shared" si="29"/>
        <v>50801</v>
      </c>
      <c r="FD4" s="52">
        <f t="shared" si="29"/>
        <v>50829</v>
      </c>
      <c r="FE4" s="52">
        <f t="shared" si="29"/>
        <v>50860</v>
      </c>
      <c r="FF4" s="52">
        <f t="shared" si="29"/>
        <v>50890</v>
      </c>
      <c r="FG4" s="52">
        <f t="shared" si="29"/>
        <v>50921</v>
      </c>
      <c r="FH4" s="52">
        <f t="shared" si="29"/>
        <v>50951</v>
      </c>
      <c r="FI4" s="52">
        <f t="shared" si="29"/>
        <v>50982</v>
      </c>
      <c r="FJ4" s="52">
        <f t="shared" si="29"/>
        <v>51013</v>
      </c>
      <c r="FK4" s="52">
        <f t="shared" si="29"/>
        <v>51043</v>
      </c>
      <c r="FL4" s="52">
        <f t="shared" si="29"/>
        <v>51074</v>
      </c>
      <c r="FM4" s="52">
        <f t="shared" si="29"/>
        <v>51104</v>
      </c>
      <c r="FN4" s="52">
        <f t="shared" si="29"/>
        <v>51135</v>
      </c>
      <c r="FO4" s="52">
        <f t="shared" si="29"/>
        <v>51166</v>
      </c>
      <c r="FP4" s="52">
        <f t="shared" si="29"/>
        <v>51195</v>
      </c>
      <c r="FQ4" s="52">
        <f t="shared" si="29"/>
        <v>51226</v>
      </c>
      <c r="FR4" s="52">
        <f t="shared" si="29"/>
        <v>51256</v>
      </c>
      <c r="FS4" s="52">
        <f t="shared" si="29"/>
        <v>51287</v>
      </c>
      <c r="FT4" s="52">
        <f t="shared" si="29"/>
        <v>51317</v>
      </c>
      <c r="FU4" s="52">
        <f t="shared" si="29"/>
        <v>51348</v>
      </c>
      <c r="FV4" s="52">
        <f t="shared" si="29"/>
        <v>51379</v>
      </c>
      <c r="FW4" s="52">
        <f t="shared" si="29"/>
        <v>51409</v>
      </c>
      <c r="FX4" s="52">
        <f t="shared" si="29"/>
        <v>51440</v>
      </c>
      <c r="FY4" s="52">
        <f t="shared" si="29"/>
        <v>51470</v>
      </c>
      <c r="FZ4" s="52">
        <f t="shared" si="29"/>
        <v>51501</v>
      </c>
      <c r="GA4" s="52">
        <f t="shared" si="29"/>
        <v>51532</v>
      </c>
      <c r="GB4" s="52">
        <f t="shared" si="29"/>
        <v>51560</v>
      </c>
      <c r="GC4" s="52">
        <f t="shared" si="29"/>
        <v>51591</v>
      </c>
      <c r="GD4" s="52">
        <f t="shared" si="29"/>
        <v>51621</v>
      </c>
      <c r="GE4" s="52">
        <f t="shared" si="29"/>
        <v>51652</v>
      </c>
      <c r="GF4" s="52">
        <f t="shared" si="29"/>
        <v>51682</v>
      </c>
      <c r="GG4" s="52">
        <f t="shared" si="29"/>
        <v>51713</v>
      </c>
      <c r="GH4" s="52">
        <f t="shared" si="29"/>
        <v>51744</v>
      </c>
      <c r="GI4" s="52">
        <f t="shared" si="29"/>
        <v>51774</v>
      </c>
      <c r="GJ4" s="52">
        <f t="shared" si="29"/>
        <v>51805</v>
      </c>
      <c r="GK4" s="52">
        <f t="shared" si="29"/>
        <v>51835</v>
      </c>
      <c r="GL4" s="52">
        <f t="shared" si="29"/>
        <v>51866</v>
      </c>
      <c r="GM4" s="52">
        <f t="shared" si="29"/>
        <v>51897</v>
      </c>
      <c r="GN4" s="52">
        <f t="shared" si="29"/>
        <v>51925</v>
      </c>
      <c r="GO4" s="52">
        <f t="shared" si="29"/>
        <v>51956</v>
      </c>
      <c r="GP4" s="52">
        <f t="shared" si="29"/>
        <v>51986</v>
      </c>
      <c r="GQ4" s="52">
        <f t="shared" si="29"/>
        <v>52017</v>
      </c>
      <c r="GR4" s="52">
        <f t="shared" si="29"/>
        <v>52047</v>
      </c>
      <c r="GS4" s="52">
        <f t="shared" si="29"/>
        <v>52078</v>
      </c>
      <c r="GT4" s="52">
        <f t="shared" si="29"/>
        <v>52109</v>
      </c>
      <c r="GU4" s="52">
        <f t="shared" si="29"/>
        <v>52139</v>
      </c>
      <c r="GV4" s="52">
        <f t="shared" si="29"/>
        <v>52170</v>
      </c>
      <c r="GW4" s="52">
        <f t="shared" si="29"/>
        <v>52200</v>
      </c>
      <c r="GX4" s="52">
        <f t="shared" si="29"/>
        <v>52231</v>
      </c>
      <c r="GY4" s="52">
        <f t="shared" si="29"/>
        <v>52262</v>
      </c>
      <c r="GZ4" s="52">
        <f t="shared" si="29"/>
        <v>52290</v>
      </c>
      <c r="HA4" s="52">
        <f t="shared" si="29"/>
        <v>52321</v>
      </c>
      <c r="HB4" s="52">
        <f t="shared" si="29"/>
        <v>52351</v>
      </c>
      <c r="HC4" s="52">
        <f t="shared" ref="HC4:JN4" si="30">EOMONTH(HB4,1)</f>
        <v>52382</v>
      </c>
      <c r="HD4" s="52">
        <f t="shared" si="30"/>
        <v>52412</v>
      </c>
      <c r="HE4" s="52">
        <f t="shared" si="30"/>
        <v>52443</v>
      </c>
      <c r="HF4" s="52">
        <f t="shared" si="30"/>
        <v>52474</v>
      </c>
      <c r="HG4" s="52">
        <f t="shared" si="30"/>
        <v>52504</v>
      </c>
      <c r="HH4" s="52">
        <f t="shared" si="30"/>
        <v>52535</v>
      </c>
      <c r="HI4" s="52">
        <f t="shared" si="30"/>
        <v>52565</v>
      </c>
      <c r="HJ4" s="52">
        <f t="shared" si="30"/>
        <v>52596</v>
      </c>
      <c r="HK4" s="52">
        <f t="shared" si="30"/>
        <v>52627</v>
      </c>
      <c r="HL4" s="52">
        <f t="shared" si="30"/>
        <v>52656</v>
      </c>
      <c r="HM4" s="52">
        <f t="shared" si="30"/>
        <v>52687</v>
      </c>
      <c r="HN4" s="52">
        <f t="shared" si="30"/>
        <v>52717</v>
      </c>
      <c r="HO4" s="52">
        <f t="shared" si="30"/>
        <v>52748</v>
      </c>
      <c r="HP4" s="52">
        <f t="shared" si="30"/>
        <v>52778</v>
      </c>
      <c r="HQ4" s="52">
        <f t="shared" si="30"/>
        <v>52809</v>
      </c>
      <c r="HR4" s="52">
        <f t="shared" si="30"/>
        <v>52840</v>
      </c>
      <c r="HS4" s="52">
        <f t="shared" si="30"/>
        <v>52870</v>
      </c>
      <c r="HT4" s="52">
        <f t="shared" si="30"/>
        <v>52901</v>
      </c>
      <c r="HU4" s="52">
        <f t="shared" si="30"/>
        <v>52931</v>
      </c>
      <c r="HV4" s="52">
        <f t="shared" si="30"/>
        <v>52962</v>
      </c>
      <c r="HW4" s="52">
        <f t="shared" si="30"/>
        <v>52993</v>
      </c>
      <c r="HX4" s="52">
        <f t="shared" si="30"/>
        <v>53021</v>
      </c>
      <c r="HY4" s="52">
        <f t="shared" si="30"/>
        <v>53052</v>
      </c>
      <c r="HZ4" s="52">
        <f t="shared" si="30"/>
        <v>53082</v>
      </c>
      <c r="IA4" s="52">
        <f t="shared" si="30"/>
        <v>53113</v>
      </c>
      <c r="IB4" s="52">
        <f t="shared" si="30"/>
        <v>53143</v>
      </c>
      <c r="IC4" s="52">
        <f t="shared" si="30"/>
        <v>53174</v>
      </c>
      <c r="ID4" s="52">
        <f t="shared" si="30"/>
        <v>53205</v>
      </c>
      <c r="IE4" s="52">
        <f t="shared" si="30"/>
        <v>53235</v>
      </c>
      <c r="IF4" s="52">
        <f t="shared" si="30"/>
        <v>53266</v>
      </c>
      <c r="IG4" s="52">
        <f t="shared" si="30"/>
        <v>53296</v>
      </c>
      <c r="IH4" s="52">
        <f t="shared" si="30"/>
        <v>53327</v>
      </c>
      <c r="II4" s="52">
        <f t="shared" si="30"/>
        <v>53358</v>
      </c>
      <c r="IJ4" s="52">
        <f t="shared" si="30"/>
        <v>53386</v>
      </c>
      <c r="IK4" s="52">
        <f t="shared" si="30"/>
        <v>53417</v>
      </c>
      <c r="IL4" s="52">
        <f t="shared" si="30"/>
        <v>53447</v>
      </c>
      <c r="IM4" s="52">
        <f t="shared" si="30"/>
        <v>53478</v>
      </c>
      <c r="IN4" s="52">
        <f t="shared" si="30"/>
        <v>53508</v>
      </c>
      <c r="IO4" s="52">
        <f t="shared" si="30"/>
        <v>53539</v>
      </c>
      <c r="IP4" s="52">
        <f t="shared" si="30"/>
        <v>53570</v>
      </c>
      <c r="IQ4" s="52">
        <f t="shared" si="30"/>
        <v>53600</v>
      </c>
      <c r="IR4" s="52">
        <f t="shared" si="30"/>
        <v>53631</v>
      </c>
      <c r="IS4" s="52">
        <f t="shared" si="30"/>
        <v>53661</v>
      </c>
      <c r="IT4" s="52">
        <f t="shared" si="30"/>
        <v>53692</v>
      </c>
      <c r="IU4" s="52">
        <f t="shared" si="30"/>
        <v>53723</v>
      </c>
      <c r="IV4" s="52">
        <f t="shared" si="30"/>
        <v>53751</v>
      </c>
      <c r="IW4" s="52">
        <f t="shared" si="30"/>
        <v>53782</v>
      </c>
      <c r="IX4" s="52">
        <f t="shared" si="30"/>
        <v>53812</v>
      </c>
      <c r="IY4" s="52">
        <f t="shared" si="30"/>
        <v>53843</v>
      </c>
      <c r="IZ4" s="52">
        <f t="shared" si="30"/>
        <v>53873</v>
      </c>
      <c r="JA4" s="52">
        <f t="shared" si="30"/>
        <v>53904</v>
      </c>
      <c r="JB4" s="52">
        <f t="shared" si="30"/>
        <v>53935</v>
      </c>
      <c r="JC4" s="52">
        <f t="shared" si="30"/>
        <v>53965</v>
      </c>
      <c r="JD4" s="52">
        <f t="shared" si="30"/>
        <v>53996</v>
      </c>
      <c r="JE4" s="52">
        <f t="shared" si="30"/>
        <v>54026</v>
      </c>
      <c r="JF4" s="52">
        <f t="shared" si="30"/>
        <v>54057</v>
      </c>
      <c r="JG4" s="52">
        <f t="shared" si="30"/>
        <v>54088</v>
      </c>
      <c r="JH4" s="52">
        <f t="shared" si="30"/>
        <v>54117</v>
      </c>
      <c r="JI4" s="52">
        <f t="shared" si="30"/>
        <v>54148</v>
      </c>
      <c r="JJ4" s="52">
        <f t="shared" si="30"/>
        <v>54178</v>
      </c>
      <c r="JK4" s="52">
        <f t="shared" si="30"/>
        <v>54209</v>
      </c>
      <c r="JL4" s="52">
        <f t="shared" si="30"/>
        <v>54239</v>
      </c>
      <c r="JM4" s="52">
        <f t="shared" si="30"/>
        <v>54270</v>
      </c>
      <c r="JN4" s="52">
        <f t="shared" si="30"/>
        <v>54301</v>
      </c>
      <c r="JO4" s="52">
        <f t="shared" ref="JO4:JR4" si="31">EOMONTH(JN4,1)</f>
        <v>54331</v>
      </c>
      <c r="JP4" s="52">
        <f t="shared" si="31"/>
        <v>54362</v>
      </c>
      <c r="JQ4" s="52">
        <f t="shared" si="31"/>
        <v>54392</v>
      </c>
      <c r="JR4" s="52">
        <f t="shared" si="31"/>
        <v>54423</v>
      </c>
      <c r="JS4" s="52">
        <v>53358</v>
      </c>
    </row>
    <row r="5" spans="2:279" x14ac:dyDescent="0.2">
      <c r="B5" s="46" t="s">
        <v>148</v>
      </c>
      <c r="C5" s="18">
        <f>-'Capital Contributions'!E42</f>
        <v>-14255698.433819117</v>
      </c>
      <c r="D5" s="18">
        <f>-'Capital Contributions'!F42</f>
        <v>-4785603.3425289877</v>
      </c>
      <c r="E5" s="18">
        <f>-'Capital Contributions'!G42</f>
        <v>-4009865.8143464723</v>
      </c>
      <c r="F5" s="18">
        <f>-'Capital Contributions'!H42</f>
        <v>-2777465.8294526343</v>
      </c>
      <c r="G5" s="18">
        <f>-'Capital Contributions'!I42</f>
        <v>-5989709.0508059748</v>
      </c>
      <c r="H5" s="18">
        <f>-'Capital Contributions'!J42</f>
        <v>-7424724.6050869329</v>
      </c>
      <c r="I5" s="18">
        <f>-'Capital Contributions'!K42</f>
        <v>-6724655.3583041737</v>
      </c>
      <c r="J5" s="18">
        <f>-'Capital Contributions'!L42</f>
        <v>-6001970.1827104846</v>
      </c>
      <c r="K5" s="18">
        <f>-'Capital Contributions'!M42</f>
        <v>-5696217.6884906162</v>
      </c>
      <c r="L5" s="18">
        <f>-'Capital Contributions'!N42</f>
        <v>-4935662.9515681118</v>
      </c>
      <c r="M5" s="18">
        <f>-'Capital Contributions'!O42</f>
        <v>-4907436.7847301578</v>
      </c>
      <c r="N5" s="18">
        <f>-'Capital Contributions'!P42</f>
        <v>-6700892.9202868603</v>
      </c>
      <c r="O5" s="18">
        <f>-'Capital Contributions'!Q42</f>
        <v>-1380307.8092666978</v>
      </c>
      <c r="P5" s="18">
        <f>-'Capital Contributions'!R42</f>
        <v>-1380307.8092666978</v>
      </c>
      <c r="Q5" s="18">
        <f>-'Capital Contributions'!S42</f>
        <v>-1380307.8092666978</v>
      </c>
      <c r="R5" s="18">
        <f>-'Capital Contributions'!T42</f>
        <v>0</v>
      </c>
      <c r="S5" s="18">
        <f>-'Capital Contributions'!U42</f>
        <v>0</v>
      </c>
      <c r="T5" s="18">
        <f>-'Capital Contributions'!V42</f>
        <v>0</v>
      </c>
      <c r="U5" s="18">
        <f>-'Capital Contributions'!W42</f>
        <v>0</v>
      </c>
      <c r="V5" s="18">
        <f>-'Capital Contributions'!X42</f>
        <v>0</v>
      </c>
      <c r="W5" s="18">
        <f>-'Capital Contributions'!Y42</f>
        <v>0</v>
      </c>
      <c r="X5" s="18">
        <f>-'Capital Contributions'!Z42</f>
        <v>0</v>
      </c>
      <c r="Y5" s="18">
        <f>-'Capital Contributions'!AA42</f>
        <v>0</v>
      </c>
      <c r="Z5" s="18">
        <f>-'Capital Contributions'!AB42</f>
        <v>0</v>
      </c>
      <c r="AA5" s="18">
        <f>-'Capital Contributions'!AC42</f>
        <v>0</v>
      </c>
      <c r="AB5" s="18">
        <f>-'Capital Contributions'!AD42</f>
        <v>0</v>
      </c>
      <c r="AC5" s="18">
        <f>-'Capital Contributions'!AE42</f>
        <v>0</v>
      </c>
      <c r="AD5" s="18">
        <f>-'Capital Contributions'!AF42</f>
        <v>0</v>
      </c>
      <c r="AE5" s="18">
        <f>-'Capital Contributions'!AG42</f>
        <v>0</v>
      </c>
      <c r="AF5" s="18">
        <f>-'Capital Contributions'!AH42</f>
        <v>0</v>
      </c>
      <c r="AG5" s="18">
        <f>-'Capital Contributions'!AI42</f>
        <v>0</v>
      </c>
      <c r="AH5" s="18">
        <f>-'Capital Contributions'!AJ42</f>
        <v>0</v>
      </c>
      <c r="AI5" s="18">
        <f>-'Capital Contributions'!AK42</f>
        <v>0</v>
      </c>
      <c r="AJ5" s="18">
        <f>-'Capital Contributions'!AL42</f>
        <v>0</v>
      </c>
      <c r="AK5" s="18">
        <f>-'Capital Contributions'!AM42</f>
        <v>0</v>
      </c>
      <c r="AL5" s="18">
        <f>-'Capital Contributions'!AN42</f>
        <v>0</v>
      </c>
      <c r="AM5" s="18">
        <f>-'Capital Contributions'!AO42</f>
        <v>0</v>
      </c>
      <c r="AN5" s="18">
        <f>-'Capital Contributions'!AP42</f>
        <v>0</v>
      </c>
      <c r="AO5" s="18">
        <f>-'Capital Contributions'!AQ42</f>
        <v>0</v>
      </c>
      <c r="AP5" s="18">
        <f>-'Capital Contributions'!AR42</f>
        <v>0</v>
      </c>
      <c r="AQ5" s="18">
        <f>-'Capital Contributions'!AS42</f>
        <v>0</v>
      </c>
      <c r="AR5" s="18">
        <f>-'Capital Contributions'!AT42</f>
        <v>0</v>
      </c>
      <c r="AS5" s="18">
        <f>-'Capital Contributions'!AU42</f>
        <v>0</v>
      </c>
      <c r="AT5" s="18">
        <f>-'Capital Contributions'!AV42</f>
        <v>0</v>
      </c>
      <c r="AU5" s="18">
        <f>-'Capital Contributions'!AW42</f>
        <v>0</v>
      </c>
      <c r="AV5" s="18">
        <f>-'Capital Contributions'!AX42</f>
        <v>0</v>
      </c>
      <c r="AW5" s="18">
        <f>-'Capital Contributions'!AY42</f>
        <v>0</v>
      </c>
      <c r="AX5" s="18">
        <f>-'Capital Contributions'!AZ42</f>
        <v>0</v>
      </c>
      <c r="AY5" s="18">
        <f>-'Capital Contributions'!BA42</f>
        <v>0</v>
      </c>
      <c r="AZ5" s="18">
        <f>-'Capital Contributions'!BB42</f>
        <v>0</v>
      </c>
      <c r="BA5" s="18">
        <f>-'Capital Contributions'!BC42</f>
        <v>0</v>
      </c>
      <c r="BB5" s="18">
        <f>-'Capital Contributions'!BD42</f>
        <v>0</v>
      </c>
      <c r="BC5" s="18">
        <f>-'Capital Contributions'!BE42</f>
        <v>0</v>
      </c>
      <c r="BD5" s="18">
        <f>-'Capital Contributions'!BF42</f>
        <v>0</v>
      </c>
      <c r="BE5" s="18">
        <f>-'Capital Contributions'!BG42</f>
        <v>0</v>
      </c>
      <c r="BF5" s="18">
        <f>-'Capital Contributions'!BH42</f>
        <v>0</v>
      </c>
      <c r="BG5" s="18">
        <f>-'Capital Contributions'!BI42</f>
        <v>0</v>
      </c>
      <c r="BH5" s="18">
        <f>-'Capital Contributions'!BJ42</f>
        <v>0</v>
      </c>
      <c r="BI5" s="18">
        <f>-'Capital Contributions'!BK42</f>
        <v>0</v>
      </c>
      <c r="BJ5" s="18">
        <f>-'Capital Contributions'!BL42</f>
        <v>0</v>
      </c>
      <c r="BK5" s="18">
        <f>-'Capital Contributions'!BM42</f>
        <v>0</v>
      </c>
      <c r="BL5" s="18">
        <f>-'Capital Contributions'!BN42</f>
        <v>0</v>
      </c>
      <c r="BM5" s="18">
        <f>-'Capital Contributions'!BO42</f>
        <v>0</v>
      </c>
      <c r="BN5" s="18">
        <f>-'Capital Contributions'!BP42</f>
        <v>0</v>
      </c>
      <c r="BO5" s="18">
        <f>-'Capital Contributions'!BQ42</f>
        <v>0</v>
      </c>
      <c r="BP5" s="18">
        <f>-'Capital Contributions'!BR42</f>
        <v>0</v>
      </c>
      <c r="BQ5" s="18">
        <f>-'Capital Contributions'!BS42</f>
        <v>0</v>
      </c>
      <c r="BR5" s="18">
        <f>-'Capital Contributions'!BT42</f>
        <v>0</v>
      </c>
      <c r="BS5" s="18">
        <f>-'Capital Contributions'!BU42</f>
        <v>0</v>
      </c>
      <c r="BT5" s="18">
        <f>-'Capital Contributions'!BV42</f>
        <v>0</v>
      </c>
      <c r="BU5" s="18">
        <f>-'Capital Contributions'!BW42</f>
        <v>0</v>
      </c>
      <c r="BV5" s="18">
        <f>-'Capital Contributions'!BX42</f>
        <v>0</v>
      </c>
      <c r="BW5" s="18">
        <f>-'Capital Contributions'!BY42</f>
        <v>0</v>
      </c>
      <c r="BX5" s="18">
        <f>-'Capital Contributions'!BZ42</f>
        <v>0</v>
      </c>
      <c r="BY5" s="18">
        <f>-'Capital Contributions'!CA42</f>
        <v>0</v>
      </c>
      <c r="BZ5" s="18">
        <f>-'Capital Contributions'!CB42</f>
        <v>0</v>
      </c>
      <c r="CA5" s="18">
        <f>-'Capital Contributions'!CC42</f>
        <v>0</v>
      </c>
      <c r="CB5" s="18">
        <f>-'Capital Contributions'!CD42</f>
        <v>0</v>
      </c>
      <c r="CC5" s="18">
        <f>-'Capital Contributions'!CE42</f>
        <v>0</v>
      </c>
      <c r="CD5" s="18">
        <f>-'Capital Contributions'!CF42</f>
        <v>0</v>
      </c>
      <c r="CE5" s="18">
        <f>-'Capital Contributions'!CG42</f>
        <v>0</v>
      </c>
      <c r="CF5" s="18">
        <f>-'Capital Contributions'!CH42</f>
        <v>0</v>
      </c>
      <c r="CG5" s="18">
        <f>-'Capital Contributions'!CI42</f>
        <v>0</v>
      </c>
      <c r="CH5" s="18">
        <f>-'Capital Contributions'!CJ42</f>
        <v>0</v>
      </c>
      <c r="CI5" s="18">
        <f>-'Capital Contributions'!CK42</f>
        <v>0</v>
      </c>
      <c r="CJ5" s="18">
        <f>-'Capital Contributions'!CL42</f>
        <v>0</v>
      </c>
      <c r="CK5" s="18">
        <f>-'Capital Contributions'!CM42</f>
        <v>0</v>
      </c>
      <c r="CL5" s="18">
        <f>-'Capital Contributions'!CN42</f>
        <v>0</v>
      </c>
      <c r="CM5" s="18">
        <f>-'Capital Contributions'!CO42</f>
        <v>0</v>
      </c>
      <c r="CN5" s="18">
        <f>-'Capital Contributions'!CP42</f>
        <v>0</v>
      </c>
      <c r="CO5" s="18">
        <f>-'Capital Contributions'!CQ42</f>
        <v>0</v>
      </c>
      <c r="CP5" s="18">
        <f>-'Capital Contributions'!CR42</f>
        <v>0</v>
      </c>
      <c r="CQ5" s="18">
        <f>-'Capital Contributions'!CS42</f>
        <v>0</v>
      </c>
      <c r="CR5" s="18">
        <f>-'Capital Contributions'!CT42</f>
        <v>0</v>
      </c>
      <c r="CS5" s="18">
        <f>-'Capital Contributions'!CU42</f>
        <v>0</v>
      </c>
      <c r="CT5" s="18">
        <f>-'Capital Contributions'!CV42</f>
        <v>0</v>
      </c>
      <c r="CU5" s="18">
        <f>-'Capital Contributions'!CW42</f>
        <v>0</v>
      </c>
      <c r="CV5" s="18">
        <f>-'Capital Contributions'!CX42</f>
        <v>0</v>
      </c>
      <c r="CW5" s="18">
        <f>-'Capital Contributions'!CY42</f>
        <v>0</v>
      </c>
      <c r="CX5" s="18">
        <f>-'Capital Contributions'!CZ42</f>
        <v>0</v>
      </c>
      <c r="CY5" s="18">
        <f>-'Capital Contributions'!DA42</f>
        <v>0</v>
      </c>
      <c r="CZ5" s="18">
        <f>-'Capital Contributions'!DB42</f>
        <v>0</v>
      </c>
      <c r="DA5" s="18">
        <f>-'Capital Contributions'!DC42</f>
        <v>0</v>
      </c>
      <c r="DB5" s="18">
        <f>-'Capital Contributions'!DD42</f>
        <v>0</v>
      </c>
      <c r="DC5" s="18">
        <f>-'Capital Contributions'!DE42</f>
        <v>0</v>
      </c>
      <c r="DD5" s="18">
        <f>-'Capital Contributions'!DF42</f>
        <v>0</v>
      </c>
      <c r="DE5" s="18">
        <f>-'Capital Contributions'!DG42</f>
        <v>0</v>
      </c>
      <c r="DF5" s="18">
        <f>-'Capital Contributions'!DH42</f>
        <v>0</v>
      </c>
      <c r="DG5" s="18">
        <f>-'Capital Contributions'!DI42</f>
        <v>0</v>
      </c>
      <c r="DH5" s="18">
        <f>-'Capital Contributions'!DJ42</f>
        <v>0</v>
      </c>
      <c r="DI5" s="18">
        <f>-'Capital Contributions'!DK42</f>
        <v>0</v>
      </c>
      <c r="DJ5" s="18">
        <f>-'Capital Contributions'!DL42</f>
        <v>0</v>
      </c>
      <c r="DK5" s="18">
        <f>-'Capital Contributions'!DM42</f>
        <v>0</v>
      </c>
      <c r="DL5" s="18">
        <f>-'Capital Contributions'!DN42</f>
        <v>0</v>
      </c>
      <c r="DM5" s="18">
        <f>-'Capital Contributions'!DO42</f>
        <v>0</v>
      </c>
      <c r="DN5" s="18">
        <f>-'Capital Contributions'!DP42</f>
        <v>0</v>
      </c>
      <c r="DO5" s="18">
        <f>-'Capital Contributions'!DQ42</f>
        <v>0</v>
      </c>
      <c r="DP5" s="18">
        <f>-'Capital Contributions'!DR42</f>
        <v>0</v>
      </c>
      <c r="DQ5" s="18">
        <f>-'Capital Contributions'!DS42</f>
        <v>0</v>
      </c>
      <c r="DR5" s="18">
        <f>-'Capital Contributions'!DT42</f>
        <v>0</v>
      </c>
      <c r="DS5" s="18">
        <f>-'Capital Contributions'!DU42</f>
        <v>0</v>
      </c>
      <c r="DT5" s="18">
        <f>-'Capital Contributions'!DV42</f>
        <v>0</v>
      </c>
      <c r="DU5" s="18">
        <f>-'Capital Contributions'!DW42</f>
        <v>0</v>
      </c>
      <c r="DV5" s="18">
        <f>-'Capital Contributions'!DX42</f>
        <v>0</v>
      </c>
      <c r="DW5" s="18">
        <f>-'Capital Contributions'!DY42</f>
        <v>0</v>
      </c>
      <c r="DX5" s="18">
        <f>-'Capital Contributions'!DZ42</f>
        <v>0</v>
      </c>
      <c r="DY5" s="18">
        <f>-'Capital Contributions'!EA42</f>
        <v>0</v>
      </c>
      <c r="DZ5" s="18">
        <f>-'Capital Contributions'!EB42</f>
        <v>0</v>
      </c>
      <c r="EA5" s="18">
        <f>-'Capital Contributions'!EC42</f>
        <v>0</v>
      </c>
      <c r="EB5" s="18">
        <f>-'Capital Contributions'!ED42</f>
        <v>0</v>
      </c>
      <c r="EC5" s="18">
        <f>-'Capital Contributions'!EE42</f>
        <v>0</v>
      </c>
      <c r="ED5" s="18">
        <f>-'Capital Contributions'!EF42</f>
        <v>0</v>
      </c>
      <c r="EE5" s="18">
        <f>-'Capital Contributions'!EG42</f>
        <v>0</v>
      </c>
      <c r="EF5" s="18">
        <f>-'Capital Contributions'!EH42</f>
        <v>0</v>
      </c>
      <c r="EG5" s="18">
        <f>-'Capital Contributions'!EI42</f>
        <v>0</v>
      </c>
      <c r="EH5" s="18">
        <f>-'Capital Contributions'!EJ42</f>
        <v>0</v>
      </c>
      <c r="EI5" s="18">
        <f>-'Capital Contributions'!EK42</f>
        <v>0</v>
      </c>
      <c r="EJ5" s="18">
        <f>-'Capital Contributions'!EL42</f>
        <v>0</v>
      </c>
      <c r="EK5" s="18">
        <f>-'Capital Contributions'!EM42</f>
        <v>0</v>
      </c>
      <c r="EL5" s="18">
        <f>-'Capital Contributions'!EN42</f>
        <v>0</v>
      </c>
      <c r="EM5" s="18">
        <f>-'Capital Contributions'!EO42</f>
        <v>0</v>
      </c>
      <c r="EN5" s="18">
        <f>-'Capital Contributions'!EP42</f>
        <v>0</v>
      </c>
      <c r="EO5" s="18">
        <f>-'Capital Contributions'!EQ42</f>
        <v>0</v>
      </c>
      <c r="EP5" s="18">
        <f>-'Capital Contributions'!ER42</f>
        <v>0</v>
      </c>
      <c r="EQ5" s="18">
        <f>-'Capital Contributions'!ES42</f>
        <v>0</v>
      </c>
      <c r="ER5" s="18">
        <f>-'Capital Contributions'!ET42</f>
        <v>0</v>
      </c>
      <c r="ES5" s="18">
        <f>-'Capital Contributions'!EU42</f>
        <v>0</v>
      </c>
      <c r="ET5" s="18">
        <f>-'Capital Contributions'!EV42</f>
        <v>0</v>
      </c>
      <c r="EU5" s="18">
        <f>-'Capital Contributions'!EW42</f>
        <v>0</v>
      </c>
      <c r="EV5" s="18">
        <f>-'Capital Contributions'!EX42</f>
        <v>0</v>
      </c>
      <c r="EW5" s="18">
        <f>-'Capital Contributions'!EY42</f>
        <v>0</v>
      </c>
      <c r="EX5" s="18">
        <f>-'Capital Contributions'!EZ42</f>
        <v>0</v>
      </c>
      <c r="EY5" s="18">
        <f>-'Capital Contributions'!FA42</f>
        <v>0</v>
      </c>
      <c r="EZ5" s="18">
        <f>-'Capital Contributions'!FB42</f>
        <v>0</v>
      </c>
      <c r="FA5" s="18">
        <f>-'Capital Contributions'!FC42</f>
        <v>0</v>
      </c>
      <c r="FB5" s="18">
        <f>-'Capital Contributions'!FD42</f>
        <v>0</v>
      </c>
      <c r="FC5" s="18">
        <f>-'Capital Contributions'!FE42</f>
        <v>0</v>
      </c>
      <c r="FD5" s="18">
        <f>-'Capital Contributions'!FF42</f>
        <v>0</v>
      </c>
      <c r="FE5" s="18">
        <f>-'Capital Contributions'!FG42</f>
        <v>0</v>
      </c>
      <c r="FF5" s="18">
        <f>-'Capital Contributions'!FH42</f>
        <v>0</v>
      </c>
      <c r="FG5" s="18">
        <f>-'Capital Contributions'!FI42</f>
        <v>0</v>
      </c>
      <c r="FH5" s="18">
        <f>-'Capital Contributions'!FJ42</f>
        <v>0</v>
      </c>
      <c r="FI5" s="18">
        <f>-'Capital Contributions'!FK42</f>
        <v>0</v>
      </c>
      <c r="FJ5" s="18">
        <f>-'Capital Contributions'!FL42</f>
        <v>0</v>
      </c>
      <c r="FK5" s="18">
        <f>-'Capital Contributions'!FM42</f>
        <v>0</v>
      </c>
      <c r="FL5" s="18">
        <f>-'Capital Contributions'!FN42</f>
        <v>0</v>
      </c>
      <c r="FM5" s="18">
        <f>-'Capital Contributions'!FO42</f>
        <v>0</v>
      </c>
      <c r="FN5" s="18">
        <f>-'Capital Contributions'!FP42</f>
        <v>0</v>
      </c>
      <c r="FO5" s="18">
        <f>-'Capital Contributions'!FQ42</f>
        <v>0</v>
      </c>
      <c r="FP5" s="18">
        <f>-'Capital Contributions'!FR42</f>
        <v>0</v>
      </c>
      <c r="FQ5" s="18">
        <f>-'Capital Contributions'!FS42</f>
        <v>0</v>
      </c>
      <c r="FR5" s="18">
        <f>-'Capital Contributions'!FT42</f>
        <v>0</v>
      </c>
      <c r="FS5" s="18">
        <f>-'Capital Contributions'!FU42</f>
        <v>0</v>
      </c>
      <c r="FT5" s="18">
        <f>-'Capital Contributions'!FV42</f>
        <v>0</v>
      </c>
      <c r="FU5" s="18">
        <f>-'Capital Contributions'!FW42</f>
        <v>0</v>
      </c>
      <c r="FV5" s="18">
        <f>-'Capital Contributions'!FX42</f>
        <v>0</v>
      </c>
      <c r="FW5" s="18">
        <f>-'Capital Contributions'!FY42</f>
        <v>0</v>
      </c>
      <c r="FX5" s="18">
        <f>-'Capital Contributions'!FZ42</f>
        <v>0</v>
      </c>
      <c r="FY5" s="18">
        <f>-'Capital Contributions'!GA42</f>
        <v>0</v>
      </c>
      <c r="FZ5" s="18">
        <f>-'Capital Contributions'!GB42</f>
        <v>0</v>
      </c>
      <c r="GA5" s="18">
        <f>-'Capital Contributions'!GC42</f>
        <v>0</v>
      </c>
      <c r="GB5" s="18">
        <f>-'Capital Contributions'!GD42</f>
        <v>0</v>
      </c>
      <c r="GC5" s="18">
        <f>-'Capital Contributions'!GE42</f>
        <v>0</v>
      </c>
      <c r="GD5" s="18">
        <f>-'Capital Contributions'!GF42</f>
        <v>0</v>
      </c>
      <c r="GE5" s="18">
        <f>-'Capital Contributions'!GG42</f>
        <v>0</v>
      </c>
      <c r="GF5" s="18">
        <f>-'Capital Contributions'!GH42</f>
        <v>0</v>
      </c>
      <c r="GG5" s="18">
        <f>-'Capital Contributions'!GI42</f>
        <v>0</v>
      </c>
      <c r="GH5" s="18">
        <f>-'Capital Contributions'!GJ42</f>
        <v>0</v>
      </c>
      <c r="GI5" s="18">
        <f>-'Capital Contributions'!GK42</f>
        <v>0</v>
      </c>
      <c r="GJ5" s="18">
        <f>-'Capital Contributions'!GL42</f>
        <v>0</v>
      </c>
      <c r="GK5" s="18">
        <f>-'Capital Contributions'!GM42</f>
        <v>0</v>
      </c>
      <c r="GL5" s="18">
        <f>-'Capital Contributions'!GN42</f>
        <v>0</v>
      </c>
      <c r="GM5" s="18">
        <f>-'Capital Contributions'!GO42</f>
        <v>0</v>
      </c>
      <c r="GN5" s="18">
        <f>-'Capital Contributions'!GP42</f>
        <v>0</v>
      </c>
      <c r="GO5" s="18">
        <f>-'Capital Contributions'!GQ42</f>
        <v>0</v>
      </c>
      <c r="GP5" s="18">
        <f>-'Capital Contributions'!GR42</f>
        <v>0</v>
      </c>
      <c r="GQ5" s="18">
        <f>-'Capital Contributions'!GS42</f>
        <v>0</v>
      </c>
      <c r="GR5" s="18">
        <f>-'Capital Contributions'!GT42</f>
        <v>0</v>
      </c>
      <c r="GS5" s="18">
        <f>-'Capital Contributions'!GU42</f>
        <v>0</v>
      </c>
      <c r="GT5" s="18">
        <f>-'Capital Contributions'!GV42</f>
        <v>0</v>
      </c>
      <c r="GU5" s="18">
        <f>-'Capital Contributions'!GW42</f>
        <v>0</v>
      </c>
      <c r="GV5" s="18">
        <f>-'Capital Contributions'!GX42</f>
        <v>0</v>
      </c>
      <c r="GW5" s="18">
        <f>-'Capital Contributions'!GY42</f>
        <v>0</v>
      </c>
      <c r="GX5" s="18">
        <f>-'Capital Contributions'!GZ42</f>
        <v>0</v>
      </c>
      <c r="GY5" s="18">
        <f>-'Capital Contributions'!HA42</f>
        <v>0</v>
      </c>
      <c r="GZ5" s="18">
        <f>-'Capital Contributions'!HB42</f>
        <v>0</v>
      </c>
      <c r="HA5" s="18">
        <f>-'Capital Contributions'!HC42</f>
        <v>0</v>
      </c>
      <c r="HB5" s="18">
        <f>-'Capital Contributions'!HD42</f>
        <v>0</v>
      </c>
      <c r="HC5" s="18">
        <f>-'Capital Contributions'!HE42</f>
        <v>0</v>
      </c>
      <c r="HD5" s="18">
        <f>-'Capital Contributions'!HF42</f>
        <v>0</v>
      </c>
      <c r="HE5" s="18">
        <f>-'Capital Contributions'!HG42</f>
        <v>0</v>
      </c>
      <c r="HF5" s="18">
        <f>-'Capital Contributions'!HH42</f>
        <v>0</v>
      </c>
      <c r="HG5" s="18">
        <f>-'Capital Contributions'!HI42</f>
        <v>0</v>
      </c>
      <c r="HH5" s="18">
        <f>-'Capital Contributions'!HJ42</f>
        <v>0</v>
      </c>
      <c r="HI5" s="18">
        <f>-'Capital Contributions'!HK42</f>
        <v>0</v>
      </c>
      <c r="HJ5" s="18">
        <f>-'Capital Contributions'!HL42</f>
        <v>0</v>
      </c>
      <c r="HK5" s="18">
        <f>-'Capital Contributions'!HM42</f>
        <v>0</v>
      </c>
      <c r="HL5" s="18">
        <f>-'Capital Contributions'!HN42</f>
        <v>0</v>
      </c>
      <c r="HM5" s="18">
        <f>-'Capital Contributions'!HO42</f>
        <v>0</v>
      </c>
      <c r="HN5" s="18">
        <f>-'Capital Contributions'!HP42</f>
        <v>0</v>
      </c>
      <c r="HO5" s="18">
        <f>-'Capital Contributions'!HQ42</f>
        <v>0</v>
      </c>
      <c r="HP5" s="18">
        <f>-'Capital Contributions'!HR42</f>
        <v>0</v>
      </c>
      <c r="HQ5" s="18">
        <f>-'Capital Contributions'!HS42</f>
        <v>0</v>
      </c>
      <c r="HR5" s="18">
        <f>-'Capital Contributions'!HT42</f>
        <v>0</v>
      </c>
      <c r="HS5" s="18">
        <f>-'Capital Contributions'!HU42</f>
        <v>0</v>
      </c>
      <c r="HT5" s="18">
        <f>-'Capital Contributions'!HV42</f>
        <v>0</v>
      </c>
      <c r="HU5" s="18">
        <f>-'Capital Contributions'!HW42</f>
        <v>0</v>
      </c>
      <c r="HV5" s="18">
        <f>-'Capital Contributions'!HX42</f>
        <v>0</v>
      </c>
      <c r="HW5" s="18">
        <f>-'Capital Contributions'!HY42</f>
        <v>0</v>
      </c>
      <c r="HX5" s="18">
        <f>-'Capital Contributions'!HZ42</f>
        <v>0</v>
      </c>
      <c r="HY5" s="18">
        <f>-'Capital Contributions'!IA42</f>
        <v>0</v>
      </c>
      <c r="HZ5" s="18">
        <f>-'Capital Contributions'!IB42</f>
        <v>0</v>
      </c>
      <c r="IA5" s="18">
        <f>-'Capital Contributions'!IC42</f>
        <v>0</v>
      </c>
      <c r="IB5" s="18">
        <f>-'Capital Contributions'!ID42</f>
        <v>0</v>
      </c>
      <c r="IC5" s="18">
        <f>-'Capital Contributions'!IE42</f>
        <v>0</v>
      </c>
      <c r="ID5" s="18">
        <f>-'Capital Contributions'!IF42</f>
        <v>0</v>
      </c>
      <c r="IE5" s="18">
        <f>-'Capital Contributions'!IG42</f>
        <v>0</v>
      </c>
      <c r="IF5" s="18">
        <f>-'Capital Contributions'!IH42</f>
        <v>0</v>
      </c>
      <c r="IG5" s="18">
        <f>-'Capital Contributions'!II42</f>
        <v>0</v>
      </c>
      <c r="IH5" s="18">
        <f>-'Capital Contributions'!IJ42</f>
        <v>0</v>
      </c>
      <c r="II5" s="18">
        <f>-'Capital Contributions'!IK42</f>
        <v>0</v>
      </c>
      <c r="IJ5" s="18">
        <f>-'Capital Contributions'!IL42</f>
        <v>0</v>
      </c>
      <c r="IK5" s="18">
        <f>-'Capital Contributions'!IM42</f>
        <v>0</v>
      </c>
      <c r="IL5" s="18">
        <f>-'Capital Contributions'!IN42</f>
        <v>0</v>
      </c>
      <c r="IM5" s="18">
        <f>-'Capital Contributions'!IO42</f>
        <v>0</v>
      </c>
      <c r="IN5" s="18">
        <f>-'Capital Contributions'!IP42</f>
        <v>0</v>
      </c>
      <c r="IO5" s="18">
        <f>-'Capital Contributions'!IQ42</f>
        <v>0</v>
      </c>
      <c r="IP5" s="18">
        <f>-'Capital Contributions'!IR42</f>
        <v>0</v>
      </c>
      <c r="IQ5" s="18">
        <f>-'Capital Contributions'!IS42</f>
        <v>0</v>
      </c>
      <c r="IR5" s="18">
        <f>-'Capital Contributions'!IT42</f>
        <v>0</v>
      </c>
      <c r="IS5" s="18">
        <f>-'Capital Contributions'!IU42</f>
        <v>0</v>
      </c>
      <c r="IT5" s="18">
        <f>-'Capital Contributions'!IV42</f>
        <v>0</v>
      </c>
      <c r="IU5" s="18">
        <f>-'Capital Contributions'!IW42</f>
        <v>0</v>
      </c>
      <c r="IV5" s="18">
        <f>-'Capital Contributions'!IX42</f>
        <v>0</v>
      </c>
      <c r="IW5" s="18">
        <f>-'Capital Contributions'!IY42</f>
        <v>0</v>
      </c>
      <c r="IX5" s="18">
        <f>-'Capital Contributions'!IZ42</f>
        <v>0</v>
      </c>
      <c r="IY5" s="18">
        <f>-'Capital Contributions'!JA42</f>
        <v>0</v>
      </c>
      <c r="IZ5" s="18">
        <f>-'Capital Contributions'!JB42</f>
        <v>0</v>
      </c>
      <c r="JA5" s="18">
        <f>-'Capital Contributions'!JC42</f>
        <v>0</v>
      </c>
      <c r="JB5" s="18">
        <f>-'Capital Contributions'!JD42</f>
        <v>0</v>
      </c>
      <c r="JC5" s="18">
        <f>-'Capital Contributions'!JE42</f>
        <v>0</v>
      </c>
      <c r="JD5" s="18">
        <f>-'Capital Contributions'!JF42</f>
        <v>0</v>
      </c>
      <c r="JE5" s="18">
        <f>-'Capital Contributions'!JG42</f>
        <v>0</v>
      </c>
      <c r="JF5" s="18">
        <f>-'Capital Contributions'!JH42</f>
        <v>0</v>
      </c>
      <c r="JG5" s="18">
        <f>-'Capital Contributions'!JI42</f>
        <v>0</v>
      </c>
      <c r="JH5" s="18">
        <f>-'Capital Contributions'!JJ42</f>
        <v>0</v>
      </c>
      <c r="JI5" s="18">
        <f>-'Capital Contributions'!JK42</f>
        <v>0</v>
      </c>
      <c r="JJ5" s="18">
        <f>-'Capital Contributions'!JL42</f>
        <v>0</v>
      </c>
      <c r="JK5" s="18">
        <f>-'Capital Contributions'!JM42</f>
        <v>0</v>
      </c>
      <c r="JL5" s="18">
        <f>-'Capital Contributions'!JN42</f>
        <v>0</v>
      </c>
      <c r="JM5" s="18">
        <f>-'Capital Contributions'!JO42</f>
        <v>0</v>
      </c>
      <c r="JN5" s="18">
        <f>-'Capital Contributions'!JP42</f>
        <v>0</v>
      </c>
      <c r="JO5" s="18">
        <f>-'Capital Contributions'!JQ42</f>
        <v>0</v>
      </c>
      <c r="JP5" s="18">
        <f>-'Capital Contributions'!JR42</f>
        <v>0</v>
      </c>
      <c r="JQ5" s="18">
        <f>-'Capital Contributions'!JS42</f>
        <v>0</v>
      </c>
      <c r="JR5" s="18">
        <f>-'Capital Contributions'!JT42</f>
        <v>0</v>
      </c>
    </row>
    <row r="6" spans="2:279" x14ac:dyDescent="0.2">
      <c r="B6" s="46" t="s">
        <v>193</v>
      </c>
      <c r="C6" s="20">
        <f>Financials!C104</f>
        <v>0</v>
      </c>
      <c r="D6" s="20">
        <f>Financials!D104</f>
        <v>0</v>
      </c>
      <c r="E6" s="20">
        <f>Financials!E104</f>
        <v>0</v>
      </c>
      <c r="F6" s="20">
        <f>Financials!F104</f>
        <v>0</v>
      </c>
      <c r="G6" s="20">
        <f>Financials!G104</f>
        <v>0</v>
      </c>
      <c r="H6" s="20">
        <f>Financials!H104</f>
        <v>0</v>
      </c>
      <c r="I6" s="20">
        <f>Financials!I104</f>
        <v>0</v>
      </c>
      <c r="J6" s="20">
        <f>Financials!J104</f>
        <v>0</v>
      </c>
      <c r="K6" s="20">
        <f>Financials!K104</f>
        <v>0</v>
      </c>
      <c r="L6" s="20">
        <f>Financials!L104</f>
        <v>0</v>
      </c>
      <c r="M6" s="20">
        <f>Financials!M104</f>
        <v>0</v>
      </c>
      <c r="N6" s="20">
        <f>Financials!N104</f>
        <v>0</v>
      </c>
      <c r="O6" s="20">
        <f>Financials!O104</f>
        <v>0</v>
      </c>
      <c r="P6" s="20">
        <f>Financials!P104</f>
        <v>0</v>
      </c>
      <c r="Q6" s="20">
        <f>Financials!Q104</f>
        <v>0</v>
      </c>
      <c r="R6" s="20">
        <f>Financials!R104</f>
        <v>1090185.4326334842</v>
      </c>
      <c r="S6" s="20">
        <f>Financials!S104</f>
        <v>1241296.1888189735</v>
      </c>
      <c r="T6" s="20">
        <f>Financials!T104</f>
        <v>1103180.8960343287</v>
      </c>
      <c r="U6" s="20">
        <f>Financials!U104</f>
        <v>1261173.5563232983</v>
      </c>
      <c r="V6" s="20">
        <f>Financials!V104</f>
        <v>1261581.9515087372</v>
      </c>
      <c r="W6" s="20">
        <f>Financials!W104</f>
        <v>1122757.4051081468</v>
      </c>
      <c r="X6" s="20">
        <f>Financials!X104</f>
        <v>1275163.5259935472</v>
      </c>
      <c r="Y6" s="20">
        <f>Financials!Y104</f>
        <v>1135864.1726116217</v>
      </c>
      <c r="Z6" s="20">
        <f>Financials!Z104</f>
        <v>1288791.4684742927</v>
      </c>
      <c r="AA6" s="20">
        <f>Financials!AA104</f>
        <v>1324403.5321620042</v>
      </c>
      <c r="AB6" s="20">
        <f>Financials!AB104</f>
        <v>890673.81292343268</v>
      </c>
      <c r="AC6" s="20">
        <f>Financials!AC104</f>
        <v>1338101.3201508245</v>
      </c>
      <c r="AD6" s="20">
        <f>Financials!AD104</f>
        <v>2897138.2634053677</v>
      </c>
      <c r="AE6" s="20">
        <f>Financials!AE104</f>
        <v>3108027.1284728386</v>
      </c>
      <c r="AF6" s="20">
        <f>Financials!AF104</f>
        <v>2910402.4404444089</v>
      </c>
      <c r="AG6" s="20">
        <f>Financials!AG104</f>
        <v>3121818.5944591495</v>
      </c>
      <c r="AH6" s="20">
        <f>Financials!AH104</f>
        <v>3128731.9711059947</v>
      </c>
      <c r="AI6" s="20">
        <f>Financials!AI104</f>
        <v>2930383.7216551104</v>
      </c>
      <c r="AJ6" s="20">
        <f>Financials!AJ104</f>
        <v>3142594.1108922465</v>
      </c>
      <c r="AK6" s="20">
        <f>Financials!AK104</f>
        <v>2943761.4761453476</v>
      </c>
      <c r="AL6" s="20">
        <f>Financials!AL104</f>
        <v>3156503.5653036414</v>
      </c>
      <c r="AM6" s="20">
        <f>Financials!AM104</f>
        <v>3194337.2968534539</v>
      </c>
      <c r="AN6" s="20">
        <f>Financials!AN104</f>
        <v>2581681.7517261133</v>
      </c>
      <c r="AO6" s="20">
        <f>Financials!AO104</f>
        <v>3208318.0226746532</v>
      </c>
      <c r="AP6" s="20">
        <f>Financials!AP104</f>
        <v>3186240.0634058733</v>
      </c>
      <c r="AQ6" s="20">
        <f>Financials!AQ104</f>
        <v>3379982.7756504999</v>
      </c>
      <c r="AR6" s="20">
        <f>Financials!AR104</f>
        <v>3179704.7654666076</v>
      </c>
      <c r="AS6" s="20">
        <f>Financials!AS104</f>
        <v>3394584.9841023064</v>
      </c>
      <c r="AT6" s="20">
        <f>Financials!AT104</f>
        <v>3401904.7497049826</v>
      </c>
      <c r="AU6" s="20">
        <f>Financials!AU104</f>
        <v>3200889.8974053953</v>
      </c>
      <c r="AV6" s="20">
        <f>Financials!AV104</f>
        <v>3416581.7085173759</v>
      </c>
      <c r="AW6" s="20">
        <f>Financials!AW104</f>
        <v>3215073.5802056445</v>
      </c>
      <c r="AX6" s="20">
        <f>Financials!AX104</f>
        <v>3431308.7110207207</v>
      </c>
      <c r="AY6" s="20">
        <f>Financials!AY104</f>
        <v>3471783.2023401321</v>
      </c>
      <c r="AZ6" s="20">
        <f>Financials!AZ104</f>
        <v>3059886.0519416053</v>
      </c>
      <c r="BA6" s="20">
        <f>Financials!BA104</f>
        <v>3486585.5869659502</v>
      </c>
      <c r="BB6" s="20">
        <f>Financials!BB104</f>
        <v>3283837.0609526779</v>
      </c>
      <c r="BC6" s="20">
        <f>Financials!BC104</f>
        <v>3501438.4382235268</v>
      </c>
      <c r="BD6" s="20">
        <f>Financials!BD104</f>
        <v>3298190.8556257365</v>
      </c>
      <c r="BE6" s="20">
        <f>Financials!BE104</f>
        <v>3516341.9262829553</v>
      </c>
      <c r="BF6" s="20">
        <f>Financials!BF104</f>
        <v>3523812.7124475287</v>
      </c>
      <c r="BG6" s="20">
        <f>Financials!BG104</f>
        <v>3319813.4232334057</v>
      </c>
      <c r="BH6" s="20">
        <f>Financials!BH104</f>
        <v>3538792.4760276452</v>
      </c>
      <c r="BI6" s="20">
        <f>Financials!BI104</f>
        <v>3334289.9598094085</v>
      </c>
      <c r="BJ6" s="20">
        <f>Financials!BJ104</f>
        <v>3553823.3043359402</v>
      </c>
      <c r="BK6" s="20">
        <f>Financials!BK104</f>
        <v>3596842.3282316541</v>
      </c>
      <c r="BL6" s="20">
        <f>Financials!BL104</f>
        <v>2965965.9185514329</v>
      </c>
      <c r="BM6" s="20">
        <f>Financials!BM104</f>
        <v>3611950.0766425598</v>
      </c>
      <c r="BN6" s="20">
        <f>Financials!BN104</f>
        <v>3406182.1398005714</v>
      </c>
      <c r="BO6" s="20">
        <f>Financials!BO104</f>
        <v>3627109.3213048913</v>
      </c>
      <c r="BP6" s="20">
        <f>Financials!BP104</f>
        <v>3420832.2602412542</v>
      </c>
      <c r="BQ6" s="20">
        <f>Financials!BQ104</f>
        <v>3642320.2358418321</v>
      </c>
      <c r="BR6" s="20">
        <f>Financials!BR104</f>
        <v>3649945.1237296881</v>
      </c>
      <c r="BS6" s="20">
        <f>Financials!BS104</f>
        <v>3442901.1916009183</v>
      </c>
      <c r="BT6" s="20">
        <f>Financials!BT104</f>
        <v>3665233.8698962624</v>
      </c>
      <c r="BU6" s="20">
        <f>Financials!BU104</f>
        <v>3457676.5589719629</v>
      </c>
      <c r="BV6" s="20">
        <f>Financials!BV104</f>
        <v>3680574.7225471027</v>
      </c>
      <c r="BW6" s="20">
        <f>Financials!BW104</f>
        <v>3726314.3209924125</v>
      </c>
      <c r="BX6" s="20">
        <f>Financials!BX104</f>
        <v>3085916.3222310673</v>
      </c>
      <c r="BY6" s="20">
        <f>Financials!BY104</f>
        <v>3741733.6629342986</v>
      </c>
      <c r="BZ6" s="20">
        <f>Financials!BZ104</f>
        <v>3532885.4035301637</v>
      </c>
      <c r="CA6" s="20">
        <f>Financials!CA104</f>
        <v>3757205.5516398256</v>
      </c>
      <c r="CB6" s="20">
        <f>Financials!CB104</f>
        <v>3547837.8972233823</v>
      </c>
      <c r="CC6" s="20">
        <f>Financials!CC104</f>
        <v>3772730.1642551469</v>
      </c>
      <c r="CD6" s="20">
        <f>Financials!CD104</f>
        <v>3780512.2975495327</v>
      </c>
      <c r="CE6" s="20">
        <f>Financials!CE104</f>
        <v>3570362.3016175544</v>
      </c>
      <c r="CF6" s="20">
        <f>Financials!CF104</f>
        <v>3796116.3294786159</v>
      </c>
      <c r="CG6" s="20">
        <f>Financials!CG104</f>
        <v>3585442.5981077929</v>
      </c>
      <c r="CH6" s="20">
        <f>Financials!CH104</f>
        <v>3811773.5307862107</v>
      </c>
      <c r="CI6" s="20">
        <f>Financials!CI104</f>
        <v>3781255.6436125897</v>
      </c>
      <c r="CJ6" s="20">
        <f>Financials!CJ104</f>
        <v>3131143.902035248</v>
      </c>
      <c r="CK6" s="20">
        <f>Financials!CK104</f>
        <v>3796992.9352395432</v>
      </c>
      <c r="CL6" s="20">
        <f>Financials!CL104</f>
        <v>3585002.2124085492</v>
      </c>
      <c r="CM6" s="20">
        <f>Financials!CM104</f>
        <v>3812783.8454577075</v>
      </c>
      <c r="CN6" s="20">
        <f>Financials!CN104</f>
        <v>3600263.2495702459</v>
      </c>
      <c r="CO6" s="20">
        <f>Financials!CO104</f>
        <v>3828628.5550075043</v>
      </c>
      <c r="CP6" s="20">
        <f>Financials!CP104</f>
        <v>3836571.141178811</v>
      </c>
      <c r="CQ6" s="20">
        <f>Financials!CQ104</f>
        <v>3623252.4211482024</v>
      </c>
      <c r="CR6" s="20">
        <f>Financials!CR104</f>
        <v>3852496.8899406781</v>
      </c>
      <c r="CS6" s="20">
        <f>Financials!CS104</f>
        <v>3638643.8688417622</v>
      </c>
      <c r="CT6" s="20">
        <f>Financials!CT104</f>
        <v>3868476.8925412339</v>
      </c>
      <c r="CU6" s="20">
        <f>Financials!CU104</f>
        <v>3920236.9291137978</v>
      </c>
      <c r="CV6" s="20">
        <f>Financials!CV104</f>
        <v>3260215.4128218526</v>
      </c>
      <c r="CW6" s="20">
        <f>Financials!CW104</f>
        <v>3936298.655546247</v>
      </c>
      <c r="CX6" s="20">
        <f>Financials!CX104</f>
        <v>3721102.074486522</v>
      </c>
      <c r="CY6" s="20">
        <f>Financials!CY104</f>
        <v>3952415.0941441967</v>
      </c>
      <c r="CZ6" s="20">
        <f>Financials!CZ104</f>
        <v>3736677.9505476211</v>
      </c>
      <c r="DA6" s="20">
        <f>Financials!DA104</f>
        <v>3968586.4293150608</v>
      </c>
      <c r="DB6" s="20">
        <f>Financials!DB104</f>
        <v>3976692.7409116738</v>
      </c>
      <c r="DC6" s="20">
        <f>Financials!DC104</f>
        <v>3760141.3720668741</v>
      </c>
      <c r="DD6" s="20">
        <f>Financials!DD104</f>
        <v>3992946.7680589999</v>
      </c>
      <c r="DE6" s="20">
        <f>Financials!DE104</f>
        <v>3775850.3193125967</v>
      </c>
      <c r="DF6" s="20">
        <f>Financials!DF104</f>
        <v>4009256.1555075478</v>
      </c>
      <c r="DG6" s="20">
        <f>Financials!DG104</f>
        <v>4064343.9650905626</v>
      </c>
      <c r="DH6" s="20">
        <f>Financials!DH104</f>
        <v>3394212.6857468029</v>
      </c>
      <c r="DI6" s="20">
        <f>Financials!DI104</f>
        <v>4080736.743025125</v>
      </c>
      <c r="DJ6" s="20">
        <f>Financials!DJ104</f>
        <v>3862269.6296910881</v>
      </c>
      <c r="DK6" s="20">
        <f>Financials!DK104</f>
        <v>4097185.3488862617</v>
      </c>
      <c r="DL6" s="20">
        <f>Financials!DL104</f>
        <v>3878166.7678316431</v>
      </c>
      <c r="DM6" s="20">
        <f>Financials!DM104</f>
        <v>4113689.9708225913</v>
      </c>
      <c r="DN6" s="20">
        <f>Financials!DN104</f>
        <v>4121963.3467878383</v>
      </c>
      <c r="DO6" s="20">
        <f>Financials!DO104</f>
        <v>3902114.1144750449</v>
      </c>
      <c r="DP6" s="20">
        <f>Financials!DP104</f>
        <v>4138552.3469961919</v>
      </c>
      <c r="DQ6" s="20">
        <f>Financials!DQ104</f>
        <v>3918147.0384418499</v>
      </c>
      <c r="DR6" s="20">
        <f>Financials!DR104</f>
        <v>3013899.5719609438</v>
      </c>
      <c r="DS6" s="20">
        <f>Financials!DS104</f>
        <v>3061303.6536205616</v>
      </c>
      <c r="DT6" s="20">
        <f>Financials!DT104</f>
        <v>2515161.3544659535</v>
      </c>
      <c r="DU6" s="20">
        <f>Financials!DU104</f>
        <v>3071105.2070852206</v>
      </c>
      <c r="DV6" s="20">
        <f>Financials!DV104</f>
        <v>2891855.1614663969</v>
      </c>
      <c r="DW6" s="20">
        <f>Financials!DW104</f>
        <v>3080910.4110637223</v>
      </c>
      <c r="DX6" s="20">
        <f>Financials!DX104</f>
        <v>2901189.1462147841</v>
      </c>
      <c r="DY6" s="20">
        <f>Financials!DY104</f>
        <v>3090718.9286056068</v>
      </c>
      <c r="DZ6" s="20">
        <f>Financials!DZ104</f>
        <v>3095624.3232389912</v>
      </c>
      <c r="EA6" s="20">
        <f>Financials!EA104</f>
        <v>2915192.9493176294</v>
      </c>
      <c r="EB6" s="20">
        <f>Financials!EB104</f>
        <v>3105437.1678972254</v>
      </c>
      <c r="EC6" s="20">
        <f>Financials!EC104</f>
        <v>2924530.1895699101</v>
      </c>
      <c r="ED6" s="20">
        <f>Financials!ED104</f>
        <v>3115252.460741871</v>
      </c>
      <c r="EE6" s="20">
        <f>Financials!EE104</f>
        <v>3146506.8176239673</v>
      </c>
      <c r="EF6" s="20">
        <f>Financials!EF104</f>
        <v>2591817.8465770157</v>
      </c>
      <c r="EG6" s="20">
        <f>Financials!EG104</f>
        <v>3156325.1144372853</v>
      </c>
      <c r="EH6" s="20">
        <f>Financials!EH104</f>
        <v>4068877.1757115931</v>
      </c>
      <c r="EI6" s="20">
        <f>Financials!EI104</f>
        <v>4262077.8619317533</v>
      </c>
      <c r="EJ6" s="20">
        <f>Financials!EJ104</f>
        <v>4080776.8406776106</v>
      </c>
      <c r="EK6" s="20">
        <f>Financials!EK104</f>
        <v>4274475.4772477858</v>
      </c>
      <c r="EL6" s="20">
        <f>Financials!EL104</f>
        <v>4280685.8939058501</v>
      </c>
      <c r="EM6" s="20">
        <f>Financials!EM104</f>
        <v>4098681.371613808</v>
      </c>
      <c r="EN6" s="20">
        <f>Financials!EN104</f>
        <v>4293129.9280569926</v>
      </c>
      <c r="EO6" s="20">
        <f>Financials!EO104</f>
        <v>4110654.3666702053</v>
      </c>
      <c r="EP6" s="20">
        <f>Financials!EP104</f>
        <v>4305604.8725751992</v>
      </c>
      <c r="EQ6" s="20">
        <f>Financials!EQ104</f>
        <v>4330068.9197748723</v>
      </c>
      <c r="ER6" s="20">
        <f>Financials!ER104</f>
        <v>3767999.7995967837</v>
      </c>
      <c r="ES6" s="20">
        <f>Financials!ES104</f>
        <v>4342590.1724222293</v>
      </c>
      <c r="ET6" s="20">
        <f>Financials!ET104</f>
        <v>4158929.8334729653</v>
      </c>
      <c r="EU6" s="20">
        <f>Financials!EU104</f>
        <v>4355142.2564180996</v>
      </c>
      <c r="EV6" s="20">
        <f>Financials!EV104</f>
        <v>4171005.118045941</v>
      </c>
      <c r="EW6" s="20">
        <f>Financials!EW104</f>
        <v>4367725.1371753961</v>
      </c>
      <c r="EX6" s="20">
        <f>Financials!EX104</f>
        <v>4374028.1150562009</v>
      </c>
      <c r="EY6" s="20">
        <f>Financials!EY104</f>
        <v>4189172.6630913764</v>
      </c>
      <c r="EZ6" s="20">
        <f>Financials!EZ104</f>
        <v>4386657.1222933456</v>
      </c>
      <c r="FA6" s="20">
        <f>Financials!FA104</f>
        <v>4201320.709012731</v>
      </c>
      <c r="FB6" s="20">
        <f>Financials!FB104</f>
        <v>4399316.8321603741</v>
      </c>
      <c r="FC6" s="20">
        <f>Financials!FC104</f>
        <v>4425026.4309133235</v>
      </c>
      <c r="FD6" s="20">
        <f>Financials!FD104</f>
        <v>3854145.4000484468</v>
      </c>
      <c r="FE6" s="20">
        <f>Financials!FE104</f>
        <v>4437732.1176852277</v>
      </c>
      <c r="FF6" s="20">
        <f>Financials!FF104</f>
        <v>4251185.9548120638</v>
      </c>
      <c r="FG6" s="20">
        <f>Financials!FG104</f>
        <v>4450468.4016924854</v>
      </c>
      <c r="FH6" s="20">
        <f>Financials!FH104</f>
        <v>4263435.3835090334</v>
      </c>
      <c r="FI6" s="20">
        <f>Financials!FI104</f>
        <v>4463235.2375336345</v>
      </c>
      <c r="FJ6" s="20">
        <f>Financials!FJ104</f>
        <v>4469630.0976870926</v>
      </c>
      <c r="FK6" s="20">
        <f>Financials!FK104</f>
        <v>4281863.6096307337</v>
      </c>
      <c r="FL6" s="20">
        <f>Financials!FL104</f>
        <v>4482442.6720032571</v>
      </c>
      <c r="FM6" s="20">
        <f>Financials!FM104</f>
        <v>4294185.0698700557</v>
      </c>
      <c r="FN6" s="20">
        <f>Financials!FN104</f>
        <v>4495285.6763095614</v>
      </c>
      <c r="FO6" s="20">
        <f>Financials!FO104</f>
        <v>4520061.5303113563</v>
      </c>
      <c r="FP6" s="20">
        <f>Financials!FP104</f>
        <v>3940188.0874478258</v>
      </c>
      <c r="FQ6" s="20">
        <f>Financials!FQ104</f>
        <v>4532950.0812121434</v>
      </c>
      <c r="FR6" s="20">
        <f>Financials!FR104</f>
        <v>4343457.1761855371</v>
      </c>
      <c r="FS6" s="20">
        <f>Financials!FS104</f>
        <v>4545868.9280062942</v>
      </c>
      <c r="FT6" s="20">
        <f>Financials!FT104</f>
        <v>4355878.8772846181</v>
      </c>
      <c r="FU6" s="20">
        <f>Financials!FU104</f>
        <v>4558818.0135273952</v>
      </c>
      <c r="FV6" s="20">
        <f>Financials!FV104</f>
        <v>4565303.8773840377</v>
      </c>
      <c r="FW6" s="20">
        <f>Financials!FW104</f>
        <v>4374564.8466069037</v>
      </c>
      <c r="FX6" s="20">
        <f>Financials!FX104</f>
        <v>4578298.2092983183</v>
      </c>
      <c r="FY6" s="20">
        <f>Financials!FY104</f>
        <v>4387057.6742990687</v>
      </c>
      <c r="FZ6" s="20">
        <f>Financials!FZ104</f>
        <v>4591322.6279557887</v>
      </c>
      <c r="GA6" s="20">
        <f>Financials!GA104</f>
        <v>4617515.0703938119</v>
      </c>
      <c r="GB6" s="20">
        <f>Financials!GB104</f>
        <v>4028464.8783904682</v>
      </c>
      <c r="GC6" s="20">
        <f>Financials!GC104</f>
        <v>4630584.4975607172</v>
      </c>
      <c r="GD6" s="20">
        <f>Financials!GD104</f>
        <v>4438082.507773716</v>
      </c>
      <c r="GE6" s="20">
        <f>Financials!GE104</f>
        <v>4643683.8461688608</v>
      </c>
      <c r="GF6" s="20">
        <f>Financials!GF104</f>
        <v>4450674.178789461</v>
      </c>
      <c r="GG6" s="20">
        <f>Financials!GG104</f>
        <v>4656813.0462641809</v>
      </c>
      <c r="GH6" s="20">
        <f>Financials!GH104</f>
        <v>4663388.8181483094</v>
      </c>
      <c r="GI6" s="20">
        <f>Financials!GI104</f>
        <v>4469614.2960121538</v>
      </c>
      <c r="GJ6" s="20">
        <f>Financials!GJ104</f>
        <v>4676562.6594106937</v>
      </c>
      <c r="GK6" s="20">
        <f>Financials!GK104</f>
        <v>4482275.9983821409</v>
      </c>
      <c r="GL6" s="20">
        <f>Financials!GL104</f>
        <v>4689766.1674245857</v>
      </c>
      <c r="GM6" s="20">
        <f>Financials!GM104</f>
        <v>4703246.388529405</v>
      </c>
      <c r="GN6" s="20">
        <f>Financials!GN104</f>
        <v>4104831.1830563536</v>
      </c>
      <c r="GO6" s="20">
        <f>Financials!GO104</f>
        <v>4716494.2498454992</v>
      </c>
      <c r="GP6" s="20">
        <f>Financials!GP104</f>
        <v>5337459.2091304595</v>
      </c>
      <c r="GQ6" s="20">
        <f>Financials!GQ104</f>
        <v>5547264.052196702</v>
      </c>
      <c r="GR6" s="20">
        <f>Financials!GR104</f>
        <v>5352128.8963168692</v>
      </c>
      <c r="GS6" s="20">
        <f>Financials!GS104</f>
        <v>5562492.7278475659</v>
      </c>
      <c r="GT6" s="20">
        <f>Financials!GT104</f>
        <v>5570126.474440543</v>
      </c>
      <c r="GU6" s="20">
        <f>Financials!GU104</f>
        <v>5374227.0797766186</v>
      </c>
      <c r="GV6" s="20">
        <f>Financials!GV104</f>
        <v>5585432.8940697601</v>
      </c>
      <c r="GW6" s="20">
        <f>Financials!GW104</f>
        <v>5389021.8826617599</v>
      </c>
      <c r="GX6" s="20">
        <f>Financials!GX104</f>
        <v>5600791.3612600248</v>
      </c>
      <c r="GY6" s="20">
        <f>Financials!GY104</f>
        <v>5608490.1674415451</v>
      </c>
      <c r="GZ6" s="20">
        <f>Financials!GZ104</f>
        <v>5001521.4886472505</v>
      </c>
      <c r="HA6" s="20">
        <f>Financials!HA104</f>
        <v>5623927.0348004019</v>
      </c>
      <c r="HB6" s="20">
        <f>Financials!HB104</f>
        <v>5426229.5053712577</v>
      </c>
      <c r="HC6" s="20">
        <f>Financials!HC104</f>
        <v>5639416.3890137849</v>
      </c>
      <c r="HD6" s="20">
        <f>Financials!HD104</f>
        <v>5441201.2469381392</v>
      </c>
      <c r="HE6" s="20">
        <f>Financials!HE104</f>
        <v>5654958.4068306051</v>
      </c>
      <c r="HF6" s="20">
        <f>Financials!HF104</f>
        <v>5662749.2199862702</v>
      </c>
      <c r="HG6" s="20">
        <f>Financials!HG104</f>
        <v>5463754.420913646</v>
      </c>
      <c r="HH6" s="20">
        <f>Financials!HH104</f>
        <v>5678370.5659088781</v>
      </c>
      <c r="HI6" s="20">
        <f>Financials!HI104</f>
        <v>5478853.8284179065</v>
      </c>
      <c r="HJ6" s="20">
        <f>Financials!HJ104</f>
        <v>5694045.0199032985</v>
      </c>
      <c r="HK6" s="20">
        <f>Financials!HK104</f>
        <v>5701902.2182887318</v>
      </c>
      <c r="HL6" s="20">
        <f>Financials!HL104</f>
        <v>5085252.4026264204</v>
      </c>
      <c r="HM6" s="20">
        <f>Financials!HM104</f>
        <v>5717656.6698862035</v>
      </c>
      <c r="HN6" s="20">
        <f>Financials!HN104</f>
        <v>5516827.4593232684</v>
      </c>
      <c r="HO6" s="20">
        <f>Financials!HO104</f>
        <v>5733464.677757401</v>
      </c>
      <c r="HP6" s="20">
        <f>Financials!HP104</f>
        <v>5532107.4118793942</v>
      </c>
      <c r="HQ6" s="20">
        <f>Financials!HQ104</f>
        <v>5749326.422235487</v>
      </c>
      <c r="HR6" s="20">
        <f>Financials!HR104</f>
        <v>5757277.5022214353</v>
      </c>
      <c r="HS6" s="20">
        <f>Financials!HS104</f>
        <v>5555124.8500017524</v>
      </c>
      <c r="HT6" s="20">
        <f>Financials!HT104</f>
        <v>5773220.1910571726</v>
      </c>
      <c r="HU6" s="20">
        <f>Financials!HU104</f>
        <v>5570535.0704585575</v>
      </c>
      <c r="HV6" s="20">
        <f>Financials!HV104</f>
        <v>5789217.0699813114</v>
      </c>
      <c r="HW6" s="20">
        <f>Financials!HW104</f>
        <v>5797235.8877205933</v>
      </c>
      <c r="HX6" s="20">
        <f>Financials!HX104</f>
        <v>5170709.5578107545</v>
      </c>
      <c r="HY6" s="20">
        <f>Financials!HY104</f>
        <v>5813314.3940758919</v>
      </c>
      <c r="HZ6" s="20">
        <f>Financials!HZ104</f>
        <v>5609290.3215939626</v>
      </c>
      <c r="IA6" s="20">
        <f>Financials!IA104</f>
        <v>6136260.5766422944</v>
      </c>
      <c r="IB6" s="20">
        <f>Financials!IB104</f>
        <v>5920931.3332804032</v>
      </c>
      <c r="IC6" s="20">
        <f>Financials!IC104</f>
        <v>6153300.5609614467</v>
      </c>
      <c r="ID6" s="20">
        <f>Financials!ID104</f>
        <v>6161842.2577828523</v>
      </c>
      <c r="IE6" s="20">
        <f>Financials!IE104</f>
        <v>5945658.8743184227</v>
      </c>
      <c r="IF6" s="20">
        <f>Financials!IF104</f>
        <v>6178969.1825060695</v>
      </c>
      <c r="IG6" s="20">
        <f>Financials!IG104</f>
        <v>5962213.9981685244</v>
      </c>
      <c r="IH6" s="20">
        <f>Financials!IH104</f>
        <v>6196154.3114881301</v>
      </c>
      <c r="II6" s="20">
        <f>Financials!II104</f>
        <v>6204768.7637864854</v>
      </c>
      <c r="IJ6" s="20">
        <f>Financials!IJ104</f>
        <v>5534661.221891012</v>
      </c>
      <c r="IK6" s="20">
        <f>Financials!IK104</f>
        <v>6222041.5667772619</v>
      </c>
      <c r="IL6" s="20">
        <f>Financials!IL104</f>
        <v>6003848.5245179087</v>
      </c>
      <c r="IM6" s="20">
        <f>Financials!IM104</f>
        <v>6239373.0651459638</v>
      </c>
      <c r="IN6" s="20">
        <f>Financials!IN104</f>
        <v>6020601.5206868434</v>
      </c>
      <c r="IO6" s="20">
        <f>Financials!IO104</f>
        <v>6256763.4564932873</v>
      </c>
      <c r="IP6" s="20">
        <f>Financials!IP104</f>
        <v>6265480.7989651589</v>
      </c>
      <c r="IQ6" s="20">
        <f>Financials!IQ104</f>
        <v>6045837.8822216392</v>
      </c>
      <c r="IR6" s="20">
        <f>Financials!IR104</f>
        <v>6282959.901730869</v>
      </c>
      <c r="IS6" s="20">
        <f>Financials!IS104</f>
        <v>6062733.6480837865</v>
      </c>
      <c r="IT6" s="20">
        <f>Financials!IT104</f>
        <v>6300498.3943788903</v>
      </c>
      <c r="IU6" s="20">
        <f>Financials!IU104</f>
        <v>6309289.9743601494</v>
      </c>
      <c r="IV6" s="20">
        <f>Financials!IV104</f>
        <v>5628362.2446886431</v>
      </c>
      <c r="IW6" s="20">
        <f>Financials!IW104</f>
        <v>6326917.9269060707</v>
      </c>
      <c r="IX6" s="20">
        <f>Financials!IX104</f>
        <v>6105224.8066452853</v>
      </c>
      <c r="IY6" s="20">
        <f>Financials!IY104</f>
        <v>6344605.770411415</v>
      </c>
      <c r="IZ6" s="20">
        <f>Financials!IZ104</f>
        <v>6122322.4766900409</v>
      </c>
      <c r="JA6" s="20">
        <f>Financials!JA104</f>
        <v>6362353.70648342</v>
      </c>
      <c r="JB6" s="20">
        <f>Financials!JB104</f>
        <v>6371250.2724188482</v>
      </c>
      <c r="JC6" s="20">
        <f>Financials!JC104</f>
        <v>6148078.0264919586</v>
      </c>
      <c r="JD6" s="20">
        <f>Financials!JD104</f>
        <v>6389088.7268328704</v>
      </c>
      <c r="JE6" s="20">
        <f>Financials!JE104</f>
        <v>6165321.3751788903</v>
      </c>
      <c r="JF6" s="20">
        <f>Financials!JF104</f>
        <v>6406987.7807922969</v>
      </c>
      <c r="JG6" s="20">
        <f>Financials!JG104</f>
        <v>6415960.0963191409</v>
      </c>
      <c r="JH6" s="20">
        <f>Financials!JH104</f>
        <v>5723993.8130347356</v>
      </c>
      <c r="JI6" s="20">
        <f>Financials!JI104</f>
        <v>6433950.4322758727</v>
      </c>
      <c r="JJ6" s="20">
        <f>Financials!JJ104</f>
        <v>6208686.619930597</v>
      </c>
      <c r="JK6" s="20">
        <f>Financials!JK104</f>
        <v>6452001.879014601</v>
      </c>
      <c r="JL6" s="20">
        <f>Financials!JL104</f>
        <v>6226135.9864256196</v>
      </c>
      <c r="JM6" s="20">
        <f>Financials!JM104</f>
        <v>6470114.6422301494</v>
      </c>
      <c r="JN6" s="20">
        <f>Financials!JN104</f>
        <v>6479194.0819847658</v>
      </c>
      <c r="JO6" s="20">
        <f>Financials!JO104</f>
        <v>6252421.3025118168</v>
      </c>
      <c r="JP6" s="20">
        <f>Financials!JP104</f>
        <v>6497399.2071017139</v>
      </c>
      <c r="JQ6" s="20">
        <f>Financials!JQ104</f>
        <v>6270019.3155868361</v>
      </c>
      <c r="JR6" s="20">
        <f>Financials!JR104</f>
        <v>6515666.1659530886</v>
      </c>
    </row>
    <row r="7" spans="2:279" x14ac:dyDescent="0.2">
      <c r="B7" s="71" t="s">
        <v>194</v>
      </c>
      <c r="C7" s="72">
        <f t="shared" ref="C7:BN7" si="32">SUM(C5:C6)</f>
        <v>-14255698.433819117</v>
      </c>
      <c r="D7" s="72">
        <f t="shared" si="32"/>
        <v>-4785603.3425289877</v>
      </c>
      <c r="E7" s="72">
        <f t="shared" si="32"/>
        <v>-4009865.8143464723</v>
      </c>
      <c r="F7" s="72">
        <f t="shared" si="32"/>
        <v>-2777465.8294526343</v>
      </c>
      <c r="G7" s="72">
        <f t="shared" si="32"/>
        <v>-5989709.0508059748</v>
      </c>
      <c r="H7" s="72">
        <f t="shared" si="32"/>
        <v>-7424724.6050869329</v>
      </c>
      <c r="I7" s="72">
        <f t="shared" si="32"/>
        <v>-6724655.3583041737</v>
      </c>
      <c r="J7" s="72">
        <f t="shared" si="32"/>
        <v>-6001970.1827104846</v>
      </c>
      <c r="K7" s="72">
        <f t="shared" si="32"/>
        <v>-5696217.6884906162</v>
      </c>
      <c r="L7" s="72">
        <f t="shared" si="32"/>
        <v>-4935662.9515681118</v>
      </c>
      <c r="M7" s="72">
        <f t="shared" si="32"/>
        <v>-4907436.7847301578</v>
      </c>
      <c r="N7" s="72">
        <f t="shared" si="32"/>
        <v>-6700892.9202868603</v>
      </c>
      <c r="O7" s="72">
        <f t="shared" si="32"/>
        <v>-1380307.8092666978</v>
      </c>
      <c r="P7" s="72">
        <f t="shared" si="32"/>
        <v>-1380307.8092666978</v>
      </c>
      <c r="Q7" s="72">
        <f t="shared" si="32"/>
        <v>-1380307.8092666978</v>
      </c>
      <c r="R7" s="72">
        <f t="shared" si="32"/>
        <v>1090185.4326334842</v>
      </c>
      <c r="S7" s="72">
        <f t="shared" si="32"/>
        <v>1241296.1888189735</v>
      </c>
      <c r="T7" s="72">
        <f t="shared" si="32"/>
        <v>1103180.8960343287</v>
      </c>
      <c r="U7" s="72">
        <f t="shared" si="32"/>
        <v>1261173.5563232983</v>
      </c>
      <c r="V7" s="72">
        <f t="shared" si="32"/>
        <v>1261581.9515087372</v>
      </c>
      <c r="W7" s="72">
        <f t="shared" si="32"/>
        <v>1122757.4051081468</v>
      </c>
      <c r="X7" s="72">
        <f t="shared" si="32"/>
        <v>1275163.5259935472</v>
      </c>
      <c r="Y7" s="72">
        <f t="shared" si="32"/>
        <v>1135864.1726116217</v>
      </c>
      <c r="Z7" s="72">
        <f t="shared" si="32"/>
        <v>1288791.4684742927</v>
      </c>
      <c r="AA7" s="72">
        <f t="shared" si="32"/>
        <v>1324403.5321620042</v>
      </c>
      <c r="AB7" s="72">
        <f t="shared" si="32"/>
        <v>890673.81292343268</v>
      </c>
      <c r="AC7" s="72">
        <f t="shared" si="32"/>
        <v>1338101.3201508245</v>
      </c>
      <c r="AD7" s="72">
        <f t="shared" si="32"/>
        <v>2897138.2634053677</v>
      </c>
      <c r="AE7" s="72">
        <f t="shared" si="32"/>
        <v>3108027.1284728386</v>
      </c>
      <c r="AF7" s="72">
        <f t="shared" si="32"/>
        <v>2910402.4404444089</v>
      </c>
      <c r="AG7" s="72">
        <f t="shared" si="32"/>
        <v>3121818.5944591495</v>
      </c>
      <c r="AH7" s="72">
        <f t="shared" si="32"/>
        <v>3128731.9711059947</v>
      </c>
      <c r="AI7" s="72">
        <f t="shared" si="32"/>
        <v>2930383.7216551104</v>
      </c>
      <c r="AJ7" s="72">
        <f t="shared" si="32"/>
        <v>3142594.1108922465</v>
      </c>
      <c r="AK7" s="72">
        <f t="shared" si="32"/>
        <v>2943761.4761453476</v>
      </c>
      <c r="AL7" s="72">
        <f t="shared" si="32"/>
        <v>3156503.5653036414</v>
      </c>
      <c r="AM7" s="72">
        <f t="shared" si="32"/>
        <v>3194337.2968534539</v>
      </c>
      <c r="AN7" s="72">
        <f t="shared" si="32"/>
        <v>2581681.7517261133</v>
      </c>
      <c r="AO7" s="72">
        <f t="shared" si="32"/>
        <v>3208318.0226746532</v>
      </c>
      <c r="AP7" s="72">
        <f t="shared" si="32"/>
        <v>3186240.0634058733</v>
      </c>
      <c r="AQ7" s="72">
        <f t="shared" si="32"/>
        <v>3379982.7756504999</v>
      </c>
      <c r="AR7" s="72">
        <f t="shared" si="32"/>
        <v>3179704.7654666076</v>
      </c>
      <c r="AS7" s="72">
        <f t="shared" si="32"/>
        <v>3394584.9841023064</v>
      </c>
      <c r="AT7" s="72">
        <f t="shared" si="32"/>
        <v>3401904.7497049826</v>
      </c>
      <c r="AU7" s="72">
        <f t="shared" si="32"/>
        <v>3200889.8974053953</v>
      </c>
      <c r="AV7" s="72">
        <f t="shared" si="32"/>
        <v>3416581.7085173759</v>
      </c>
      <c r="AW7" s="72">
        <f t="shared" si="32"/>
        <v>3215073.5802056445</v>
      </c>
      <c r="AX7" s="72">
        <f t="shared" si="32"/>
        <v>3431308.7110207207</v>
      </c>
      <c r="AY7" s="72">
        <f t="shared" si="32"/>
        <v>3471783.2023401321</v>
      </c>
      <c r="AZ7" s="72">
        <f t="shared" si="32"/>
        <v>3059886.0519416053</v>
      </c>
      <c r="BA7" s="72">
        <f t="shared" si="32"/>
        <v>3486585.5869659502</v>
      </c>
      <c r="BB7" s="72">
        <f t="shared" si="32"/>
        <v>3283837.0609526779</v>
      </c>
      <c r="BC7" s="72">
        <f t="shared" si="32"/>
        <v>3501438.4382235268</v>
      </c>
      <c r="BD7" s="72">
        <f t="shared" si="32"/>
        <v>3298190.8556257365</v>
      </c>
      <c r="BE7" s="72">
        <f t="shared" si="32"/>
        <v>3516341.9262829553</v>
      </c>
      <c r="BF7" s="72">
        <f t="shared" si="32"/>
        <v>3523812.7124475287</v>
      </c>
      <c r="BG7" s="72">
        <f t="shared" si="32"/>
        <v>3319813.4232334057</v>
      </c>
      <c r="BH7" s="72">
        <f t="shared" si="32"/>
        <v>3538792.4760276452</v>
      </c>
      <c r="BI7" s="72">
        <f t="shared" si="32"/>
        <v>3334289.9598094085</v>
      </c>
      <c r="BJ7" s="72">
        <f t="shared" si="32"/>
        <v>3553823.3043359402</v>
      </c>
      <c r="BK7" s="72">
        <f t="shared" si="32"/>
        <v>3596842.3282316541</v>
      </c>
      <c r="BL7" s="72">
        <f t="shared" si="32"/>
        <v>2965965.9185514329</v>
      </c>
      <c r="BM7" s="72">
        <f t="shared" si="32"/>
        <v>3611950.0766425598</v>
      </c>
      <c r="BN7" s="72">
        <f t="shared" si="32"/>
        <v>3406182.1398005714</v>
      </c>
      <c r="BO7" s="72">
        <f t="shared" ref="BO7:CS7" si="33">SUM(BO5:BO6)</f>
        <v>3627109.3213048913</v>
      </c>
      <c r="BP7" s="72">
        <f t="shared" si="33"/>
        <v>3420832.2602412542</v>
      </c>
      <c r="BQ7" s="72">
        <f t="shared" si="33"/>
        <v>3642320.2358418321</v>
      </c>
      <c r="BR7" s="72">
        <f t="shared" si="33"/>
        <v>3649945.1237296881</v>
      </c>
      <c r="BS7" s="72">
        <f t="shared" si="33"/>
        <v>3442901.1916009183</v>
      </c>
      <c r="BT7" s="72">
        <f t="shared" si="33"/>
        <v>3665233.8698962624</v>
      </c>
      <c r="BU7" s="72">
        <f t="shared" si="33"/>
        <v>3457676.5589719629</v>
      </c>
      <c r="BV7" s="72">
        <f t="shared" si="33"/>
        <v>3680574.7225471027</v>
      </c>
      <c r="BW7" s="72">
        <f t="shared" si="33"/>
        <v>3726314.3209924125</v>
      </c>
      <c r="BX7" s="72">
        <f t="shared" si="33"/>
        <v>3085916.3222310673</v>
      </c>
      <c r="BY7" s="72">
        <f t="shared" si="33"/>
        <v>3741733.6629342986</v>
      </c>
      <c r="BZ7" s="72">
        <f t="shared" si="33"/>
        <v>3532885.4035301637</v>
      </c>
      <c r="CA7" s="72">
        <f t="shared" si="33"/>
        <v>3757205.5516398256</v>
      </c>
      <c r="CB7" s="72">
        <f t="shared" si="33"/>
        <v>3547837.8972233823</v>
      </c>
      <c r="CC7" s="72">
        <f t="shared" si="33"/>
        <v>3772730.1642551469</v>
      </c>
      <c r="CD7" s="72">
        <f t="shared" si="33"/>
        <v>3780512.2975495327</v>
      </c>
      <c r="CE7" s="72">
        <f t="shared" si="33"/>
        <v>3570362.3016175544</v>
      </c>
      <c r="CF7" s="72">
        <f t="shared" si="33"/>
        <v>3796116.3294786159</v>
      </c>
      <c r="CG7" s="72">
        <f t="shared" si="33"/>
        <v>3585442.5981077929</v>
      </c>
      <c r="CH7" s="72">
        <f t="shared" si="33"/>
        <v>3811773.5307862107</v>
      </c>
      <c r="CI7" s="72">
        <f t="shared" si="33"/>
        <v>3781255.6436125897</v>
      </c>
      <c r="CJ7" s="72">
        <f t="shared" si="33"/>
        <v>3131143.902035248</v>
      </c>
      <c r="CK7" s="72">
        <f t="shared" si="33"/>
        <v>3796992.9352395432</v>
      </c>
      <c r="CL7" s="72">
        <f t="shared" si="33"/>
        <v>3585002.2124085492</v>
      </c>
      <c r="CM7" s="72">
        <f t="shared" si="33"/>
        <v>3812783.8454577075</v>
      </c>
      <c r="CN7" s="72">
        <f t="shared" si="33"/>
        <v>3600263.2495702459</v>
      </c>
      <c r="CO7" s="72">
        <f t="shared" si="33"/>
        <v>3828628.5550075043</v>
      </c>
      <c r="CP7" s="72">
        <f t="shared" si="33"/>
        <v>3836571.141178811</v>
      </c>
      <c r="CQ7" s="72">
        <f t="shared" si="33"/>
        <v>3623252.4211482024</v>
      </c>
      <c r="CR7" s="72">
        <f t="shared" si="33"/>
        <v>3852496.8899406781</v>
      </c>
      <c r="CS7" s="72">
        <f t="shared" si="33"/>
        <v>3638643.8688417622</v>
      </c>
      <c r="CT7" s="72">
        <f>SUM(CT5:CT6)</f>
        <v>3868476.8925412339</v>
      </c>
      <c r="CU7" s="72">
        <f t="shared" ref="CU7" si="34">SUM(CU5:CU6)</f>
        <v>3920236.9291137978</v>
      </c>
      <c r="CV7" s="72">
        <f t="shared" ref="CV7" si="35">SUM(CV5:CV6)</f>
        <v>3260215.4128218526</v>
      </c>
      <c r="CW7" s="72">
        <f t="shared" ref="CW7" si="36">SUM(CW5:CW6)</f>
        <v>3936298.655546247</v>
      </c>
      <c r="CX7" s="72">
        <f t="shared" ref="CX7" si="37">SUM(CX5:CX6)</f>
        <v>3721102.074486522</v>
      </c>
      <c r="CY7" s="72">
        <f t="shared" ref="CY7" si="38">SUM(CY5:CY6)</f>
        <v>3952415.0941441967</v>
      </c>
      <c r="CZ7" s="72">
        <f t="shared" ref="CZ7" si="39">SUM(CZ5:CZ6)</f>
        <v>3736677.9505476211</v>
      </c>
      <c r="DA7" s="72">
        <f t="shared" ref="DA7" si="40">SUM(DA5:DA6)</f>
        <v>3968586.4293150608</v>
      </c>
      <c r="DB7" s="72">
        <f t="shared" ref="DB7" si="41">SUM(DB5:DB6)</f>
        <v>3976692.7409116738</v>
      </c>
      <c r="DC7" s="72">
        <f t="shared" ref="DC7" si="42">SUM(DC5:DC6)</f>
        <v>3760141.3720668741</v>
      </c>
      <c r="DD7" s="72">
        <f t="shared" ref="DD7" si="43">SUM(DD5:DD6)</f>
        <v>3992946.7680589999</v>
      </c>
      <c r="DE7" s="72">
        <f t="shared" ref="DE7" si="44">SUM(DE5:DE6)</f>
        <v>3775850.3193125967</v>
      </c>
      <c r="DF7" s="72">
        <f>SUM(DF5:DF6)</f>
        <v>4009256.1555075478</v>
      </c>
      <c r="DG7" s="72">
        <f t="shared" ref="DG7" si="45">SUM(DG5:DG6)</f>
        <v>4064343.9650905626</v>
      </c>
      <c r="DH7" s="72">
        <f t="shared" ref="DH7" si="46">SUM(DH5:DH6)</f>
        <v>3394212.6857468029</v>
      </c>
      <c r="DI7" s="72">
        <f t="shared" ref="DI7" si="47">SUM(DI5:DI6)</f>
        <v>4080736.743025125</v>
      </c>
      <c r="DJ7" s="72">
        <f t="shared" ref="DJ7" si="48">SUM(DJ5:DJ6)</f>
        <v>3862269.6296910881</v>
      </c>
      <c r="DK7" s="72">
        <f t="shared" ref="DK7" si="49">SUM(DK5:DK6)</f>
        <v>4097185.3488862617</v>
      </c>
      <c r="DL7" s="72">
        <f t="shared" ref="DL7" si="50">SUM(DL5:DL6)</f>
        <v>3878166.7678316431</v>
      </c>
      <c r="DM7" s="72">
        <f t="shared" ref="DM7" si="51">SUM(DM5:DM6)</f>
        <v>4113689.9708225913</v>
      </c>
      <c r="DN7" s="72">
        <f t="shared" ref="DN7" si="52">SUM(DN5:DN6)</f>
        <v>4121963.3467878383</v>
      </c>
      <c r="DO7" s="72">
        <f t="shared" ref="DO7" si="53">SUM(DO5:DO6)</f>
        <v>3902114.1144750449</v>
      </c>
      <c r="DP7" s="72">
        <f t="shared" ref="DP7" si="54">SUM(DP5:DP6)</f>
        <v>4138552.3469961919</v>
      </c>
      <c r="DQ7" s="72">
        <f t="shared" ref="DQ7" si="55">SUM(DQ5:DQ6)</f>
        <v>3918147.0384418499</v>
      </c>
      <c r="DR7" s="72">
        <f>SUM(DR5:DR6)</f>
        <v>3013899.5719609438</v>
      </c>
      <c r="DS7" s="72">
        <f t="shared" ref="DS7" si="56">SUM(DS5:DS6)</f>
        <v>3061303.6536205616</v>
      </c>
      <c r="DT7" s="72">
        <f t="shared" ref="DT7" si="57">SUM(DT5:DT6)</f>
        <v>2515161.3544659535</v>
      </c>
      <c r="DU7" s="72">
        <f t="shared" ref="DU7" si="58">SUM(DU5:DU6)</f>
        <v>3071105.2070852206</v>
      </c>
      <c r="DV7" s="72">
        <f t="shared" ref="DV7" si="59">SUM(DV5:DV6)</f>
        <v>2891855.1614663969</v>
      </c>
      <c r="DW7" s="72">
        <f t="shared" ref="DW7" si="60">SUM(DW5:DW6)</f>
        <v>3080910.4110637223</v>
      </c>
      <c r="DX7" s="72">
        <f t="shared" ref="DX7" si="61">SUM(DX5:DX6)</f>
        <v>2901189.1462147841</v>
      </c>
      <c r="DY7" s="72">
        <f t="shared" ref="DY7" si="62">SUM(DY5:DY6)</f>
        <v>3090718.9286056068</v>
      </c>
      <c r="DZ7" s="72">
        <f t="shared" ref="DZ7" si="63">SUM(DZ5:DZ6)</f>
        <v>3095624.3232389912</v>
      </c>
      <c r="EA7" s="72">
        <f t="shared" ref="EA7" si="64">SUM(EA5:EA6)</f>
        <v>2915192.9493176294</v>
      </c>
      <c r="EB7" s="72">
        <f t="shared" ref="EB7" si="65">SUM(EB5:EB6)</f>
        <v>3105437.1678972254</v>
      </c>
      <c r="EC7" s="72">
        <f t="shared" ref="EC7" si="66">SUM(EC5:EC6)</f>
        <v>2924530.1895699101</v>
      </c>
      <c r="ED7" s="72">
        <f>SUM(ED5:ED6)</f>
        <v>3115252.460741871</v>
      </c>
      <c r="EE7" s="72">
        <f t="shared" ref="EE7" si="67">SUM(EE5:EE6)</f>
        <v>3146506.8176239673</v>
      </c>
      <c r="EF7" s="72">
        <f t="shared" ref="EF7" si="68">SUM(EF5:EF6)</f>
        <v>2591817.8465770157</v>
      </c>
      <c r="EG7" s="72">
        <f t="shared" ref="EG7" si="69">SUM(EG5:EG6)</f>
        <v>3156325.1144372853</v>
      </c>
      <c r="EH7" s="72">
        <f t="shared" ref="EH7" si="70">SUM(EH5:EH6)</f>
        <v>4068877.1757115931</v>
      </c>
      <c r="EI7" s="72">
        <f t="shared" ref="EI7" si="71">SUM(EI5:EI6)</f>
        <v>4262077.8619317533</v>
      </c>
      <c r="EJ7" s="72">
        <f t="shared" ref="EJ7" si="72">SUM(EJ5:EJ6)</f>
        <v>4080776.8406776106</v>
      </c>
      <c r="EK7" s="72">
        <f t="shared" ref="EK7" si="73">SUM(EK5:EK6)</f>
        <v>4274475.4772477858</v>
      </c>
      <c r="EL7" s="72">
        <f t="shared" ref="EL7" si="74">SUM(EL5:EL6)</f>
        <v>4280685.8939058501</v>
      </c>
      <c r="EM7" s="72">
        <f t="shared" ref="EM7" si="75">SUM(EM5:EM6)</f>
        <v>4098681.371613808</v>
      </c>
      <c r="EN7" s="72">
        <f t="shared" ref="EN7" si="76">SUM(EN5:EN6)</f>
        <v>4293129.9280569926</v>
      </c>
      <c r="EO7" s="72">
        <f t="shared" ref="EO7" si="77">SUM(EO5:EO6)</f>
        <v>4110654.3666702053</v>
      </c>
      <c r="EP7" s="72">
        <f>SUM(EP5:EP6)</f>
        <v>4305604.8725751992</v>
      </c>
      <c r="EQ7" s="72">
        <f t="shared" ref="EQ7" si="78">SUM(EQ5:EQ6)</f>
        <v>4330068.9197748723</v>
      </c>
      <c r="ER7" s="72">
        <f t="shared" ref="ER7" si="79">SUM(ER5:ER6)</f>
        <v>3767999.7995967837</v>
      </c>
      <c r="ES7" s="72">
        <f t="shared" ref="ES7" si="80">SUM(ES5:ES6)</f>
        <v>4342590.1724222293</v>
      </c>
      <c r="ET7" s="72">
        <f t="shared" ref="ET7" si="81">SUM(ET5:ET6)</f>
        <v>4158929.8334729653</v>
      </c>
      <c r="EU7" s="72">
        <f t="shared" ref="EU7" si="82">SUM(EU5:EU6)</f>
        <v>4355142.2564180996</v>
      </c>
      <c r="EV7" s="72">
        <f t="shared" ref="EV7" si="83">SUM(EV5:EV6)</f>
        <v>4171005.118045941</v>
      </c>
      <c r="EW7" s="72">
        <f t="shared" ref="EW7" si="84">SUM(EW5:EW6)</f>
        <v>4367725.1371753961</v>
      </c>
      <c r="EX7" s="72">
        <f t="shared" ref="EX7" si="85">SUM(EX5:EX6)</f>
        <v>4374028.1150562009</v>
      </c>
      <c r="EY7" s="72">
        <f t="shared" ref="EY7" si="86">SUM(EY5:EY6)</f>
        <v>4189172.6630913764</v>
      </c>
      <c r="EZ7" s="72">
        <f t="shared" ref="EZ7" si="87">SUM(EZ5:EZ6)</f>
        <v>4386657.1222933456</v>
      </c>
      <c r="FA7" s="72">
        <f t="shared" ref="FA7" si="88">SUM(FA5:FA6)</f>
        <v>4201320.709012731</v>
      </c>
      <c r="FB7" s="72">
        <f>SUM(FB5:FB6)</f>
        <v>4399316.8321603741</v>
      </c>
      <c r="FC7" s="72">
        <f t="shared" ref="FC7" si="89">SUM(FC5:FC6)</f>
        <v>4425026.4309133235</v>
      </c>
      <c r="FD7" s="72">
        <f t="shared" ref="FD7" si="90">SUM(FD5:FD6)</f>
        <v>3854145.4000484468</v>
      </c>
      <c r="FE7" s="72">
        <f t="shared" ref="FE7" si="91">SUM(FE5:FE6)</f>
        <v>4437732.1176852277</v>
      </c>
      <c r="FF7" s="72">
        <f t="shared" ref="FF7" si="92">SUM(FF5:FF6)</f>
        <v>4251185.9548120638</v>
      </c>
      <c r="FG7" s="72">
        <f t="shared" ref="FG7" si="93">SUM(FG5:FG6)</f>
        <v>4450468.4016924854</v>
      </c>
      <c r="FH7" s="72">
        <f t="shared" ref="FH7" si="94">SUM(FH5:FH6)</f>
        <v>4263435.3835090334</v>
      </c>
      <c r="FI7" s="72">
        <f t="shared" ref="FI7" si="95">SUM(FI5:FI6)</f>
        <v>4463235.2375336345</v>
      </c>
      <c r="FJ7" s="72">
        <f t="shared" ref="FJ7" si="96">SUM(FJ5:FJ6)</f>
        <v>4469630.0976870926</v>
      </c>
      <c r="FK7" s="72">
        <f t="shared" ref="FK7" si="97">SUM(FK5:FK6)</f>
        <v>4281863.6096307337</v>
      </c>
      <c r="FL7" s="72">
        <f t="shared" ref="FL7" si="98">SUM(FL5:FL6)</f>
        <v>4482442.6720032571</v>
      </c>
      <c r="FM7" s="72">
        <f t="shared" ref="FM7" si="99">SUM(FM5:FM6)</f>
        <v>4294185.0698700557</v>
      </c>
      <c r="FN7" s="72">
        <f t="shared" ref="FN7" si="100">SUM(FN5:FN6)</f>
        <v>4495285.6763095614</v>
      </c>
      <c r="FO7" s="72">
        <f t="shared" ref="FO7" si="101">SUM(FO5:FO6)</f>
        <v>4520061.5303113563</v>
      </c>
      <c r="FP7" s="72">
        <f t="shared" ref="FP7" si="102">SUM(FP5:FP6)</f>
        <v>3940188.0874478258</v>
      </c>
      <c r="FQ7" s="72">
        <f t="shared" ref="FQ7" si="103">SUM(FQ5:FQ6)</f>
        <v>4532950.0812121434</v>
      </c>
      <c r="FR7" s="72">
        <f t="shared" ref="FR7" si="104">SUM(FR5:FR6)</f>
        <v>4343457.1761855371</v>
      </c>
      <c r="FS7" s="72">
        <f t="shared" ref="FS7" si="105">SUM(FS5:FS6)</f>
        <v>4545868.9280062942</v>
      </c>
      <c r="FT7" s="72">
        <f t="shared" ref="FT7" si="106">SUM(FT5:FT6)</f>
        <v>4355878.8772846181</v>
      </c>
      <c r="FU7" s="72">
        <f t="shared" ref="FU7" si="107">SUM(FU5:FU6)</f>
        <v>4558818.0135273952</v>
      </c>
      <c r="FV7" s="72">
        <f t="shared" ref="FV7" si="108">SUM(FV5:FV6)</f>
        <v>4565303.8773840377</v>
      </c>
      <c r="FW7" s="72">
        <f t="shared" ref="FW7" si="109">SUM(FW5:FW6)</f>
        <v>4374564.8466069037</v>
      </c>
      <c r="FX7" s="72">
        <f t="shared" ref="FX7" si="110">SUM(FX5:FX6)</f>
        <v>4578298.2092983183</v>
      </c>
      <c r="FY7" s="72">
        <f t="shared" ref="FY7" si="111">SUM(FY5:FY6)</f>
        <v>4387057.6742990687</v>
      </c>
      <c r="FZ7" s="72">
        <f t="shared" ref="FZ7" si="112">SUM(FZ5:FZ6)</f>
        <v>4591322.6279557887</v>
      </c>
      <c r="GA7" s="72">
        <f t="shared" ref="GA7" si="113">SUM(GA5:GA6)</f>
        <v>4617515.0703938119</v>
      </c>
      <c r="GB7" s="72">
        <f t="shared" ref="GB7" si="114">SUM(GB5:GB6)</f>
        <v>4028464.8783904682</v>
      </c>
      <c r="GC7" s="72">
        <f t="shared" ref="GC7" si="115">SUM(GC5:GC6)</f>
        <v>4630584.4975607172</v>
      </c>
      <c r="GD7" s="72">
        <f t="shared" ref="GD7" si="116">SUM(GD5:GD6)</f>
        <v>4438082.507773716</v>
      </c>
      <c r="GE7" s="72">
        <f t="shared" ref="GE7" si="117">SUM(GE5:GE6)</f>
        <v>4643683.8461688608</v>
      </c>
      <c r="GF7" s="72">
        <f t="shared" ref="GF7" si="118">SUM(GF5:GF6)</f>
        <v>4450674.178789461</v>
      </c>
      <c r="GG7" s="72">
        <f t="shared" ref="GG7" si="119">SUM(GG5:GG6)</f>
        <v>4656813.0462641809</v>
      </c>
      <c r="GH7" s="72">
        <f t="shared" ref="GH7" si="120">SUM(GH5:GH6)</f>
        <v>4663388.8181483094</v>
      </c>
      <c r="GI7" s="72">
        <f t="shared" ref="GI7" si="121">SUM(GI5:GI6)</f>
        <v>4469614.2960121538</v>
      </c>
      <c r="GJ7" s="72">
        <f t="shared" ref="GJ7" si="122">SUM(GJ5:GJ6)</f>
        <v>4676562.6594106937</v>
      </c>
      <c r="GK7" s="72">
        <f t="shared" ref="GK7" si="123">SUM(GK5:GK6)</f>
        <v>4482275.9983821409</v>
      </c>
      <c r="GL7" s="72">
        <f t="shared" ref="GL7" si="124">SUM(GL5:GL6)</f>
        <v>4689766.1674245857</v>
      </c>
      <c r="GM7" s="72">
        <f t="shared" ref="GM7" si="125">SUM(GM5:GM6)</f>
        <v>4703246.388529405</v>
      </c>
      <c r="GN7" s="72">
        <f t="shared" ref="GN7" si="126">SUM(GN5:GN6)</f>
        <v>4104831.1830563536</v>
      </c>
      <c r="GO7" s="72">
        <f t="shared" ref="GO7" si="127">SUM(GO5:GO6)</f>
        <v>4716494.2498454992</v>
      </c>
      <c r="GP7" s="72">
        <f t="shared" ref="GP7" si="128">SUM(GP5:GP6)</f>
        <v>5337459.2091304595</v>
      </c>
      <c r="GQ7" s="72">
        <f t="shared" ref="GQ7" si="129">SUM(GQ5:GQ6)</f>
        <v>5547264.052196702</v>
      </c>
      <c r="GR7" s="72">
        <f t="shared" ref="GR7" si="130">SUM(GR5:GR6)</f>
        <v>5352128.8963168692</v>
      </c>
      <c r="GS7" s="72">
        <f t="shared" ref="GS7" si="131">SUM(GS5:GS6)</f>
        <v>5562492.7278475659</v>
      </c>
      <c r="GT7" s="72">
        <f t="shared" ref="GT7" si="132">SUM(GT5:GT6)</f>
        <v>5570126.474440543</v>
      </c>
      <c r="GU7" s="72">
        <f t="shared" ref="GU7" si="133">SUM(GU5:GU6)</f>
        <v>5374227.0797766186</v>
      </c>
      <c r="GV7" s="72">
        <f t="shared" ref="GV7" si="134">SUM(GV5:GV6)</f>
        <v>5585432.8940697601</v>
      </c>
      <c r="GW7" s="72">
        <f t="shared" ref="GW7" si="135">SUM(GW5:GW6)</f>
        <v>5389021.8826617599</v>
      </c>
      <c r="GX7" s="72">
        <f t="shared" ref="GX7" si="136">SUM(GX5:GX6)</f>
        <v>5600791.3612600248</v>
      </c>
      <c r="GY7" s="72">
        <f t="shared" ref="GY7" si="137">SUM(GY5:GY6)</f>
        <v>5608490.1674415451</v>
      </c>
      <c r="GZ7" s="72">
        <f t="shared" ref="GZ7" si="138">SUM(GZ5:GZ6)</f>
        <v>5001521.4886472505</v>
      </c>
      <c r="HA7" s="72">
        <f t="shared" ref="HA7" si="139">SUM(HA5:HA6)</f>
        <v>5623927.0348004019</v>
      </c>
      <c r="HB7" s="72">
        <f t="shared" ref="HB7" si="140">SUM(HB5:HB6)</f>
        <v>5426229.5053712577</v>
      </c>
      <c r="HC7" s="72">
        <f t="shared" ref="HC7" si="141">SUM(HC5:HC6)</f>
        <v>5639416.3890137849</v>
      </c>
      <c r="HD7" s="72">
        <f t="shared" ref="HD7" si="142">SUM(HD5:HD6)</f>
        <v>5441201.2469381392</v>
      </c>
      <c r="HE7" s="72">
        <f t="shared" ref="HE7" si="143">SUM(HE5:HE6)</f>
        <v>5654958.4068306051</v>
      </c>
      <c r="HF7" s="72">
        <f t="shared" ref="HF7" si="144">SUM(HF5:HF6)</f>
        <v>5662749.2199862702</v>
      </c>
      <c r="HG7" s="72">
        <f t="shared" ref="HG7" si="145">SUM(HG5:HG6)</f>
        <v>5463754.420913646</v>
      </c>
      <c r="HH7" s="72">
        <f t="shared" ref="HH7" si="146">SUM(HH5:HH6)</f>
        <v>5678370.5659088781</v>
      </c>
      <c r="HI7" s="72">
        <f t="shared" ref="HI7" si="147">SUM(HI5:HI6)</f>
        <v>5478853.8284179065</v>
      </c>
      <c r="HJ7" s="72">
        <f t="shared" ref="HJ7" si="148">SUM(HJ5:HJ6)</f>
        <v>5694045.0199032985</v>
      </c>
      <c r="HK7" s="72">
        <f t="shared" ref="HK7" si="149">SUM(HK5:HK6)</f>
        <v>5701902.2182887318</v>
      </c>
      <c r="HL7" s="72">
        <f t="shared" ref="HL7" si="150">SUM(HL5:HL6)</f>
        <v>5085252.4026264204</v>
      </c>
      <c r="HM7" s="72">
        <f t="shared" ref="HM7" si="151">SUM(HM5:HM6)</f>
        <v>5717656.6698862035</v>
      </c>
      <c r="HN7" s="72">
        <f t="shared" ref="HN7" si="152">SUM(HN5:HN6)</f>
        <v>5516827.4593232684</v>
      </c>
      <c r="HO7" s="72">
        <f t="shared" ref="HO7" si="153">SUM(HO5:HO6)</f>
        <v>5733464.677757401</v>
      </c>
      <c r="HP7" s="72">
        <f t="shared" ref="HP7" si="154">SUM(HP5:HP6)</f>
        <v>5532107.4118793942</v>
      </c>
      <c r="HQ7" s="72">
        <f t="shared" ref="HQ7" si="155">SUM(HQ5:HQ6)</f>
        <v>5749326.422235487</v>
      </c>
      <c r="HR7" s="72">
        <f t="shared" ref="HR7" si="156">SUM(HR5:HR6)</f>
        <v>5757277.5022214353</v>
      </c>
      <c r="HS7" s="72">
        <f t="shared" ref="HS7" si="157">SUM(HS5:HS6)</f>
        <v>5555124.8500017524</v>
      </c>
      <c r="HT7" s="72">
        <f t="shared" ref="HT7" si="158">SUM(HT5:HT6)</f>
        <v>5773220.1910571726</v>
      </c>
      <c r="HU7" s="72">
        <f t="shared" ref="HU7" si="159">SUM(HU5:HU6)</f>
        <v>5570535.0704585575</v>
      </c>
      <c r="HV7" s="72">
        <f>SUM(HV5:HV6)</f>
        <v>5789217.0699813114</v>
      </c>
      <c r="HW7" s="72">
        <f t="shared" ref="HW7" si="160">SUM(HW5:HW6)</f>
        <v>5797235.8877205933</v>
      </c>
      <c r="HX7" s="72">
        <f t="shared" ref="HX7" si="161">SUM(HX5:HX6)</f>
        <v>5170709.5578107545</v>
      </c>
      <c r="HY7" s="72">
        <f t="shared" ref="HY7" si="162">SUM(HY5:HY6)</f>
        <v>5813314.3940758919</v>
      </c>
      <c r="HZ7" s="72">
        <f t="shared" ref="HZ7" si="163">SUM(HZ5:HZ6)</f>
        <v>5609290.3215939626</v>
      </c>
      <c r="IA7" s="72">
        <f t="shared" ref="IA7" si="164">SUM(IA5:IA6)</f>
        <v>6136260.5766422944</v>
      </c>
      <c r="IB7" s="72">
        <f t="shared" ref="IB7" si="165">SUM(IB5:IB6)</f>
        <v>5920931.3332804032</v>
      </c>
      <c r="IC7" s="72">
        <f t="shared" ref="IC7" si="166">SUM(IC5:IC6)</f>
        <v>6153300.5609614467</v>
      </c>
      <c r="ID7" s="72">
        <f t="shared" ref="ID7" si="167">SUM(ID5:ID6)</f>
        <v>6161842.2577828523</v>
      </c>
      <c r="IE7" s="72">
        <f t="shared" ref="IE7" si="168">SUM(IE5:IE6)</f>
        <v>5945658.8743184227</v>
      </c>
      <c r="IF7" s="72">
        <f t="shared" ref="IF7" si="169">SUM(IF5:IF6)</f>
        <v>6178969.1825060695</v>
      </c>
      <c r="IG7" s="72">
        <f t="shared" ref="IG7" si="170">SUM(IG5:IG6)</f>
        <v>5962213.9981685244</v>
      </c>
      <c r="IH7" s="72">
        <f>SUM(IH5:IH6)</f>
        <v>6196154.3114881301</v>
      </c>
      <c r="II7" s="72">
        <f t="shared" ref="II7" si="171">SUM(II5:II6)</f>
        <v>6204768.7637864854</v>
      </c>
      <c r="IJ7" s="72">
        <f t="shared" ref="IJ7" si="172">SUM(IJ5:IJ6)</f>
        <v>5534661.221891012</v>
      </c>
      <c r="IK7" s="72">
        <f t="shared" ref="IK7" si="173">SUM(IK5:IK6)</f>
        <v>6222041.5667772619</v>
      </c>
      <c r="IL7" s="72">
        <f t="shared" ref="IL7" si="174">SUM(IL5:IL6)</f>
        <v>6003848.5245179087</v>
      </c>
      <c r="IM7" s="72">
        <f t="shared" ref="IM7" si="175">SUM(IM5:IM6)</f>
        <v>6239373.0651459638</v>
      </c>
      <c r="IN7" s="72">
        <f t="shared" ref="IN7" si="176">SUM(IN5:IN6)</f>
        <v>6020601.5206868434</v>
      </c>
      <c r="IO7" s="72">
        <f t="shared" ref="IO7" si="177">SUM(IO5:IO6)</f>
        <v>6256763.4564932873</v>
      </c>
      <c r="IP7" s="72">
        <f t="shared" ref="IP7" si="178">SUM(IP5:IP6)</f>
        <v>6265480.7989651589</v>
      </c>
      <c r="IQ7" s="72">
        <f t="shared" ref="IQ7" si="179">SUM(IQ5:IQ6)</f>
        <v>6045837.8822216392</v>
      </c>
      <c r="IR7" s="72">
        <f t="shared" ref="IR7" si="180">SUM(IR5:IR6)</f>
        <v>6282959.901730869</v>
      </c>
      <c r="IS7" s="72">
        <f t="shared" ref="IS7" si="181">SUM(IS5:IS6)</f>
        <v>6062733.6480837865</v>
      </c>
      <c r="IT7" s="72">
        <f>SUM(IT5:IT6)</f>
        <v>6300498.3943788903</v>
      </c>
      <c r="IU7" s="72">
        <f t="shared" ref="IU7" si="182">SUM(IU5:IU6)</f>
        <v>6309289.9743601494</v>
      </c>
      <c r="IV7" s="72">
        <f t="shared" ref="IV7" si="183">SUM(IV5:IV6)</f>
        <v>5628362.2446886431</v>
      </c>
      <c r="IW7" s="72">
        <f t="shared" ref="IW7" si="184">SUM(IW5:IW6)</f>
        <v>6326917.9269060707</v>
      </c>
      <c r="IX7" s="72">
        <f t="shared" ref="IX7" si="185">SUM(IX5:IX6)</f>
        <v>6105224.8066452853</v>
      </c>
      <c r="IY7" s="72">
        <f t="shared" ref="IY7" si="186">SUM(IY5:IY6)</f>
        <v>6344605.770411415</v>
      </c>
      <c r="IZ7" s="72">
        <f t="shared" ref="IZ7" si="187">SUM(IZ5:IZ6)</f>
        <v>6122322.4766900409</v>
      </c>
      <c r="JA7" s="72">
        <f t="shared" ref="JA7" si="188">SUM(JA5:JA6)</f>
        <v>6362353.70648342</v>
      </c>
      <c r="JB7" s="72">
        <f t="shared" ref="JB7" si="189">SUM(JB5:JB6)</f>
        <v>6371250.2724188482</v>
      </c>
      <c r="JC7" s="72">
        <f t="shared" ref="JC7" si="190">SUM(JC5:JC6)</f>
        <v>6148078.0264919586</v>
      </c>
      <c r="JD7" s="72">
        <f t="shared" ref="JD7" si="191">SUM(JD5:JD6)</f>
        <v>6389088.7268328704</v>
      </c>
      <c r="JE7" s="72">
        <f t="shared" ref="JE7" si="192">SUM(JE5:JE6)</f>
        <v>6165321.3751788903</v>
      </c>
      <c r="JF7" s="72">
        <f>SUM(JF5:JF6)</f>
        <v>6406987.7807922969</v>
      </c>
      <c r="JG7" s="72">
        <f t="shared" ref="JG7" si="193">SUM(JG5:JG6)</f>
        <v>6415960.0963191409</v>
      </c>
      <c r="JH7" s="72">
        <f t="shared" ref="JH7" si="194">SUM(JH5:JH6)</f>
        <v>5723993.8130347356</v>
      </c>
      <c r="JI7" s="72">
        <f t="shared" ref="JI7" si="195">SUM(JI5:JI6)</f>
        <v>6433950.4322758727</v>
      </c>
      <c r="JJ7" s="72">
        <f t="shared" ref="JJ7" si="196">SUM(JJ5:JJ6)</f>
        <v>6208686.619930597</v>
      </c>
      <c r="JK7" s="72">
        <f t="shared" ref="JK7" si="197">SUM(JK5:JK6)</f>
        <v>6452001.879014601</v>
      </c>
      <c r="JL7" s="72">
        <f t="shared" ref="JL7" si="198">SUM(JL5:JL6)</f>
        <v>6226135.9864256196</v>
      </c>
      <c r="JM7" s="72">
        <f t="shared" ref="JM7" si="199">SUM(JM5:JM6)</f>
        <v>6470114.6422301494</v>
      </c>
      <c r="JN7" s="72">
        <f t="shared" ref="JN7" si="200">SUM(JN5:JN6)</f>
        <v>6479194.0819847658</v>
      </c>
      <c r="JO7" s="72">
        <f t="shared" ref="JO7" si="201">SUM(JO5:JO6)</f>
        <v>6252421.3025118168</v>
      </c>
      <c r="JP7" s="72">
        <f t="shared" ref="JP7" si="202">SUM(JP5:JP6)</f>
        <v>6497399.2071017139</v>
      </c>
      <c r="JQ7" s="72">
        <f t="shared" ref="JQ7" si="203">SUM(JQ5:JQ6)</f>
        <v>6270019.3155868361</v>
      </c>
      <c r="JR7" s="72">
        <f>SUM(JR5:JR6)</f>
        <v>6515666.1659530886</v>
      </c>
      <c r="JS7" s="72">
        <f>JR7/(C18-C19)</f>
        <v>65031642.860615477</v>
      </c>
    </row>
    <row r="8" spans="2:279" x14ac:dyDescent="0.2">
      <c r="B8" s="46"/>
    </row>
    <row r="9" spans="2:279" x14ac:dyDescent="0.2">
      <c r="B9" s="48" t="s">
        <v>155</v>
      </c>
    </row>
    <row r="10" spans="2:279" x14ac:dyDescent="0.2">
      <c r="B10" s="68">
        <f>XIRR($C$7:$JS$7,$C$4:$JS$4)</f>
        <v>0.39179596304893494</v>
      </c>
    </row>
    <row r="12" spans="2:279" x14ac:dyDescent="0.2">
      <c r="B12" s="5" t="s">
        <v>229</v>
      </c>
      <c r="C12" s="23">
        <f>Inputs!$G$22</f>
        <v>0.2</v>
      </c>
    </row>
    <row r="13" spans="2:279" x14ac:dyDescent="0.2">
      <c r="B13" s="5" t="s">
        <v>230</v>
      </c>
      <c r="C13" s="23">
        <f>'Capital Contributions'!$B$9</f>
        <v>8.5000000000000006E-2</v>
      </c>
    </row>
    <row r="14" spans="2:279" x14ac:dyDescent="0.2">
      <c r="B14" s="5" t="s">
        <v>231</v>
      </c>
      <c r="C14" s="23">
        <f>C13*(1-C12)</f>
        <v>6.8000000000000005E-2</v>
      </c>
    </row>
    <row r="15" spans="2:279" x14ac:dyDescent="0.2">
      <c r="B15" s="5" t="s">
        <v>232</v>
      </c>
      <c r="C15" s="23">
        <f>Summary!E5</f>
        <v>0.71322943391612637</v>
      </c>
    </row>
    <row r="16" spans="2:279" x14ac:dyDescent="0.2">
      <c r="B16" s="5" t="s">
        <v>233</v>
      </c>
      <c r="C16" s="23">
        <f>SUM(Summary!E3:E4)</f>
        <v>0.28677056608387358</v>
      </c>
    </row>
    <row r="17" spans="2:279" x14ac:dyDescent="0.2">
      <c r="B17" s="5" t="s">
        <v>234</v>
      </c>
      <c r="C17" s="778">
        <f>SUM(100% - Summary!C5)</f>
        <v>0.25</v>
      </c>
    </row>
    <row r="18" spans="2:279" x14ac:dyDescent="0.2">
      <c r="B18" s="5" t="s">
        <v>235</v>
      </c>
      <c r="C18" s="96">
        <f>(C14*C15)+(C17*C16)</f>
        <v>0.120192243027265</v>
      </c>
    </row>
    <row r="19" spans="2:279" x14ac:dyDescent="0.2">
      <c r="B19" s="5" t="s">
        <v>236</v>
      </c>
      <c r="C19" s="97">
        <v>0.02</v>
      </c>
    </row>
    <row r="21" spans="2:279" x14ac:dyDescent="0.2">
      <c r="B21" s="48" t="s">
        <v>237</v>
      </c>
    </row>
    <row r="22" spans="2:279" x14ac:dyDescent="0.2">
      <c r="B22" s="99">
        <f>XNPV($C$18,$C$7:$JS$7,$C$4:$JS$4)</f>
        <v>233069711.85267803</v>
      </c>
      <c r="C22" s="854">
        <f>C2</f>
        <v>2026</v>
      </c>
      <c r="D22" s="853"/>
      <c r="E22" s="853"/>
      <c r="F22" s="853"/>
      <c r="G22" s="853"/>
      <c r="H22" s="853"/>
      <c r="I22" s="853"/>
      <c r="J22" s="853"/>
      <c r="K22" s="853"/>
      <c r="L22" s="853"/>
      <c r="M22" s="853"/>
      <c r="N22" s="853"/>
      <c r="O22" s="854">
        <f>O2</f>
        <v>2027</v>
      </c>
      <c r="P22" s="853"/>
      <c r="Q22" s="853"/>
      <c r="R22" s="853"/>
      <c r="S22" s="853"/>
      <c r="T22" s="853"/>
      <c r="U22" s="853"/>
      <c r="V22" s="853"/>
      <c r="W22" s="853"/>
      <c r="X22" s="853"/>
      <c r="Y22" s="853"/>
      <c r="Z22" s="853"/>
      <c r="AA22" s="854">
        <f>AA2</f>
        <v>2028</v>
      </c>
      <c r="AB22" s="853"/>
      <c r="AC22" s="853"/>
      <c r="AD22" s="853"/>
      <c r="AE22" s="853"/>
      <c r="AF22" s="853"/>
      <c r="AG22" s="853"/>
      <c r="AH22" s="853"/>
      <c r="AI22" s="853"/>
      <c r="AJ22" s="853"/>
      <c r="AK22" s="853"/>
      <c r="AL22" s="853"/>
      <c r="AM22" s="853">
        <f>AA22+1</f>
        <v>2029</v>
      </c>
      <c r="AN22" s="853"/>
      <c r="AO22" s="853"/>
      <c r="AP22" s="853"/>
      <c r="AQ22" s="853"/>
      <c r="AR22" s="853"/>
      <c r="AS22" s="853"/>
      <c r="AT22" s="853"/>
      <c r="AU22" s="853"/>
      <c r="AV22" s="853"/>
      <c r="AW22" s="853"/>
      <c r="AX22" s="853"/>
      <c r="AY22" s="853">
        <f>AM22+1</f>
        <v>2030</v>
      </c>
      <c r="AZ22" s="853"/>
      <c r="BA22" s="853"/>
      <c r="BB22" s="853"/>
      <c r="BC22" s="853"/>
      <c r="BD22" s="853"/>
      <c r="BE22" s="853"/>
      <c r="BF22" s="853"/>
      <c r="BG22" s="853"/>
      <c r="BH22" s="853"/>
      <c r="BI22" s="853"/>
      <c r="BJ22" s="853"/>
      <c r="BK22" s="853">
        <f>AY22+1</f>
        <v>2031</v>
      </c>
      <c r="BL22" s="853"/>
      <c r="BM22" s="853"/>
      <c r="BN22" s="853"/>
      <c r="BO22" s="853"/>
      <c r="BP22" s="853"/>
      <c r="BQ22" s="853"/>
      <c r="BR22" s="853"/>
      <c r="BS22" s="853"/>
      <c r="BT22" s="853"/>
      <c r="BU22" s="853"/>
      <c r="BV22" s="853"/>
      <c r="BW22" s="853">
        <f>BK22+1</f>
        <v>2032</v>
      </c>
      <c r="BX22" s="853"/>
      <c r="BY22" s="853"/>
      <c r="BZ22" s="853"/>
      <c r="CA22" s="853"/>
      <c r="CB22" s="853"/>
      <c r="CC22" s="853"/>
      <c r="CD22" s="853"/>
      <c r="CE22" s="853"/>
      <c r="CF22" s="853"/>
      <c r="CG22" s="853"/>
      <c r="CH22" s="853"/>
      <c r="CI22" s="853">
        <f>BW22+1</f>
        <v>2033</v>
      </c>
      <c r="CJ22" s="853"/>
      <c r="CK22" s="853"/>
      <c r="CL22" s="853"/>
      <c r="CM22" s="853"/>
      <c r="CN22" s="853"/>
      <c r="CO22" s="853"/>
      <c r="CP22" s="853"/>
      <c r="CQ22" s="853"/>
      <c r="CR22" s="853"/>
      <c r="CS22" s="853"/>
      <c r="CT22" s="853"/>
      <c r="CU22" s="853">
        <f>CI22+1</f>
        <v>2034</v>
      </c>
      <c r="CV22" s="853"/>
      <c r="CW22" s="853"/>
      <c r="CX22" s="853"/>
      <c r="CY22" s="853"/>
      <c r="CZ22" s="853"/>
      <c r="DA22" s="853"/>
      <c r="DB22" s="853"/>
      <c r="DC22" s="853"/>
      <c r="DD22" s="853"/>
      <c r="DE22" s="853"/>
      <c r="DF22" s="853"/>
      <c r="DG22" s="853">
        <f>CU22+1</f>
        <v>2035</v>
      </c>
      <c r="DH22" s="853"/>
      <c r="DI22" s="853"/>
      <c r="DJ22" s="853"/>
      <c r="DK22" s="853"/>
      <c r="DL22" s="853"/>
      <c r="DM22" s="853"/>
      <c r="DN22" s="853"/>
      <c r="DO22" s="853"/>
      <c r="DP22" s="853"/>
      <c r="DQ22" s="853"/>
      <c r="DR22" s="853"/>
      <c r="DS22" s="853">
        <f>DG22+1</f>
        <v>2036</v>
      </c>
      <c r="DT22" s="853"/>
      <c r="DU22" s="853"/>
      <c r="DV22" s="853"/>
      <c r="DW22" s="853"/>
      <c r="DX22" s="853"/>
      <c r="DY22" s="853"/>
      <c r="DZ22" s="853"/>
      <c r="EA22" s="853"/>
      <c r="EB22" s="853"/>
      <c r="EC22" s="853"/>
      <c r="ED22" s="853"/>
      <c r="EE22" s="853">
        <f>DS22+1</f>
        <v>2037</v>
      </c>
      <c r="EF22" s="853"/>
      <c r="EG22" s="853"/>
      <c r="EH22" s="853"/>
      <c r="EI22" s="853"/>
      <c r="EJ22" s="853"/>
      <c r="EK22" s="853"/>
      <c r="EL22" s="853"/>
      <c r="EM22" s="853"/>
      <c r="EN22" s="853"/>
      <c r="EO22" s="853"/>
      <c r="EP22" s="853"/>
      <c r="EQ22" s="853">
        <f>EE22+1</f>
        <v>2038</v>
      </c>
      <c r="ER22" s="853"/>
      <c r="ES22" s="853"/>
      <c r="ET22" s="853"/>
      <c r="EU22" s="853"/>
      <c r="EV22" s="853"/>
      <c r="EW22" s="853"/>
      <c r="EX22" s="853"/>
      <c r="EY22" s="853"/>
      <c r="EZ22" s="853"/>
      <c r="FA22" s="853"/>
      <c r="FB22" s="853"/>
      <c r="FC22" s="853">
        <f>EQ22+1</f>
        <v>2039</v>
      </c>
      <c r="FD22" s="853"/>
      <c r="FE22" s="853"/>
      <c r="FF22" s="853"/>
      <c r="FG22" s="853"/>
      <c r="FH22" s="853"/>
      <c r="FI22" s="853"/>
      <c r="FJ22" s="853"/>
      <c r="FK22" s="853"/>
      <c r="FL22" s="853"/>
      <c r="FM22" s="853"/>
      <c r="FN22" s="853"/>
      <c r="FO22" s="853">
        <f>FC22+1</f>
        <v>2040</v>
      </c>
      <c r="FP22" s="853"/>
      <c r="FQ22" s="853"/>
      <c r="FR22" s="853"/>
      <c r="FS22" s="853"/>
      <c r="FT22" s="853"/>
      <c r="FU22" s="853"/>
      <c r="FV22" s="853"/>
      <c r="FW22" s="853"/>
      <c r="FX22" s="853"/>
      <c r="FY22" s="853"/>
      <c r="FZ22" s="853"/>
      <c r="GA22" s="853">
        <f>FO22+1</f>
        <v>2041</v>
      </c>
      <c r="GB22" s="853"/>
      <c r="GC22" s="853"/>
      <c r="GD22" s="853"/>
      <c r="GE22" s="853"/>
      <c r="GF22" s="853"/>
      <c r="GG22" s="853"/>
      <c r="GH22" s="853"/>
      <c r="GI22" s="853"/>
      <c r="GJ22" s="853"/>
      <c r="GK22" s="853"/>
      <c r="GL22" s="853"/>
      <c r="GM22" s="853">
        <f>GA22+1</f>
        <v>2042</v>
      </c>
      <c r="GN22" s="853"/>
      <c r="GO22" s="853"/>
      <c r="GP22" s="853"/>
      <c r="GQ22" s="853"/>
      <c r="GR22" s="853"/>
      <c r="GS22" s="853"/>
      <c r="GT22" s="853"/>
      <c r="GU22" s="853"/>
      <c r="GV22" s="853"/>
      <c r="GW22" s="853"/>
      <c r="GX22" s="853"/>
      <c r="GY22" s="853">
        <f>GM22+1</f>
        <v>2043</v>
      </c>
      <c r="GZ22" s="853"/>
      <c r="HA22" s="853"/>
      <c r="HB22" s="853"/>
      <c r="HC22" s="853"/>
      <c r="HD22" s="853"/>
      <c r="HE22" s="853"/>
      <c r="HF22" s="853"/>
      <c r="HG22" s="853"/>
      <c r="HH22" s="853"/>
      <c r="HI22" s="853"/>
      <c r="HJ22" s="853"/>
      <c r="HK22" s="853">
        <f>GY22+1</f>
        <v>2044</v>
      </c>
      <c r="HL22" s="853"/>
      <c r="HM22" s="853"/>
      <c r="HN22" s="853"/>
      <c r="HO22" s="853"/>
      <c r="HP22" s="853"/>
      <c r="HQ22" s="853"/>
      <c r="HR22" s="853"/>
      <c r="HS22" s="853"/>
      <c r="HT22" s="853"/>
      <c r="HU22" s="853"/>
      <c r="HV22" s="853"/>
      <c r="HW22" s="853">
        <f>HK22+1</f>
        <v>2045</v>
      </c>
      <c r="HX22" s="853"/>
      <c r="HY22" s="853"/>
      <c r="HZ22" s="853"/>
      <c r="IA22" s="853"/>
      <c r="IB22" s="853"/>
      <c r="IC22" s="853"/>
      <c r="ID22" s="853"/>
      <c r="IE22" s="853"/>
      <c r="IF22" s="853"/>
      <c r="IG22" s="853"/>
      <c r="IH22" s="853"/>
      <c r="II22" s="853">
        <f>HW22+1</f>
        <v>2046</v>
      </c>
      <c r="IJ22" s="853"/>
      <c r="IK22" s="853"/>
      <c r="IL22" s="853"/>
      <c r="IM22" s="853"/>
      <c r="IN22" s="853"/>
      <c r="IO22" s="853"/>
      <c r="IP22" s="853"/>
      <c r="IQ22" s="853"/>
      <c r="IR22" s="853"/>
      <c r="IS22" s="853"/>
      <c r="IT22" s="853"/>
      <c r="IU22" s="853">
        <f>II22+1</f>
        <v>2047</v>
      </c>
      <c r="IV22" s="853"/>
      <c r="IW22" s="853"/>
      <c r="IX22" s="853"/>
      <c r="IY22" s="853"/>
      <c r="IZ22" s="853"/>
      <c r="JA22" s="853"/>
      <c r="JB22" s="853"/>
      <c r="JC22" s="853"/>
      <c r="JD22" s="853"/>
      <c r="JE22" s="853"/>
      <c r="JF22" s="853"/>
      <c r="JG22" s="853">
        <f>IU22+1</f>
        <v>2048</v>
      </c>
      <c r="JH22" s="853"/>
      <c r="JI22" s="853"/>
      <c r="JJ22" s="853"/>
      <c r="JK22" s="853"/>
      <c r="JL22" s="853"/>
      <c r="JM22" s="853"/>
      <c r="JN22" s="853"/>
      <c r="JO22" s="853"/>
      <c r="JP22" s="853"/>
      <c r="JQ22" s="853"/>
      <c r="JR22" s="853"/>
      <c r="JS22" s="48" t="s">
        <v>238</v>
      </c>
    </row>
    <row r="23" spans="2:279" x14ac:dyDescent="0.2">
      <c r="C23" s="6">
        <f>C22</f>
        <v>2026</v>
      </c>
      <c r="D23" s="6">
        <f>C23</f>
        <v>2026</v>
      </c>
      <c r="E23" s="6">
        <f t="shared" ref="E23" si="204">D23</f>
        <v>2026</v>
      </c>
      <c r="F23" s="6">
        <f t="shared" ref="F23" si="205">E23</f>
        <v>2026</v>
      </c>
      <c r="G23" s="6">
        <f t="shared" ref="G23" si="206">F23</f>
        <v>2026</v>
      </c>
      <c r="H23" s="6">
        <f t="shared" ref="H23" si="207">G23</f>
        <v>2026</v>
      </c>
      <c r="I23" s="6">
        <f t="shared" ref="I23" si="208">H23</f>
        <v>2026</v>
      </c>
      <c r="J23" s="6">
        <f t="shared" ref="J23" si="209">I23</f>
        <v>2026</v>
      </c>
      <c r="K23" s="6">
        <f t="shared" ref="K23" si="210">J23</f>
        <v>2026</v>
      </c>
      <c r="L23" s="6">
        <f t="shared" ref="L23" si="211">K23</f>
        <v>2026</v>
      </c>
      <c r="M23" s="6">
        <f t="shared" ref="M23" si="212">L23</f>
        <v>2026</v>
      </c>
      <c r="N23" s="6">
        <f t="shared" ref="N23" si="213">M23</f>
        <v>2026</v>
      </c>
      <c r="O23" s="6">
        <f>O22</f>
        <v>2027</v>
      </c>
      <c r="P23" s="6">
        <f>O23</f>
        <v>2027</v>
      </c>
      <c r="Q23" s="6">
        <f t="shared" ref="Q23" si="214">P23</f>
        <v>2027</v>
      </c>
      <c r="R23" s="6">
        <f t="shared" ref="R23" si="215">Q23</f>
        <v>2027</v>
      </c>
      <c r="S23" s="6">
        <f t="shared" ref="S23" si="216">R23</f>
        <v>2027</v>
      </c>
      <c r="T23" s="6">
        <f t="shared" ref="T23" si="217">S23</f>
        <v>2027</v>
      </c>
      <c r="U23" s="6">
        <f t="shared" ref="U23" si="218">T23</f>
        <v>2027</v>
      </c>
      <c r="V23" s="6">
        <f t="shared" ref="V23" si="219">U23</f>
        <v>2027</v>
      </c>
      <c r="W23" s="6">
        <f t="shared" ref="W23" si="220">V23</f>
        <v>2027</v>
      </c>
      <c r="X23" s="6">
        <f t="shared" ref="X23" si="221">W23</f>
        <v>2027</v>
      </c>
      <c r="Y23" s="6">
        <f t="shared" ref="Y23" si="222">X23</f>
        <v>2027</v>
      </c>
      <c r="Z23" s="6">
        <f t="shared" ref="Z23" si="223">Y23</f>
        <v>2027</v>
      </c>
      <c r="AA23" s="6">
        <f>AA22</f>
        <v>2028</v>
      </c>
      <c r="AB23" s="6">
        <f>AA23</f>
        <v>2028</v>
      </c>
      <c r="AC23" s="6">
        <f t="shared" ref="AC23" si="224">AB23</f>
        <v>2028</v>
      </c>
      <c r="AD23" s="6">
        <f t="shared" ref="AD23" si="225">AC23</f>
        <v>2028</v>
      </c>
      <c r="AE23" s="6">
        <f t="shared" ref="AE23" si="226">AD23</f>
        <v>2028</v>
      </c>
      <c r="AF23" s="6">
        <f t="shared" ref="AF23" si="227">AE23</f>
        <v>2028</v>
      </c>
      <c r="AG23" s="6">
        <f t="shared" ref="AG23" si="228">AF23</f>
        <v>2028</v>
      </c>
      <c r="AH23" s="6">
        <f t="shared" ref="AH23" si="229">AG23</f>
        <v>2028</v>
      </c>
      <c r="AI23" s="6">
        <f t="shared" ref="AI23" si="230">AH23</f>
        <v>2028</v>
      </c>
      <c r="AJ23" s="6">
        <f t="shared" ref="AJ23" si="231">AI23</f>
        <v>2028</v>
      </c>
      <c r="AK23" s="6">
        <f t="shared" ref="AK23" si="232">AJ23</f>
        <v>2028</v>
      </c>
      <c r="AL23" s="6">
        <f t="shared" ref="AL23" si="233">AK23</f>
        <v>2028</v>
      </c>
      <c r="AM23" s="6">
        <f>AM22</f>
        <v>2029</v>
      </c>
      <c r="AN23" s="6">
        <f>AM23</f>
        <v>2029</v>
      </c>
      <c r="AO23" s="6">
        <f t="shared" ref="AO23" si="234">AN23</f>
        <v>2029</v>
      </c>
      <c r="AP23" s="6">
        <f t="shared" ref="AP23" si="235">AO23</f>
        <v>2029</v>
      </c>
      <c r="AQ23" s="6">
        <f t="shared" ref="AQ23" si="236">AP23</f>
        <v>2029</v>
      </c>
      <c r="AR23" s="6">
        <f t="shared" ref="AR23" si="237">AQ23</f>
        <v>2029</v>
      </c>
      <c r="AS23" s="6">
        <f t="shared" ref="AS23" si="238">AR23</f>
        <v>2029</v>
      </c>
      <c r="AT23" s="6">
        <f t="shared" ref="AT23" si="239">AS23</f>
        <v>2029</v>
      </c>
      <c r="AU23" s="6">
        <f t="shared" ref="AU23" si="240">AT23</f>
        <v>2029</v>
      </c>
      <c r="AV23" s="6">
        <f t="shared" ref="AV23" si="241">AU23</f>
        <v>2029</v>
      </c>
      <c r="AW23" s="6">
        <f t="shared" ref="AW23" si="242">AV23</f>
        <v>2029</v>
      </c>
      <c r="AX23" s="6">
        <f t="shared" ref="AX23" si="243">AW23</f>
        <v>2029</v>
      </c>
      <c r="AY23" s="6">
        <f>AY22</f>
        <v>2030</v>
      </c>
      <c r="AZ23" s="6">
        <f>AY23</f>
        <v>2030</v>
      </c>
      <c r="BA23" s="6">
        <f t="shared" ref="BA23" si="244">AZ23</f>
        <v>2030</v>
      </c>
      <c r="BB23" s="6">
        <f t="shared" ref="BB23" si="245">BA23</f>
        <v>2030</v>
      </c>
      <c r="BC23" s="6">
        <f t="shared" ref="BC23" si="246">BB23</f>
        <v>2030</v>
      </c>
      <c r="BD23" s="6">
        <f t="shared" ref="BD23" si="247">BC23</f>
        <v>2030</v>
      </c>
      <c r="BE23" s="6">
        <f t="shared" ref="BE23" si="248">BD23</f>
        <v>2030</v>
      </c>
      <c r="BF23" s="6">
        <f t="shared" ref="BF23" si="249">BE23</f>
        <v>2030</v>
      </c>
      <c r="BG23" s="6">
        <f t="shared" ref="BG23" si="250">BF23</f>
        <v>2030</v>
      </c>
      <c r="BH23" s="6">
        <f t="shared" ref="BH23" si="251">BG23</f>
        <v>2030</v>
      </c>
      <c r="BI23" s="6">
        <f t="shared" ref="BI23" si="252">BH23</f>
        <v>2030</v>
      </c>
      <c r="BJ23" s="6">
        <f t="shared" ref="BJ23" si="253">BI23</f>
        <v>2030</v>
      </c>
      <c r="BK23" s="6">
        <f>BK22</f>
        <v>2031</v>
      </c>
      <c r="BL23" s="6">
        <f>BK23</f>
        <v>2031</v>
      </c>
      <c r="BM23" s="6">
        <f t="shared" ref="BM23" si="254">BL23</f>
        <v>2031</v>
      </c>
      <c r="BN23" s="6">
        <f t="shared" ref="BN23" si="255">BM23</f>
        <v>2031</v>
      </c>
      <c r="BO23" s="6">
        <f t="shared" ref="BO23" si="256">BN23</f>
        <v>2031</v>
      </c>
      <c r="BP23" s="6">
        <f t="shared" ref="BP23" si="257">BO23</f>
        <v>2031</v>
      </c>
      <c r="BQ23" s="6">
        <f t="shared" ref="BQ23" si="258">BP23</f>
        <v>2031</v>
      </c>
      <c r="BR23" s="6">
        <f t="shared" ref="BR23" si="259">BQ23</f>
        <v>2031</v>
      </c>
      <c r="BS23" s="6">
        <f t="shared" ref="BS23" si="260">BR23</f>
        <v>2031</v>
      </c>
      <c r="BT23" s="6">
        <f t="shared" ref="BT23" si="261">BS23</f>
        <v>2031</v>
      </c>
      <c r="BU23" s="6">
        <f t="shared" ref="BU23" si="262">BT23</f>
        <v>2031</v>
      </c>
      <c r="BV23" s="6">
        <f t="shared" ref="BV23" si="263">BU23</f>
        <v>2031</v>
      </c>
      <c r="BW23" s="6">
        <f>BW22</f>
        <v>2032</v>
      </c>
      <c r="BX23" s="6">
        <f>BW23</f>
        <v>2032</v>
      </c>
      <c r="BY23" s="6">
        <f t="shared" ref="BY23" si="264">BX23</f>
        <v>2032</v>
      </c>
      <c r="BZ23" s="6">
        <f t="shared" ref="BZ23" si="265">BY23</f>
        <v>2032</v>
      </c>
      <c r="CA23" s="6">
        <f t="shared" ref="CA23" si="266">BZ23</f>
        <v>2032</v>
      </c>
      <c r="CB23" s="6">
        <f t="shared" ref="CB23" si="267">CA23</f>
        <v>2032</v>
      </c>
      <c r="CC23" s="6">
        <f t="shared" ref="CC23" si="268">CB23</f>
        <v>2032</v>
      </c>
      <c r="CD23" s="6">
        <f t="shared" ref="CD23" si="269">CC23</f>
        <v>2032</v>
      </c>
      <c r="CE23" s="6">
        <f t="shared" ref="CE23" si="270">CD23</f>
        <v>2032</v>
      </c>
      <c r="CF23" s="6">
        <f t="shared" ref="CF23" si="271">CE23</f>
        <v>2032</v>
      </c>
      <c r="CG23" s="6">
        <f t="shared" ref="CG23" si="272">CF23</f>
        <v>2032</v>
      </c>
      <c r="CH23" s="6">
        <f t="shared" ref="CH23" si="273">CG23</f>
        <v>2032</v>
      </c>
      <c r="CI23" s="6">
        <f>CI22</f>
        <v>2033</v>
      </c>
      <c r="CJ23" s="6">
        <f>CI23</f>
        <v>2033</v>
      </c>
      <c r="CK23" s="6">
        <f t="shared" ref="CK23" si="274">CJ23</f>
        <v>2033</v>
      </c>
      <c r="CL23" s="6">
        <f t="shared" ref="CL23" si="275">CK23</f>
        <v>2033</v>
      </c>
      <c r="CM23" s="6">
        <f t="shared" ref="CM23" si="276">CL23</f>
        <v>2033</v>
      </c>
      <c r="CN23" s="6">
        <f t="shared" ref="CN23" si="277">CM23</f>
        <v>2033</v>
      </c>
      <c r="CO23" s="6">
        <f t="shared" ref="CO23" si="278">CN23</f>
        <v>2033</v>
      </c>
      <c r="CP23" s="6">
        <f t="shared" ref="CP23" si="279">CO23</f>
        <v>2033</v>
      </c>
      <c r="CQ23" s="6">
        <f t="shared" ref="CQ23" si="280">CP23</f>
        <v>2033</v>
      </c>
      <c r="CR23" s="6">
        <f t="shared" ref="CR23" si="281">CQ23</f>
        <v>2033</v>
      </c>
      <c r="CS23" s="6">
        <f t="shared" ref="CS23" si="282">CR23</f>
        <v>2033</v>
      </c>
      <c r="CT23" s="6">
        <f t="shared" ref="CT23" si="283">CS23</f>
        <v>2033</v>
      </c>
      <c r="CU23" s="6">
        <f>CU22</f>
        <v>2034</v>
      </c>
      <c r="CV23" s="6">
        <f>CU23</f>
        <v>2034</v>
      </c>
      <c r="CW23" s="6">
        <f t="shared" ref="CW23" si="284">CV23</f>
        <v>2034</v>
      </c>
      <c r="CX23" s="6">
        <f t="shared" ref="CX23" si="285">CW23</f>
        <v>2034</v>
      </c>
      <c r="CY23" s="6">
        <f t="shared" ref="CY23" si="286">CX23</f>
        <v>2034</v>
      </c>
      <c r="CZ23" s="6">
        <f t="shared" ref="CZ23" si="287">CY23</f>
        <v>2034</v>
      </c>
      <c r="DA23" s="6">
        <f t="shared" ref="DA23" si="288">CZ23</f>
        <v>2034</v>
      </c>
      <c r="DB23" s="6">
        <f t="shared" ref="DB23" si="289">DA23</f>
        <v>2034</v>
      </c>
      <c r="DC23" s="6">
        <f t="shared" ref="DC23" si="290">DB23</f>
        <v>2034</v>
      </c>
      <c r="DD23" s="6">
        <f t="shared" ref="DD23" si="291">DC23</f>
        <v>2034</v>
      </c>
      <c r="DE23" s="6">
        <f t="shared" ref="DE23" si="292">DD23</f>
        <v>2034</v>
      </c>
      <c r="DF23" s="6">
        <f t="shared" ref="DF23" si="293">DE23</f>
        <v>2034</v>
      </c>
      <c r="DG23" s="6">
        <f>DG22</f>
        <v>2035</v>
      </c>
      <c r="DH23" s="6">
        <f>DG23</f>
        <v>2035</v>
      </c>
      <c r="DI23" s="6">
        <f t="shared" ref="DI23" si="294">DH23</f>
        <v>2035</v>
      </c>
      <c r="DJ23" s="6">
        <f t="shared" ref="DJ23" si="295">DI23</f>
        <v>2035</v>
      </c>
      <c r="DK23" s="6">
        <f t="shared" ref="DK23" si="296">DJ23</f>
        <v>2035</v>
      </c>
      <c r="DL23" s="6">
        <f t="shared" ref="DL23" si="297">DK23</f>
        <v>2035</v>
      </c>
      <c r="DM23" s="6">
        <f t="shared" ref="DM23" si="298">DL23</f>
        <v>2035</v>
      </c>
      <c r="DN23" s="6">
        <f t="shared" ref="DN23" si="299">DM23</f>
        <v>2035</v>
      </c>
      <c r="DO23" s="6">
        <f t="shared" ref="DO23" si="300">DN23</f>
        <v>2035</v>
      </c>
      <c r="DP23" s="6">
        <f t="shared" ref="DP23" si="301">DO23</f>
        <v>2035</v>
      </c>
      <c r="DQ23" s="6">
        <f t="shared" ref="DQ23" si="302">DP23</f>
        <v>2035</v>
      </c>
      <c r="DR23" s="6">
        <f t="shared" ref="DR23" si="303">DQ23</f>
        <v>2035</v>
      </c>
      <c r="DS23" s="6">
        <f>DS22</f>
        <v>2036</v>
      </c>
      <c r="DT23" s="6">
        <f>DS23</f>
        <v>2036</v>
      </c>
      <c r="DU23" s="6">
        <f t="shared" ref="DU23" si="304">DT23</f>
        <v>2036</v>
      </c>
      <c r="DV23" s="6">
        <f t="shared" ref="DV23" si="305">DU23</f>
        <v>2036</v>
      </c>
      <c r="DW23" s="6">
        <f t="shared" ref="DW23" si="306">DV23</f>
        <v>2036</v>
      </c>
      <c r="DX23" s="6">
        <f t="shared" ref="DX23" si="307">DW23</f>
        <v>2036</v>
      </c>
      <c r="DY23" s="6">
        <f t="shared" ref="DY23" si="308">DX23</f>
        <v>2036</v>
      </c>
      <c r="DZ23" s="6">
        <f t="shared" ref="DZ23" si="309">DY23</f>
        <v>2036</v>
      </c>
      <c r="EA23" s="6">
        <f t="shared" ref="EA23" si="310">DZ23</f>
        <v>2036</v>
      </c>
      <c r="EB23" s="6">
        <f t="shared" ref="EB23" si="311">EA23</f>
        <v>2036</v>
      </c>
      <c r="EC23" s="6">
        <f t="shared" ref="EC23" si="312">EB23</f>
        <v>2036</v>
      </c>
      <c r="ED23" s="6">
        <f t="shared" ref="ED23" si="313">EC23</f>
        <v>2036</v>
      </c>
      <c r="EE23" s="6">
        <f>EE22</f>
        <v>2037</v>
      </c>
      <c r="EF23" s="6">
        <f>EE23</f>
        <v>2037</v>
      </c>
      <c r="EG23" s="6">
        <f t="shared" ref="EG23" si="314">EF23</f>
        <v>2037</v>
      </c>
      <c r="EH23" s="6">
        <f t="shared" ref="EH23" si="315">EG23</f>
        <v>2037</v>
      </c>
      <c r="EI23" s="6">
        <f t="shared" ref="EI23" si="316">EH23</f>
        <v>2037</v>
      </c>
      <c r="EJ23" s="6">
        <f t="shared" ref="EJ23" si="317">EI23</f>
        <v>2037</v>
      </c>
      <c r="EK23" s="6">
        <f t="shared" ref="EK23" si="318">EJ23</f>
        <v>2037</v>
      </c>
      <c r="EL23" s="6">
        <f t="shared" ref="EL23" si="319">EK23</f>
        <v>2037</v>
      </c>
      <c r="EM23" s="6">
        <f t="shared" ref="EM23" si="320">EL23</f>
        <v>2037</v>
      </c>
      <c r="EN23" s="6">
        <f t="shared" ref="EN23" si="321">EM23</f>
        <v>2037</v>
      </c>
      <c r="EO23" s="6">
        <f t="shared" ref="EO23" si="322">EN23</f>
        <v>2037</v>
      </c>
      <c r="EP23" s="6">
        <f t="shared" ref="EP23" si="323">EO23</f>
        <v>2037</v>
      </c>
      <c r="EQ23" s="6">
        <f>EQ22</f>
        <v>2038</v>
      </c>
      <c r="ER23" s="6">
        <f>EQ23</f>
        <v>2038</v>
      </c>
      <c r="ES23" s="6">
        <f t="shared" ref="ES23" si="324">ER23</f>
        <v>2038</v>
      </c>
      <c r="ET23" s="6">
        <f t="shared" ref="ET23" si="325">ES23</f>
        <v>2038</v>
      </c>
      <c r="EU23" s="6">
        <f t="shared" ref="EU23" si="326">ET23</f>
        <v>2038</v>
      </c>
      <c r="EV23" s="6">
        <f t="shared" ref="EV23" si="327">EU23</f>
        <v>2038</v>
      </c>
      <c r="EW23" s="6">
        <f t="shared" ref="EW23" si="328">EV23</f>
        <v>2038</v>
      </c>
      <c r="EX23" s="6">
        <f t="shared" ref="EX23" si="329">EW23</f>
        <v>2038</v>
      </c>
      <c r="EY23" s="6">
        <f t="shared" ref="EY23" si="330">EX23</f>
        <v>2038</v>
      </c>
      <c r="EZ23" s="6">
        <f t="shared" ref="EZ23" si="331">EY23</f>
        <v>2038</v>
      </c>
      <c r="FA23" s="6">
        <f t="shared" ref="FA23" si="332">EZ23</f>
        <v>2038</v>
      </c>
      <c r="FB23" s="6">
        <f t="shared" ref="FB23" si="333">FA23</f>
        <v>2038</v>
      </c>
      <c r="FC23" s="6">
        <f>FC22</f>
        <v>2039</v>
      </c>
      <c r="FD23" s="6">
        <f>FC23</f>
        <v>2039</v>
      </c>
      <c r="FE23" s="6">
        <f t="shared" ref="FE23" si="334">FD23</f>
        <v>2039</v>
      </c>
      <c r="FF23" s="6">
        <f t="shared" ref="FF23" si="335">FE23</f>
        <v>2039</v>
      </c>
      <c r="FG23" s="6">
        <f t="shared" ref="FG23" si="336">FF23</f>
        <v>2039</v>
      </c>
      <c r="FH23" s="6">
        <f t="shared" ref="FH23" si="337">FG23</f>
        <v>2039</v>
      </c>
      <c r="FI23" s="6">
        <f t="shared" ref="FI23" si="338">FH23</f>
        <v>2039</v>
      </c>
      <c r="FJ23" s="6">
        <f t="shared" ref="FJ23" si="339">FI23</f>
        <v>2039</v>
      </c>
      <c r="FK23" s="6">
        <f t="shared" ref="FK23" si="340">FJ23</f>
        <v>2039</v>
      </c>
      <c r="FL23" s="6">
        <f t="shared" ref="FL23" si="341">FK23</f>
        <v>2039</v>
      </c>
      <c r="FM23" s="6">
        <f t="shared" ref="FM23" si="342">FL23</f>
        <v>2039</v>
      </c>
      <c r="FN23" s="6">
        <f t="shared" ref="FN23" si="343">FM23</f>
        <v>2039</v>
      </c>
      <c r="FO23" s="6">
        <f>FO22</f>
        <v>2040</v>
      </c>
      <c r="FP23" s="6">
        <f>FO23</f>
        <v>2040</v>
      </c>
      <c r="FQ23" s="6">
        <f t="shared" ref="FQ23" si="344">FP23</f>
        <v>2040</v>
      </c>
      <c r="FR23" s="6">
        <f t="shared" ref="FR23" si="345">FQ23</f>
        <v>2040</v>
      </c>
      <c r="FS23" s="6">
        <f t="shared" ref="FS23" si="346">FR23</f>
        <v>2040</v>
      </c>
      <c r="FT23" s="6">
        <f t="shared" ref="FT23" si="347">FS23</f>
        <v>2040</v>
      </c>
      <c r="FU23" s="6">
        <f t="shared" ref="FU23" si="348">FT23</f>
        <v>2040</v>
      </c>
      <c r="FV23" s="6">
        <f t="shared" ref="FV23" si="349">FU23</f>
        <v>2040</v>
      </c>
      <c r="FW23" s="6">
        <f t="shared" ref="FW23" si="350">FV23</f>
        <v>2040</v>
      </c>
      <c r="FX23" s="6">
        <f t="shared" ref="FX23" si="351">FW23</f>
        <v>2040</v>
      </c>
      <c r="FY23" s="6">
        <f t="shared" ref="FY23" si="352">FX23</f>
        <v>2040</v>
      </c>
      <c r="FZ23" s="6">
        <f t="shared" ref="FZ23" si="353">FY23</f>
        <v>2040</v>
      </c>
      <c r="GA23" s="6">
        <f>GA22</f>
        <v>2041</v>
      </c>
      <c r="GB23" s="6">
        <f>GA23</f>
        <v>2041</v>
      </c>
      <c r="GC23" s="6">
        <f t="shared" ref="GC23" si="354">GB23</f>
        <v>2041</v>
      </c>
      <c r="GD23" s="6">
        <f t="shared" ref="GD23" si="355">GC23</f>
        <v>2041</v>
      </c>
      <c r="GE23" s="6">
        <f t="shared" ref="GE23" si="356">GD23</f>
        <v>2041</v>
      </c>
      <c r="GF23" s="6">
        <f t="shared" ref="GF23" si="357">GE23</f>
        <v>2041</v>
      </c>
      <c r="GG23" s="6">
        <f t="shared" ref="GG23" si="358">GF23</f>
        <v>2041</v>
      </c>
      <c r="GH23" s="6">
        <f t="shared" ref="GH23" si="359">GG23</f>
        <v>2041</v>
      </c>
      <c r="GI23" s="6">
        <f t="shared" ref="GI23" si="360">GH23</f>
        <v>2041</v>
      </c>
      <c r="GJ23" s="6">
        <f t="shared" ref="GJ23" si="361">GI23</f>
        <v>2041</v>
      </c>
      <c r="GK23" s="6">
        <f t="shared" ref="GK23" si="362">GJ23</f>
        <v>2041</v>
      </c>
      <c r="GL23" s="6">
        <f t="shared" ref="GL23" si="363">GK23</f>
        <v>2041</v>
      </c>
      <c r="GM23" s="6">
        <f>GM22</f>
        <v>2042</v>
      </c>
      <c r="GN23" s="6">
        <f>GM23</f>
        <v>2042</v>
      </c>
      <c r="GO23" s="6">
        <f t="shared" ref="GO23" si="364">GN23</f>
        <v>2042</v>
      </c>
      <c r="GP23" s="6">
        <f t="shared" ref="GP23" si="365">GO23</f>
        <v>2042</v>
      </c>
      <c r="GQ23" s="6">
        <f t="shared" ref="GQ23" si="366">GP23</f>
        <v>2042</v>
      </c>
      <c r="GR23" s="6">
        <f t="shared" ref="GR23" si="367">GQ23</f>
        <v>2042</v>
      </c>
      <c r="GS23" s="6">
        <f t="shared" ref="GS23" si="368">GR23</f>
        <v>2042</v>
      </c>
      <c r="GT23" s="6">
        <f t="shared" ref="GT23" si="369">GS23</f>
        <v>2042</v>
      </c>
      <c r="GU23" s="6">
        <f t="shared" ref="GU23" si="370">GT23</f>
        <v>2042</v>
      </c>
      <c r="GV23" s="6">
        <f t="shared" ref="GV23" si="371">GU23</f>
        <v>2042</v>
      </c>
      <c r="GW23" s="6">
        <f t="shared" ref="GW23" si="372">GV23</f>
        <v>2042</v>
      </c>
      <c r="GX23" s="6">
        <f t="shared" ref="GX23" si="373">GW23</f>
        <v>2042</v>
      </c>
      <c r="GY23" s="6">
        <f>GY22</f>
        <v>2043</v>
      </c>
      <c r="GZ23" s="6">
        <f>GY23</f>
        <v>2043</v>
      </c>
      <c r="HA23" s="6">
        <f t="shared" ref="HA23" si="374">GZ23</f>
        <v>2043</v>
      </c>
      <c r="HB23" s="6">
        <f t="shared" ref="HB23" si="375">HA23</f>
        <v>2043</v>
      </c>
      <c r="HC23" s="6">
        <f t="shared" ref="HC23" si="376">HB23</f>
        <v>2043</v>
      </c>
      <c r="HD23" s="6">
        <f t="shared" ref="HD23" si="377">HC23</f>
        <v>2043</v>
      </c>
      <c r="HE23" s="6">
        <f t="shared" ref="HE23" si="378">HD23</f>
        <v>2043</v>
      </c>
      <c r="HF23" s="6">
        <f t="shared" ref="HF23" si="379">HE23</f>
        <v>2043</v>
      </c>
      <c r="HG23" s="6">
        <f t="shared" ref="HG23" si="380">HF23</f>
        <v>2043</v>
      </c>
      <c r="HH23" s="6">
        <f t="shared" ref="HH23" si="381">HG23</f>
        <v>2043</v>
      </c>
      <c r="HI23" s="6">
        <f t="shared" ref="HI23" si="382">HH23</f>
        <v>2043</v>
      </c>
      <c r="HJ23" s="6">
        <f t="shared" ref="HJ23" si="383">HI23</f>
        <v>2043</v>
      </c>
      <c r="HK23" s="6">
        <f>HK22</f>
        <v>2044</v>
      </c>
      <c r="HL23" s="6">
        <f>HK23</f>
        <v>2044</v>
      </c>
      <c r="HM23" s="6">
        <f t="shared" ref="HM23" si="384">HL23</f>
        <v>2044</v>
      </c>
      <c r="HN23" s="6">
        <f t="shared" ref="HN23" si="385">HM23</f>
        <v>2044</v>
      </c>
      <c r="HO23" s="6">
        <f t="shared" ref="HO23" si="386">HN23</f>
        <v>2044</v>
      </c>
      <c r="HP23" s="6">
        <f t="shared" ref="HP23" si="387">HO23</f>
        <v>2044</v>
      </c>
      <c r="HQ23" s="6">
        <f t="shared" ref="HQ23" si="388">HP23</f>
        <v>2044</v>
      </c>
      <c r="HR23" s="6">
        <f t="shared" ref="HR23" si="389">HQ23</f>
        <v>2044</v>
      </c>
      <c r="HS23" s="6">
        <f t="shared" ref="HS23" si="390">HR23</f>
        <v>2044</v>
      </c>
      <c r="HT23" s="6">
        <f t="shared" ref="HT23" si="391">HS23</f>
        <v>2044</v>
      </c>
      <c r="HU23" s="6">
        <f t="shared" ref="HU23" si="392">HT23</f>
        <v>2044</v>
      </c>
      <c r="HV23" s="6">
        <f t="shared" ref="HV23" si="393">HU23</f>
        <v>2044</v>
      </c>
      <c r="HW23" s="6">
        <f>HW22</f>
        <v>2045</v>
      </c>
      <c r="HX23" s="6">
        <f>HW23</f>
        <v>2045</v>
      </c>
      <c r="HY23" s="6">
        <f t="shared" ref="HY23" si="394">HX23</f>
        <v>2045</v>
      </c>
      <c r="HZ23" s="6">
        <f t="shared" ref="HZ23" si="395">HY23</f>
        <v>2045</v>
      </c>
      <c r="IA23" s="6">
        <f t="shared" ref="IA23" si="396">HZ23</f>
        <v>2045</v>
      </c>
      <c r="IB23" s="6">
        <f t="shared" ref="IB23" si="397">IA23</f>
        <v>2045</v>
      </c>
      <c r="IC23" s="6">
        <f t="shared" ref="IC23" si="398">IB23</f>
        <v>2045</v>
      </c>
      <c r="ID23" s="6">
        <f t="shared" ref="ID23" si="399">IC23</f>
        <v>2045</v>
      </c>
      <c r="IE23" s="6">
        <f t="shared" ref="IE23" si="400">ID23</f>
        <v>2045</v>
      </c>
      <c r="IF23" s="6">
        <f t="shared" ref="IF23" si="401">IE23</f>
        <v>2045</v>
      </c>
      <c r="IG23" s="6">
        <f t="shared" ref="IG23" si="402">IF23</f>
        <v>2045</v>
      </c>
      <c r="IH23" s="6">
        <f t="shared" ref="IH23" si="403">IG23</f>
        <v>2045</v>
      </c>
      <c r="II23" s="6">
        <f>II22</f>
        <v>2046</v>
      </c>
      <c r="IJ23" s="6">
        <f>II23</f>
        <v>2046</v>
      </c>
      <c r="IK23" s="6">
        <f t="shared" ref="IK23" si="404">IJ23</f>
        <v>2046</v>
      </c>
      <c r="IL23" s="6">
        <f t="shared" ref="IL23" si="405">IK23</f>
        <v>2046</v>
      </c>
      <c r="IM23" s="6">
        <f t="shared" ref="IM23" si="406">IL23</f>
        <v>2046</v>
      </c>
      <c r="IN23" s="6">
        <f t="shared" ref="IN23" si="407">IM23</f>
        <v>2046</v>
      </c>
      <c r="IO23" s="6">
        <f t="shared" ref="IO23" si="408">IN23</f>
        <v>2046</v>
      </c>
      <c r="IP23" s="6">
        <f t="shared" ref="IP23" si="409">IO23</f>
        <v>2046</v>
      </c>
      <c r="IQ23" s="6">
        <f t="shared" ref="IQ23" si="410">IP23</f>
        <v>2046</v>
      </c>
      <c r="IR23" s="6">
        <f t="shared" ref="IR23" si="411">IQ23</f>
        <v>2046</v>
      </c>
      <c r="IS23" s="6">
        <f t="shared" ref="IS23" si="412">IR23</f>
        <v>2046</v>
      </c>
      <c r="IT23" s="6">
        <f t="shared" ref="IT23" si="413">IS23</f>
        <v>2046</v>
      </c>
      <c r="IU23" s="6">
        <f>IU22</f>
        <v>2047</v>
      </c>
      <c r="IV23" s="6">
        <f>IU23</f>
        <v>2047</v>
      </c>
      <c r="IW23" s="6">
        <f t="shared" ref="IW23" si="414">IV23</f>
        <v>2047</v>
      </c>
      <c r="IX23" s="6">
        <f t="shared" ref="IX23" si="415">IW23</f>
        <v>2047</v>
      </c>
      <c r="IY23" s="6">
        <f t="shared" ref="IY23" si="416">IX23</f>
        <v>2047</v>
      </c>
      <c r="IZ23" s="6">
        <f t="shared" ref="IZ23" si="417">IY23</f>
        <v>2047</v>
      </c>
      <c r="JA23" s="6">
        <f t="shared" ref="JA23" si="418">IZ23</f>
        <v>2047</v>
      </c>
      <c r="JB23" s="6">
        <f t="shared" ref="JB23" si="419">JA23</f>
        <v>2047</v>
      </c>
      <c r="JC23" s="6">
        <f t="shared" ref="JC23" si="420">JB23</f>
        <v>2047</v>
      </c>
      <c r="JD23" s="6">
        <f t="shared" ref="JD23" si="421">JC23</f>
        <v>2047</v>
      </c>
      <c r="JE23" s="6">
        <f t="shared" ref="JE23" si="422">JD23</f>
        <v>2047</v>
      </c>
      <c r="JF23" s="6">
        <f t="shared" ref="JF23" si="423">JE23</f>
        <v>2047</v>
      </c>
      <c r="JG23" s="6">
        <f>JG22</f>
        <v>2048</v>
      </c>
      <c r="JH23" s="6">
        <f>JG23</f>
        <v>2048</v>
      </c>
      <c r="JI23" s="6">
        <f t="shared" ref="JI23" si="424">JH23</f>
        <v>2048</v>
      </c>
      <c r="JJ23" s="6">
        <f t="shared" ref="JJ23" si="425">JI23</f>
        <v>2048</v>
      </c>
      <c r="JK23" s="6">
        <f t="shared" ref="JK23" si="426">JJ23</f>
        <v>2048</v>
      </c>
      <c r="JL23" s="6">
        <f t="shared" ref="JL23" si="427">JK23</f>
        <v>2048</v>
      </c>
      <c r="JM23" s="6">
        <f t="shared" ref="JM23" si="428">JL23</f>
        <v>2048</v>
      </c>
      <c r="JN23" s="6">
        <f t="shared" ref="JN23" si="429">JM23</f>
        <v>2048</v>
      </c>
      <c r="JO23" s="6">
        <f t="shared" ref="JO23" si="430">JN23</f>
        <v>2048</v>
      </c>
      <c r="JP23" s="6">
        <f t="shared" ref="JP23" si="431">JO23</f>
        <v>2048</v>
      </c>
      <c r="JQ23" s="6">
        <f t="shared" ref="JQ23" si="432">JP23</f>
        <v>2048</v>
      </c>
      <c r="JR23" s="6">
        <f t="shared" ref="JR23" si="433">JQ23</f>
        <v>2048</v>
      </c>
    </row>
    <row r="24" spans="2:279" x14ac:dyDescent="0.2">
      <c r="C24" s="52">
        <f>C4</f>
        <v>46052</v>
      </c>
      <c r="D24" s="52">
        <f>EOMONTH(C24,1)</f>
        <v>46081</v>
      </c>
      <c r="E24" s="52">
        <f>EOMONTH(D24,1)</f>
        <v>46112</v>
      </c>
      <c r="F24" s="52">
        <f t="shared" ref="F24" si="434">EOMONTH(E24,1)</f>
        <v>46142</v>
      </c>
      <c r="G24" s="52">
        <f t="shared" ref="G24" si="435">EOMONTH(F24,1)</f>
        <v>46173</v>
      </c>
      <c r="H24" s="52">
        <f t="shared" ref="H24" si="436">EOMONTH(G24,1)</f>
        <v>46203</v>
      </c>
      <c r="I24" s="52">
        <f t="shared" ref="I24" si="437">EOMONTH(H24,1)</f>
        <v>46234</v>
      </c>
      <c r="J24" s="52">
        <f t="shared" ref="J24" si="438">EOMONTH(I24,1)</f>
        <v>46265</v>
      </c>
      <c r="K24" s="52">
        <f t="shared" ref="K24" si="439">EOMONTH(J24,1)</f>
        <v>46295</v>
      </c>
      <c r="L24" s="52">
        <f t="shared" ref="L24" si="440">EOMONTH(K24,1)</f>
        <v>46326</v>
      </c>
      <c r="M24" s="52">
        <f t="shared" ref="M24" si="441">EOMONTH(L24,1)</f>
        <v>46356</v>
      </c>
      <c r="N24" s="52">
        <f t="shared" ref="N24" si="442">EOMONTH(M24,1)</f>
        <v>46387</v>
      </c>
      <c r="O24" s="52">
        <f t="shared" ref="O24" si="443">EOMONTH(N24,1)</f>
        <v>46418</v>
      </c>
      <c r="P24" s="52">
        <f t="shared" ref="P24" si="444">EOMONTH(O24,1)</f>
        <v>46446</v>
      </c>
      <c r="Q24" s="52">
        <f t="shared" ref="Q24" si="445">EOMONTH(P24,1)</f>
        <v>46477</v>
      </c>
      <c r="R24" s="52">
        <f t="shared" ref="R24" si="446">EOMONTH(Q24,1)</f>
        <v>46507</v>
      </c>
      <c r="S24" s="52">
        <f t="shared" ref="S24" si="447">EOMONTH(R24,1)</f>
        <v>46538</v>
      </c>
      <c r="T24" s="52">
        <f t="shared" ref="T24" si="448">EOMONTH(S24,1)</f>
        <v>46568</v>
      </c>
      <c r="U24" s="52">
        <f t="shared" ref="U24" si="449">EOMONTH(T24,1)</f>
        <v>46599</v>
      </c>
      <c r="V24" s="52">
        <f t="shared" ref="V24" si="450">EOMONTH(U24,1)</f>
        <v>46630</v>
      </c>
      <c r="W24" s="52">
        <f t="shared" ref="W24" si="451">EOMONTH(V24,1)</f>
        <v>46660</v>
      </c>
      <c r="X24" s="52">
        <f t="shared" ref="X24" si="452">EOMONTH(W24,1)</f>
        <v>46691</v>
      </c>
      <c r="Y24" s="52">
        <f t="shared" ref="Y24" si="453">EOMONTH(X24,1)</f>
        <v>46721</v>
      </c>
      <c r="Z24" s="52">
        <f t="shared" ref="Z24" si="454">EOMONTH(Y24,1)</f>
        <v>46752</v>
      </c>
      <c r="AA24" s="52">
        <f t="shared" ref="AA24" si="455">EOMONTH(Z24,1)</f>
        <v>46783</v>
      </c>
      <c r="AB24" s="52">
        <f t="shared" ref="AB24" si="456">EOMONTH(AA24,1)</f>
        <v>46812</v>
      </c>
      <c r="AC24" s="52">
        <f t="shared" ref="AC24" si="457">EOMONTH(AB24,1)</f>
        <v>46843</v>
      </c>
      <c r="AD24" s="52">
        <f t="shared" ref="AD24" si="458">EOMONTH(AC24,1)</f>
        <v>46873</v>
      </c>
      <c r="AE24" s="52">
        <f t="shared" ref="AE24" si="459">EOMONTH(AD24,1)</f>
        <v>46904</v>
      </c>
      <c r="AF24" s="52">
        <f t="shared" ref="AF24" si="460">EOMONTH(AE24,1)</f>
        <v>46934</v>
      </c>
      <c r="AG24" s="52">
        <f t="shared" ref="AG24" si="461">EOMONTH(AF24,1)</f>
        <v>46965</v>
      </c>
      <c r="AH24" s="52">
        <f t="shared" ref="AH24" si="462">EOMONTH(AG24,1)</f>
        <v>46996</v>
      </c>
      <c r="AI24" s="52">
        <f t="shared" ref="AI24" si="463">EOMONTH(AH24,1)</f>
        <v>47026</v>
      </c>
      <c r="AJ24" s="52">
        <f t="shared" ref="AJ24" si="464">EOMONTH(AI24,1)</f>
        <v>47057</v>
      </c>
      <c r="AK24" s="52">
        <f t="shared" ref="AK24" si="465">EOMONTH(AJ24,1)</f>
        <v>47087</v>
      </c>
      <c r="AL24" s="52">
        <f t="shared" ref="AL24" si="466">EOMONTH(AK24,1)</f>
        <v>47118</v>
      </c>
      <c r="AM24" s="52">
        <f t="shared" ref="AM24" si="467">EOMONTH(AL24,1)</f>
        <v>47149</v>
      </c>
      <c r="AN24" s="52">
        <f t="shared" ref="AN24" si="468">EOMONTH(AM24,1)</f>
        <v>47177</v>
      </c>
      <c r="AO24" s="52">
        <f t="shared" ref="AO24" si="469">EOMONTH(AN24,1)</f>
        <v>47208</v>
      </c>
      <c r="AP24" s="52">
        <f t="shared" ref="AP24" si="470">EOMONTH(AO24,1)</f>
        <v>47238</v>
      </c>
      <c r="AQ24" s="52">
        <f t="shared" ref="AQ24" si="471">EOMONTH(AP24,1)</f>
        <v>47269</v>
      </c>
      <c r="AR24" s="52">
        <f t="shared" ref="AR24" si="472">EOMONTH(AQ24,1)</f>
        <v>47299</v>
      </c>
      <c r="AS24" s="52">
        <f t="shared" ref="AS24" si="473">EOMONTH(AR24,1)</f>
        <v>47330</v>
      </c>
      <c r="AT24" s="52">
        <f t="shared" ref="AT24" si="474">EOMONTH(AS24,1)</f>
        <v>47361</v>
      </c>
      <c r="AU24" s="52">
        <f t="shared" ref="AU24" si="475">EOMONTH(AT24,1)</f>
        <v>47391</v>
      </c>
      <c r="AV24" s="52">
        <f t="shared" ref="AV24" si="476">EOMONTH(AU24,1)</f>
        <v>47422</v>
      </c>
      <c r="AW24" s="52">
        <f t="shared" ref="AW24" si="477">EOMONTH(AV24,1)</f>
        <v>47452</v>
      </c>
      <c r="AX24" s="52">
        <f t="shared" ref="AX24" si="478">EOMONTH(AW24,1)</f>
        <v>47483</v>
      </c>
      <c r="AY24" s="52">
        <f t="shared" ref="AY24" si="479">EOMONTH(AX24,1)</f>
        <v>47514</v>
      </c>
      <c r="AZ24" s="52">
        <f t="shared" ref="AZ24" si="480">EOMONTH(AY24,1)</f>
        <v>47542</v>
      </c>
      <c r="BA24" s="52">
        <f t="shared" ref="BA24" si="481">EOMONTH(AZ24,1)</f>
        <v>47573</v>
      </c>
      <c r="BB24" s="52">
        <f t="shared" ref="BB24" si="482">EOMONTH(BA24,1)</f>
        <v>47603</v>
      </c>
      <c r="BC24" s="52">
        <f t="shared" ref="BC24" si="483">EOMONTH(BB24,1)</f>
        <v>47634</v>
      </c>
      <c r="BD24" s="52">
        <f t="shared" ref="BD24" si="484">EOMONTH(BC24,1)</f>
        <v>47664</v>
      </c>
      <c r="BE24" s="52">
        <f t="shared" ref="BE24" si="485">EOMONTH(BD24,1)</f>
        <v>47695</v>
      </c>
      <c r="BF24" s="52">
        <f t="shared" ref="BF24" si="486">EOMONTH(BE24,1)</f>
        <v>47726</v>
      </c>
      <c r="BG24" s="52">
        <f t="shared" ref="BG24" si="487">EOMONTH(BF24,1)</f>
        <v>47756</v>
      </c>
      <c r="BH24" s="52">
        <f t="shared" ref="BH24" si="488">EOMONTH(BG24,1)</f>
        <v>47787</v>
      </c>
      <c r="BI24" s="52">
        <f t="shared" ref="BI24" si="489">EOMONTH(BH24,1)</f>
        <v>47817</v>
      </c>
      <c r="BJ24" s="52">
        <f t="shared" ref="BJ24" si="490">EOMONTH(BI24,1)</f>
        <v>47848</v>
      </c>
      <c r="BK24" s="52">
        <f t="shared" ref="BK24" si="491">EOMONTH(BJ24,1)</f>
        <v>47879</v>
      </c>
      <c r="BL24" s="52">
        <f t="shared" ref="BL24" si="492">EOMONTH(BK24,1)</f>
        <v>47907</v>
      </c>
      <c r="BM24" s="52">
        <f t="shared" ref="BM24" si="493">EOMONTH(BL24,1)</f>
        <v>47938</v>
      </c>
      <c r="BN24" s="52">
        <f t="shared" ref="BN24" si="494">EOMONTH(BM24,1)</f>
        <v>47968</v>
      </c>
      <c r="BO24" s="52">
        <f t="shared" ref="BO24" si="495">EOMONTH(BN24,1)</f>
        <v>47999</v>
      </c>
      <c r="BP24" s="52">
        <f t="shared" ref="BP24" si="496">EOMONTH(BO24,1)</f>
        <v>48029</v>
      </c>
      <c r="BQ24" s="52">
        <f t="shared" ref="BQ24" si="497">EOMONTH(BP24,1)</f>
        <v>48060</v>
      </c>
      <c r="BR24" s="52">
        <f t="shared" ref="BR24" si="498">EOMONTH(BQ24,1)</f>
        <v>48091</v>
      </c>
      <c r="BS24" s="52">
        <f t="shared" ref="BS24" si="499">EOMONTH(BR24,1)</f>
        <v>48121</v>
      </c>
      <c r="BT24" s="52">
        <f t="shared" ref="BT24" si="500">EOMONTH(BS24,1)</f>
        <v>48152</v>
      </c>
      <c r="BU24" s="52">
        <f t="shared" ref="BU24" si="501">EOMONTH(BT24,1)</f>
        <v>48182</v>
      </c>
      <c r="BV24" s="52">
        <f t="shared" ref="BV24" si="502">EOMONTH(BU24,1)</f>
        <v>48213</v>
      </c>
      <c r="BW24" s="52">
        <f t="shared" ref="BW24" si="503">EOMONTH(BV24,1)</f>
        <v>48244</v>
      </c>
      <c r="BX24" s="52">
        <f t="shared" ref="BX24" si="504">EOMONTH(BW24,1)</f>
        <v>48273</v>
      </c>
      <c r="BY24" s="52">
        <f t="shared" ref="BY24" si="505">EOMONTH(BX24,1)</f>
        <v>48304</v>
      </c>
      <c r="BZ24" s="52">
        <f t="shared" ref="BZ24" si="506">EOMONTH(BY24,1)</f>
        <v>48334</v>
      </c>
      <c r="CA24" s="52">
        <f t="shared" ref="CA24" si="507">EOMONTH(BZ24,1)</f>
        <v>48365</v>
      </c>
      <c r="CB24" s="52">
        <f t="shared" ref="CB24" si="508">EOMONTH(CA24,1)</f>
        <v>48395</v>
      </c>
      <c r="CC24" s="52">
        <f t="shared" ref="CC24" si="509">EOMONTH(CB24,1)</f>
        <v>48426</v>
      </c>
      <c r="CD24" s="52">
        <f t="shared" ref="CD24" si="510">EOMONTH(CC24,1)</f>
        <v>48457</v>
      </c>
      <c r="CE24" s="52">
        <f t="shared" ref="CE24" si="511">EOMONTH(CD24,1)</f>
        <v>48487</v>
      </c>
      <c r="CF24" s="52">
        <f t="shared" ref="CF24" si="512">EOMONTH(CE24,1)</f>
        <v>48518</v>
      </c>
      <c r="CG24" s="52">
        <f t="shared" ref="CG24" si="513">EOMONTH(CF24,1)</f>
        <v>48548</v>
      </c>
      <c r="CH24" s="52">
        <f t="shared" ref="CH24" si="514">EOMONTH(CG24,1)</f>
        <v>48579</v>
      </c>
      <c r="CI24" s="52">
        <f t="shared" ref="CI24" si="515">EOMONTH(CH24,1)</f>
        <v>48610</v>
      </c>
      <c r="CJ24" s="52">
        <f t="shared" ref="CJ24" si="516">EOMONTH(CI24,1)</f>
        <v>48638</v>
      </c>
      <c r="CK24" s="52">
        <f t="shared" ref="CK24" si="517">EOMONTH(CJ24,1)</f>
        <v>48669</v>
      </c>
      <c r="CL24" s="52">
        <f t="shared" ref="CL24" si="518">EOMONTH(CK24,1)</f>
        <v>48699</v>
      </c>
      <c r="CM24" s="52">
        <f t="shared" ref="CM24" si="519">EOMONTH(CL24,1)</f>
        <v>48730</v>
      </c>
      <c r="CN24" s="52">
        <f t="shared" ref="CN24" si="520">EOMONTH(CM24,1)</f>
        <v>48760</v>
      </c>
      <c r="CO24" s="52">
        <f t="shared" ref="CO24" si="521">EOMONTH(CN24,1)</f>
        <v>48791</v>
      </c>
      <c r="CP24" s="52">
        <f t="shared" ref="CP24" si="522">EOMONTH(CO24,1)</f>
        <v>48822</v>
      </c>
      <c r="CQ24" s="52">
        <f t="shared" ref="CQ24" si="523">EOMONTH(CP24,1)</f>
        <v>48852</v>
      </c>
      <c r="CR24" s="52">
        <f t="shared" ref="CR24" si="524">EOMONTH(CQ24,1)</f>
        <v>48883</v>
      </c>
      <c r="CS24" s="52">
        <f t="shared" ref="CS24" si="525">EOMONTH(CR24,1)</f>
        <v>48913</v>
      </c>
      <c r="CT24" s="52">
        <f t="shared" ref="CT24" si="526">EOMONTH(CS24,1)</f>
        <v>48944</v>
      </c>
      <c r="CU24" s="52">
        <f t="shared" ref="CU24" si="527">EOMONTH(CT24,1)</f>
        <v>48975</v>
      </c>
      <c r="CV24" s="52">
        <f t="shared" ref="CV24" si="528">EOMONTH(CU24,1)</f>
        <v>49003</v>
      </c>
      <c r="CW24" s="52">
        <f t="shared" ref="CW24" si="529">EOMONTH(CV24,1)</f>
        <v>49034</v>
      </c>
      <c r="CX24" s="52">
        <f t="shared" ref="CX24" si="530">EOMONTH(CW24,1)</f>
        <v>49064</v>
      </c>
      <c r="CY24" s="52">
        <f t="shared" ref="CY24" si="531">EOMONTH(CX24,1)</f>
        <v>49095</v>
      </c>
      <c r="CZ24" s="52">
        <f t="shared" ref="CZ24" si="532">EOMONTH(CY24,1)</f>
        <v>49125</v>
      </c>
      <c r="DA24" s="52">
        <f t="shared" ref="DA24" si="533">EOMONTH(CZ24,1)</f>
        <v>49156</v>
      </c>
      <c r="DB24" s="52">
        <f t="shared" ref="DB24" si="534">EOMONTH(DA24,1)</f>
        <v>49187</v>
      </c>
      <c r="DC24" s="52">
        <f t="shared" ref="DC24" si="535">EOMONTH(DB24,1)</f>
        <v>49217</v>
      </c>
      <c r="DD24" s="52">
        <f t="shared" ref="DD24" si="536">EOMONTH(DC24,1)</f>
        <v>49248</v>
      </c>
      <c r="DE24" s="52">
        <f t="shared" ref="DE24" si="537">EOMONTH(DD24,1)</f>
        <v>49278</v>
      </c>
      <c r="DF24" s="52">
        <f t="shared" ref="DF24" si="538">EOMONTH(DE24,1)</f>
        <v>49309</v>
      </c>
      <c r="DG24" s="52">
        <f t="shared" ref="DG24" si="539">EOMONTH(DF24,1)</f>
        <v>49340</v>
      </c>
      <c r="DH24" s="52">
        <f t="shared" ref="DH24" si="540">EOMONTH(DG24,1)</f>
        <v>49368</v>
      </c>
      <c r="DI24" s="52">
        <f t="shared" ref="DI24" si="541">EOMONTH(DH24,1)</f>
        <v>49399</v>
      </c>
      <c r="DJ24" s="52">
        <f t="shared" ref="DJ24" si="542">EOMONTH(DI24,1)</f>
        <v>49429</v>
      </c>
      <c r="DK24" s="52">
        <f t="shared" ref="DK24" si="543">EOMONTH(DJ24,1)</f>
        <v>49460</v>
      </c>
      <c r="DL24" s="52">
        <f t="shared" ref="DL24" si="544">EOMONTH(DK24,1)</f>
        <v>49490</v>
      </c>
      <c r="DM24" s="52">
        <f t="shared" ref="DM24" si="545">EOMONTH(DL24,1)</f>
        <v>49521</v>
      </c>
      <c r="DN24" s="52">
        <f t="shared" ref="DN24" si="546">EOMONTH(DM24,1)</f>
        <v>49552</v>
      </c>
      <c r="DO24" s="52">
        <f t="shared" ref="DO24" si="547">EOMONTH(DN24,1)</f>
        <v>49582</v>
      </c>
      <c r="DP24" s="52">
        <f t="shared" ref="DP24" si="548">EOMONTH(DO24,1)</f>
        <v>49613</v>
      </c>
      <c r="DQ24" s="52">
        <f t="shared" ref="DQ24" si="549">EOMONTH(DP24,1)</f>
        <v>49643</v>
      </c>
      <c r="DR24" s="52">
        <f t="shared" ref="DR24" si="550">EOMONTH(DQ24,1)</f>
        <v>49674</v>
      </c>
      <c r="DS24" s="52">
        <f t="shared" ref="DS24" si="551">EOMONTH(DR24,1)</f>
        <v>49705</v>
      </c>
      <c r="DT24" s="52">
        <f t="shared" ref="DT24" si="552">EOMONTH(DS24,1)</f>
        <v>49734</v>
      </c>
      <c r="DU24" s="52">
        <f t="shared" ref="DU24" si="553">EOMONTH(DT24,1)</f>
        <v>49765</v>
      </c>
      <c r="DV24" s="52">
        <f t="shared" ref="DV24" si="554">EOMONTH(DU24,1)</f>
        <v>49795</v>
      </c>
      <c r="DW24" s="52">
        <f t="shared" ref="DW24" si="555">EOMONTH(DV24,1)</f>
        <v>49826</v>
      </c>
      <c r="DX24" s="52">
        <f t="shared" ref="DX24" si="556">EOMONTH(DW24,1)</f>
        <v>49856</v>
      </c>
      <c r="DY24" s="52">
        <f t="shared" ref="DY24" si="557">EOMONTH(DX24,1)</f>
        <v>49887</v>
      </c>
      <c r="DZ24" s="52">
        <f t="shared" ref="DZ24" si="558">EOMONTH(DY24,1)</f>
        <v>49918</v>
      </c>
      <c r="EA24" s="52">
        <f t="shared" ref="EA24" si="559">EOMONTH(DZ24,1)</f>
        <v>49948</v>
      </c>
      <c r="EB24" s="52">
        <f t="shared" ref="EB24" si="560">EOMONTH(EA24,1)</f>
        <v>49979</v>
      </c>
      <c r="EC24" s="52">
        <f t="shared" ref="EC24" si="561">EOMONTH(EB24,1)</f>
        <v>50009</v>
      </c>
      <c r="ED24" s="52">
        <f t="shared" ref="ED24" si="562">EOMONTH(EC24,1)</f>
        <v>50040</v>
      </c>
      <c r="EE24" s="52">
        <f t="shared" ref="EE24" si="563">EOMONTH(ED24,1)</f>
        <v>50071</v>
      </c>
      <c r="EF24" s="52">
        <f t="shared" ref="EF24" si="564">EOMONTH(EE24,1)</f>
        <v>50099</v>
      </c>
      <c r="EG24" s="52">
        <f t="shared" ref="EG24" si="565">EOMONTH(EF24,1)</f>
        <v>50130</v>
      </c>
      <c r="EH24" s="52">
        <f t="shared" ref="EH24" si="566">EOMONTH(EG24,1)</f>
        <v>50160</v>
      </c>
      <c r="EI24" s="52">
        <f t="shared" ref="EI24" si="567">EOMONTH(EH24,1)</f>
        <v>50191</v>
      </c>
      <c r="EJ24" s="52">
        <f t="shared" ref="EJ24" si="568">EOMONTH(EI24,1)</f>
        <v>50221</v>
      </c>
      <c r="EK24" s="52">
        <f t="shared" ref="EK24" si="569">EOMONTH(EJ24,1)</f>
        <v>50252</v>
      </c>
      <c r="EL24" s="52">
        <f t="shared" ref="EL24" si="570">EOMONTH(EK24,1)</f>
        <v>50283</v>
      </c>
      <c r="EM24" s="52">
        <f t="shared" ref="EM24" si="571">EOMONTH(EL24,1)</f>
        <v>50313</v>
      </c>
      <c r="EN24" s="52">
        <f t="shared" ref="EN24" si="572">EOMONTH(EM24,1)</f>
        <v>50344</v>
      </c>
      <c r="EO24" s="52">
        <f t="shared" ref="EO24" si="573">EOMONTH(EN24,1)</f>
        <v>50374</v>
      </c>
      <c r="EP24" s="52">
        <f t="shared" ref="EP24" si="574">EOMONTH(EO24,1)</f>
        <v>50405</v>
      </c>
      <c r="EQ24" s="52">
        <f t="shared" ref="EQ24" si="575">EOMONTH(EP24,1)</f>
        <v>50436</v>
      </c>
      <c r="ER24" s="52">
        <f t="shared" ref="ER24" si="576">EOMONTH(EQ24,1)</f>
        <v>50464</v>
      </c>
      <c r="ES24" s="52">
        <f t="shared" ref="ES24" si="577">EOMONTH(ER24,1)</f>
        <v>50495</v>
      </c>
      <c r="ET24" s="52">
        <f t="shared" ref="ET24" si="578">EOMONTH(ES24,1)</f>
        <v>50525</v>
      </c>
      <c r="EU24" s="52">
        <f t="shared" ref="EU24" si="579">EOMONTH(ET24,1)</f>
        <v>50556</v>
      </c>
      <c r="EV24" s="52">
        <f t="shared" ref="EV24" si="580">EOMONTH(EU24,1)</f>
        <v>50586</v>
      </c>
      <c r="EW24" s="52">
        <f t="shared" ref="EW24" si="581">EOMONTH(EV24,1)</f>
        <v>50617</v>
      </c>
      <c r="EX24" s="52">
        <f t="shared" ref="EX24" si="582">EOMONTH(EW24,1)</f>
        <v>50648</v>
      </c>
      <c r="EY24" s="52">
        <f t="shared" ref="EY24" si="583">EOMONTH(EX24,1)</f>
        <v>50678</v>
      </c>
      <c r="EZ24" s="52">
        <f t="shared" ref="EZ24" si="584">EOMONTH(EY24,1)</f>
        <v>50709</v>
      </c>
      <c r="FA24" s="52">
        <f t="shared" ref="FA24" si="585">EOMONTH(EZ24,1)</f>
        <v>50739</v>
      </c>
      <c r="FB24" s="52">
        <f t="shared" ref="FB24" si="586">EOMONTH(FA24,1)</f>
        <v>50770</v>
      </c>
      <c r="FC24" s="52">
        <f t="shared" ref="FC24" si="587">EOMONTH(FB24,1)</f>
        <v>50801</v>
      </c>
      <c r="FD24" s="52">
        <f t="shared" ref="FD24" si="588">EOMONTH(FC24,1)</f>
        <v>50829</v>
      </c>
      <c r="FE24" s="52">
        <f t="shared" ref="FE24" si="589">EOMONTH(FD24,1)</f>
        <v>50860</v>
      </c>
      <c r="FF24" s="52">
        <f t="shared" ref="FF24" si="590">EOMONTH(FE24,1)</f>
        <v>50890</v>
      </c>
      <c r="FG24" s="52">
        <f t="shared" ref="FG24" si="591">EOMONTH(FF24,1)</f>
        <v>50921</v>
      </c>
      <c r="FH24" s="52">
        <f t="shared" ref="FH24" si="592">EOMONTH(FG24,1)</f>
        <v>50951</v>
      </c>
      <c r="FI24" s="52">
        <f t="shared" ref="FI24" si="593">EOMONTH(FH24,1)</f>
        <v>50982</v>
      </c>
      <c r="FJ24" s="52">
        <f t="shared" ref="FJ24" si="594">EOMONTH(FI24,1)</f>
        <v>51013</v>
      </c>
      <c r="FK24" s="52">
        <f t="shared" ref="FK24" si="595">EOMONTH(FJ24,1)</f>
        <v>51043</v>
      </c>
      <c r="FL24" s="52">
        <f t="shared" ref="FL24" si="596">EOMONTH(FK24,1)</f>
        <v>51074</v>
      </c>
      <c r="FM24" s="52">
        <f t="shared" ref="FM24" si="597">EOMONTH(FL24,1)</f>
        <v>51104</v>
      </c>
      <c r="FN24" s="52">
        <f t="shared" ref="FN24" si="598">EOMONTH(FM24,1)</f>
        <v>51135</v>
      </c>
      <c r="FO24" s="52">
        <f t="shared" ref="FO24" si="599">EOMONTH(FN24,1)</f>
        <v>51166</v>
      </c>
      <c r="FP24" s="52">
        <f t="shared" ref="FP24" si="600">EOMONTH(FO24,1)</f>
        <v>51195</v>
      </c>
      <c r="FQ24" s="52">
        <f t="shared" ref="FQ24" si="601">EOMONTH(FP24,1)</f>
        <v>51226</v>
      </c>
      <c r="FR24" s="52">
        <f t="shared" ref="FR24" si="602">EOMONTH(FQ24,1)</f>
        <v>51256</v>
      </c>
      <c r="FS24" s="52">
        <f t="shared" ref="FS24" si="603">EOMONTH(FR24,1)</f>
        <v>51287</v>
      </c>
      <c r="FT24" s="52">
        <f t="shared" ref="FT24" si="604">EOMONTH(FS24,1)</f>
        <v>51317</v>
      </c>
      <c r="FU24" s="52">
        <f t="shared" ref="FU24" si="605">EOMONTH(FT24,1)</f>
        <v>51348</v>
      </c>
      <c r="FV24" s="52">
        <f t="shared" ref="FV24" si="606">EOMONTH(FU24,1)</f>
        <v>51379</v>
      </c>
      <c r="FW24" s="52">
        <f t="shared" ref="FW24" si="607">EOMONTH(FV24,1)</f>
        <v>51409</v>
      </c>
      <c r="FX24" s="52">
        <f t="shared" ref="FX24" si="608">EOMONTH(FW24,1)</f>
        <v>51440</v>
      </c>
      <c r="FY24" s="52">
        <f t="shared" ref="FY24" si="609">EOMONTH(FX24,1)</f>
        <v>51470</v>
      </c>
      <c r="FZ24" s="52">
        <f t="shared" ref="FZ24" si="610">EOMONTH(FY24,1)</f>
        <v>51501</v>
      </c>
      <c r="GA24" s="52">
        <f t="shared" ref="GA24" si="611">EOMONTH(FZ24,1)</f>
        <v>51532</v>
      </c>
      <c r="GB24" s="52">
        <f t="shared" ref="GB24" si="612">EOMONTH(GA24,1)</f>
        <v>51560</v>
      </c>
      <c r="GC24" s="52">
        <f t="shared" ref="GC24" si="613">EOMONTH(GB24,1)</f>
        <v>51591</v>
      </c>
      <c r="GD24" s="52">
        <f t="shared" ref="GD24" si="614">EOMONTH(GC24,1)</f>
        <v>51621</v>
      </c>
      <c r="GE24" s="52">
        <f t="shared" ref="GE24" si="615">EOMONTH(GD24,1)</f>
        <v>51652</v>
      </c>
      <c r="GF24" s="52">
        <f t="shared" ref="GF24" si="616">EOMONTH(GE24,1)</f>
        <v>51682</v>
      </c>
      <c r="GG24" s="52">
        <f t="shared" ref="GG24" si="617">EOMONTH(GF24,1)</f>
        <v>51713</v>
      </c>
      <c r="GH24" s="52">
        <f t="shared" ref="GH24" si="618">EOMONTH(GG24,1)</f>
        <v>51744</v>
      </c>
      <c r="GI24" s="52">
        <f t="shared" ref="GI24" si="619">EOMONTH(GH24,1)</f>
        <v>51774</v>
      </c>
      <c r="GJ24" s="52">
        <f t="shared" ref="GJ24" si="620">EOMONTH(GI24,1)</f>
        <v>51805</v>
      </c>
      <c r="GK24" s="52">
        <f t="shared" ref="GK24" si="621">EOMONTH(GJ24,1)</f>
        <v>51835</v>
      </c>
      <c r="GL24" s="52">
        <f t="shared" ref="GL24" si="622">EOMONTH(GK24,1)</f>
        <v>51866</v>
      </c>
      <c r="GM24" s="52">
        <f t="shared" ref="GM24" si="623">EOMONTH(GL24,1)</f>
        <v>51897</v>
      </c>
      <c r="GN24" s="52">
        <f t="shared" ref="GN24" si="624">EOMONTH(GM24,1)</f>
        <v>51925</v>
      </c>
      <c r="GO24" s="52">
        <f t="shared" ref="GO24" si="625">EOMONTH(GN24,1)</f>
        <v>51956</v>
      </c>
      <c r="GP24" s="52">
        <f t="shared" ref="GP24" si="626">EOMONTH(GO24,1)</f>
        <v>51986</v>
      </c>
      <c r="GQ24" s="52">
        <f t="shared" ref="GQ24" si="627">EOMONTH(GP24,1)</f>
        <v>52017</v>
      </c>
      <c r="GR24" s="52">
        <f t="shared" ref="GR24" si="628">EOMONTH(GQ24,1)</f>
        <v>52047</v>
      </c>
      <c r="GS24" s="52">
        <f t="shared" ref="GS24" si="629">EOMONTH(GR24,1)</f>
        <v>52078</v>
      </c>
      <c r="GT24" s="52">
        <f t="shared" ref="GT24" si="630">EOMONTH(GS24,1)</f>
        <v>52109</v>
      </c>
      <c r="GU24" s="52">
        <f t="shared" ref="GU24" si="631">EOMONTH(GT24,1)</f>
        <v>52139</v>
      </c>
      <c r="GV24" s="52">
        <f t="shared" ref="GV24" si="632">EOMONTH(GU24,1)</f>
        <v>52170</v>
      </c>
      <c r="GW24" s="52">
        <f t="shared" ref="GW24" si="633">EOMONTH(GV24,1)</f>
        <v>52200</v>
      </c>
      <c r="GX24" s="52">
        <f t="shared" ref="GX24" si="634">EOMONTH(GW24,1)</f>
        <v>52231</v>
      </c>
      <c r="GY24" s="52">
        <f t="shared" ref="GY24" si="635">EOMONTH(GX24,1)</f>
        <v>52262</v>
      </c>
      <c r="GZ24" s="52">
        <f t="shared" ref="GZ24" si="636">EOMONTH(GY24,1)</f>
        <v>52290</v>
      </c>
      <c r="HA24" s="52">
        <f t="shared" ref="HA24" si="637">EOMONTH(GZ24,1)</f>
        <v>52321</v>
      </c>
      <c r="HB24" s="52">
        <f t="shared" ref="HB24" si="638">EOMONTH(HA24,1)</f>
        <v>52351</v>
      </c>
      <c r="HC24" s="52">
        <f t="shared" ref="HC24" si="639">EOMONTH(HB24,1)</f>
        <v>52382</v>
      </c>
      <c r="HD24" s="52">
        <f t="shared" ref="HD24" si="640">EOMONTH(HC24,1)</f>
        <v>52412</v>
      </c>
      <c r="HE24" s="52">
        <f t="shared" ref="HE24" si="641">EOMONTH(HD24,1)</f>
        <v>52443</v>
      </c>
      <c r="HF24" s="52">
        <f t="shared" ref="HF24" si="642">EOMONTH(HE24,1)</f>
        <v>52474</v>
      </c>
      <c r="HG24" s="52">
        <f t="shared" ref="HG24" si="643">EOMONTH(HF24,1)</f>
        <v>52504</v>
      </c>
      <c r="HH24" s="52">
        <f t="shared" ref="HH24" si="644">EOMONTH(HG24,1)</f>
        <v>52535</v>
      </c>
      <c r="HI24" s="52">
        <f t="shared" ref="HI24" si="645">EOMONTH(HH24,1)</f>
        <v>52565</v>
      </c>
      <c r="HJ24" s="52">
        <f t="shared" ref="HJ24" si="646">EOMONTH(HI24,1)</f>
        <v>52596</v>
      </c>
      <c r="HK24" s="52">
        <f t="shared" ref="HK24" si="647">EOMONTH(HJ24,1)</f>
        <v>52627</v>
      </c>
      <c r="HL24" s="52">
        <f t="shared" ref="HL24" si="648">EOMONTH(HK24,1)</f>
        <v>52656</v>
      </c>
      <c r="HM24" s="52">
        <f t="shared" ref="HM24" si="649">EOMONTH(HL24,1)</f>
        <v>52687</v>
      </c>
      <c r="HN24" s="52">
        <f t="shared" ref="HN24" si="650">EOMONTH(HM24,1)</f>
        <v>52717</v>
      </c>
      <c r="HO24" s="52">
        <f t="shared" ref="HO24" si="651">EOMONTH(HN24,1)</f>
        <v>52748</v>
      </c>
      <c r="HP24" s="52">
        <f t="shared" ref="HP24" si="652">EOMONTH(HO24,1)</f>
        <v>52778</v>
      </c>
      <c r="HQ24" s="52">
        <f t="shared" ref="HQ24" si="653">EOMONTH(HP24,1)</f>
        <v>52809</v>
      </c>
      <c r="HR24" s="52">
        <f t="shared" ref="HR24" si="654">EOMONTH(HQ24,1)</f>
        <v>52840</v>
      </c>
      <c r="HS24" s="52">
        <f t="shared" ref="HS24" si="655">EOMONTH(HR24,1)</f>
        <v>52870</v>
      </c>
      <c r="HT24" s="52">
        <f t="shared" ref="HT24" si="656">EOMONTH(HS24,1)</f>
        <v>52901</v>
      </c>
      <c r="HU24" s="52">
        <f t="shared" ref="HU24" si="657">EOMONTH(HT24,1)</f>
        <v>52931</v>
      </c>
      <c r="HV24" s="52">
        <f t="shared" ref="HV24" si="658">EOMONTH(HU24,1)</f>
        <v>52962</v>
      </c>
      <c r="HW24" s="52">
        <f t="shared" ref="HW24" si="659">EOMONTH(HV24,1)</f>
        <v>52993</v>
      </c>
      <c r="HX24" s="52">
        <f t="shared" ref="HX24" si="660">EOMONTH(HW24,1)</f>
        <v>53021</v>
      </c>
      <c r="HY24" s="52">
        <f t="shared" ref="HY24" si="661">EOMONTH(HX24,1)</f>
        <v>53052</v>
      </c>
      <c r="HZ24" s="52">
        <f t="shared" ref="HZ24" si="662">EOMONTH(HY24,1)</f>
        <v>53082</v>
      </c>
      <c r="IA24" s="52">
        <f t="shared" ref="IA24" si="663">EOMONTH(HZ24,1)</f>
        <v>53113</v>
      </c>
      <c r="IB24" s="52">
        <f t="shared" ref="IB24" si="664">EOMONTH(IA24,1)</f>
        <v>53143</v>
      </c>
      <c r="IC24" s="52">
        <f t="shared" ref="IC24" si="665">EOMONTH(IB24,1)</f>
        <v>53174</v>
      </c>
      <c r="ID24" s="52">
        <f t="shared" ref="ID24" si="666">EOMONTH(IC24,1)</f>
        <v>53205</v>
      </c>
      <c r="IE24" s="52">
        <f t="shared" ref="IE24" si="667">EOMONTH(ID24,1)</f>
        <v>53235</v>
      </c>
      <c r="IF24" s="52">
        <f t="shared" ref="IF24" si="668">EOMONTH(IE24,1)</f>
        <v>53266</v>
      </c>
      <c r="IG24" s="52">
        <f t="shared" ref="IG24" si="669">EOMONTH(IF24,1)</f>
        <v>53296</v>
      </c>
      <c r="IH24" s="52">
        <f t="shared" ref="IH24" si="670">EOMONTH(IG24,1)</f>
        <v>53327</v>
      </c>
      <c r="II24" s="52">
        <f t="shared" ref="II24" si="671">EOMONTH(IH24,1)</f>
        <v>53358</v>
      </c>
      <c r="IJ24" s="52">
        <f t="shared" ref="IJ24" si="672">EOMONTH(II24,1)</f>
        <v>53386</v>
      </c>
      <c r="IK24" s="52">
        <f t="shared" ref="IK24" si="673">EOMONTH(IJ24,1)</f>
        <v>53417</v>
      </c>
      <c r="IL24" s="52">
        <f t="shared" ref="IL24" si="674">EOMONTH(IK24,1)</f>
        <v>53447</v>
      </c>
      <c r="IM24" s="52">
        <f t="shared" ref="IM24" si="675">EOMONTH(IL24,1)</f>
        <v>53478</v>
      </c>
      <c r="IN24" s="52">
        <f t="shared" ref="IN24" si="676">EOMONTH(IM24,1)</f>
        <v>53508</v>
      </c>
      <c r="IO24" s="52">
        <f t="shared" ref="IO24" si="677">EOMONTH(IN24,1)</f>
        <v>53539</v>
      </c>
      <c r="IP24" s="52">
        <f t="shared" ref="IP24" si="678">EOMONTH(IO24,1)</f>
        <v>53570</v>
      </c>
      <c r="IQ24" s="52">
        <f t="shared" ref="IQ24" si="679">EOMONTH(IP24,1)</f>
        <v>53600</v>
      </c>
      <c r="IR24" s="52">
        <f t="shared" ref="IR24" si="680">EOMONTH(IQ24,1)</f>
        <v>53631</v>
      </c>
      <c r="IS24" s="52">
        <f t="shared" ref="IS24" si="681">EOMONTH(IR24,1)</f>
        <v>53661</v>
      </c>
      <c r="IT24" s="52">
        <f t="shared" ref="IT24" si="682">EOMONTH(IS24,1)</f>
        <v>53692</v>
      </c>
      <c r="IU24" s="52">
        <f t="shared" ref="IU24" si="683">EOMONTH(IT24,1)</f>
        <v>53723</v>
      </c>
      <c r="IV24" s="52">
        <f t="shared" ref="IV24" si="684">EOMONTH(IU24,1)</f>
        <v>53751</v>
      </c>
      <c r="IW24" s="52">
        <f t="shared" ref="IW24" si="685">EOMONTH(IV24,1)</f>
        <v>53782</v>
      </c>
      <c r="IX24" s="52">
        <f t="shared" ref="IX24" si="686">EOMONTH(IW24,1)</f>
        <v>53812</v>
      </c>
      <c r="IY24" s="52">
        <f t="shared" ref="IY24" si="687">EOMONTH(IX24,1)</f>
        <v>53843</v>
      </c>
      <c r="IZ24" s="52">
        <f t="shared" ref="IZ24" si="688">EOMONTH(IY24,1)</f>
        <v>53873</v>
      </c>
      <c r="JA24" s="52">
        <f t="shared" ref="JA24" si="689">EOMONTH(IZ24,1)</f>
        <v>53904</v>
      </c>
      <c r="JB24" s="52">
        <f t="shared" ref="JB24" si="690">EOMONTH(JA24,1)</f>
        <v>53935</v>
      </c>
      <c r="JC24" s="52">
        <f t="shared" ref="JC24" si="691">EOMONTH(JB24,1)</f>
        <v>53965</v>
      </c>
      <c r="JD24" s="52">
        <f t="shared" ref="JD24" si="692">EOMONTH(JC24,1)</f>
        <v>53996</v>
      </c>
      <c r="JE24" s="52">
        <f t="shared" ref="JE24" si="693">EOMONTH(JD24,1)</f>
        <v>54026</v>
      </c>
      <c r="JF24" s="52">
        <f t="shared" ref="JF24" si="694">EOMONTH(JE24,1)</f>
        <v>54057</v>
      </c>
      <c r="JG24" s="52">
        <f t="shared" ref="JG24" si="695">EOMONTH(JF24,1)</f>
        <v>54088</v>
      </c>
      <c r="JH24" s="52">
        <f t="shared" ref="JH24" si="696">EOMONTH(JG24,1)</f>
        <v>54117</v>
      </c>
      <c r="JI24" s="52">
        <f t="shared" ref="JI24" si="697">EOMONTH(JH24,1)</f>
        <v>54148</v>
      </c>
      <c r="JJ24" s="52">
        <f t="shared" ref="JJ24" si="698">EOMONTH(JI24,1)</f>
        <v>54178</v>
      </c>
      <c r="JK24" s="52">
        <f t="shared" ref="JK24" si="699">EOMONTH(JJ24,1)</f>
        <v>54209</v>
      </c>
      <c r="JL24" s="52">
        <f t="shared" ref="JL24" si="700">EOMONTH(JK24,1)</f>
        <v>54239</v>
      </c>
      <c r="JM24" s="52">
        <f t="shared" ref="JM24" si="701">EOMONTH(JL24,1)</f>
        <v>54270</v>
      </c>
      <c r="JN24" s="52">
        <f t="shared" ref="JN24" si="702">EOMONTH(JM24,1)</f>
        <v>54301</v>
      </c>
      <c r="JO24" s="52">
        <f t="shared" ref="JO24" si="703">EOMONTH(JN24,1)</f>
        <v>54331</v>
      </c>
      <c r="JP24" s="52">
        <f t="shared" ref="JP24" si="704">EOMONTH(JO24,1)</f>
        <v>54362</v>
      </c>
      <c r="JQ24" s="52">
        <f t="shared" ref="JQ24" si="705">EOMONTH(JP24,1)</f>
        <v>54392</v>
      </c>
      <c r="JR24" s="52">
        <f t="shared" ref="JR24" si="706">EOMONTH(JQ24,1)</f>
        <v>54423</v>
      </c>
      <c r="JS24" s="52">
        <v>52262</v>
      </c>
    </row>
    <row r="25" spans="2:279" x14ac:dyDescent="0.2">
      <c r="B25" s="1" t="s">
        <v>148</v>
      </c>
      <c r="C25" s="33">
        <f>-'Capital Contributions'!E42</f>
        <v>-14255698.433819117</v>
      </c>
      <c r="D25" s="33">
        <f>-'Capital Contributions'!F42</f>
        <v>-4785603.3425289877</v>
      </c>
      <c r="E25" s="33">
        <f>-'Capital Contributions'!G42</f>
        <v>-4009865.8143464723</v>
      </c>
      <c r="F25" s="33">
        <f>-'Capital Contributions'!H42</f>
        <v>-2777465.8294526343</v>
      </c>
      <c r="G25" s="33">
        <f>-'Capital Contributions'!I42</f>
        <v>-5989709.0508059748</v>
      </c>
      <c r="H25" s="33">
        <f>-'Capital Contributions'!J42</f>
        <v>-7424724.6050869329</v>
      </c>
      <c r="I25" s="33">
        <f>-'Capital Contributions'!K42</f>
        <v>-6724655.3583041737</v>
      </c>
      <c r="J25" s="33">
        <f>-'Capital Contributions'!L42</f>
        <v>-6001970.1827104846</v>
      </c>
      <c r="K25" s="33">
        <f>-'Capital Contributions'!M42</f>
        <v>-5696217.6884906162</v>
      </c>
      <c r="L25" s="33">
        <f>-'Capital Contributions'!N42</f>
        <v>-4935662.9515681118</v>
      </c>
      <c r="M25" s="33">
        <f>-'Capital Contributions'!O42</f>
        <v>-4907436.7847301578</v>
      </c>
      <c r="N25" s="33">
        <f>-'Capital Contributions'!P42</f>
        <v>-6700892.9202868603</v>
      </c>
      <c r="O25" s="33">
        <f>-'Capital Contributions'!Q42</f>
        <v>-1380307.8092666978</v>
      </c>
      <c r="P25" s="33">
        <f>-'Capital Contributions'!R42</f>
        <v>-1380307.8092666978</v>
      </c>
      <c r="Q25" s="33">
        <f>-'Capital Contributions'!S42</f>
        <v>-1380307.8092666978</v>
      </c>
      <c r="R25" s="33">
        <f>-'Capital Contributions'!T42</f>
        <v>0</v>
      </c>
      <c r="S25" s="33">
        <f>-'Capital Contributions'!U42</f>
        <v>0</v>
      </c>
      <c r="T25" s="33">
        <f>-'Capital Contributions'!V42</f>
        <v>0</v>
      </c>
      <c r="U25" s="33">
        <f>-'Capital Contributions'!W42</f>
        <v>0</v>
      </c>
      <c r="V25" s="33">
        <f>-'Capital Contributions'!X42</f>
        <v>0</v>
      </c>
      <c r="W25" s="33">
        <f>-'Capital Contributions'!Y42</f>
        <v>0</v>
      </c>
      <c r="X25" s="33">
        <f>-'Capital Contributions'!Z42</f>
        <v>0</v>
      </c>
      <c r="Y25" s="33">
        <f>-'Capital Contributions'!AA42</f>
        <v>0</v>
      </c>
      <c r="Z25" s="33">
        <f>-'Capital Contributions'!AB42</f>
        <v>0</v>
      </c>
      <c r="AA25" s="33">
        <f>-'Capital Contributions'!AC42</f>
        <v>0</v>
      </c>
      <c r="AB25" s="33">
        <f>-'Capital Contributions'!AD42</f>
        <v>0</v>
      </c>
      <c r="AC25" s="33">
        <f>-'Capital Contributions'!AE42</f>
        <v>0</v>
      </c>
      <c r="AD25" s="33">
        <f>-'Capital Contributions'!AF42</f>
        <v>0</v>
      </c>
      <c r="AE25" s="33">
        <f>-'Capital Contributions'!AG42</f>
        <v>0</v>
      </c>
      <c r="AF25" s="33">
        <f>-'Capital Contributions'!AH42</f>
        <v>0</v>
      </c>
      <c r="AG25" s="33">
        <f>-'Capital Contributions'!AI42</f>
        <v>0</v>
      </c>
      <c r="AH25" s="33">
        <f>-'Capital Contributions'!AJ42</f>
        <v>0</v>
      </c>
      <c r="AI25" s="33">
        <f>-'Capital Contributions'!AK42</f>
        <v>0</v>
      </c>
      <c r="AJ25" s="33">
        <f>-'Capital Contributions'!AL42</f>
        <v>0</v>
      </c>
      <c r="AK25" s="33">
        <f>-'Capital Contributions'!AM42</f>
        <v>0</v>
      </c>
      <c r="AL25" s="33">
        <f>-'Capital Contributions'!AN42</f>
        <v>0</v>
      </c>
      <c r="AM25" s="33">
        <f>-'Capital Contributions'!AO42</f>
        <v>0</v>
      </c>
      <c r="AN25" s="33">
        <f>-'Capital Contributions'!AP42</f>
        <v>0</v>
      </c>
      <c r="AO25" s="33">
        <f>-'Capital Contributions'!AQ42</f>
        <v>0</v>
      </c>
      <c r="AP25" s="33">
        <f>-'Capital Contributions'!AR42</f>
        <v>0</v>
      </c>
      <c r="AQ25" s="33">
        <f>-'Capital Contributions'!AS42</f>
        <v>0</v>
      </c>
      <c r="AR25" s="33">
        <f>-'Capital Contributions'!AT42</f>
        <v>0</v>
      </c>
      <c r="AS25" s="33">
        <f>-'Capital Contributions'!AU42</f>
        <v>0</v>
      </c>
      <c r="AT25" s="33">
        <f>-'Capital Contributions'!AV42</f>
        <v>0</v>
      </c>
      <c r="AU25" s="33">
        <f>-'Capital Contributions'!AW42</f>
        <v>0</v>
      </c>
      <c r="AV25" s="33">
        <f>-'Capital Contributions'!AX42</f>
        <v>0</v>
      </c>
      <c r="AW25" s="33">
        <f>-'Capital Contributions'!AY42</f>
        <v>0</v>
      </c>
      <c r="AX25" s="33">
        <f>-'Capital Contributions'!AZ42</f>
        <v>0</v>
      </c>
      <c r="AY25" s="33">
        <f>-'Capital Contributions'!BA42</f>
        <v>0</v>
      </c>
      <c r="AZ25" s="33">
        <f>-'Capital Contributions'!BB42</f>
        <v>0</v>
      </c>
      <c r="BA25" s="33">
        <f>-'Capital Contributions'!BC42</f>
        <v>0</v>
      </c>
      <c r="BB25" s="33">
        <f>-'Capital Contributions'!BD42</f>
        <v>0</v>
      </c>
      <c r="BC25" s="33">
        <f>-'Capital Contributions'!BE42</f>
        <v>0</v>
      </c>
      <c r="BD25" s="33">
        <f>-'Capital Contributions'!BF42</f>
        <v>0</v>
      </c>
      <c r="BE25" s="33">
        <f>-'Capital Contributions'!BG42</f>
        <v>0</v>
      </c>
      <c r="BF25" s="33">
        <f>-'Capital Contributions'!BH42</f>
        <v>0</v>
      </c>
      <c r="BG25" s="33">
        <f>-'Capital Contributions'!BI42</f>
        <v>0</v>
      </c>
      <c r="BH25" s="33">
        <f>-'Capital Contributions'!BJ42</f>
        <v>0</v>
      </c>
      <c r="BI25" s="33">
        <f>-'Capital Contributions'!BK42</f>
        <v>0</v>
      </c>
      <c r="BJ25" s="33">
        <f>-'Capital Contributions'!BL42</f>
        <v>0</v>
      </c>
      <c r="BK25" s="33">
        <f>-'Capital Contributions'!BM42</f>
        <v>0</v>
      </c>
      <c r="BL25" s="33">
        <f>-'Capital Contributions'!BN42</f>
        <v>0</v>
      </c>
      <c r="BM25" s="33">
        <f>-'Capital Contributions'!BO42</f>
        <v>0</v>
      </c>
      <c r="BN25" s="33">
        <f>-'Capital Contributions'!BP42</f>
        <v>0</v>
      </c>
      <c r="BO25" s="33">
        <f>-'Capital Contributions'!BQ42</f>
        <v>0</v>
      </c>
      <c r="BP25" s="33">
        <f>-'Capital Contributions'!BR42</f>
        <v>0</v>
      </c>
      <c r="BQ25" s="33">
        <f>-'Capital Contributions'!BS42</f>
        <v>0</v>
      </c>
      <c r="BR25" s="33">
        <f>-'Capital Contributions'!BT42</f>
        <v>0</v>
      </c>
      <c r="BS25" s="33">
        <f>-'Capital Contributions'!BU42</f>
        <v>0</v>
      </c>
      <c r="BT25" s="33">
        <f>-'Capital Contributions'!BV42</f>
        <v>0</v>
      </c>
      <c r="BU25" s="33">
        <f>-'Capital Contributions'!BW42</f>
        <v>0</v>
      </c>
      <c r="BV25" s="33">
        <f>-'Capital Contributions'!BX42</f>
        <v>0</v>
      </c>
      <c r="BW25" s="33">
        <f>-'Capital Contributions'!BY42</f>
        <v>0</v>
      </c>
      <c r="BX25" s="33">
        <f>-'Capital Contributions'!BZ42</f>
        <v>0</v>
      </c>
      <c r="BY25" s="33">
        <f>-'Capital Contributions'!CA42</f>
        <v>0</v>
      </c>
      <c r="BZ25" s="33">
        <f>-'Capital Contributions'!CB42</f>
        <v>0</v>
      </c>
      <c r="CA25" s="33">
        <f>-'Capital Contributions'!CC42</f>
        <v>0</v>
      </c>
      <c r="CB25" s="33">
        <f>-'Capital Contributions'!CD42</f>
        <v>0</v>
      </c>
      <c r="CC25" s="33">
        <f>-'Capital Contributions'!CE42</f>
        <v>0</v>
      </c>
      <c r="CD25" s="33">
        <f>-'Capital Contributions'!CF42</f>
        <v>0</v>
      </c>
      <c r="CE25" s="33">
        <f>-'Capital Contributions'!CG42</f>
        <v>0</v>
      </c>
      <c r="CF25" s="33">
        <f>-'Capital Contributions'!CH42</f>
        <v>0</v>
      </c>
      <c r="CG25" s="33">
        <f>-'Capital Contributions'!CI42</f>
        <v>0</v>
      </c>
      <c r="CH25" s="33">
        <f>-'Capital Contributions'!CJ42</f>
        <v>0</v>
      </c>
      <c r="CI25" s="33">
        <f>-'Capital Contributions'!CK42</f>
        <v>0</v>
      </c>
      <c r="CJ25" s="33">
        <f>-'Capital Contributions'!CL42</f>
        <v>0</v>
      </c>
      <c r="CK25" s="33">
        <f>-'Capital Contributions'!CM42</f>
        <v>0</v>
      </c>
      <c r="CL25" s="33">
        <f>-'Capital Contributions'!CN42</f>
        <v>0</v>
      </c>
      <c r="CM25" s="33">
        <f>-'Capital Contributions'!CO42</f>
        <v>0</v>
      </c>
      <c r="CN25" s="33">
        <f>-'Capital Contributions'!CP42</f>
        <v>0</v>
      </c>
      <c r="CO25" s="33">
        <f>-'Capital Contributions'!CQ42</f>
        <v>0</v>
      </c>
      <c r="CP25" s="33">
        <f>-'Capital Contributions'!CR42</f>
        <v>0</v>
      </c>
      <c r="CQ25" s="33">
        <f>-'Capital Contributions'!CS42</f>
        <v>0</v>
      </c>
      <c r="CR25" s="33">
        <f>-'Capital Contributions'!CT42</f>
        <v>0</v>
      </c>
      <c r="CS25" s="33">
        <f>-'Capital Contributions'!CU42</f>
        <v>0</v>
      </c>
      <c r="CT25" s="33">
        <f>-'Capital Contributions'!CV42</f>
        <v>0</v>
      </c>
      <c r="CU25" s="33">
        <f>-'Capital Contributions'!CW42</f>
        <v>0</v>
      </c>
      <c r="CV25" s="33">
        <f>-'Capital Contributions'!CX42</f>
        <v>0</v>
      </c>
      <c r="CW25" s="33">
        <f>-'Capital Contributions'!CY42</f>
        <v>0</v>
      </c>
      <c r="CX25" s="33">
        <f>-'Capital Contributions'!CZ42</f>
        <v>0</v>
      </c>
      <c r="CY25" s="33">
        <f>-'Capital Contributions'!DA42</f>
        <v>0</v>
      </c>
      <c r="CZ25" s="33">
        <f>-'Capital Contributions'!DB42</f>
        <v>0</v>
      </c>
      <c r="DA25" s="33">
        <f>-'Capital Contributions'!DC42</f>
        <v>0</v>
      </c>
      <c r="DB25" s="33">
        <f>-'Capital Contributions'!DD42</f>
        <v>0</v>
      </c>
      <c r="DC25" s="33">
        <f>-'Capital Contributions'!DE42</f>
        <v>0</v>
      </c>
      <c r="DD25" s="33">
        <f>-'Capital Contributions'!DF42</f>
        <v>0</v>
      </c>
      <c r="DE25" s="33">
        <f>-'Capital Contributions'!DG42</f>
        <v>0</v>
      </c>
      <c r="DF25" s="33">
        <f>-'Capital Contributions'!DH42</f>
        <v>0</v>
      </c>
      <c r="DG25" s="33">
        <f>-'Capital Contributions'!DI42</f>
        <v>0</v>
      </c>
      <c r="DH25" s="33">
        <f>-'Capital Contributions'!DJ42</f>
        <v>0</v>
      </c>
      <c r="DI25" s="33">
        <f>-'Capital Contributions'!DK42</f>
        <v>0</v>
      </c>
      <c r="DJ25" s="33">
        <f>-'Capital Contributions'!DL42</f>
        <v>0</v>
      </c>
      <c r="DK25" s="33">
        <f>-'Capital Contributions'!DM42</f>
        <v>0</v>
      </c>
      <c r="DL25" s="33">
        <f>-'Capital Contributions'!DN42</f>
        <v>0</v>
      </c>
      <c r="DM25" s="33">
        <f>-'Capital Contributions'!DO42</f>
        <v>0</v>
      </c>
      <c r="DN25" s="33">
        <f>-'Capital Contributions'!DP42</f>
        <v>0</v>
      </c>
      <c r="DO25" s="33">
        <f>-'Capital Contributions'!DQ42</f>
        <v>0</v>
      </c>
      <c r="DP25" s="33">
        <f>-'Capital Contributions'!DR42</f>
        <v>0</v>
      </c>
      <c r="DQ25" s="33">
        <f>-'Capital Contributions'!DS42</f>
        <v>0</v>
      </c>
      <c r="DR25" s="33">
        <f>-'Capital Contributions'!DT42</f>
        <v>0</v>
      </c>
      <c r="DS25" s="33">
        <f>-'Capital Contributions'!DU42</f>
        <v>0</v>
      </c>
      <c r="DT25" s="33">
        <f>-'Capital Contributions'!DV42</f>
        <v>0</v>
      </c>
      <c r="DU25" s="33">
        <f>-'Capital Contributions'!DW42</f>
        <v>0</v>
      </c>
      <c r="DV25" s="33">
        <f>-'Capital Contributions'!DX42</f>
        <v>0</v>
      </c>
      <c r="DW25" s="33">
        <f>-'Capital Contributions'!DY42</f>
        <v>0</v>
      </c>
      <c r="DX25" s="33">
        <f>-'Capital Contributions'!DZ42</f>
        <v>0</v>
      </c>
      <c r="DY25" s="33">
        <f>-'Capital Contributions'!EA42</f>
        <v>0</v>
      </c>
      <c r="DZ25" s="33">
        <f>-'Capital Contributions'!EB42</f>
        <v>0</v>
      </c>
      <c r="EA25" s="33">
        <f>-'Capital Contributions'!EC42</f>
        <v>0</v>
      </c>
      <c r="EB25" s="33">
        <f>-'Capital Contributions'!ED42</f>
        <v>0</v>
      </c>
      <c r="EC25" s="33">
        <f>-'Capital Contributions'!EE42</f>
        <v>0</v>
      </c>
      <c r="ED25" s="33">
        <f>-'Capital Contributions'!EF42</f>
        <v>0</v>
      </c>
      <c r="EE25" s="33">
        <f>-'Capital Contributions'!EG42</f>
        <v>0</v>
      </c>
      <c r="EF25" s="33">
        <f>-'Capital Contributions'!EH42</f>
        <v>0</v>
      </c>
      <c r="EG25" s="33">
        <f>-'Capital Contributions'!EI42</f>
        <v>0</v>
      </c>
      <c r="EH25" s="33">
        <f>-'Capital Contributions'!EJ42</f>
        <v>0</v>
      </c>
      <c r="EI25" s="33">
        <f>-'Capital Contributions'!EK42</f>
        <v>0</v>
      </c>
      <c r="EJ25" s="33">
        <f>-'Capital Contributions'!EL42</f>
        <v>0</v>
      </c>
      <c r="EK25" s="33">
        <f>-'Capital Contributions'!EM42</f>
        <v>0</v>
      </c>
      <c r="EL25" s="33">
        <f>-'Capital Contributions'!EN42</f>
        <v>0</v>
      </c>
      <c r="EM25" s="33">
        <f>-'Capital Contributions'!EO42</f>
        <v>0</v>
      </c>
      <c r="EN25" s="33">
        <f>-'Capital Contributions'!EP42</f>
        <v>0</v>
      </c>
      <c r="EO25" s="33">
        <f>-'Capital Contributions'!EQ42</f>
        <v>0</v>
      </c>
      <c r="EP25" s="33">
        <f>-'Capital Contributions'!ER42</f>
        <v>0</v>
      </c>
      <c r="EQ25" s="33">
        <f>-'Capital Contributions'!ES42</f>
        <v>0</v>
      </c>
      <c r="ER25" s="33">
        <f>-'Capital Contributions'!ET42</f>
        <v>0</v>
      </c>
      <c r="ES25" s="33">
        <f>-'Capital Contributions'!EU42</f>
        <v>0</v>
      </c>
      <c r="ET25" s="33">
        <f>-'Capital Contributions'!EV42</f>
        <v>0</v>
      </c>
      <c r="EU25" s="33">
        <f>-'Capital Contributions'!EW42</f>
        <v>0</v>
      </c>
      <c r="EV25" s="33">
        <f>-'Capital Contributions'!EX42</f>
        <v>0</v>
      </c>
      <c r="EW25" s="33">
        <f>-'Capital Contributions'!EY42</f>
        <v>0</v>
      </c>
      <c r="EX25" s="33">
        <f>-'Capital Contributions'!EZ42</f>
        <v>0</v>
      </c>
      <c r="EY25" s="33">
        <f>-'Capital Contributions'!FA42</f>
        <v>0</v>
      </c>
      <c r="EZ25" s="33">
        <f>-'Capital Contributions'!FB42</f>
        <v>0</v>
      </c>
      <c r="FA25" s="33">
        <f>-'Capital Contributions'!FC42</f>
        <v>0</v>
      </c>
      <c r="FB25" s="33">
        <f>-'Capital Contributions'!FD42</f>
        <v>0</v>
      </c>
      <c r="FC25" s="33">
        <f>-'Capital Contributions'!FE42</f>
        <v>0</v>
      </c>
      <c r="FD25" s="33">
        <f>-'Capital Contributions'!FF42</f>
        <v>0</v>
      </c>
      <c r="FE25" s="33">
        <f>-'Capital Contributions'!FG42</f>
        <v>0</v>
      </c>
      <c r="FF25" s="33">
        <f>-'Capital Contributions'!FH42</f>
        <v>0</v>
      </c>
      <c r="FG25" s="33">
        <f>-'Capital Contributions'!FI42</f>
        <v>0</v>
      </c>
      <c r="FH25" s="33">
        <f>-'Capital Contributions'!FJ42</f>
        <v>0</v>
      </c>
      <c r="FI25" s="33">
        <f>-'Capital Contributions'!FK42</f>
        <v>0</v>
      </c>
      <c r="FJ25" s="33">
        <f>-'Capital Contributions'!FL42</f>
        <v>0</v>
      </c>
      <c r="FK25" s="33">
        <f>-'Capital Contributions'!FM42</f>
        <v>0</v>
      </c>
      <c r="FL25" s="33">
        <f>-'Capital Contributions'!FN42</f>
        <v>0</v>
      </c>
      <c r="FM25" s="33">
        <f>-'Capital Contributions'!FO42</f>
        <v>0</v>
      </c>
      <c r="FN25" s="33">
        <f>-'Capital Contributions'!FP42</f>
        <v>0</v>
      </c>
      <c r="FO25" s="33">
        <f>-'Capital Contributions'!FQ42</f>
        <v>0</v>
      </c>
      <c r="FP25" s="33">
        <f>-'Capital Contributions'!FR42</f>
        <v>0</v>
      </c>
      <c r="FQ25" s="33">
        <f>-'Capital Contributions'!FS42</f>
        <v>0</v>
      </c>
      <c r="FR25" s="33">
        <f>-'Capital Contributions'!FT42</f>
        <v>0</v>
      </c>
      <c r="FS25" s="33">
        <f>-'Capital Contributions'!FU42</f>
        <v>0</v>
      </c>
      <c r="FT25" s="33">
        <f>-'Capital Contributions'!FV42</f>
        <v>0</v>
      </c>
      <c r="FU25" s="33">
        <f>-'Capital Contributions'!FW42</f>
        <v>0</v>
      </c>
      <c r="FV25" s="33">
        <f>-'Capital Contributions'!FX42</f>
        <v>0</v>
      </c>
      <c r="FW25" s="33">
        <f>-'Capital Contributions'!FY42</f>
        <v>0</v>
      </c>
      <c r="FX25" s="33">
        <f>-'Capital Contributions'!FZ42</f>
        <v>0</v>
      </c>
      <c r="FY25" s="33">
        <f>-'Capital Contributions'!GA42</f>
        <v>0</v>
      </c>
      <c r="FZ25" s="33">
        <f>-'Capital Contributions'!GB42</f>
        <v>0</v>
      </c>
      <c r="GA25" s="33">
        <f>-'Capital Contributions'!GC42</f>
        <v>0</v>
      </c>
      <c r="GB25" s="33">
        <f>-'Capital Contributions'!GD42</f>
        <v>0</v>
      </c>
      <c r="GC25" s="33">
        <f>-'Capital Contributions'!GE42</f>
        <v>0</v>
      </c>
      <c r="GD25" s="33">
        <f>-'Capital Contributions'!GF42</f>
        <v>0</v>
      </c>
      <c r="GE25" s="33">
        <f>-'Capital Contributions'!GG42</f>
        <v>0</v>
      </c>
      <c r="GF25" s="33">
        <f>-'Capital Contributions'!GH42</f>
        <v>0</v>
      </c>
      <c r="GG25" s="33">
        <f>-'Capital Contributions'!GI42</f>
        <v>0</v>
      </c>
      <c r="GH25" s="33">
        <f>-'Capital Contributions'!GJ42</f>
        <v>0</v>
      </c>
      <c r="GI25" s="33">
        <f>-'Capital Contributions'!GK42</f>
        <v>0</v>
      </c>
      <c r="GJ25" s="33">
        <f>-'Capital Contributions'!GL42</f>
        <v>0</v>
      </c>
      <c r="GK25" s="33">
        <f>-'Capital Contributions'!GM42</f>
        <v>0</v>
      </c>
      <c r="GL25" s="33">
        <f>-'Capital Contributions'!GN42</f>
        <v>0</v>
      </c>
      <c r="GM25" s="33">
        <f>-'Capital Contributions'!GO42</f>
        <v>0</v>
      </c>
      <c r="GN25" s="33">
        <f>-'Capital Contributions'!GP42</f>
        <v>0</v>
      </c>
      <c r="GO25" s="33">
        <f>-'Capital Contributions'!GQ42</f>
        <v>0</v>
      </c>
      <c r="GP25" s="33">
        <f>-'Capital Contributions'!GR42</f>
        <v>0</v>
      </c>
      <c r="GQ25" s="33">
        <f>-'Capital Contributions'!GS42</f>
        <v>0</v>
      </c>
      <c r="GR25" s="33">
        <f>-'Capital Contributions'!GT42</f>
        <v>0</v>
      </c>
      <c r="GS25" s="33">
        <f>-'Capital Contributions'!GU42</f>
        <v>0</v>
      </c>
      <c r="GT25" s="33">
        <f>-'Capital Contributions'!GV42</f>
        <v>0</v>
      </c>
      <c r="GU25" s="33">
        <f>-'Capital Contributions'!GW42</f>
        <v>0</v>
      </c>
      <c r="GV25" s="33">
        <f>-'Capital Contributions'!GX42</f>
        <v>0</v>
      </c>
      <c r="GW25" s="33">
        <f>-'Capital Contributions'!GY42</f>
        <v>0</v>
      </c>
      <c r="GX25" s="33">
        <f>-'Capital Contributions'!GZ42</f>
        <v>0</v>
      </c>
      <c r="GY25" s="33">
        <f>-'Capital Contributions'!HA42</f>
        <v>0</v>
      </c>
      <c r="GZ25" s="33">
        <f>-'Capital Contributions'!HB42</f>
        <v>0</v>
      </c>
      <c r="HA25" s="33">
        <f>-'Capital Contributions'!HC42</f>
        <v>0</v>
      </c>
      <c r="HB25" s="33">
        <f>-'Capital Contributions'!HD42</f>
        <v>0</v>
      </c>
      <c r="HC25" s="33">
        <f>-'Capital Contributions'!HE42</f>
        <v>0</v>
      </c>
      <c r="HD25" s="33">
        <f>-'Capital Contributions'!HF42</f>
        <v>0</v>
      </c>
      <c r="HE25" s="33">
        <f>-'Capital Contributions'!HG42</f>
        <v>0</v>
      </c>
      <c r="HF25" s="33">
        <f>-'Capital Contributions'!HH42</f>
        <v>0</v>
      </c>
      <c r="HG25" s="33">
        <f>-'Capital Contributions'!HI42</f>
        <v>0</v>
      </c>
      <c r="HH25" s="33">
        <f>-'Capital Contributions'!HJ42</f>
        <v>0</v>
      </c>
      <c r="HI25" s="33">
        <f>-'Capital Contributions'!HK42</f>
        <v>0</v>
      </c>
      <c r="HJ25" s="33">
        <f>-'Capital Contributions'!HL42</f>
        <v>0</v>
      </c>
      <c r="HK25" s="33">
        <f>-'Capital Contributions'!HM42</f>
        <v>0</v>
      </c>
      <c r="HL25" s="33">
        <f>-'Capital Contributions'!HN42</f>
        <v>0</v>
      </c>
      <c r="HM25" s="33">
        <f>-'Capital Contributions'!HO42</f>
        <v>0</v>
      </c>
      <c r="HN25" s="33">
        <f>-'Capital Contributions'!HP42</f>
        <v>0</v>
      </c>
      <c r="HO25" s="33">
        <f>-'Capital Contributions'!HQ42</f>
        <v>0</v>
      </c>
      <c r="HP25" s="33">
        <f>-'Capital Contributions'!HR42</f>
        <v>0</v>
      </c>
      <c r="HQ25" s="33">
        <f>-'Capital Contributions'!HS42</f>
        <v>0</v>
      </c>
      <c r="HR25" s="33">
        <f>-'Capital Contributions'!HT42</f>
        <v>0</v>
      </c>
      <c r="HS25" s="33">
        <f>-'Capital Contributions'!HU42</f>
        <v>0</v>
      </c>
      <c r="HT25" s="33">
        <f>-'Capital Contributions'!HV42</f>
        <v>0</v>
      </c>
      <c r="HU25" s="33">
        <f>-'Capital Contributions'!HW42</f>
        <v>0</v>
      </c>
      <c r="HV25" s="33">
        <f>-'Capital Contributions'!HX42</f>
        <v>0</v>
      </c>
      <c r="HW25" s="33">
        <f>-'Capital Contributions'!HY42</f>
        <v>0</v>
      </c>
      <c r="HX25" s="33">
        <f>-'Capital Contributions'!HZ42</f>
        <v>0</v>
      </c>
      <c r="HY25" s="33">
        <f>-'Capital Contributions'!IA42</f>
        <v>0</v>
      </c>
      <c r="HZ25" s="33">
        <f>-'Capital Contributions'!IB42</f>
        <v>0</v>
      </c>
      <c r="IA25" s="33">
        <f>-'Capital Contributions'!IC42</f>
        <v>0</v>
      </c>
      <c r="IB25" s="33">
        <f>-'Capital Contributions'!ID42</f>
        <v>0</v>
      </c>
      <c r="IC25" s="33">
        <f>-'Capital Contributions'!IE42</f>
        <v>0</v>
      </c>
      <c r="ID25" s="33">
        <f>-'Capital Contributions'!IF42</f>
        <v>0</v>
      </c>
      <c r="IE25" s="33">
        <f>-'Capital Contributions'!IG42</f>
        <v>0</v>
      </c>
      <c r="IF25" s="33">
        <f>-'Capital Contributions'!IH42</f>
        <v>0</v>
      </c>
      <c r="IG25" s="33">
        <f>-'Capital Contributions'!II42</f>
        <v>0</v>
      </c>
      <c r="IH25" s="33">
        <f>-'Capital Contributions'!IJ42</f>
        <v>0</v>
      </c>
      <c r="II25" s="33">
        <f>-'Capital Contributions'!IK42</f>
        <v>0</v>
      </c>
      <c r="IJ25" s="33">
        <f>-'Capital Contributions'!IL42</f>
        <v>0</v>
      </c>
      <c r="IK25" s="33">
        <f>-'Capital Contributions'!IM42</f>
        <v>0</v>
      </c>
      <c r="IL25" s="33">
        <f>-'Capital Contributions'!IN42</f>
        <v>0</v>
      </c>
      <c r="IM25" s="33">
        <f>-'Capital Contributions'!IO42</f>
        <v>0</v>
      </c>
      <c r="IN25" s="33">
        <f>-'Capital Contributions'!IP42</f>
        <v>0</v>
      </c>
      <c r="IO25" s="33">
        <f>-'Capital Contributions'!IQ42</f>
        <v>0</v>
      </c>
      <c r="IP25" s="33">
        <f>-'Capital Contributions'!IR42</f>
        <v>0</v>
      </c>
      <c r="IQ25" s="33">
        <f>-'Capital Contributions'!IS42</f>
        <v>0</v>
      </c>
      <c r="IR25" s="33">
        <f>-'Capital Contributions'!IT42</f>
        <v>0</v>
      </c>
      <c r="IS25" s="33">
        <f>-'Capital Contributions'!IU42</f>
        <v>0</v>
      </c>
      <c r="IT25" s="33">
        <f>-'Capital Contributions'!IV42</f>
        <v>0</v>
      </c>
      <c r="IU25" s="33">
        <f>-'Capital Contributions'!IW42</f>
        <v>0</v>
      </c>
      <c r="IV25" s="33">
        <f>-'Capital Contributions'!IX42</f>
        <v>0</v>
      </c>
      <c r="IW25" s="33">
        <f>-'Capital Contributions'!IY42</f>
        <v>0</v>
      </c>
      <c r="IX25" s="33">
        <f>-'Capital Contributions'!IZ42</f>
        <v>0</v>
      </c>
      <c r="IY25" s="33">
        <f>-'Capital Contributions'!JA42</f>
        <v>0</v>
      </c>
      <c r="IZ25" s="33">
        <f>-'Capital Contributions'!JB42</f>
        <v>0</v>
      </c>
      <c r="JA25" s="33">
        <f>-'Capital Contributions'!JC42</f>
        <v>0</v>
      </c>
      <c r="JB25" s="33">
        <f>-'Capital Contributions'!JD42</f>
        <v>0</v>
      </c>
      <c r="JC25" s="33">
        <f>-'Capital Contributions'!JE42</f>
        <v>0</v>
      </c>
      <c r="JD25" s="33">
        <f>-'Capital Contributions'!JF42</f>
        <v>0</v>
      </c>
      <c r="JE25" s="33">
        <f>-'Capital Contributions'!JG42</f>
        <v>0</v>
      </c>
      <c r="JF25" s="33">
        <f>-'Capital Contributions'!JH42</f>
        <v>0</v>
      </c>
      <c r="JG25" s="33">
        <f>-'Capital Contributions'!JI42</f>
        <v>0</v>
      </c>
      <c r="JH25" s="33">
        <f>-'Capital Contributions'!JJ42</f>
        <v>0</v>
      </c>
      <c r="JI25" s="33">
        <f>-'Capital Contributions'!JK42</f>
        <v>0</v>
      </c>
      <c r="JJ25" s="33">
        <f>-'Capital Contributions'!JL42</f>
        <v>0</v>
      </c>
      <c r="JK25" s="33">
        <f>-'Capital Contributions'!JM42</f>
        <v>0</v>
      </c>
      <c r="JL25" s="33">
        <f>-'Capital Contributions'!JN42</f>
        <v>0</v>
      </c>
      <c r="JM25" s="33">
        <f>-'Capital Contributions'!JO42</f>
        <v>0</v>
      </c>
      <c r="JN25" s="33">
        <f>-'Capital Contributions'!JP42</f>
        <v>0</v>
      </c>
      <c r="JO25" s="33">
        <f>-'Capital Contributions'!JQ42</f>
        <v>0</v>
      </c>
      <c r="JP25" s="33">
        <f>-'Capital Contributions'!JR42</f>
        <v>0</v>
      </c>
      <c r="JQ25" s="33">
        <f>-'Capital Contributions'!JS42</f>
        <v>0</v>
      </c>
      <c r="JR25" s="33">
        <f>-'Capital Contributions'!JT42</f>
        <v>0</v>
      </c>
    </row>
    <row r="26" spans="2:279" x14ac:dyDescent="0.2">
      <c r="B26" s="1" t="s">
        <v>258</v>
      </c>
      <c r="C26" s="7">
        <f>-'Capital Contributions'!E8</f>
        <v>-42317472.159759872</v>
      </c>
      <c r="D26" s="7">
        <f>-'Capital Contributions'!F8</f>
        <v>-13316080.390047802</v>
      </c>
      <c r="E26" s="7">
        <f>-'Capital Contributions'!G8</f>
        <v>-10733342.685324425</v>
      </c>
      <c r="F26" s="7">
        <f>-'Capital Contributions'!H8</f>
        <v>-6849326.8666531518</v>
      </c>
      <c r="G26" s="7">
        <f>-'Capital Contributions'!I8</f>
        <v>-16240724.732472457</v>
      </c>
      <c r="H26" s="7">
        <f>-'Capital Contributions'!J8</f>
        <v>-20159024.0643491</v>
      </c>
      <c r="I26" s="7">
        <f>-'Capital Contributions'!K8</f>
        <v>-17657020.846819658</v>
      </c>
      <c r="J26" s="7">
        <f>-'Capital Contributions'!L8</f>
        <v>-15140491.748711076</v>
      </c>
      <c r="K26" s="7">
        <f>-'Capital Contributions'!M8</f>
        <v>-13914524.71611272</v>
      </c>
      <c r="L26" s="7">
        <f>-'Capital Contributions'!N8</f>
        <v>-11364273.276671872</v>
      </c>
      <c r="M26" s="7">
        <f>-'Capital Contributions'!O8</f>
        <v>-11041533.083580332</v>
      </c>
      <c r="N26" s="7">
        <f>-'Capital Contributions'!P8</f>
        <v>-16133170.267148936</v>
      </c>
      <c r="O26" s="7">
        <f>-'Capital Contributions'!Q8</f>
        <v>0</v>
      </c>
      <c r="P26" s="7">
        <f>-'Capital Contributions'!R8</f>
        <v>0</v>
      </c>
      <c r="Q26" s="7">
        <f>-'Capital Contributions'!S8</f>
        <v>0</v>
      </c>
      <c r="R26" s="7">
        <f>-'Capital Contributions'!T8</f>
        <v>0</v>
      </c>
      <c r="S26" s="7">
        <f>-'Capital Contributions'!U8</f>
        <v>0</v>
      </c>
      <c r="T26" s="7">
        <f>-'Capital Contributions'!V8</f>
        <v>0</v>
      </c>
      <c r="U26" s="7">
        <f>-'Capital Contributions'!W8</f>
        <v>0</v>
      </c>
      <c r="V26" s="7">
        <f>-'Capital Contributions'!X8</f>
        <v>0</v>
      </c>
      <c r="W26" s="7">
        <f>-'Capital Contributions'!Y8</f>
        <v>0</v>
      </c>
      <c r="X26" s="7">
        <f>-'Capital Contributions'!Z8</f>
        <v>0</v>
      </c>
      <c r="Y26" s="7">
        <f>-'Capital Contributions'!AA8</f>
        <v>0</v>
      </c>
      <c r="Z26" s="7">
        <f>-'Capital Contributions'!AB8</f>
        <v>0</v>
      </c>
      <c r="AA26" s="7">
        <f>-'Capital Contributions'!AC8</f>
        <v>0</v>
      </c>
      <c r="AB26" s="7">
        <f>-'Capital Contributions'!AD8</f>
        <v>0</v>
      </c>
      <c r="AC26" s="7">
        <f>-'Capital Contributions'!AE8</f>
        <v>0</v>
      </c>
      <c r="AD26" s="7">
        <f>-'Capital Contributions'!AF8</f>
        <v>0</v>
      </c>
      <c r="AE26" s="7">
        <f>-'Capital Contributions'!AG8</f>
        <v>0</v>
      </c>
      <c r="AF26" s="7">
        <f>-'Capital Contributions'!AH8</f>
        <v>0</v>
      </c>
      <c r="AG26" s="7">
        <f>-'Capital Contributions'!AI8</f>
        <v>0</v>
      </c>
      <c r="AH26" s="7">
        <f>-'Capital Contributions'!AJ8</f>
        <v>0</v>
      </c>
      <c r="AI26" s="7">
        <f>-'Capital Contributions'!AK8</f>
        <v>0</v>
      </c>
      <c r="AJ26" s="7">
        <f>-'Capital Contributions'!AL8</f>
        <v>0</v>
      </c>
      <c r="AK26" s="7">
        <f>-'Capital Contributions'!AM8</f>
        <v>0</v>
      </c>
      <c r="AL26" s="7">
        <f>-'Capital Contributions'!AN8</f>
        <v>0</v>
      </c>
      <c r="AM26" s="7">
        <f>-'Capital Contributions'!AO8</f>
        <v>0</v>
      </c>
      <c r="AN26" s="7">
        <f>-'Capital Contributions'!AP8</f>
        <v>0</v>
      </c>
      <c r="AO26" s="7">
        <f>-'Capital Contributions'!AQ8</f>
        <v>0</v>
      </c>
      <c r="AP26" s="7">
        <f>-'Capital Contributions'!AR8</f>
        <v>0</v>
      </c>
      <c r="AQ26" s="7">
        <f>-'Capital Contributions'!AS8</f>
        <v>0</v>
      </c>
      <c r="AR26" s="7">
        <f>-'Capital Contributions'!AT8</f>
        <v>0</v>
      </c>
      <c r="AS26" s="7">
        <f>-'Capital Contributions'!AU8</f>
        <v>0</v>
      </c>
      <c r="AT26" s="7">
        <f>-'Capital Contributions'!AV8</f>
        <v>0</v>
      </c>
      <c r="AU26" s="7">
        <f>-'Capital Contributions'!AW8</f>
        <v>0</v>
      </c>
      <c r="AV26" s="7">
        <f>-'Capital Contributions'!AX8</f>
        <v>0</v>
      </c>
      <c r="AW26" s="7">
        <f>-'Capital Contributions'!AY8</f>
        <v>0</v>
      </c>
      <c r="AX26" s="7">
        <f>-'Capital Contributions'!AZ8</f>
        <v>0</v>
      </c>
      <c r="AY26" s="7">
        <f>-'Capital Contributions'!BA8</f>
        <v>0</v>
      </c>
      <c r="AZ26" s="7">
        <f>-'Capital Contributions'!BB8</f>
        <v>0</v>
      </c>
      <c r="BA26" s="7">
        <f>-'Capital Contributions'!BC8</f>
        <v>0</v>
      </c>
      <c r="BB26" s="7">
        <f>-'Capital Contributions'!BD8</f>
        <v>0</v>
      </c>
      <c r="BC26" s="7">
        <f>-'Capital Contributions'!BE8</f>
        <v>0</v>
      </c>
      <c r="BD26" s="7">
        <f>-'Capital Contributions'!BF8</f>
        <v>0</v>
      </c>
      <c r="BE26" s="7">
        <f>-'Capital Contributions'!BG8</f>
        <v>0</v>
      </c>
      <c r="BF26" s="7">
        <f>-'Capital Contributions'!BH8</f>
        <v>0</v>
      </c>
      <c r="BG26" s="7">
        <f>-'Capital Contributions'!BI8</f>
        <v>0</v>
      </c>
      <c r="BH26" s="7">
        <f>-'Capital Contributions'!BJ8</f>
        <v>0</v>
      </c>
      <c r="BI26" s="7">
        <f>-'Capital Contributions'!BK8</f>
        <v>0</v>
      </c>
      <c r="BJ26" s="7">
        <f>-'Capital Contributions'!BL8</f>
        <v>0</v>
      </c>
      <c r="BK26" s="7">
        <f>-'Capital Contributions'!BM8</f>
        <v>0</v>
      </c>
      <c r="BL26" s="7">
        <f>-'Capital Contributions'!BN8</f>
        <v>0</v>
      </c>
      <c r="BM26" s="7">
        <f>-'Capital Contributions'!BO8</f>
        <v>0</v>
      </c>
      <c r="BN26" s="7">
        <f>-'Capital Contributions'!BP8</f>
        <v>0</v>
      </c>
      <c r="BO26" s="7">
        <f>-'Capital Contributions'!BQ8</f>
        <v>0</v>
      </c>
      <c r="BP26" s="7">
        <f>-'Capital Contributions'!BR8</f>
        <v>0</v>
      </c>
      <c r="BQ26" s="7">
        <f>-'Capital Contributions'!BS8</f>
        <v>0</v>
      </c>
      <c r="BR26" s="7">
        <f>-'Capital Contributions'!BT8</f>
        <v>0</v>
      </c>
      <c r="BS26" s="7">
        <f>-'Capital Contributions'!BU8</f>
        <v>0</v>
      </c>
      <c r="BT26" s="7">
        <f>-'Capital Contributions'!BV8</f>
        <v>0</v>
      </c>
      <c r="BU26" s="7">
        <f>-'Capital Contributions'!BW8</f>
        <v>0</v>
      </c>
      <c r="BV26" s="7">
        <f>-'Capital Contributions'!BX8</f>
        <v>0</v>
      </c>
      <c r="BW26" s="7">
        <f>-'Capital Contributions'!BY8</f>
        <v>0</v>
      </c>
      <c r="BX26" s="7">
        <f>-'Capital Contributions'!BZ8</f>
        <v>0</v>
      </c>
      <c r="BY26" s="7">
        <f>-'Capital Contributions'!CA8</f>
        <v>0</v>
      </c>
      <c r="BZ26" s="7">
        <f>-'Capital Contributions'!CB8</f>
        <v>0</v>
      </c>
      <c r="CA26" s="7">
        <f>-'Capital Contributions'!CC8</f>
        <v>0</v>
      </c>
      <c r="CB26" s="7">
        <f>-'Capital Contributions'!CD8</f>
        <v>0</v>
      </c>
      <c r="CC26" s="7">
        <f>-'Capital Contributions'!CE8</f>
        <v>0</v>
      </c>
      <c r="CD26" s="7">
        <f>-'Capital Contributions'!CF8</f>
        <v>0</v>
      </c>
      <c r="CE26" s="7">
        <f>-'Capital Contributions'!CG8</f>
        <v>0</v>
      </c>
      <c r="CF26" s="7">
        <f>-'Capital Contributions'!CH8</f>
        <v>0</v>
      </c>
      <c r="CG26" s="7">
        <f>-'Capital Contributions'!CI8</f>
        <v>0</v>
      </c>
      <c r="CH26" s="7">
        <f>-'Capital Contributions'!CJ8</f>
        <v>0</v>
      </c>
      <c r="CI26" s="7">
        <f>-'Capital Contributions'!CK8</f>
        <v>0</v>
      </c>
      <c r="CJ26" s="7">
        <f>-'Capital Contributions'!CL8</f>
        <v>0</v>
      </c>
      <c r="CK26" s="7">
        <f>-'Capital Contributions'!CM8</f>
        <v>0</v>
      </c>
      <c r="CL26" s="7">
        <f>-'Capital Contributions'!CN8</f>
        <v>0</v>
      </c>
      <c r="CM26" s="7">
        <f>-'Capital Contributions'!CO8</f>
        <v>0</v>
      </c>
      <c r="CN26" s="7">
        <f>-'Capital Contributions'!CP8</f>
        <v>0</v>
      </c>
      <c r="CO26" s="7">
        <f>-'Capital Contributions'!CQ8</f>
        <v>0</v>
      </c>
      <c r="CP26" s="7">
        <f>-'Capital Contributions'!CR8</f>
        <v>0</v>
      </c>
      <c r="CQ26" s="7">
        <f>-'Capital Contributions'!CS8</f>
        <v>0</v>
      </c>
      <c r="CR26" s="7">
        <f>-'Capital Contributions'!CT8</f>
        <v>0</v>
      </c>
      <c r="CS26" s="7">
        <f>-'Capital Contributions'!CU8</f>
        <v>0</v>
      </c>
      <c r="CT26" s="7">
        <f>-'Capital Contributions'!CV8</f>
        <v>0</v>
      </c>
      <c r="CU26" s="7">
        <f>-'Capital Contributions'!CW8</f>
        <v>0</v>
      </c>
      <c r="CV26" s="7">
        <f>-'Capital Contributions'!CX8</f>
        <v>0</v>
      </c>
      <c r="CW26" s="7">
        <f>-'Capital Contributions'!CY8</f>
        <v>0</v>
      </c>
      <c r="CX26" s="7">
        <f>-'Capital Contributions'!CZ8</f>
        <v>0</v>
      </c>
      <c r="CY26" s="7">
        <f>-'Capital Contributions'!DA8</f>
        <v>0</v>
      </c>
      <c r="CZ26" s="7">
        <f>-'Capital Contributions'!DB8</f>
        <v>0</v>
      </c>
      <c r="DA26" s="7">
        <f>-'Capital Contributions'!DC8</f>
        <v>0</v>
      </c>
      <c r="DB26" s="7">
        <f>-'Capital Contributions'!DD8</f>
        <v>0</v>
      </c>
      <c r="DC26" s="7">
        <f>-'Capital Contributions'!DE8</f>
        <v>0</v>
      </c>
      <c r="DD26" s="7">
        <f>-'Capital Contributions'!DF8</f>
        <v>0</v>
      </c>
      <c r="DE26" s="7">
        <f>-'Capital Contributions'!DG8</f>
        <v>0</v>
      </c>
      <c r="DF26" s="7">
        <f>-'Capital Contributions'!DH8</f>
        <v>0</v>
      </c>
      <c r="DG26" s="7">
        <f>-'Capital Contributions'!DI8</f>
        <v>0</v>
      </c>
      <c r="DH26" s="7">
        <f>-'Capital Contributions'!DJ8</f>
        <v>0</v>
      </c>
      <c r="DI26" s="7">
        <f>-'Capital Contributions'!DK8</f>
        <v>0</v>
      </c>
      <c r="DJ26" s="7">
        <f>-'Capital Contributions'!DL8</f>
        <v>0</v>
      </c>
      <c r="DK26" s="7">
        <f>-'Capital Contributions'!DM8</f>
        <v>0</v>
      </c>
      <c r="DL26" s="7">
        <f>-'Capital Contributions'!DN8</f>
        <v>0</v>
      </c>
      <c r="DM26" s="7">
        <f>-'Capital Contributions'!DO8</f>
        <v>0</v>
      </c>
      <c r="DN26" s="7">
        <f>-'Capital Contributions'!DP8</f>
        <v>0</v>
      </c>
      <c r="DO26" s="7">
        <f>-'Capital Contributions'!DQ8</f>
        <v>0</v>
      </c>
      <c r="DP26" s="7">
        <f>-'Capital Contributions'!DR8</f>
        <v>0</v>
      </c>
      <c r="DQ26" s="7">
        <f>-'Capital Contributions'!DS8</f>
        <v>0</v>
      </c>
      <c r="DR26" s="7">
        <f>-'Capital Contributions'!DT8</f>
        <v>0</v>
      </c>
      <c r="DS26" s="7">
        <f>-'Capital Contributions'!DU8</f>
        <v>0</v>
      </c>
      <c r="DT26" s="7">
        <f>-'Capital Contributions'!DV8</f>
        <v>0</v>
      </c>
      <c r="DU26" s="7">
        <f>-'Capital Contributions'!DW8</f>
        <v>0</v>
      </c>
      <c r="DV26" s="7">
        <f>-'Capital Contributions'!DX8</f>
        <v>0</v>
      </c>
      <c r="DW26" s="7">
        <f>-'Capital Contributions'!DY8</f>
        <v>0</v>
      </c>
      <c r="DX26" s="7">
        <f>-'Capital Contributions'!DZ8</f>
        <v>0</v>
      </c>
      <c r="DY26" s="7">
        <f>-'Capital Contributions'!EA8</f>
        <v>0</v>
      </c>
      <c r="DZ26" s="7">
        <f>-'Capital Contributions'!EB8</f>
        <v>0</v>
      </c>
      <c r="EA26" s="7">
        <f>-'Capital Contributions'!EC8</f>
        <v>0</v>
      </c>
      <c r="EB26" s="7">
        <f>-'Capital Contributions'!ED8</f>
        <v>0</v>
      </c>
      <c r="EC26" s="7">
        <f>-'Capital Contributions'!EE8</f>
        <v>0</v>
      </c>
      <c r="ED26" s="7">
        <f>-'Capital Contributions'!EF8</f>
        <v>0</v>
      </c>
      <c r="EE26" s="7">
        <f>-'Capital Contributions'!EG8</f>
        <v>0</v>
      </c>
      <c r="EF26" s="7">
        <f>-'Capital Contributions'!EH8</f>
        <v>0</v>
      </c>
      <c r="EG26" s="7">
        <f>-'Capital Contributions'!EI8</f>
        <v>0</v>
      </c>
      <c r="EH26" s="7">
        <f>-'Capital Contributions'!EJ8</f>
        <v>0</v>
      </c>
      <c r="EI26" s="7">
        <f>-'Capital Contributions'!EK8</f>
        <v>0</v>
      </c>
      <c r="EJ26" s="7">
        <f>-'Capital Contributions'!EL8</f>
        <v>0</v>
      </c>
      <c r="EK26" s="7">
        <f>-'Capital Contributions'!EM8</f>
        <v>0</v>
      </c>
      <c r="EL26" s="7">
        <f>-'Capital Contributions'!EN8</f>
        <v>0</v>
      </c>
      <c r="EM26" s="7">
        <f>-'Capital Contributions'!EO8</f>
        <v>0</v>
      </c>
      <c r="EN26" s="7">
        <f>-'Capital Contributions'!EP8</f>
        <v>0</v>
      </c>
      <c r="EO26" s="7">
        <f>-'Capital Contributions'!EQ8</f>
        <v>0</v>
      </c>
      <c r="EP26" s="7">
        <f>-'Capital Contributions'!ER8</f>
        <v>0</v>
      </c>
      <c r="EQ26" s="7">
        <f>-'Capital Contributions'!ES8</f>
        <v>0</v>
      </c>
      <c r="ER26" s="7">
        <f>-'Capital Contributions'!ET8</f>
        <v>0</v>
      </c>
      <c r="ES26" s="7">
        <f>-'Capital Contributions'!EU8</f>
        <v>0</v>
      </c>
      <c r="ET26" s="7">
        <f>-'Capital Contributions'!EV8</f>
        <v>0</v>
      </c>
      <c r="EU26" s="7">
        <f>-'Capital Contributions'!EW8</f>
        <v>0</v>
      </c>
      <c r="EV26" s="7">
        <f>-'Capital Contributions'!EX8</f>
        <v>0</v>
      </c>
      <c r="EW26" s="7">
        <f>-'Capital Contributions'!EY8</f>
        <v>0</v>
      </c>
      <c r="EX26" s="7">
        <f>-'Capital Contributions'!EZ8</f>
        <v>0</v>
      </c>
      <c r="EY26" s="7">
        <f>-'Capital Contributions'!FA8</f>
        <v>0</v>
      </c>
      <c r="EZ26" s="7">
        <f>-'Capital Contributions'!FB8</f>
        <v>0</v>
      </c>
      <c r="FA26" s="7">
        <f>-'Capital Contributions'!FC8</f>
        <v>0</v>
      </c>
      <c r="FB26" s="7">
        <f>-'Capital Contributions'!FD8</f>
        <v>0</v>
      </c>
      <c r="FC26" s="7">
        <f>-'Capital Contributions'!FE8</f>
        <v>0</v>
      </c>
      <c r="FD26" s="7">
        <f>-'Capital Contributions'!FF8</f>
        <v>0</v>
      </c>
      <c r="FE26" s="7">
        <f>-'Capital Contributions'!FG8</f>
        <v>0</v>
      </c>
      <c r="FF26" s="7">
        <f>-'Capital Contributions'!FH8</f>
        <v>0</v>
      </c>
      <c r="FG26" s="7">
        <f>-'Capital Contributions'!FI8</f>
        <v>0</v>
      </c>
      <c r="FH26" s="7">
        <f>-'Capital Contributions'!FJ8</f>
        <v>0</v>
      </c>
      <c r="FI26" s="7">
        <f>-'Capital Contributions'!FK8</f>
        <v>0</v>
      </c>
      <c r="FJ26" s="7">
        <f>-'Capital Contributions'!FL8</f>
        <v>0</v>
      </c>
      <c r="FK26" s="7">
        <f>-'Capital Contributions'!FM8</f>
        <v>0</v>
      </c>
      <c r="FL26" s="7">
        <f>-'Capital Contributions'!FN8</f>
        <v>0</v>
      </c>
      <c r="FM26" s="7">
        <f>-'Capital Contributions'!FO8</f>
        <v>0</v>
      </c>
      <c r="FN26" s="7">
        <f>-'Capital Contributions'!FP8</f>
        <v>0</v>
      </c>
      <c r="FO26" s="7">
        <f>-'Capital Contributions'!FQ8</f>
        <v>0</v>
      </c>
      <c r="FP26" s="7">
        <f>-'Capital Contributions'!FR8</f>
        <v>0</v>
      </c>
      <c r="FQ26" s="7">
        <f>-'Capital Contributions'!FS8</f>
        <v>0</v>
      </c>
      <c r="FR26" s="7">
        <f>-'Capital Contributions'!FT8</f>
        <v>0</v>
      </c>
      <c r="FS26" s="7">
        <f>-'Capital Contributions'!FU8</f>
        <v>0</v>
      </c>
      <c r="FT26" s="7">
        <f>-'Capital Contributions'!FV8</f>
        <v>0</v>
      </c>
      <c r="FU26" s="7">
        <f>-'Capital Contributions'!FW8</f>
        <v>0</v>
      </c>
      <c r="FV26" s="7">
        <f>-'Capital Contributions'!FX8</f>
        <v>0</v>
      </c>
      <c r="FW26" s="7">
        <f>-'Capital Contributions'!FY8</f>
        <v>0</v>
      </c>
      <c r="FX26" s="7">
        <f>-'Capital Contributions'!FZ8</f>
        <v>0</v>
      </c>
      <c r="FY26" s="7">
        <f>-'Capital Contributions'!GA8</f>
        <v>0</v>
      </c>
      <c r="FZ26" s="7">
        <f>-'Capital Contributions'!GB8</f>
        <v>0</v>
      </c>
      <c r="GA26" s="7">
        <f>-'Capital Contributions'!GC8</f>
        <v>0</v>
      </c>
      <c r="GB26" s="7">
        <f>-'Capital Contributions'!GD8</f>
        <v>0</v>
      </c>
      <c r="GC26" s="7">
        <f>-'Capital Contributions'!GE8</f>
        <v>0</v>
      </c>
      <c r="GD26" s="7">
        <f>-'Capital Contributions'!GF8</f>
        <v>0</v>
      </c>
      <c r="GE26" s="7">
        <f>-'Capital Contributions'!GG8</f>
        <v>0</v>
      </c>
      <c r="GF26" s="7">
        <f>-'Capital Contributions'!GH8</f>
        <v>0</v>
      </c>
      <c r="GG26" s="7">
        <f>-'Capital Contributions'!GI8</f>
        <v>0</v>
      </c>
      <c r="GH26" s="7">
        <f>-'Capital Contributions'!GJ8</f>
        <v>0</v>
      </c>
      <c r="GI26" s="7">
        <f>-'Capital Contributions'!GK8</f>
        <v>0</v>
      </c>
      <c r="GJ26" s="7">
        <f>-'Capital Contributions'!GL8</f>
        <v>0</v>
      </c>
      <c r="GK26" s="7">
        <f>-'Capital Contributions'!GM8</f>
        <v>0</v>
      </c>
      <c r="GL26" s="7">
        <f>-'Capital Contributions'!GN8</f>
        <v>0</v>
      </c>
      <c r="GM26" s="7">
        <f>-'Capital Contributions'!GO8</f>
        <v>0</v>
      </c>
      <c r="GN26" s="7">
        <f>-'Capital Contributions'!GP8</f>
        <v>0</v>
      </c>
      <c r="GO26" s="7">
        <f>-'Capital Contributions'!GQ8</f>
        <v>0</v>
      </c>
      <c r="GP26" s="7">
        <f>-'Capital Contributions'!GR8</f>
        <v>0</v>
      </c>
      <c r="GQ26" s="7">
        <f>-'Capital Contributions'!GS8</f>
        <v>0</v>
      </c>
      <c r="GR26" s="7">
        <f>-'Capital Contributions'!GT8</f>
        <v>0</v>
      </c>
      <c r="GS26" s="7">
        <f>-'Capital Contributions'!GU8</f>
        <v>0</v>
      </c>
      <c r="GT26" s="7">
        <f>-'Capital Contributions'!GV8</f>
        <v>0</v>
      </c>
      <c r="GU26" s="7">
        <f>-'Capital Contributions'!GW8</f>
        <v>0</v>
      </c>
      <c r="GV26" s="7">
        <f>-'Capital Contributions'!GX8</f>
        <v>0</v>
      </c>
      <c r="GW26" s="7">
        <f>-'Capital Contributions'!GY8</f>
        <v>0</v>
      </c>
      <c r="GX26" s="7">
        <f>-'Capital Contributions'!GZ8</f>
        <v>0</v>
      </c>
      <c r="GY26" s="7">
        <f>-'Capital Contributions'!HA8</f>
        <v>0</v>
      </c>
      <c r="GZ26" s="7">
        <f>-'Capital Contributions'!HB8</f>
        <v>0</v>
      </c>
      <c r="HA26" s="7">
        <f>-'Capital Contributions'!HC8</f>
        <v>0</v>
      </c>
      <c r="HB26" s="7">
        <f>-'Capital Contributions'!HD8</f>
        <v>0</v>
      </c>
      <c r="HC26" s="7">
        <f>-'Capital Contributions'!HE8</f>
        <v>0</v>
      </c>
      <c r="HD26" s="7">
        <f>-'Capital Contributions'!HF8</f>
        <v>0</v>
      </c>
      <c r="HE26" s="7">
        <f>-'Capital Contributions'!HG8</f>
        <v>0</v>
      </c>
      <c r="HF26" s="7">
        <f>-'Capital Contributions'!HH8</f>
        <v>0</v>
      </c>
      <c r="HG26" s="7">
        <f>-'Capital Contributions'!HI8</f>
        <v>0</v>
      </c>
      <c r="HH26" s="7">
        <f>-'Capital Contributions'!HJ8</f>
        <v>0</v>
      </c>
      <c r="HI26" s="7">
        <f>-'Capital Contributions'!HK8</f>
        <v>0</v>
      </c>
      <c r="HJ26" s="7">
        <f>-'Capital Contributions'!HL8</f>
        <v>0</v>
      </c>
      <c r="HK26" s="7">
        <f>-'Capital Contributions'!HM8</f>
        <v>0</v>
      </c>
      <c r="HL26" s="7">
        <f>-'Capital Contributions'!HN8</f>
        <v>0</v>
      </c>
      <c r="HM26" s="7">
        <f>-'Capital Contributions'!HO8</f>
        <v>0</v>
      </c>
      <c r="HN26" s="7">
        <f>-'Capital Contributions'!HP8</f>
        <v>0</v>
      </c>
      <c r="HO26" s="7">
        <f>-'Capital Contributions'!HQ8</f>
        <v>0</v>
      </c>
      <c r="HP26" s="7">
        <f>-'Capital Contributions'!HR8</f>
        <v>0</v>
      </c>
      <c r="HQ26" s="7">
        <f>-'Capital Contributions'!HS8</f>
        <v>0</v>
      </c>
      <c r="HR26" s="7">
        <f>-'Capital Contributions'!HT8</f>
        <v>0</v>
      </c>
      <c r="HS26" s="7">
        <f>-'Capital Contributions'!HU8</f>
        <v>0</v>
      </c>
      <c r="HT26" s="7">
        <f>-'Capital Contributions'!HV8</f>
        <v>0</v>
      </c>
      <c r="HU26" s="7">
        <f>-'Capital Contributions'!HW8</f>
        <v>0</v>
      </c>
      <c r="HV26" s="7">
        <f>-'Capital Contributions'!HX8</f>
        <v>0</v>
      </c>
      <c r="HW26" s="7">
        <f>-'Capital Contributions'!HY8</f>
        <v>0</v>
      </c>
      <c r="HX26" s="7">
        <f>-'Capital Contributions'!HZ8</f>
        <v>0</v>
      </c>
      <c r="HY26" s="7">
        <f>-'Capital Contributions'!IA8</f>
        <v>0</v>
      </c>
      <c r="HZ26" s="7">
        <f>-'Capital Contributions'!IB8</f>
        <v>0</v>
      </c>
      <c r="IA26" s="7">
        <f>-'Capital Contributions'!IC8</f>
        <v>0</v>
      </c>
      <c r="IB26" s="7">
        <f>-'Capital Contributions'!ID8</f>
        <v>0</v>
      </c>
      <c r="IC26" s="7">
        <f>-'Capital Contributions'!IE8</f>
        <v>0</v>
      </c>
      <c r="ID26" s="7">
        <f>-'Capital Contributions'!IF8</f>
        <v>0</v>
      </c>
      <c r="IE26" s="7">
        <f>-'Capital Contributions'!IG8</f>
        <v>0</v>
      </c>
      <c r="IF26" s="7">
        <f>-'Capital Contributions'!IH8</f>
        <v>0</v>
      </c>
      <c r="IG26" s="7">
        <f>-'Capital Contributions'!II8</f>
        <v>0</v>
      </c>
      <c r="IH26" s="7">
        <f>-'Capital Contributions'!IJ8</f>
        <v>0</v>
      </c>
      <c r="II26" s="7">
        <f>-'Capital Contributions'!IK8</f>
        <v>0</v>
      </c>
      <c r="IJ26" s="7">
        <f>-'Capital Contributions'!IL8</f>
        <v>0</v>
      </c>
      <c r="IK26" s="7">
        <f>-'Capital Contributions'!IM8</f>
        <v>0</v>
      </c>
      <c r="IL26" s="7">
        <f>-'Capital Contributions'!IN8</f>
        <v>0</v>
      </c>
      <c r="IM26" s="7">
        <f>-'Capital Contributions'!IO8</f>
        <v>0</v>
      </c>
      <c r="IN26" s="7">
        <f>-'Capital Contributions'!IP8</f>
        <v>0</v>
      </c>
      <c r="IO26" s="7">
        <f>-'Capital Contributions'!IQ8</f>
        <v>0</v>
      </c>
      <c r="IP26" s="7">
        <f>-'Capital Contributions'!IR8</f>
        <v>0</v>
      </c>
      <c r="IQ26" s="7">
        <f>-'Capital Contributions'!IS8</f>
        <v>0</v>
      </c>
      <c r="IR26" s="7">
        <f>-'Capital Contributions'!IT8</f>
        <v>0</v>
      </c>
      <c r="IS26" s="7">
        <f>-'Capital Contributions'!IU8</f>
        <v>0</v>
      </c>
      <c r="IT26" s="7">
        <f>-'Capital Contributions'!IV8</f>
        <v>0</v>
      </c>
      <c r="IU26" s="7">
        <f>-'Capital Contributions'!IW8</f>
        <v>0</v>
      </c>
      <c r="IV26" s="7">
        <f>-'Capital Contributions'!IX8</f>
        <v>0</v>
      </c>
      <c r="IW26" s="7">
        <f>-'Capital Contributions'!IY8</f>
        <v>0</v>
      </c>
      <c r="IX26" s="7">
        <f>-'Capital Contributions'!IZ8</f>
        <v>0</v>
      </c>
      <c r="IY26" s="7">
        <f>-'Capital Contributions'!JA8</f>
        <v>0</v>
      </c>
      <c r="IZ26" s="7">
        <f>-'Capital Contributions'!JB8</f>
        <v>0</v>
      </c>
      <c r="JA26" s="7">
        <f>-'Capital Contributions'!JC8</f>
        <v>0</v>
      </c>
      <c r="JB26" s="7">
        <f>-'Capital Contributions'!JD8</f>
        <v>0</v>
      </c>
      <c r="JC26" s="7">
        <f>-'Capital Contributions'!JE8</f>
        <v>0</v>
      </c>
      <c r="JD26" s="7">
        <f>-'Capital Contributions'!JF8</f>
        <v>0</v>
      </c>
      <c r="JE26" s="7">
        <f>-'Capital Contributions'!JG8</f>
        <v>0</v>
      </c>
      <c r="JF26" s="7">
        <f>-'Capital Contributions'!JH8</f>
        <v>0</v>
      </c>
      <c r="JG26" s="7">
        <f>-'Capital Contributions'!JI8</f>
        <v>0</v>
      </c>
      <c r="JH26" s="7">
        <f>-'Capital Contributions'!JJ8</f>
        <v>0</v>
      </c>
      <c r="JI26" s="7">
        <f>-'Capital Contributions'!JK8</f>
        <v>0</v>
      </c>
      <c r="JJ26" s="7">
        <f>-'Capital Contributions'!JL8</f>
        <v>0</v>
      </c>
      <c r="JK26" s="7">
        <f>-'Capital Contributions'!JM8</f>
        <v>0</v>
      </c>
      <c r="JL26" s="7">
        <f>-'Capital Contributions'!JN8</f>
        <v>0</v>
      </c>
      <c r="JM26" s="7">
        <f>-'Capital Contributions'!JO8</f>
        <v>0</v>
      </c>
      <c r="JN26" s="7">
        <f>-'Capital Contributions'!JP8</f>
        <v>0</v>
      </c>
      <c r="JO26" s="7">
        <f>-'Capital Contributions'!JQ8</f>
        <v>0</v>
      </c>
      <c r="JP26" s="7">
        <f>-'Capital Contributions'!JR8</f>
        <v>0</v>
      </c>
      <c r="JQ26" s="7">
        <f>-'Capital Contributions'!JS8</f>
        <v>0</v>
      </c>
      <c r="JR26" s="7">
        <f>-'Capital Contributions'!JT8</f>
        <v>0</v>
      </c>
    </row>
    <row r="27" spans="2:279" x14ac:dyDescent="0.2">
      <c r="B27" s="43" t="s">
        <v>259</v>
      </c>
      <c r="C27" s="44">
        <f>SUM(C25:C26)</f>
        <v>-56573170.593578987</v>
      </c>
      <c r="D27" s="44">
        <f t="shared" ref="D27:BO27" si="707">SUM(D25:D26)</f>
        <v>-18101683.732576787</v>
      </c>
      <c r="E27" s="44">
        <f t="shared" si="707"/>
        <v>-14743208.499670897</v>
      </c>
      <c r="F27" s="44">
        <f t="shared" si="707"/>
        <v>-9626792.6961057857</v>
      </c>
      <c r="G27" s="44">
        <f t="shared" si="707"/>
        <v>-22230433.783278432</v>
      </c>
      <c r="H27" s="44">
        <f t="shared" si="707"/>
        <v>-27583748.669436034</v>
      </c>
      <c r="I27" s="44">
        <f t="shared" si="707"/>
        <v>-24381676.205123831</v>
      </c>
      <c r="J27" s="44">
        <f t="shared" si="707"/>
        <v>-21142461.931421559</v>
      </c>
      <c r="K27" s="44">
        <f t="shared" si="707"/>
        <v>-19610742.404603336</v>
      </c>
      <c r="L27" s="44">
        <f t="shared" si="707"/>
        <v>-16299936.228239983</v>
      </c>
      <c r="M27" s="44">
        <f t="shared" si="707"/>
        <v>-15948969.868310489</v>
      </c>
      <c r="N27" s="44">
        <f t="shared" si="707"/>
        <v>-22834063.187435798</v>
      </c>
      <c r="O27" s="44">
        <f t="shared" si="707"/>
        <v>-1380307.8092666978</v>
      </c>
      <c r="P27" s="44">
        <f t="shared" si="707"/>
        <v>-1380307.8092666978</v>
      </c>
      <c r="Q27" s="44">
        <f t="shared" si="707"/>
        <v>-1380307.8092666978</v>
      </c>
      <c r="R27" s="44">
        <f t="shared" si="707"/>
        <v>0</v>
      </c>
      <c r="S27" s="44">
        <f t="shared" si="707"/>
        <v>0</v>
      </c>
      <c r="T27" s="44">
        <f t="shared" si="707"/>
        <v>0</v>
      </c>
      <c r="U27" s="44">
        <f t="shared" si="707"/>
        <v>0</v>
      </c>
      <c r="V27" s="44">
        <f t="shared" si="707"/>
        <v>0</v>
      </c>
      <c r="W27" s="44">
        <f t="shared" si="707"/>
        <v>0</v>
      </c>
      <c r="X27" s="44">
        <f t="shared" si="707"/>
        <v>0</v>
      </c>
      <c r="Y27" s="44">
        <f t="shared" si="707"/>
        <v>0</v>
      </c>
      <c r="Z27" s="44">
        <f t="shared" si="707"/>
        <v>0</v>
      </c>
      <c r="AA27" s="44">
        <f t="shared" si="707"/>
        <v>0</v>
      </c>
      <c r="AB27" s="44">
        <f t="shared" si="707"/>
        <v>0</v>
      </c>
      <c r="AC27" s="44">
        <f t="shared" si="707"/>
        <v>0</v>
      </c>
      <c r="AD27" s="44">
        <f t="shared" si="707"/>
        <v>0</v>
      </c>
      <c r="AE27" s="44">
        <f t="shared" si="707"/>
        <v>0</v>
      </c>
      <c r="AF27" s="44">
        <f t="shared" si="707"/>
        <v>0</v>
      </c>
      <c r="AG27" s="44">
        <f t="shared" si="707"/>
        <v>0</v>
      </c>
      <c r="AH27" s="44">
        <f t="shared" si="707"/>
        <v>0</v>
      </c>
      <c r="AI27" s="44">
        <f t="shared" si="707"/>
        <v>0</v>
      </c>
      <c r="AJ27" s="44">
        <f t="shared" si="707"/>
        <v>0</v>
      </c>
      <c r="AK27" s="44">
        <f t="shared" si="707"/>
        <v>0</v>
      </c>
      <c r="AL27" s="44">
        <f t="shared" si="707"/>
        <v>0</v>
      </c>
      <c r="AM27" s="44">
        <f t="shared" si="707"/>
        <v>0</v>
      </c>
      <c r="AN27" s="44">
        <f t="shared" si="707"/>
        <v>0</v>
      </c>
      <c r="AO27" s="44">
        <f t="shared" si="707"/>
        <v>0</v>
      </c>
      <c r="AP27" s="44">
        <f t="shared" si="707"/>
        <v>0</v>
      </c>
      <c r="AQ27" s="44">
        <f t="shared" si="707"/>
        <v>0</v>
      </c>
      <c r="AR27" s="44">
        <f t="shared" si="707"/>
        <v>0</v>
      </c>
      <c r="AS27" s="44">
        <f t="shared" si="707"/>
        <v>0</v>
      </c>
      <c r="AT27" s="44">
        <f t="shared" si="707"/>
        <v>0</v>
      </c>
      <c r="AU27" s="44">
        <f t="shared" si="707"/>
        <v>0</v>
      </c>
      <c r="AV27" s="44">
        <f t="shared" si="707"/>
        <v>0</v>
      </c>
      <c r="AW27" s="44">
        <f t="shared" si="707"/>
        <v>0</v>
      </c>
      <c r="AX27" s="44">
        <f t="shared" si="707"/>
        <v>0</v>
      </c>
      <c r="AY27" s="44">
        <f t="shared" si="707"/>
        <v>0</v>
      </c>
      <c r="AZ27" s="44">
        <f t="shared" si="707"/>
        <v>0</v>
      </c>
      <c r="BA27" s="44">
        <f t="shared" si="707"/>
        <v>0</v>
      </c>
      <c r="BB27" s="44">
        <f t="shared" si="707"/>
        <v>0</v>
      </c>
      <c r="BC27" s="44">
        <f t="shared" si="707"/>
        <v>0</v>
      </c>
      <c r="BD27" s="44">
        <f t="shared" si="707"/>
        <v>0</v>
      </c>
      <c r="BE27" s="44">
        <f t="shared" si="707"/>
        <v>0</v>
      </c>
      <c r="BF27" s="44">
        <f t="shared" si="707"/>
        <v>0</v>
      </c>
      <c r="BG27" s="44">
        <f t="shared" si="707"/>
        <v>0</v>
      </c>
      <c r="BH27" s="44">
        <f t="shared" si="707"/>
        <v>0</v>
      </c>
      <c r="BI27" s="44">
        <f t="shared" si="707"/>
        <v>0</v>
      </c>
      <c r="BJ27" s="44">
        <f t="shared" si="707"/>
        <v>0</v>
      </c>
      <c r="BK27" s="44">
        <f t="shared" si="707"/>
        <v>0</v>
      </c>
      <c r="BL27" s="44">
        <f t="shared" si="707"/>
        <v>0</v>
      </c>
      <c r="BM27" s="44">
        <f t="shared" si="707"/>
        <v>0</v>
      </c>
      <c r="BN27" s="44">
        <f t="shared" si="707"/>
        <v>0</v>
      </c>
      <c r="BO27" s="44">
        <f t="shared" si="707"/>
        <v>0</v>
      </c>
      <c r="BP27" s="44">
        <f t="shared" ref="BP27:EA27" si="708">SUM(BP25:BP26)</f>
        <v>0</v>
      </c>
      <c r="BQ27" s="44">
        <f t="shared" si="708"/>
        <v>0</v>
      </c>
      <c r="BR27" s="44">
        <f t="shared" si="708"/>
        <v>0</v>
      </c>
      <c r="BS27" s="44">
        <f t="shared" si="708"/>
        <v>0</v>
      </c>
      <c r="BT27" s="44">
        <f t="shared" si="708"/>
        <v>0</v>
      </c>
      <c r="BU27" s="44">
        <f t="shared" si="708"/>
        <v>0</v>
      </c>
      <c r="BV27" s="44">
        <f t="shared" si="708"/>
        <v>0</v>
      </c>
      <c r="BW27" s="44">
        <f t="shared" si="708"/>
        <v>0</v>
      </c>
      <c r="BX27" s="44">
        <f t="shared" si="708"/>
        <v>0</v>
      </c>
      <c r="BY27" s="44">
        <f t="shared" si="708"/>
        <v>0</v>
      </c>
      <c r="BZ27" s="44">
        <f t="shared" si="708"/>
        <v>0</v>
      </c>
      <c r="CA27" s="44">
        <f t="shared" si="708"/>
        <v>0</v>
      </c>
      <c r="CB27" s="44">
        <f t="shared" si="708"/>
        <v>0</v>
      </c>
      <c r="CC27" s="44">
        <f t="shared" si="708"/>
        <v>0</v>
      </c>
      <c r="CD27" s="44">
        <f t="shared" si="708"/>
        <v>0</v>
      </c>
      <c r="CE27" s="44">
        <f t="shared" si="708"/>
        <v>0</v>
      </c>
      <c r="CF27" s="44">
        <f t="shared" si="708"/>
        <v>0</v>
      </c>
      <c r="CG27" s="44">
        <f t="shared" si="708"/>
        <v>0</v>
      </c>
      <c r="CH27" s="44">
        <f t="shared" si="708"/>
        <v>0</v>
      </c>
      <c r="CI27" s="44">
        <f t="shared" si="708"/>
        <v>0</v>
      </c>
      <c r="CJ27" s="44">
        <f t="shared" si="708"/>
        <v>0</v>
      </c>
      <c r="CK27" s="44">
        <f t="shared" si="708"/>
        <v>0</v>
      </c>
      <c r="CL27" s="44">
        <f t="shared" si="708"/>
        <v>0</v>
      </c>
      <c r="CM27" s="44">
        <f t="shared" si="708"/>
        <v>0</v>
      </c>
      <c r="CN27" s="44">
        <f t="shared" si="708"/>
        <v>0</v>
      </c>
      <c r="CO27" s="44">
        <f t="shared" si="708"/>
        <v>0</v>
      </c>
      <c r="CP27" s="44">
        <f t="shared" si="708"/>
        <v>0</v>
      </c>
      <c r="CQ27" s="44">
        <f t="shared" si="708"/>
        <v>0</v>
      </c>
      <c r="CR27" s="44">
        <f t="shared" si="708"/>
        <v>0</v>
      </c>
      <c r="CS27" s="44">
        <f t="shared" si="708"/>
        <v>0</v>
      </c>
      <c r="CT27" s="44">
        <f t="shared" si="708"/>
        <v>0</v>
      </c>
      <c r="CU27" s="44">
        <f t="shared" si="708"/>
        <v>0</v>
      </c>
      <c r="CV27" s="44">
        <f t="shared" si="708"/>
        <v>0</v>
      </c>
      <c r="CW27" s="44">
        <f t="shared" si="708"/>
        <v>0</v>
      </c>
      <c r="CX27" s="44">
        <f t="shared" si="708"/>
        <v>0</v>
      </c>
      <c r="CY27" s="44">
        <f t="shared" si="708"/>
        <v>0</v>
      </c>
      <c r="CZ27" s="44">
        <f t="shared" si="708"/>
        <v>0</v>
      </c>
      <c r="DA27" s="44">
        <f t="shared" si="708"/>
        <v>0</v>
      </c>
      <c r="DB27" s="44">
        <f t="shared" si="708"/>
        <v>0</v>
      </c>
      <c r="DC27" s="44">
        <f t="shared" si="708"/>
        <v>0</v>
      </c>
      <c r="DD27" s="44">
        <f t="shared" si="708"/>
        <v>0</v>
      </c>
      <c r="DE27" s="44">
        <f t="shared" si="708"/>
        <v>0</v>
      </c>
      <c r="DF27" s="44">
        <f t="shared" si="708"/>
        <v>0</v>
      </c>
      <c r="DG27" s="44">
        <f t="shared" si="708"/>
        <v>0</v>
      </c>
      <c r="DH27" s="44">
        <f t="shared" si="708"/>
        <v>0</v>
      </c>
      <c r="DI27" s="44">
        <f t="shared" si="708"/>
        <v>0</v>
      </c>
      <c r="DJ27" s="44">
        <f t="shared" si="708"/>
        <v>0</v>
      </c>
      <c r="DK27" s="44">
        <f t="shared" si="708"/>
        <v>0</v>
      </c>
      <c r="DL27" s="44">
        <f t="shared" si="708"/>
        <v>0</v>
      </c>
      <c r="DM27" s="44">
        <f t="shared" si="708"/>
        <v>0</v>
      </c>
      <c r="DN27" s="44">
        <f t="shared" si="708"/>
        <v>0</v>
      </c>
      <c r="DO27" s="44">
        <f t="shared" si="708"/>
        <v>0</v>
      </c>
      <c r="DP27" s="44">
        <f t="shared" si="708"/>
        <v>0</v>
      </c>
      <c r="DQ27" s="44">
        <f t="shared" si="708"/>
        <v>0</v>
      </c>
      <c r="DR27" s="44">
        <f t="shared" si="708"/>
        <v>0</v>
      </c>
      <c r="DS27" s="44">
        <f t="shared" si="708"/>
        <v>0</v>
      </c>
      <c r="DT27" s="44">
        <f t="shared" si="708"/>
        <v>0</v>
      </c>
      <c r="DU27" s="44">
        <f t="shared" si="708"/>
        <v>0</v>
      </c>
      <c r="DV27" s="44">
        <f t="shared" si="708"/>
        <v>0</v>
      </c>
      <c r="DW27" s="44">
        <f t="shared" si="708"/>
        <v>0</v>
      </c>
      <c r="DX27" s="44">
        <f t="shared" si="708"/>
        <v>0</v>
      </c>
      <c r="DY27" s="44">
        <f t="shared" si="708"/>
        <v>0</v>
      </c>
      <c r="DZ27" s="44">
        <f t="shared" si="708"/>
        <v>0</v>
      </c>
      <c r="EA27" s="44">
        <f t="shared" si="708"/>
        <v>0</v>
      </c>
      <c r="EB27" s="44">
        <f t="shared" ref="EB27:GM27" si="709">SUM(EB25:EB26)</f>
        <v>0</v>
      </c>
      <c r="EC27" s="44">
        <f t="shared" si="709"/>
        <v>0</v>
      </c>
      <c r="ED27" s="44">
        <f t="shared" si="709"/>
        <v>0</v>
      </c>
      <c r="EE27" s="44">
        <f t="shared" si="709"/>
        <v>0</v>
      </c>
      <c r="EF27" s="44">
        <f t="shared" si="709"/>
        <v>0</v>
      </c>
      <c r="EG27" s="44">
        <f t="shared" si="709"/>
        <v>0</v>
      </c>
      <c r="EH27" s="44">
        <f t="shared" si="709"/>
        <v>0</v>
      </c>
      <c r="EI27" s="44">
        <f t="shared" si="709"/>
        <v>0</v>
      </c>
      <c r="EJ27" s="44">
        <f t="shared" si="709"/>
        <v>0</v>
      </c>
      <c r="EK27" s="44">
        <f t="shared" si="709"/>
        <v>0</v>
      </c>
      <c r="EL27" s="44">
        <f t="shared" si="709"/>
        <v>0</v>
      </c>
      <c r="EM27" s="44">
        <f t="shared" si="709"/>
        <v>0</v>
      </c>
      <c r="EN27" s="44">
        <f t="shared" si="709"/>
        <v>0</v>
      </c>
      <c r="EO27" s="44">
        <f t="shared" si="709"/>
        <v>0</v>
      </c>
      <c r="EP27" s="44">
        <f t="shared" si="709"/>
        <v>0</v>
      </c>
      <c r="EQ27" s="44">
        <f t="shared" si="709"/>
        <v>0</v>
      </c>
      <c r="ER27" s="44">
        <f t="shared" si="709"/>
        <v>0</v>
      </c>
      <c r="ES27" s="44">
        <f t="shared" si="709"/>
        <v>0</v>
      </c>
      <c r="ET27" s="44">
        <f t="shared" si="709"/>
        <v>0</v>
      </c>
      <c r="EU27" s="44">
        <f t="shared" si="709"/>
        <v>0</v>
      </c>
      <c r="EV27" s="44">
        <f t="shared" si="709"/>
        <v>0</v>
      </c>
      <c r="EW27" s="44">
        <f t="shared" si="709"/>
        <v>0</v>
      </c>
      <c r="EX27" s="44">
        <f t="shared" si="709"/>
        <v>0</v>
      </c>
      <c r="EY27" s="44">
        <f t="shared" si="709"/>
        <v>0</v>
      </c>
      <c r="EZ27" s="44">
        <f t="shared" si="709"/>
        <v>0</v>
      </c>
      <c r="FA27" s="44">
        <f t="shared" si="709"/>
        <v>0</v>
      </c>
      <c r="FB27" s="44">
        <f t="shared" si="709"/>
        <v>0</v>
      </c>
      <c r="FC27" s="44">
        <f t="shared" si="709"/>
        <v>0</v>
      </c>
      <c r="FD27" s="44">
        <f t="shared" si="709"/>
        <v>0</v>
      </c>
      <c r="FE27" s="44">
        <f t="shared" si="709"/>
        <v>0</v>
      </c>
      <c r="FF27" s="44">
        <f t="shared" si="709"/>
        <v>0</v>
      </c>
      <c r="FG27" s="44">
        <f t="shared" si="709"/>
        <v>0</v>
      </c>
      <c r="FH27" s="44">
        <f t="shared" si="709"/>
        <v>0</v>
      </c>
      <c r="FI27" s="44">
        <f t="shared" si="709"/>
        <v>0</v>
      </c>
      <c r="FJ27" s="44">
        <f t="shared" si="709"/>
        <v>0</v>
      </c>
      <c r="FK27" s="44">
        <f t="shared" si="709"/>
        <v>0</v>
      </c>
      <c r="FL27" s="44">
        <f t="shared" si="709"/>
        <v>0</v>
      </c>
      <c r="FM27" s="44">
        <f t="shared" si="709"/>
        <v>0</v>
      </c>
      <c r="FN27" s="44">
        <f t="shared" si="709"/>
        <v>0</v>
      </c>
      <c r="FO27" s="44">
        <f t="shared" si="709"/>
        <v>0</v>
      </c>
      <c r="FP27" s="44">
        <f t="shared" si="709"/>
        <v>0</v>
      </c>
      <c r="FQ27" s="44">
        <f t="shared" si="709"/>
        <v>0</v>
      </c>
      <c r="FR27" s="44">
        <f t="shared" si="709"/>
        <v>0</v>
      </c>
      <c r="FS27" s="44">
        <f t="shared" si="709"/>
        <v>0</v>
      </c>
      <c r="FT27" s="44">
        <f t="shared" si="709"/>
        <v>0</v>
      </c>
      <c r="FU27" s="44">
        <f t="shared" si="709"/>
        <v>0</v>
      </c>
      <c r="FV27" s="44">
        <f t="shared" si="709"/>
        <v>0</v>
      </c>
      <c r="FW27" s="44">
        <f t="shared" si="709"/>
        <v>0</v>
      </c>
      <c r="FX27" s="44">
        <f t="shared" si="709"/>
        <v>0</v>
      </c>
      <c r="FY27" s="44">
        <f t="shared" si="709"/>
        <v>0</v>
      </c>
      <c r="FZ27" s="44">
        <f t="shared" si="709"/>
        <v>0</v>
      </c>
      <c r="GA27" s="44">
        <f t="shared" si="709"/>
        <v>0</v>
      </c>
      <c r="GB27" s="44">
        <f t="shared" si="709"/>
        <v>0</v>
      </c>
      <c r="GC27" s="44">
        <f t="shared" si="709"/>
        <v>0</v>
      </c>
      <c r="GD27" s="44">
        <f t="shared" si="709"/>
        <v>0</v>
      </c>
      <c r="GE27" s="44">
        <f t="shared" si="709"/>
        <v>0</v>
      </c>
      <c r="GF27" s="44">
        <f t="shared" si="709"/>
        <v>0</v>
      </c>
      <c r="GG27" s="44">
        <f t="shared" si="709"/>
        <v>0</v>
      </c>
      <c r="GH27" s="44">
        <f t="shared" si="709"/>
        <v>0</v>
      </c>
      <c r="GI27" s="44">
        <f t="shared" si="709"/>
        <v>0</v>
      </c>
      <c r="GJ27" s="44">
        <f t="shared" si="709"/>
        <v>0</v>
      </c>
      <c r="GK27" s="44">
        <f t="shared" si="709"/>
        <v>0</v>
      </c>
      <c r="GL27" s="44">
        <f t="shared" si="709"/>
        <v>0</v>
      </c>
      <c r="GM27" s="44">
        <f t="shared" si="709"/>
        <v>0</v>
      </c>
      <c r="GN27" s="44">
        <f t="shared" ref="GN27:IY27" si="710">SUM(GN25:GN26)</f>
        <v>0</v>
      </c>
      <c r="GO27" s="44">
        <f t="shared" si="710"/>
        <v>0</v>
      </c>
      <c r="GP27" s="44">
        <f t="shared" si="710"/>
        <v>0</v>
      </c>
      <c r="GQ27" s="44">
        <f t="shared" si="710"/>
        <v>0</v>
      </c>
      <c r="GR27" s="44">
        <f t="shared" si="710"/>
        <v>0</v>
      </c>
      <c r="GS27" s="44">
        <f t="shared" si="710"/>
        <v>0</v>
      </c>
      <c r="GT27" s="44">
        <f t="shared" si="710"/>
        <v>0</v>
      </c>
      <c r="GU27" s="44">
        <f t="shared" si="710"/>
        <v>0</v>
      </c>
      <c r="GV27" s="44">
        <f t="shared" si="710"/>
        <v>0</v>
      </c>
      <c r="GW27" s="44">
        <f t="shared" si="710"/>
        <v>0</v>
      </c>
      <c r="GX27" s="44">
        <f t="shared" si="710"/>
        <v>0</v>
      </c>
      <c r="GY27" s="44">
        <f t="shared" si="710"/>
        <v>0</v>
      </c>
      <c r="GZ27" s="44">
        <f t="shared" si="710"/>
        <v>0</v>
      </c>
      <c r="HA27" s="44">
        <f t="shared" si="710"/>
        <v>0</v>
      </c>
      <c r="HB27" s="44">
        <f t="shared" si="710"/>
        <v>0</v>
      </c>
      <c r="HC27" s="44">
        <f t="shared" si="710"/>
        <v>0</v>
      </c>
      <c r="HD27" s="44">
        <f t="shared" si="710"/>
        <v>0</v>
      </c>
      <c r="HE27" s="44">
        <f t="shared" si="710"/>
        <v>0</v>
      </c>
      <c r="HF27" s="44">
        <f t="shared" si="710"/>
        <v>0</v>
      </c>
      <c r="HG27" s="44">
        <f t="shared" si="710"/>
        <v>0</v>
      </c>
      <c r="HH27" s="44">
        <f t="shared" si="710"/>
        <v>0</v>
      </c>
      <c r="HI27" s="44">
        <f t="shared" si="710"/>
        <v>0</v>
      </c>
      <c r="HJ27" s="44">
        <f t="shared" si="710"/>
        <v>0</v>
      </c>
      <c r="HK27" s="44">
        <f t="shared" si="710"/>
        <v>0</v>
      </c>
      <c r="HL27" s="44">
        <f t="shared" si="710"/>
        <v>0</v>
      </c>
      <c r="HM27" s="44">
        <f t="shared" si="710"/>
        <v>0</v>
      </c>
      <c r="HN27" s="44">
        <f t="shared" si="710"/>
        <v>0</v>
      </c>
      <c r="HO27" s="44">
        <f t="shared" si="710"/>
        <v>0</v>
      </c>
      <c r="HP27" s="44">
        <f t="shared" si="710"/>
        <v>0</v>
      </c>
      <c r="HQ27" s="44">
        <f t="shared" si="710"/>
        <v>0</v>
      </c>
      <c r="HR27" s="44">
        <f t="shared" si="710"/>
        <v>0</v>
      </c>
      <c r="HS27" s="44">
        <f t="shared" si="710"/>
        <v>0</v>
      </c>
      <c r="HT27" s="44">
        <f t="shared" si="710"/>
        <v>0</v>
      </c>
      <c r="HU27" s="44">
        <f t="shared" si="710"/>
        <v>0</v>
      </c>
      <c r="HV27" s="44">
        <f t="shared" si="710"/>
        <v>0</v>
      </c>
      <c r="HW27" s="44">
        <f t="shared" si="710"/>
        <v>0</v>
      </c>
      <c r="HX27" s="44">
        <f t="shared" si="710"/>
        <v>0</v>
      </c>
      <c r="HY27" s="44">
        <f t="shared" si="710"/>
        <v>0</v>
      </c>
      <c r="HZ27" s="44">
        <f t="shared" si="710"/>
        <v>0</v>
      </c>
      <c r="IA27" s="44">
        <f t="shared" si="710"/>
        <v>0</v>
      </c>
      <c r="IB27" s="44">
        <f t="shared" si="710"/>
        <v>0</v>
      </c>
      <c r="IC27" s="44">
        <f t="shared" si="710"/>
        <v>0</v>
      </c>
      <c r="ID27" s="44">
        <f t="shared" si="710"/>
        <v>0</v>
      </c>
      <c r="IE27" s="44">
        <f t="shared" si="710"/>
        <v>0</v>
      </c>
      <c r="IF27" s="44">
        <f t="shared" si="710"/>
        <v>0</v>
      </c>
      <c r="IG27" s="44">
        <f t="shared" si="710"/>
        <v>0</v>
      </c>
      <c r="IH27" s="44">
        <f t="shared" si="710"/>
        <v>0</v>
      </c>
      <c r="II27" s="44">
        <f t="shared" si="710"/>
        <v>0</v>
      </c>
      <c r="IJ27" s="44">
        <f t="shared" si="710"/>
        <v>0</v>
      </c>
      <c r="IK27" s="44">
        <f t="shared" si="710"/>
        <v>0</v>
      </c>
      <c r="IL27" s="44">
        <f t="shared" si="710"/>
        <v>0</v>
      </c>
      <c r="IM27" s="44">
        <f t="shared" si="710"/>
        <v>0</v>
      </c>
      <c r="IN27" s="44">
        <f t="shared" si="710"/>
        <v>0</v>
      </c>
      <c r="IO27" s="44">
        <f t="shared" si="710"/>
        <v>0</v>
      </c>
      <c r="IP27" s="44">
        <f t="shared" si="710"/>
        <v>0</v>
      </c>
      <c r="IQ27" s="44">
        <f t="shared" si="710"/>
        <v>0</v>
      </c>
      <c r="IR27" s="44">
        <f t="shared" si="710"/>
        <v>0</v>
      </c>
      <c r="IS27" s="44">
        <f t="shared" si="710"/>
        <v>0</v>
      </c>
      <c r="IT27" s="44">
        <f t="shared" si="710"/>
        <v>0</v>
      </c>
      <c r="IU27" s="44">
        <f t="shared" si="710"/>
        <v>0</v>
      </c>
      <c r="IV27" s="44">
        <f t="shared" si="710"/>
        <v>0</v>
      </c>
      <c r="IW27" s="44">
        <f t="shared" si="710"/>
        <v>0</v>
      </c>
      <c r="IX27" s="44">
        <f t="shared" si="710"/>
        <v>0</v>
      </c>
      <c r="IY27" s="44">
        <f t="shared" si="710"/>
        <v>0</v>
      </c>
      <c r="IZ27" s="44">
        <f t="shared" ref="IZ27:JR27" si="711">SUM(IZ25:IZ26)</f>
        <v>0</v>
      </c>
      <c r="JA27" s="44">
        <f t="shared" si="711"/>
        <v>0</v>
      </c>
      <c r="JB27" s="44">
        <f t="shared" si="711"/>
        <v>0</v>
      </c>
      <c r="JC27" s="44">
        <f t="shared" si="711"/>
        <v>0</v>
      </c>
      <c r="JD27" s="44">
        <f t="shared" si="711"/>
        <v>0</v>
      </c>
      <c r="JE27" s="44">
        <f t="shared" si="711"/>
        <v>0</v>
      </c>
      <c r="JF27" s="44">
        <f t="shared" si="711"/>
        <v>0</v>
      </c>
      <c r="JG27" s="44">
        <f t="shared" si="711"/>
        <v>0</v>
      </c>
      <c r="JH27" s="44">
        <f t="shared" si="711"/>
        <v>0</v>
      </c>
      <c r="JI27" s="44">
        <f t="shared" si="711"/>
        <v>0</v>
      </c>
      <c r="JJ27" s="44">
        <f t="shared" si="711"/>
        <v>0</v>
      </c>
      <c r="JK27" s="44">
        <f t="shared" si="711"/>
        <v>0</v>
      </c>
      <c r="JL27" s="44">
        <f t="shared" si="711"/>
        <v>0</v>
      </c>
      <c r="JM27" s="44">
        <f t="shared" si="711"/>
        <v>0</v>
      </c>
      <c r="JN27" s="44">
        <f t="shared" si="711"/>
        <v>0</v>
      </c>
      <c r="JO27" s="44">
        <f t="shared" si="711"/>
        <v>0</v>
      </c>
      <c r="JP27" s="44">
        <f t="shared" si="711"/>
        <v>0</v>
      </c>
      <c r="JQ27" s="44">
        <f t="shared" si="711"/>
        <v>0</v>
      </c>
      <c r="JR27" s="44">
        <f t="shared" si="711"/>
        <v>0</v>
      </c>
    </row>
    <row r="28" spans="2:279" x14ac:dyDescent="0.2">
      <c r="B28" s="1" t="s">
        <v>123</v>
      </c>
      <c r="C28" s="7">
        <f>Financials!C95</f>
        <v>-751857.530441407</v>
      </c>
      <c r="D28" s="7">
        <f>Financials!D95</f>
        <v>-948893.02905530925</v>
      </c>
      <c r="E28" s="7">
        <f>Financials!E95</f>
        <v>-1034068.0691139193</v>
      </c>
      <c r="F28" s="7">
        <f>Financials!F95</f>
        <v>-1096340.0237771731</v>
      </c>
      <c r="G28" s="7">
        <f>Financials!G95</f>
        <v>-1178117.2898574094</v>
      </c>
      <c r="H28" s="7">
        <f>Financials!H95</f>
        <v>-1307033.0668461528</v>
      </c>
      <c r="I28" s="7">
        <f>Financials!I95</f>
        <v>-1440964.8925732085</v>
      </c>
      <c r="J28" s="7">
        <f>Financials!J95</f>
        <v>-1557122.7496823799</v>
      </c>
      <c r="K28" s="7">
        <f>Financials!K95</f>
        <v>-1660025.9329952977</v>
      </c>
      <c r="L28" s="7">
        <f>Financials!L95</f>
        <v>-1749555.0092197431</v>
      </c>
      <c r="M28" s="7">
        <f>Financials!M95</f>
        <v>-1828908.9067456364</v>
      </c>
      <c r="N28" s="7">
        <f>Financials!N95</f>
        <v>-1925152.6477794694</v>
      </c>
      <c r="O28" s="7">
        <f>Financials!O95</f>
        <v>-2006259.1657289483</v>
      </c>
      <c r="P28" s="7">
        <f>Financials!P95</f>
        <v>-2006259.1657289483</v>
      </c>
      <c r="Q28" s="7">
        <f>Financials!Q95</f>
        <v>-2006259.1657289483</v>
      </c>
      <c r="R28" s="7">
        <f>Financials!R95</f>
        <v>-1213635.2408353915</v>
      </c>
      <c r="S28" s="7">
        <f>Financials!S95</f>
        <v>-1049466.7655459703</v>
      </c>
      <c r="T28" s="7">
        <f>Financials!T95</f>
        <v>-1189716.9864817988</v>
      </c>
      <c r="U28" s="7">
        <f>Financials!U95</f>
        <v>-1018244.6751644639</v>
      </c>
      <c r="V28" s="7">
        <f>Financials!V95</f>
        <v>-1012620.412861164</v>
      </c>
      <c r="W28" s="7">
        <f>Financials!W95</f>
        <v>-1153526.841194018</v>
      </c>
      <c r="X28" s="7">
        <f>Financials!X95</f>
        <v>-987844.19512373232</v>
      </c>
      <c r="Y28" s="7">
        <f>Financials!Y95</f>
        <v>-1129189.287975044</v>
      </c>
      <c r="Z28" s="7">
        <f>Financials!Z95</f>
        <v>-962896.54775641905</v>
      </c>
      <c r="AA28" s="7">
        <f>Financials!AA95</f>
        <v>-733261.91640031477</v>
      </c>
      <c r="AB28" s="7">
        <f>Financials!AB95</f>
        <v>-1184440.6679162164</v>
      </c>
      <c r="AC28" s="7">
        <f>Financials!AC95</f>
        <v>-708054.12022488611</v>
      </c>
      <c r="AD28" s="7">
        <f>Financials!AD95</f>
        <v>938479.18292621453</v>
      </c>
      <c r="AE28" s="7">
        <f>Financials!AE95</f>
        <v>1165940.9896200215</v>
      </c>
      <c r="AF28" s="7">
        <f>Financials!AF95</f>
        <v>963420.45880853105</v>
      </c>
      <c r="AG28" s="7">
        <f>Financials!AG95</f>
        <v>1191501.3505743276</v>
      </c>
      <c r="AH28" s="7">
        <f>Financials!AH95</f>
        <v>1204348.4634021106</v>
      </c>
      <c r="AI28" s="7">
        <f>Financials!AI95</f>
        <v>1001163.1975864745</v>
      </c>
      <c r="AJ28" s="7">
        <f>Financials!AJ95</f>
        <v>1230177.6003270717</v>
      </c>
      <c r="AK28" s="7">
        <f>Financials!AK95</f>
        <v>1026548.0068156718</v>
      </c>
      <c r="AL28" s="7">
        <f>Financials!AL95</f>
        <v>1256188.0276311217</v>
      </c>
      <c r="AM28" s="7">
        <f>Financials!AM95</f>
        <v>1301747.2435203765</v>
      </c>
      <c r="AN28" s="7">
        <f>Financials!AN95</f>
        <v>662614.35471860552</v>
      </c>
      <c r="AO28" s="7">
        <f>Financials!AO95</f>
        <v>1328032.8118786034</v>
      </c>
      <c r="AP28" s="7">
        <f>Financials!AP95</f>
        <v>1310628.0256900832</v>
      </c>
      <c r="AQ28" s="7">
        <f>Financials!AQ95</f>
        <v>1520436.9322233321</v>
      </c>
      <c r="AR28" s="7">
        <f>Financials!AR95</f>
        <v>1315521.4206236957</v>
      </c>
      <c r="AS28" s="7">
        <f>Financials!AS95</f>
        <v>1547649.0077106024</v>
      </c>
      <c r="AT28" s="7">
        <f>Financials!AT95</f>
        <v>1561326.5450466755</v>
      </c>
      <c r="AU28" s="7">
        <f>Financials!AU95</f>
        <v>1355739.3242962146</v>
      </c>
      <c r="AV28" s="7">
        <f>Financials!AV95</f>
        <v>1588825.7395474976</v>
      </c>
      <c r="AW28" s="7">
        <f>Financials!AW95</f>
        <v>1382789.5711805196</v>
      </c>
      <c r="AX28" s="7">
        <f>Financials!AX95</f>
        <v>1616518.602226445</v>
      </c>
      <c r="AY28" s="7">
        <f>Financials!AY95</f>
        <v>1665272.0935758394</v>
      </c>
      <c r="AZ28" s="7">
        <f>Financials!AZ95</f>
        <v>1237880.7772205928</v>
      </c>
      <c r="BA28" s="7">
        <f>Financials!BA95</f>
        <v>1693258.8909587455</v>
      </c>
      <c r="BB28" s="7">
        <f>Financials!BB95</f>
        <v>1486096.3858074651</v>
      </c>
      <c r="BC28" s="7">
        <f>Financials!BC95</f>
        <v>1721443.9622033618</v>
      </c>
      <c r="BD28" s="7">
        <f>Financials!BD95</f>
        <v>1513829.3455288815</v>
      </c>
      <c r="BE28" s="7">
        <f>Financials!BE95</f>
        <v>1749829.1848046742</v>
      </c>
      <c r="BF28" s="7">
        <f>Financials!BF95</f>
        <v>1764097.4451729304</v>
      </c>
      <c r="BG28" s="7">
        <f>Financials!BG95</f>
        <v>1555802.9844656258</v>
      </c>
      <c r="BH28" s="7">
        <f>Financials!BH95</f>
        <v>1792786.4599608043</v>
      </c>
      <c r="BI28" s="7">
        <f>Financials!BI95</f>
        <v>1584037.6581994148</v>
      </c>
      <c r="BJ28" s="7">
        <f>Financials!BJ95</f>
        <v>1821680.4099253369</v>
      </c>
      <c r="BK28" s="7">
        <f>Financials!BK95</f>
        <v>1873556.8512392507</v>
      </c>
      <c r="BL28" s="7">
        <f>Financials!BL95</f>
        <v>1216108.1389359247</v>
      </c>
      <c r="BM28" s="7">
        <f>Financials!BM95</f>
        <v>1902761.8672085293</v>
      </c>
      <c r="BN28" s="7">
        <f>Financials!BN95</f>
        <v>1692873.3536097626</v>
      </c>
      <c r="BO28" s="7">
        <f>Financials!BO95</f>
        <v>1932176.7338338315</v>
      </c>
      <c r="BP28" s="7">
        <f>Financials!BP95</f>
        <v>1721830.8036424727</v>
      </c>
      <c r="BQ28" s="7">
        <f>Financials!BQ95</f>
        <v>1961803.4550201742</v>
      </c>
      <c r="BR28" s="7">
        <f>Financials!BR95</f>
        <v>1976696.8932813774</v>
      </c>
      <c r="BS28" s="7">
        <f>Financials!BS95</f>
        <v>1765663.2114805386</v>
      </c>
      <c r="BT28" s="7">
        <f>Financials!BT95</f>
        <v>2006645.2016532624</v>
      </c>
      <c r="BU28" s="7">
        <f>Financials!BU95</f>
        <v>1795151.9413198542</v>
      </c>
      <c r="BV28" s="7">
        <f>Financials!BV95</f>
        <v>2036810.4708062534</v>
      </c>
      <c r="BW28" s="7">
        <f>Financials!BW95</f>
        <v>2092027.3019770924</v>
      </c>
      <c r="BX28" s="7">
        <f>Financials!BX95</f>
        <v>1425035.2718235306</v>
      </c>
      <c r="BY28" s="7">
        <f>Financials!BY95</f>
        <v>2122521.9226772506</v>
      </c>
      <c r="BZ28" s="7">
        <f>Financials!BZ95</f>
        <v>1909875.9811751938</v>
      </c>
      <c r="CA28" s="7">
        <f>Financials!CA95</f>
        <v>2153238.7513585724</v>
      </c>
      <c r="CB28" s="7">
        <f>Financials!CB95</f>
        <v>1940130.2569398684</v>
      </c>
      <c r="CC28" s="7">
        <f>Financials!CC95</f>
        <v>2184179.9272850943</v>
      </c>
      <c r="CD28" s="7">
        <f>Financials!CD95</f>
        <v>2199735.3203967405</v>
      </c>
      <c r="CE28" s="7">
        <f>Financials!CE95</f>
        <v>1985931.4269816272</v>
      </c>
      <c r="CF28" s="7">
        <f>Financials!CF95</f>
        <v>2231017.079734901</v>
      </c>
      <c r="CG28" s="7">
        <f>Financials!CG95</f>
        <v>2016748.5485561753</v>
      </c>
      <c r="CH28" s="7">
        <f>Financials!CH95</f>
        <v>2262528.637768981</v>
      </c>
      <c r="CI28" s="7">
        <f>Financials!CI95</f>
        <v>2309414.0854648054</v>
      </c>
      <c r="CJ28" s="7">
        <f>Financials!CJ95</f>
        <v>1632711.1267784862</v>
      </c>
      <c r="CK28" s="7">
        <f>Financials!CK95</f>
        <v>2341274.5165603613</v>
      </c>
      <c r="CL28" s="7">
        <f>Financials!CL95</f>
        <v>2125840.7976293182</v>
      </c>
      <c r="CM28" s="7">
        <f>Financials!CM95</f>
        <v>2373370.3487729314</v>
      </c>
      <c r="CN28" s="7">
        <f>Financials!CN95</f>
        <v>2157469.1326883133</v>
      </c>
      <c r="CO28" s="7">
        <f>Financials!CO95</f>
        <v>2405703.866317654</v>
      </c>
      <c r="CP28" s="7">
        <f>Financials!CP95</f>
        <v>2421960.4777728133</v>
      </c>
      <c r="CQ28" s="7">
        <f>Financials!CQ95</f>
        <v>2205356.5110882176</v>
      </c>
      <c r="CR28" s="7">
        <f>Financials!CR95</f>
        <v>2454654.8612891156</v>
      </c>
      <c r="CS28" s="7">
        <f>Financials!CS95</f>
        <v>2237581.3999791532</v>
      </c>
      <c r="CT28" s="7">
        <f>Financials!CT95</f>
        <v>2487592.7512902832</v>
      </c>
      <c r="CU28" s="7">
        <f>Financials!CU95</f>
        <v>2538301.2352300137</v>
      </c>
      <c r="CV28" s="7">
        <f>Financials!CV95</f>
        <v>1851718.1603652509</v>
      </c>
      <c r="CW28" s="7">
        <f>Financials!CW95</f>
        <v>2571608.8433827669</v>
      </c>
      <c r="CX28" s="7">
        <f>Financials!CX95</f>
        <v>5385835.4116570335</v>
      </c>
      <c r="CY28" s="7">
        <f>Financials!CY95</f>
        <v>5637643.1403174708</v>
      </c>
      <c r="CZ28" s="7">
        <f>Financials!CZ95</f>
        <v>5418920.2850769321</v>
      </c>
      <c r="DA28" s="7">
        <f>Financials!DA95</f>
        <v>5671452.1665509939</v>
      </c>
      <c r="DB28" s="7">
        <f>Financials!DB95</f>
        <v>5688451.9226350896</v>
      </c>
      <c r="DC28" s="7">
        <f>Financials!DC95</f>
        <v>5469019.2994797882</v>
      </c>
      <c r="DD28" s="7">
        <f>Financials!DD95</f>
        <v>5722643.4749580324</v>
      </c>
      <c r="DE28" s="7">
        <f>Financials!DE95</f>
        <v>5502736.7287772857</v>
      </c>
      <c r="DF28" s="7">
        <f>Financials!DF95</f>
        <v>5757093.173130529</v>
      </c>
      <c r="DG28" s="7">
        <f>Financials!DG95</f>
        <v>5811892.2218660815</v>
      </c>
      <c r="DH28" s="7">
        <f>Financials!DH95</f>
        <v>5115258.3649288053</v>
      </c>
      <c r="DI28" s="7">
        <f>Financials!DI95</f>
        <v>5846733.9007575568</v>
      </c>
      <c r="DJ28" s="7">
        <f>Financials!DJ95</f>
        <v>5625638.5937595386</v>
      </c>
      <c r="DK28" s="7">
        <f>Financials!DK95</f>
        <v>5881840.1157412166</v>
      </c>
      <c r="DL28" s="7">
        <f>Financials!DL95</f>
        <v>5660268.1024483871</v>
      </c>
      <c r="DM28" s="7">
        <f>Financials!DM95</f>
        <v>5917213.4725184217</v>
      </c>
      <c r="DN28" s="7">
        <f>Financials!DN95</f>
        <v>5935001.1512368666</v>
      </c>
      <c r="DO28" s="7">
        <f>Financials!DO95</f>
        <v>5712712.7286378313</v>
      </c>
      <c r="DP28" s="7">
        <f>Financials!DP95</f>
        <v>5970780.1695621591</v>
      </c>
      <c r="DQ28" s="7">
        <f>Financials!DQ95</f>
        <v>5748013.2522092173</v>
      </c>
      <c r="DR28" s="7">
        <f>Financials!DR95</f>
        <v>4805466.3766524214</v>
      </c>
      <c r="DS28" s="7">
        <f>Financials!DS95</f>
        <v>4852807.4175343215</v>
      </c>
      <c r="DT28" s="7">
        <f>Financials!DT95</f>
        <v>4287322.079127863</v>
      </c>
      <c r="DU28" s="7">
        <f>Financials!DU95</f>
        <v>4881982.2676708167</v>
      </c>
      <c r="DV28" s="7">
        <f>Financials!DV95</f>
        <v>4702809.303055671</v>
      </c>
      <c r="DW28" s="7">
        <f>Financials!DW95</f>
        <v>4911381.605426508</v>
      </c>
      <c r="DX28" s="7">
        <f>Financials!DX95</f>
        <v>4731823.9093131945</v>
      </c>
      <c r="DY28" s="7">
        <f>Financials!DY95</f>
        <v>4941007.6578161111</v>
      </c>
      <c r="DZ28" s="7">
        <f>Financials!DZ95</f>
        <v>4955906.4046890996</v>
      </c>
      <c r="EA28" s="7">
        <f>Financials!EA95</f>
        <v>4775770.6047538221</v>
      </c>
      <c r="EB28" s="7">
        <f>Financials!EB95</f>
        <v>4985876.7588089211</v>
      </c>
      <c r="EC28" s="7">
        <f>Financials!EC95</f>
        <v>4805354.8954132441</v>
      </c>
      <c r="ED28" s="7">
        <f>Financials!ED95</f>
        <v>5016079.5038209371</v>
      </c>
      <c r="EE28" s="7">
        <f>Financials!EE95</f>
        <v>5047096.513130771</v>
      </c>
      <c r="EF28" s="7">
        <f>Financials!EF95</f>
        <v>4473294.2981747929</v>
      </c>
      <c r="EG28" s="7">
        <f>Financials!EG95</f>
        <v>5077652.1926543731</v>
      </c>
      <c r="EH28" s="7">
        <f>Financials!EH95</f>
        <v>4896162.9094793368</v>
      </c>
      <c r="EI28" s="7">
        <f>Financials!EI95</f>
        <v>5103068.8416721644</v>
      </c>
      <c r="EJ28" s="7">
        <f>Financials!EJ95</f>
        <v>4915783.0814758493</v>
      </c>
      <c r="EK28" s="7">
        <f>Financials!EK95</f>
        <v>5123254.554816951</v>
      </c>
      <c r="EL28" s="7">
        <f>Financials!EL95</f>
        <v>5133390.8798661176</v>
      </c>
      <c r="EM28" s="7">
        <f>Financials!EM95</f>
        <v>4945427.2109721648</v>
      </c>
      <c r="EN28" s="7">
        <f>Financials!EN95</f>
        <v>5153751.0576397646</v>
      </c>
      <c r="EO28" s="7">
        <f>Financials!EO95</f>
        <v>4965333.9150874279</v>
      </c>
      <c r="EP28" s="7">
        <f>Financials!EP95</f>
        <v>5174228.7336595394</v>
      </c>
      <c r="EQ28" s="7">
        <f>Financials!EQ95</f>
        <v>5191780.8487091567</v>
      </c>
      <c r="ER28" s="7">
        <f>Financials!ER95</f>
        <v>4603856.0055302326</v>
      </c>
      <c r="ES28" s="7">
        <f>Financials!ES95</f>
        <v>5212436.5792270526</v>
      </c>
      <c r="ET28" s="7">
        <f>Financials!ET95</f>
        <v>5022880.3757972531</v>
      </c>
      <c r="EU28" s="7">
        <f>Financials!EU95</f>
        <v>5233212.2319228183</v>
      </c>
      <c r="EV28" s="7">
        <f>Financials!EV95</f>
        <v>5043198.2514710734</v>
      </c>
      <c r="EW28" s="7">
        <f>Financials!EW95</f>
        <v>5254108.7938268175</v>
      </c>
      <c r="EX28" s="7">
        <f>Financials!EX95</f>
        <v>5264602.7269495614</v>
      </c>
      <c r="EY28" s="7">
        <f>Financials!EY95</f>
        <v>5073899.7723489236</v>
      </c>
      <c r="EZ28" s="7">
        <f>Financials!EZ95</f>
        <v>5285682.5255691744</v>
      </c>
      <c r="FA28" s="7">
        <f>Financials!FA95</f>
        <v>5094518.7148555648</v>
      </c>
      <c r="FB28" s="7">
        <f>Financials!FB95</f>
        <v>5306885.7456030324</v>
      </c>
      <c r="FC28" s="7">
        <f>Financials!FC95</f>
        <v>5326016.8202517089</v>
      </c>
      <c r="FD28" s="7">
        <f>Financials!FD95</f>
        <v>4729085.6967879692</v>
      </c>
      <c r="FE28" s="7">
        <f>Financials!FE95</f>
        <v>5347407.0938917808</v>
      </c>
      <c r="FF28" s="7">
        <f>Financials!FF95</f>
        <v>5155085.7485880051</v>
      </c>
      <c r="FG28" s="7">
        <f>Financials!FG95</f>
        <v>5368923.366352777</v>
      </c>
      <c r="FH28" s="7">
        <f>Financials!FH95</f>
        <v>5176136.8481116928</v>
      </c>
      <c r="FI28" s="7">
        <f>Financials!FI95</f>
        <v>5390566.6872659111</v>
      </c>
      <c r="FJ28" s="7">
        <f>Financials!FJ95</f>
        <v>5401436.3218647186</v>
      </c>
      <c r="FK28" s="7">
        <f>Financials!FK95</f>
        <v>5207949.7294435501</v>
      </c>
      <c r="FL28" s="7">
        <f>Financials!FL95</f>
        <v>5423272.2072780421</v>
      </c>
      <c r="FM28" s="7">
        <f>Financials!FM95</f>
        <v>5229317.354967027</v>
      </c>
      <c r="FN28" s="7">
        <f>Financials!FN95</f>
        <v>5445237.8129492681</v>
      </c>
      <c r="FO28" s="7">
        <f>Financials!FO95</f>
        <v>5475577.97608524</v>
      </c>
      <c r="FP28" s="7">
        <f>Financials!FP95</f>
        <v>4869470.0470005553</v>
      </c>
      <c r="FQ28" s="7">
        <f>Financials!FQ95</f>
        <v>5497740.2059202986</v>
      </c>
      <c r="FR28" s="7">
        <f>Financials!FR95</f>
        <v>5302609.2982184272</v>
      </c>
      <c r="FS28" s="7">
        <f>Financials!FS95</f>
        <v>5520034.8975479621</v>
      </c>
      <c r="FT28" s="7">
        <f>Financials!FT95</f>
        <v>5324431.4047037046</v>
      </c>
      <c r="FU28" s="7">
        <f>Financials!FU95</f>
        <v>5542463.1675480278</v>
      </c>
      <c r="FV28" s="7">
        <f>Financials!FV95</f>
        <v>5553727.7465378363</v>
      </c>
      <c r="FW28" s="7">
        <f>Financials!FW95</f>
        <v>5357413.0578458495</v>
      </c>
      <c r="FX28" s="7">
        <f>Financials!FX95</f>
        <v>5576358.5030993866</v>
      </c>
      <c r="FY28" s="7">
        <f>Financials!FY95</f>
        <v>5379568.1382154664</v>
      </c>
      <c r="FZ28" s="7">
        <f>Financials!FZ95</f>
        <v>5599125.6805295125</v>
      </c>
      <c r="GA28" s="7">
        <f>Financials!GA95</f>
        <v>5631264.9680350972</v>
      </c>
      <c r="GB28" s="7">
        <f>Financials!GB95</f>
        <v>5015807.0782031426</v>
      </c>
      <c r="GC28" s="7">
        <f>Financials!GC95</f>
        <v>5654238.9513404444</v>
      </c>
      <c r="GD28" s="7">
        <f>Financials!GD95</f>
        <v>5456253.9857702656</v>
      </c>
      <c r="GE28" s="7">
        <f>Financials!GE95</f>
        <v>5677352.2725913515</v>
      </c>
      <c r="GF28" s="7">
        <f>Financials!GF95</f>
        <v>5478887.3026660699</v>
      </c>
      <c r="GG28" s="7">
        <f>Financials!GG95</f>
        <v>5700606.1199746449</v>
      </c>
      <c r="GH28" s="7">
        <f>Financials!GH95</f>
        <v>5712286.1156639811</v>
      </c>
      <c r="GI28" s="7">
        <f>Financials!GI95</f>
        <v>5513098.8207777087</v>
      </c>
      <c r="GJ28" s="7">
        <f>Financials!GJ95</f>
        <v>5735753.0072823074</v>
      </c>
      <c r="GK28" s="7">
        <f>Financials!GK95</f>
        <v>5536082.6170184454</v>
      </c>
      <c r="GL28" s="7">
        <f>Financials!GL95</f>
        <v>5759363.4501029542</v>
      </c>
      <c r="GM28" s="7">
        <f>Financials!GM95</f>
        <v>5778451.6944432203</v>
      </c>
      <c r="GN28" s="7">
        <f>Financials!GN95</f>
        <v>5153468.0645586485</v>
      </c>
      <c r="GO28" s="7">
        <f>Financials!GO95</f>
        <v>5802279.7785461955</v>
      </c>
      <c r="GP28" s="7">
        <f>Financials!GP95</f>
        <v>5601396.2425571615</v>
      </c>
      <c r="GQ28" s="7">
        <f>Financials!GQ95</f>
        <v>5822243.4457847849</v>
      </c>
      <c r="GR28" s="7">
        <f>Financials!GR95</f>
        <v>5616838.018542856</v>
      </c>
      <c r="GS28" s="7">
        <f>Financials!GS95</f>
        <v>5838273.6306804316</v>
      </c>
      <c r="GT28" s="7">
        <f>Financials!GT95</f>
        <v>5846309.1534098806</v>
      </c>
      <c r="GU28" s="7">
        <f>Financials!GU95</f>
        <v>5640099.2642899603</v>
      </c>
      <c r="GV28" s="7">
        <f>Financials!GV95</f>
        <v>5862421.1740722144</v>
      </c>
      <c r="GW28" s="7">
        <f>Financials!GW95</f>
        <v>5655672.7410111623</v>
      </c>
      <c r="GX28" s="7">
        <f>Financials!GX95</f>
        <v>5878587.9816409145</v>
      </c>
      <c r="GY28" s="7">
        <f>Financials!GY95</f>
        <v>5886691.9881477775</v>
      </c>
      <c r="GZ28" s="7">
        <f>Financials!GZ95</f>
        <v>5247777.5894169416</v>
      </c>
      <c r="HA28" s="7">
        <f>Financials!HA95</f>
        <v>5902941.3222097326</v>
      </c>
      <c r="HB28" s="7">
        <f>Financials!HB95</f>
        <v>5694838.6596527379</v>
      </c>
      <c r="HC28" s="7">
        <f>Financials!HC95</f>
        <v>5919245.9055922404</v>
      </c>
      <c r="HD28" s="7">
        <f>Financials!HD95</f>
        <v>5710598.3876178768</v>
      </c>
      <c r="HE28" s="7">
        <f>Financials!HE95</f>
        <v>5935605.9243467879</v>
      </c>
      <c r="HF28" s="7">
        <f>Financials!HF95</f>
        <v>5943806.7803001199</v>
      </c>
      <c r="HG28" s="7">
        <f>Financials!HG95</f>
        <v>5734338.5707499888</v>
      </c>
      <c r="HH28" s="7">
        <f>Financials!HH95</f>
        <v>5960250.3023239179</v>
      </c>
      <c r="HI28" s="7">
        <f>Financials!HI95</f>
        <v>5750232.6839123685</v>
      </c>
      <c r="HJ28" s="7">
        <f>Financials!HJ95</f>
        <v>5976749.7275812021</v>
      </c>
      <c r="HK28" s="7">
        <f>Financials!HK95</f>
        <v>5985020.4627237637</v>
      </c>
      <c r="HL28" s="7">
        <f>Financials!HL95</f>
        <v>5335915.3936055414</v>
      </c>
      <c r="HM28" s="7">
        <f>Financials!HM95</f>
        <v>6001604.0959842606</v>
      </c>
      <c r="HN28" s="7">
        <f>Financials!HN95</f>
        <v>5790204.9269706449</v>
      </c>
      <c r="HO28" s="7">
        <f>Financials!HO95</f>
        <v>6018244.1042697318</v>
      </c>
      <c r="HP28" s="7">
        <f>Financials!HP95</f>
        <v>5806289.0875560399</v>
      </c>
      <c r="HQ28" s="7">
        <f>Financials!HQ95</f>
        <v>6034940.6774045583</v>
      </c>
      <c r="HR28" s="7">
        <f>Financials!HR95</f>
        <v>6043310.2352845045</v>
      </c>
      <c r="HS28" s="7">
        <f>Financials!HS95</f>
        <v>5830517.9697901011</v>
      </c>
      <c r="HT28" s="7">
        <f>Financials!HT95</f>
        <v>6060092.0130063333</v>
      </c>
      <c r="HU28" s="7">
        <f>Financials!HU95</f>
        <v>5846739.2544814749</v>
      </c>
      <c r="HV28" s="7">
        <f>Financials!HV95</f>
        <v>6076930.8329264792</v>
      </c>
      <c r="HW28" s="7">
        <f>Financials!HW95</f>
        <v>6085371.6937046703</v>
      </c>
      <c r="HX28" s="7">
        <f>Financials!HX95</f>
        <v>5425870.2937995773</v>
      </c>
      <c r="HY28" s="7">
        <f>Financials!HY95</f>
        <v>6102296.4372365642</v>
      </c>
      <c r="HZ28" s="7">
        <f>Financials!HZ95</f>
        <v>5887534.2556766383</v>
      </c>
      <c r="IA28" s="7">
        <f>Financials!IA95</f>
        <v>6119278.7043252876</v>
      </c>
      <c r="IB28" s="7">
        <f>Financials!IB95</f>
        <v>5903949.4609633964</v>
      </c>
      <c r="IC28" s="7">
        <f>Financials!IC95</f>
        <v>6136318.6886444399</v>
      </c>
      <c r="ID28" s="7">
        <f>Financials!ID95</f>
        <v>6144860.3854658455</v>
      </c>
      <c r="IE28" s="7">
        <f>Financials!IE95</f>
        <v>5928677.0020014159</v>
      </c>
      <c r="IF28" s="7">
        <f>Financials!IF95</f>
        <v>6161987.3101890627</v>
      </c>
      <c r="IG28" s="7">
        <f>Financials!IG95</f>
        <v>5945232.1258515175</v>
      </c>
      <c r="IH28" s="7">
        <f>Financials!IH95</f>
        <v>6179172.4391711233</v>
      </c>
      <c r="II28" s="7">
        <f>Financials!II95</f>
        <v>6187786.8914694786</v>
      </c>
      <c r="IJ28" s="7">
        <f>Financials!IJ95</f>
        <v>5517679.3495740052</v>
      </c>
      <c r="IK28" s="7">
        <f>Financials!IK95</f>
        <v>6205059.6944602551</v>
      </c>
      <c r="IL28" s="7">
        <f>Financials!IL95</f>
        <v>5986866.6522009019</v>
      </c>
      <c r="IM28" s="7">
        <f>Financials!IM95</f>
        <v>6222391.192828957</v>
      </c>
      <c r="IN28" s="7">
        <f>Financials!IN95</f>
        <v>6003619.6483698366</v>
      </c>
      <c r="IO28" s="7">
        <f>Financials!IO95</f>
        <v>6239781.5841762805</v>
      </c>
      <c r="IP28" s="7">
        <f>Financials!IP95</f>
        <v>6248498.9266481521</v>
      </c>
      <c r="IQ28" s="7">
        <f>Financials!IQ95</f>
        <v>6028856.0099046323</v>
      </c>
      <c r="IR28" s="7">
        <f>Financials!IR95</f>
        <v>6265978.0294138622</v>
      </c>
      <c r="IS28" s="7">
        <f>Financials!IS95</f>
        <v>6045751.7757667797</v>
      </c>
      <c r="IT28" s="7">
        <f>Financials!IT95</f>
        <v>6283516.5220618835</v>
      </c>
      <c r="IU28" s="7">
        <f>Financials!IU95</f>
        <v>6292308.1020431425</v>
      </c>
      <c r="IV28" s="7">
        <f>Financials!IV95</f>
        <v>5611380.3723716363</v>
      </c>
      <c r="IW28" s="7">
        <f>Financials!IW95</f>
        <v>6309936.0545890639</v>
      </c>
      <c r="IX28" s="7">
        <f>Financials!IX95</f>
        <v>6088242.9343282785</v>
      </c>
      <c r="IY28" s="7">
        <f>Financials!IY95</f>
        <v>6327623.8980944082</v>
      </c>
      <c r="IZ28" s="7">
        <f>Financials!IZ95</f>
        <v>6105340.6043730341</v>
      </c>
      <c r="JA28" s="7">
        <f>Financials!JA95</f>
        <v>6345371.8341664132</v>
      </c>
      <c r="JB28" s="7">
        <f>Financials!JB95</f>
        <v>6354268.4001018414</v>
      </c>
      <c r="JC28" s="7">
        <f>Financials!JC95</f>
        <v>6131096.1541749518</v>
      </c>
      <c r="JD28" s="7">
        <f>Financials!JD95</f>
        <v>6372106.8545158636</v>
      </c>
      <c r="JE28" s="7">
        <f>Financials!JE95</f>
        <v>6148339.5028618835</v>
      </c>
      <c r="JF28" s="7">
        <f>Financials!JF95</f>
        <v>6390005.9084752901</v>
      </c>
      <c r="JG28" s="7">
        <f>Financials!JG95</f>
        <v>6398978.2240021341</v>
      </c>
      <c r="JH28" s="7">
        <f>Financials!JH95</f>
        <v>5707011.9407177288</v>
      </c>
      <c r="JI28" s="7">
        <f>Financials!JI95</f>
        <v>6416968.5599588659</v>
      </c>
      <c r="JJ28" s="7">
        <f>Financials!JJ95</f>
        <v>6191704.7476135902</v>
      </c>
      <c r="JK28" s="7">
        <f>Financials!JK95</f>
        <v>6435020.0066975942</v>
      </c>
      <c r="JL28" s="7">
        <f>Financials!JL95</f>
        <v>6209154.1141086128</v>
      </c>
      <c r="JM28" s="7">
        <f>Financials!JM95</f>
        <v>6453132.7699131425</v>
      </c>
      <c r="JN28" s="7">
        <f>Financials!JN95</f>
        <v>6462212.209667759</v>
      </c>
      <c r="JO28" s="7">
        <f>Financials!JO95</f>
        <v>6235439.43019481</v>
      </c>
      <c r="JP28" s="7">
        <f>Financials!JP95</f>
        <v>6480417.3347847071</v>
      </c>
      <c r="JQ28" s="7">
        <f>Financials!JQ95</f>
        <v>6253037.4432698293</v>
      </c>
      <c r="JR28" s="7">
        <f>Financials!JR95</f>
        <v>6498684.2936360817</v>
      </c>
    </row>
    <row r="29" spans="2:279" x14ac:dyDescent="0.2">
      <c r="B29" s="1" t="s">
        <v>118</v>
      </c>
      <c r="C29" s="7">
        <f>Financials!C96</f>
        <v>0</v>
      </c>
      <c r="D29" s="7">
        <f>Financials!D96</f>
        <v>0</v>
      </c>
      <c r="E29" s="7">
        <f>Financials!E96</f>
        <v>0</v>
      </c>
      <c r="F29" s="7">
        <f>Financials!F96</f>
        <v>0</v>
      </c>
      <c r="G29" s="7">
        <f>Financials!G96</f>
        <v>0</v>
      </c>
      <c r="H29" s="7">
        <f>Financials!H96</f>
        <v>0</v>
      </c>
      <c r="I29" s="7">
        <f>Financials!I96</f>
        <v>0</v>
      </c>
      <c r="J29" s="7">
        <f>Financials!J96</f>
        <v>0</v>
      </c>
      <c r="K29" s="7">
        <f>Financials!K96</f>
        <v>0</v>
      </c>
      <c r="L29" s="7">
        <f>Financials!L96</f>
        <v>0</v>
      </c>
      <c r="M29" s="7">
        <f>Financials!M96</f>
        <v>0</v>
      </c>
      <c r="N29" s="7">
        <f>Financials!N96</f>
        <v>0</v>
      </c>
      <c r="O29" s="7">
        <f>Financials!O96</f>
        <v>0</v>
      </c>
      <c r="P29" s="7">
        <f>Financials!P96</f>
        <v>0</v>
      </c>
      <c r="Q29" s="7">
        <f>Financials!Q96</f>
        <v>0</v>
      </c>
      <c r="R29" s="7">
        <f>Financials!R96</f>
        <v>3032477.199465476</v>
      </c>
      <c r="S29" s="7">
        <f>Financials!S96</f>
        <v>3032477.199465476</v>
      </c>
      <c r="T29" s="7">
        <f>Financials!T96</f>
        <v>3032477.199465476</v>
      </c>
      <c r="U29" s="7">
        <f>Financials!U96</f>
        <v>3032477.199465476</v>
      </c>
      <c r="V29" s="7">
        <f>Financials!V96</f>
        <v>3032477.199465476</v>
      </c>
      <c r="W29" s="7">
        <f>Financials!W96</f>
        <v>3032477.199465476</v>
      </c>
      <c r="X29" s="7">
        <f>Financials!X96</f>
        <v>3032477.199465476</v>
      </c>
      <c r="Y29" s="7">
        <f>Financials!Y96</f>
        <v>3032477.199465476</v>
      </c>
      <c r="Z29" s="7">
        <f>Financials!Z96</f>
        <v>3032477.199465476</v>
      </c>
      <c r="AA29" s="7">
        <f>Financials!AA96</f>
        <v>3032477.199465476</v>
      </c>
      <c r="AB29" s="7">
        <f>Financials!AB96</f>
        <v>3032477.199465476</v>
      </c>
      <c r="AC29" s="7">
        <f>Financials!AC96</f>
        <v>3032477.199465476</v>
      </c>
      <c r="AD29" s="7">
        <f>Financials!AD96</f>
        <v>3032477.199465476</v>
      </c>
      <c r="AE29" s="7">
        <f>Financials!AE96</f>
        <v>3032477.199465476</v>
      </c>
      <c r="AF29" s="7">
        <f>Financials!AF96</f>
        <v>3032477.199465476</v>
      </c>
      <c r="AG29" s="7">
        <f>Financials!AG96</f>
        <v>3032477.199465476</v>
      </c>
      <c r="AH29" s="7">
        <f>Financials!AH96</f>
        <v>3032477.199465476</v>
      </c>
      <c r="AI29" s="7">
        <f>Financials!AI96</f>
        <v>3032477.199465476</v>
      </c>
      <c r="AJ29" s="7">
        <f>Financials!AJ96</f>
        <v>3032477.199465476</v>
      </c>
      <c r="AK29" s="7">
        <f>Financials!AK96</f>
        <v>3032477.199465476</v>
      </c>
      <c r="AL29" s="7">
        <f>Financials!AL96</f>
        <v>3032477.199465476</v>
      </c>
      <c r="AM29" s="7">
        <f>Financials!AM96</f>
        <v>3032477.199465476</v>
      </c>
      <c r="AN29" s="7">
        <f>Financials!AN96</f>
        <v>3032477.199465476</v>
      </c>
      <c r="AO29" s="7">
        <f>Financials!AO96</f>
        <v>3032477.199465476</v>
      </c>
      <c r="AP29" s="7">
        <f>Financials!AP96</f>
        <v>3032477.199465476</v>
      </c>
      <c r="AQ29" s="7">
        <f>Financials!AQ96</f>
        <v>3032477.199465476</v>
      </c>
      <c r="AR29" s="7">
        <f>Financials!AR96</f>
        <v>3032477.199465476</v>
      </c>
      <c r="AS29" s="7">
        <f>Financials!AS96</f>
        <v>3032477.199465476</v>
      </c>
      <c r="AT29" s="7">
        <f>Financials!AT96</f>
        <v>3032477.199465476</v>
      </c>
      <c r="AU29" s="7">
        <f>Financials!AU96</f>
        <v>3032477.199465476</v>
      </c>
      <c r="AV29" s="7">
        <f>Financials!AV96</f>
        <v>3032477.199465476</v>
      </c>
      <c r="AW29" s="7">
        <f>Financials!AW96</f>
        <v>3032477.199465476</v>
      </c>
      <c r="AX29" s="7">
        <f>Financials!AX96</f>
        <v>3032477.199465476</v>
      </c>
      <c r="AY29" s="7">
        <f>Financials!AY96</f>
        <v>3032477.199465476</v>
      </c>
      <c r="AZ29" s="7">
        <f>Financials!AZ96</f>
        <v>3032477.199465476</v>
      </c>
      <c r="BA29" s="7">
        <f>Financials!BA96</f>
        <v>3032477.199465476</v>
      </c>
      <c r="BB29" s="7">
        <f>Financials!BB96</f>
        <v>3032477.199465476</v>
      </c>
      <c r="BC29" s="7">
        <f>Financials!BC96</f>
        <v>3032477.199465476</v>
      </c>
      <c r="BD29" s="7">
        <f>Financials!BD96</f>
        <v>3032477.199465476</v>
      </c>
      <c r="BE29" s="7">
        <f>Financials!BE96</f>
        <v>3032477.199465476</v>
      </c>
      <c r="BF29" s="7">
        <f>Financials!BF96</f>
        <v>3032477.199465476</v>
      </c>
      <c r="BG29" s="7">
        <f>Financials!BG96</f>
        <v>3032477.199465476</v>
      </c>
      <c r="BH29" s="7">
        <f>Financials!BH96</f>
        <v>3032477.199465476</v>
      </c>
      <c r="BI29" s="7">
        <f>Financials!BI96</f>
        <v>3032477.199465476</v>
      </c>
      <c r="BJ29" s="7">
        <f>Financials!BJ96</f>
        <v>3032477.199465476</v>
      </c>
      <c r="BK29" s="7">
        <f>Financials!BK96</f>
        <v>3032477.199465476</v>
      </c>
      <c r="BL29" s="7">
        <f>Financials!BL96</f>
        <v>3032477.199465476</v>
      </c>
      <c r="BM29" s="7">
        <f>Financials!BM96</f>
        <v>3032477.199465476</v>
      </c>
      <c r="BN29" s="7">
        <f>Financials!BN96</f>
        <v>3032477.199465476</v>
      </c>
      <c r="BO29" s="7">
        <f>Financials!BO96</f>
        <v>3032477.199465476</v>
      </c>
      <c r="BP29" s="7">
        <f>Financials!BP96</f>
        <v>3032477.199465476</v>
      </c>
      <c r="BQ29" s="7">
        <f>Financials!BQ96</f>
        <v>3032477.199465476</v>
      </c>
      <c r="BR29" s="7">
        <f>Financials!BR96</f>
        <v>3032477.199465476</v>
      </c>
      <c r="BS29" s="7">
        <f>Financials!BS96</f>
        <v>3032477.199465476</v>
      </c>
      <c r="BT29" s="7">
        <f>Financials!BT96</f>
        <v>3032477.199465476</v>
      </c>
      <c r="BU29" s="7">
        <f>Financials!BU96</f>
        <v>3032477.199465476</v>
      </c>
      <c r="BV29" s="7">
        <f>Financials!BV96</f>
        <v>3032477.199465476</v>
      </c>
      <c r="BW29" s="7">
        <f>Financials!BW96</f>
        <v>3032477.199465476</v>
      </c>
      <c r="BX29" s="7">
        <f>Financials!BX96</f>
        <v>3032477.199465476</v>
      </c>
      <c r="BY29" s="7">
        <f>Financials!BY96</f>
        <v>3032477.199465476</v>
      </c>
      <c r="BZ29" s="7">
        <f>Financials!BZ96</f>
        <v>3032477.199465476</v>
      </c>
      <c r="CA29" s="7">
        <f>Financials!CA96</f>
        <v>3032477.199465476</v>
      </c>
      <c r="CB29" s="7">
        <f>Financials!CB96</f>
        <v>3032477.199465476</v>
      </c>
      <c r="CC29" s="7">
        <f>Financials!CC96</f>
        <v>3032477.199465476</v>
      </c>
      <c r="CD29" s="7">
        <f>Financials!CD96</f>
        <v>3032477.199465476</v>
      </c>
      <c r="CE29" s="7">
        <f>Financials!CE96</f>
        <v>3032477.199465476</v>
      </c>
      <c r="CF29" s="7">
        <f>Financials!CF96</f>
        <v>3032477.199465476</v>
      </c>
      <c r="CG29" s="7">
        <f>Financials!CG96</f>
        <v>3032477.199465476</v>
      </c>
      <c r="CH29" s="7">
        <f>Financials!CH96</f>
        <v>3032477.199465476</v>
      </c>
      <c r="CI29" s="7">
        <f>Financials!CI96</f>
        <v>3044381.9613702381</v>
      </c>
      <c r="CJ29" s="7">
        <f>Financials!CJ96</f>
        <v>3044381.9613702381</v>
      </c>
      <c r="CK29" s="7">
        <f>Financials!CK96</f>
        <v>3044381.9613702381</v>
      </c>
      <c r="CL29" s="7">
        <f>Financials!CL96</f>
        <v>3044381.9613702381</v>
      </c>
      <c r="CM29" s="7">
        <f>Financials!CM96</f>
        <v>3044381.9613702381</v>
      </c>
      <c r="CN29" s="7">
        <f>Financials!CN96</f>
        <v>3044381.9613702381</v>
      </c>
      <c r="CO29" s="7">
        <f>Financials!CO96</f>
        <v>3044381.9613702381</v>
      </c>
      <c r="CP29" s="7">
        <f>Financials!CP96</f>
        <v>3044381.9613702381</v>
      </c>
      <c r="CQ29" s="7">
        <f>Financials!CQ96</f>
        <v>3044381.9613702381</v>
      </c>
      <c r="CR29" s="7">
        <f>Financials!CR96</f>
        <v>3044381.9613702381</v>
      </c>
      <c r="CS29" s="7">
        <f>Financials!CS96</f>
        <v>3044381.9613702381</v>
      </c>
      <c r="CT29" s="7">
        <f>Financials!CT96</f>
        <v>3044381.9613702381</v>
      </c>
      <c r="CU29" s="7">
        <f>Financials!CU96</f>
        <v>3056286.7232749998</v>
      </c>
      <c r="CV29" s="7">
        <f>Financials!CV96</f>
        <v>3056286.7232749998</v>
      </c>
      <c r="CW29" s="7">
        <f>Financials!CW96</f>
        <v>3056286.7232749998</v>
      </c>
      <c r="CX29" s="7">
        <f>Financials!CX96</f>
        <v>23809.523809523813</v>
      </c>
      <c r="CY29" s="7">
        <f>Financials!CY96</f>
        <v>23809.523809523813</v>
      </c>
      <c r="CZ29" s="7">
        <f>Financials!CZ96</f>
        <v>23809.523809523813</v>
      </c>
      <c r="DA29" s="7">
        <f>Financials!DA96</f>
        <v>23809.523809523813</v>
      </c>
      <c r="DB29" s="7">
        <f>Financials!DB96</f>
        <v>23809.523809523813</v>
      </c>
      <c r="DC29" s="7">
        <f>Financials!DC96</f>
        <v>23809.523809523813</v>
      </c>
      <c r="DD29" s="7">
        <f>Financials!DD96</f>
        <v>23809.523809523813</v>
      </c>
      <c r="DE29" s="7">
        <f>Financials!DE96</f>
        <v>23809.523809523813</v>
      </c>
      <c r="DF29" s="7">
        <f>Financials!DF96</f>
        <v>23809.523809523813</v>
      </c>
      <c r="DG29" s="7">
        <f>Financials!DG96</f>
        <v>35714.285714285717</v>
      </c>
      <c r="DH29" s="7">
        <f>Financials!DH96</f>
        <v>35714.285714285717</v>
      </c>
      <c r="DI29" s="7">
        <f>Financials!DI96</f>
        <v>35714.285714285717</v>
      </c>
      <c r="DJ29" s="7">
        <f>Financials!DJ96</f>
        <v>35714.285714285717</v>
      </c>
      <c r="DK29" s="7">
        <f>Financials!DK96</f>
        <v>35714.285714285717</v>
      </c>
      <c r="DL29" s="7">
        <f>Financials!DL96</f>
        <v>35714.285714285717</v>
      </c>
      <c r="DM29" s="7">
        <f>Financials!DM96</f>
        <v>35714.285714285717</v>
      </c>
      <c r="DN29" s="7">
        <f>Financials!DN96</f>
        <v>35714.285714285717</v>
      </c>
      <c r="DO29" s="7">
        <f>Financials!DO96</f>
        <v>35714.285714285717</v>
      </c>
      <c r="DP29" s="7">
        <f>Financials!DP96</f>
        <v>35714.285714285717</v>
      </c>
      <c r="DQ29" s="7">
        <f>Financials!DQ96</f>
        <v>35714.285714285717</v>
      </c>
      <c r="DR29" s="7">
        <f>Financials!DR96</f>
        <v>35714.285714285717</v>
      </c>
      <c r="DS29" s="7">
        <f>Financials!DS96</f>
        <v>47619.047619047626</v>
      </c>
      <c r="DT29" s="7">
        <f>Financials!DT96</f>
        <v>47619.047619047626</v>
      </c>
      <c r="DU29" s="7">
        <f>Financials!DU96</f>
        <v>47619.047619047626</v>
      </c>
      <c r="DV29" s="7">
        <f>Financials!DV96</f>
        <v>47619.047619047626</v>
      </c>
      <c r="DW29" s="7">
        <f>Financials!DW96</f>
        <v>47619.047619047626</v>
      </c>
      <c r="DX29" s="7">
        <f>Financials!DX96</f>
        <v>47619.047619047626</v>
      </c>
      <c r="DY29" s="7">
        <f>Financials!DY96</f>
        <v>47619.047619047626</v>
      </c>
      <c r="DZ29" s="7">
        <f>Financials!DZ96</f>
        <v>47619.047619047626</v>
      </c>
      <c r="EA29" s="7">
        <f>Financials!EA96</f>
        <v>47619.047619047626</v>
      </c>
      <c r="EB29" s="7">
        <f>Financials!EB96</f>
        <v>47619.047619047626</v>
      </c>
      <c r="EC29" s="7">
        <f>Financials!EC96</f>
        <v>47619.047619047626</v>
      </c>
      <c r="ED29" s="7">
        <f>Financials!ED96</f>
        <v>47619.047619047626</v>
      </c>
      <c r="EE29" s="7">
        <f>Financials!EE96</f>
        <v>59523.809523809527</v>
      </c>
      <c r="EF29" s="7">
        <f>Financials!EF96</f>
        <v>59523.809523809527</v>
      </c>
      <c r="EG29" s="7">
        <f>Financials!EG96</f>
        <v>59523.809523809527</v>
      </c>
      <c r="EH29" s="7">
        <f>Financials!EH96</f>
        <v>59523.809523809527</v>
      </c>
      <c r="EI29" s="7">
        <f>Financials!EI96</f>
        <v>59523.809523809527</v>
      </c>
      <c r="EJ29" s="7">
        <f>Financials!EJ96</f>
        <v>59523.809523809527</v>
      </c>
      <c r="EK29" s="7">
        <f>Financials!EK96</f>
        <v>59523.809523809527</v>
      </c>
      <c r="EL29" s="7">
        <f>Financials!EL96</f>
        <v>59523.809523809527</v>
      </c>
      <c r="EM29" s="7">
        <f>Financials!EM96</f>
        <v>59523.809523809527</v>
      </c>
      <c r="EN29" s="7">
        <f>Financials!EN96</f>
        <v>59523.809523809527</v>
      </c>
      <c r="EO29" s="7">
        <f>Financials!EO96</f>
        <v>59523.809523809527</v>
      </c>
      <c r="EP29" s="7">
        <f>Financials!EP96</f>
        <v>59523.809523809527</v>
      </c>
      <c r="EQ29" s="7">
        <f>Financials!EQ96</f>
        <v>71428.571428571435</v>
      </c>
      <c r="ER29" s="7">
        <f>Financials!ER96</f>
        <v>71428.571428571435</v>
      </c>
      <c r="ES29" s="7">
        <f>Financials!ES96</f>
        <v>71428.571428571435</v>
      </c>
      <c r="ET29" s="7">
        <f>Financials!ET96</f>
        <v>71428.571428571435</v>
      </c>
      <c r="EU29" s="7">
        <f>Financials!EU96</f>
        <v>71428.571428571435</v>
      </c>
      <c r="EV29" s="7">
        <f>Financials!EV96</f>
        <v>71428.571428571435</v>
      </c>
      <c r="EW29" s="7">
        <f>Financials!EW96</f>
        <v>71428.571428571435</v>
      </c>
      <c r="EX29" s="7">
        <f>Financials!EX96</f>
        <v>71428.571428571435</v>
      </c>
      <c r="EY29" s="7">
        <f>Financials!EY96</f>
        <v>71428.571428571435</v>
      </c>
      <c r="EZ29" s="7">
        <f>Financials!EZ96</f>
        <v>71428.571428571435</v>
      </c>
      <c r="FA29" s="7">
        <f>Financials!FA96</f>
        <v>71428.571428571435</v>
      </c>
      <c r="FB29" s="7">
        <f>Financials!FB96</f>
        <v>71428.571428571435</v>
      </c>
      <c r="FC29" s="7">
        <f>Financials!FC96</f>
        <v>83333.333333333328</v>
      </c>
      <c r="FD29" s="7">
        <f>Financials!FD96</f>
        <v>83333.333333333328</v>
      </c>
      <c r="FE29" s="7">
        <f>Financials!FE96</f>
        <v>83333.333333333328</v>
      </c>
      <c r="FF29" s="7">
        <f>Financials!FF96</f>
        <v>83333.333333333328</v>
      </c>
      <c r="FG29" s="7">
        <f>Financials!FG96</f>
        <v>83333.333333333328</v>
      </c>
      <c r="FH29" s="7">
        <f>Financials!FH96</f>
        <v>83333.333333333328</v>
      </c>
      <c r="FI29" s="7">
        <f>Financials!FI96</f>
        <v>83333.333333333328</v>
      </c>
      <c r="FJ29" s="7">
        <f>Financials!FJ96</f>
        <v>83333.333333333328</v>
      </c>
      <c r="FK29" s="7">
        <f>Financials!FK96</f>
        <v>83333.333333333328</v>
      </c>
      <c r="FL29" s="7">
        <f>Financials!FL96</f>
        <v>83333.333333333328</v>
      </c>
      <c r="FM29" s="7">
        <f>Financials!FM96</f>
        <v>83333.333333333328</v>
      </c>
      <c r="FN29" s="7">
        <f>Financials!FN96</f>
        <v>83333.333333333328</v>
      </c>
      <c r="FO29" s="7">
        <f>Financials!FO96</f>
        <v>83333.333333333328</v>
      </c>
      <c r="FP29" s="7">
        <f>Financials!FP96</f>
        <v>83333.333333333328</v>
      </c>
      <c r="FQ29" s="7">
        <f>Financials!FQ96</f>
        <v>83333.333333333328</v>
      </c>
      <c r="FR29" s="7">
        <f>Financials!FR96</f>
        <v>83333.333333333328</v>
      </c>
      <c r="FS29" s="7">
        <f>Financials!FS96</f>
        <v>83333.333333333328</v>
      </c>
      <c r="FT29" s="7">
        <f>Financials!FT96</f>
        <v>83333.333333333328</v>
      </c>
      <c r="FU29" s="7">
        <f>Financials!FU96</f>
        <v>83333.333333333328</v>
      </c>
      <c r="FV29" s="7">
        <f>Financials!FV96</f>
        <v>83333.333333333328</v>
      </c>
      <c r="FW29" s="7">
        <f>Financials!FW96</f>
        <v>83333.333333333328</v>
      </c>
      <c r="FX29" s="7">
        <f>Financials!FX96</f>
        <v>83333.333333333328</v>
      </c>
      <c r="FY29" s="7">
        <f>Financials!FY96</f>
        <v>83333.333333333328</v>
      </c>
      <c r="FZ29" s="7">
        <f>Financials!FZ96</f>
        <v>83333.333333333328</v>
      </c>
      <c r="GA29" s="7">
        <f>Financials!GA96</f>
        <v>83333.333333333328</v>
      </c>
      <c r="GB29" s="7">
        <f>Financials!GB96</f>
        <v>83333.333333333328</v>
      </c>
      <c r="GC29" s="7">
        <f>Financials!GC96</f>
        <v>83333.333333333328</v>
      </c>
      <c r="GD29" s="7">
        <f>Financials!GD96</f>
        <v>83333.333333333328</v>
      </c>
      <c r="GE29" s="7">
        <f>Financials!GE96</f>
        <v>83333.333333333328</v>
      </c>
      <c r="GF29" s="7">
        <f>Financials!GF96</f>
        <v>83333.333333333328</v>
      </c>
      <c r="GG29" s="7">
        <f>Financials!GG96</f>
        <v>83333.333333333328</v>
      </c>
      <c r="GH29" s="7">
        <f>Financials!GH96</f>
        <v>83333.333333333328</v>
      </c>
      <c r="GI29" s="7">
        <f>Financials!GI96</f>
        <v>83333.333333333328</v>
      </c>
      <c r="GJ29" s="7">
        <f>Financials!GJ96</f>
        <v>83333.333333333328</v>
      </c>
      <c r="GK29" s="7">
        <f>Financials!GK96</f>
        <v>83333.333333333328</v>
      </c>
      <c r="GL29" s="7">
        <f>Financials!GL96</f>
        <v>83333.333333333328</v>
      </c>
      <c r="GM29" s="7">
        <f>Financials!GM96</f>
        <v>83333.333333333328</v>
      </c>
      <c r="GN29" s="7">
        <f>Financials!GN96</f>
        <v>83333.333333333328</v>
      </c>
      <c r="GO29" s="7">
        <f>Financials!GO96</f>
        <v>83333.333333333328</v>
      </c>
      <c r="GP29" s="7">
        <f>Financials!GP96</f>
        <v>83333.333333333328</v>
      </c>
      <c r="GQ29" s="7">
        <f>Financials!GQ96</f>
        <v>83333.333333333328</v>
      </c>
      <c r="GR29" s="7">
        <f>Financials!GR96</f>
        <v>83333.333333333328</v>
      </c>
      <c r="GS29" s="7">
        <f>Financials!GS96</f>
        <v>83333.333333333328</v>
      </c>
      <c r="GT29" s="7">
        <f>Financials!GT96</f>
        <v>83333.333333333328</v>
      </c>
      <c r="GU29" s="7">
        <f>Financials!GU96</f>
        <v>83333.333333333328</v>
      </c>
      <c r="GV29" s="7">
        <f>Financials!GV96</f>
        <v>83333.333333333328</v>
      </c>
      <c r="GW29" s="7">
        <f>Financials!GW96</f>
        <v>83333.333333333328</v>
      </c>
      <c r="GX29" s="7">
        <f>Financials!GX96</f>
        <v>83333.333333333328</v>
      </c>
      <c r="GY29" s="7">
        <f>Financials!GY96</f>
        <v>83333.333333333328</v>
      </c>
      <c r="GZ29" s="7">
        <f>Financials!GZ96</f>
        <v>83333.333333333328</v>
      </c>
      <c r="HA29" s="7">
        <f>Financials!HA96</f>
        <v>83333.333333333328</v>
      </c>
      <c r="HB29" s="7">
        <f>Financials!HB96</f>
        <v>83333.333333333328</v>
      </c>
      <c r="HC29" s="7">
        <f>Financials!HC96</f>
        <v>83333.333333333328</v>
      </c>
      <c r="HD29" s="7">
        <f>Financials!HD96</f>
        <v>83333.333333333328</v>
      </c>
      <c r="HE29" s="7">
        <f>Financials!HE96</f>
        <v>83333.333333333328</v>
      </c>
      <c r="HF29" s="7">
        <f>Financials!HF96</f>
        <v>83333.333333333328</v>
      </c>
      <c r="HG29" s="7">
        <f>Financials!HG96</f>
        <v>83333.333333333328</v>
      </c>
      <c r="HH29" s="7">
        <f>Financials!HH96</f>
        <v>83333.333333333328</v>
      </c>
      <c r="HI29" s="7">
        <f>Financials!HI96</f>
        <v>83333.333333333328</v>
      </c>
      <c r="HJ29" s="7">
        <f>Financials!HJ96</f>
        <v>83333.333333333328</v>
      </c>
      <c r="HK29" s="7">
        <f>Financials!HK96</f>
        <v>83333.333333333328</v>
      </c>
      <c r="HL29" s="7">
        <f>Financials!HL96</f>
        <v>83333.333333333328</v>
      </c>
      <c r="HM29" s="7">
        <f>Financials!HM96</f>
        <v>83333.333333333328</v>
      </c>
      <c r="HN29" s="7">
        <f>Financials!HN96</f>
        <v>83333.333333333328</v>
      </c>
      <c r="HO29" s="7">
        <f>Financials!HO96</f>
        <v>83333.333333333328</v>
      </c>
      <c r="HP29" s="7">
        <f>Financials!HP96</f>
        <v>83333.333333333328</v>
      </c>
      <c r="HQ29" s="7">
        <f>Financials!HQ96</f>
        <v>83333.333333333328</v>
      </c>
      <c r="HR29" s="7">
        <f>Financials!HR96</f>
        <v>83333.333333333328</v>
      </c>
      <c r="HS29" s="7">
        <f>Financials!HS96</f>
        <v>83333.333333333328</v>
      </c>
      <c r="HT29" s="7">
        <f>Financials!HT96</f>
        <v>83333.333333333328</v>
      </c>
      <c r="HU29" s="7">
        <f>Financials!HU96</f>
        <v>83333.333333333328</v>
      </c>
      <c r="HV29" s="7">
        <f>Financials!HV96</f>
        <v>83333.333333333328</v>
      </c>
      <c r="HW29" s="7">
        <f>Financials!HW96</f>
        <v>83333.333333333328</v>
      </c>
      <c r="HX29" s="7">
        <f>Financials!HX96</f>
        <v>83333.333333333328</v>
      </c>
      <c r="HY29" s="7">
        <f>Financials!HY96</f>
        <v>83333.333333333328</v>
      </c>
      <c r="HZ29" s="7">
        <f>Financials!HZ96</f>
        <v>83333.333333333328</v>
      </c>
      <c r="IA29" s="7">
        <f>Financials!IA96</f>
        <v>83333.333333333328</v>
      </c>
      <c r="IB29" s="7">
        <f>Financials!IB96</f>
        <v>83333.333333333328</v>
      </c>
      <c r="IC29" s="7">
        <f>Financials!IC96</f>
        <v>83333.333333333328</v>
      </c>
      <c r="ID29" s="7">
        <f>Financials!ID96</f>
        <v>83333.333333333328</v>
      </c>
      <c r="IE29" s="7">
        <f>Financials!IE96</f>
        <v>83333.333333333328</v>
      </c>
      <c r="IF29" s="7">
        <f>Financials!IF96</f>
        <v>83333.333333333328</v>
      </c>
      <c r="IG29" s="7">
        <f>Financials!IG96</f>
        <v>83333.333333333328</v>
      </c>
      <c r="IH29" s="7">
        <f>Financials!IH96</f>
        <v>83333.333333333328</v>
      </c>
      <c r="II29" s="7">
        <f>Financials!II96</f>
        <v>83333.333333333328</v>
      </c>
      <c r="IJ29" s="7">
        <f>Financials!IJ96</f>
        <v>83333.333333333328</v>
      </c>
      <c r="IK29" s="7">
        <f>Financials!IK96</f>
        <v>83333.333333333328</v>
      </c>
      <c r="IL29" s="7">
        <f>Financials!IL96</f>
        <v>83333.333333333328</v>
      </c>
      <c r="IM29" s="7">
        <f>Financials!IM96</f>
        <v>83333.333333333328</v>
      </c>
      <c r="IN29" s="7">
        <f>Financials!IN96</f>
        <v>83333.333333333328</v>
      </c>
      <c r="IO29" s="7">
        <f>Financials!IO96</f>
        <v>83333.333333333328</v>
      </c>
      <c r="IP29" s="7">
        <f>Financials!IP96</f>
        <v>83333.333333333328</v>
      </c>
      <c r="IQ29" s="7">
        <f>Financials!IQ96</f>
        <v>83333.333333333328</v>
      </c>
      <c r="IR29" s="7">
        <f>Financials!IR96</f>
        <v>83333.333333333328</v>
      </c>
      <c r="IS29" s="7">
        <f>Financials!IS96</f>
        <v>83333.333333333328</v>
      </c>
      <c r="IT29" s="7">
        <f>Financials!IT96</f>
        <v>83333.333333333328</v>
      </c>
      <c r="IU29" s="7">
        <f>Financials!IU96</f>
        <v>83333.333333333328</v>
      </c>
      <c r="IV29" s="7">
        <f>Financials!IV96</f>
        <v>83333.333333333328</v>
      </c>
      <c r="IW29" s="7">
        <f>Financials!IW96</f>
        <v>83333.333333333328</v>
      </c>
      <c r="IX29" s="7">
        <f>Financials!IX96</f>
        <v>83333.333333333328</v>
      </c>
      <c r="IY29" s="7">
        <f>Financials!IY96</f>
        <v>83333.333333333328</v>
      </c>
      <c r="IZ29" s="7">
        <f>Financials!IZ96</f>
        <v>83333.333333333328</v>
      </c>
      <c r="JA29" s="7">
        <f>Financials!JA96</f>
        <v>83333.333333333328</v>
      </c>
      <c r="JB29" s="7">
        <f>Financials!JB96</f>
        <v>83333.333333333328</v>
      </c>
      <c r="JC29" s="7">
        <f>Financials!JC96</f>
        <v>83333.333333333328</v>
      </c>
      <c r="JD29" s="7">
        <f>Financials!JD96</f>
        <v>83333.333333333328</v>
      </c>
      <c r="JE29" s="7">
        <f>Financials!JE96</f>
        <v>83333.333333333328</v>
      </c>
      <c r="JF29" s="7">
        <f>Financials!JF96</f>
        <v>83333.333333333328</v>
      </c>
      <c r="JG29" s="7">
        <f>Financials!JG96</f>
        <v>83333.333333333328</v>
      </c>
      <c r="JH29" s="7">
        <f>Financials!JH96</f>
        <v>83333.333333333328</v>
      </c>
      <c r="JI29" s="7">
        <f>Financials!JI96</f>
        <v>83333.333333333328</v>
      </c>
      <c r="JJ29" s="7">
        <f>Financials!JJ96</f>
        <v>83333.333333333328</v>
      </c>
      <c r="JK29" s="7">
        <f>Financials!JK96</f>
        <v>83333.333333333328</v>
      </c>
      <c r="JL29" s="7">
        <f>Financials!JL96</f>
        <v>83333.333333333328</v>
      </c>
      <c r="JM29" s="7">
        <f>Financials!JM96</f>
        <v>83333.333333333328</v>
      </c>
      <c r="JN29" s="7">
        <f>Financials!JN96</f>
        <v>83333.333333333328</v>
      </c>
      <c r="JO29" s="7">
        <f>Financials!JO96</f>
        <v>83333.333333333328</v>
      </c>
      <c r="JP29" s="7">
        <f>Financials!JP96</f>
        <v>83333.333333333328</v>
      </c>
      <c r="JQ29" s="7">
        <f>Financials!JQ96</f>
        <v>83333.333333333328</v>
      </c>
      <c r="JR29" s="7">
        <f>Financials!JR96</f>
        <v>83333.333333333328</v>
      </c>
    </row>
    <row r="30" spans="2:279" x14ac:dyDescent="0.2">
      <c r="B30" s="1" t="s">
        <v>119</v>
      </c>
      <c r="C30" s="7">
        <f>Financials!C97</f>
        <v>0</v>
      </c>
      <c r="D30" s="7">
        <f>Financials!D97</f>
        <v>0</v>
      </c>
      <c r="E30" s="7">
        <f>Financials!E97</f>
        <v>0</v>
      </c>
      <c r="F30" s="7">
        <f>Financials!F97</f>
        <v>0</v>
      </c>
      <c r="G30" s="7">
        <f>Financials!G97</f>
        <v>0</v>
      </c>
      <c r="H30" s="7">
        <f>Financials!H97</f>
        <v>0</v>
      </c>
      <c r="I30" s="7">
        <f>Financials!I97</f>
        <v>0</v>
      </c>
      <c r="J30" s="7">
        <f>Financials!J97</f>
        <v>0</v>
      </c>
      <c r="K30" s="7">
        <f>Financials!K97</f>
        <v>0</v>
      </c>
      <c r="L30" s="7">
        <f>Financials!L97</f>
        <v>0</v>
      </c>
      <c r="M30" s="7">
        <f>Financials!M97</f>
        <v>0</v>
      </c>
      <c r="N30" s="7">
        <f>Financials!N97</f>
        <v>0</v>
      </c>
      <c r="O30" s="7">
        <f>Financials!O97</f>
        <v>0</v>
      </c>
      <c r="P30" s="7">
        <f>Financials!P97</f>
        <v>0</v>
      </c>
      <c r="Q30" s="7">
        <f>Financials!Q97</f>
        <v>0</v>
      </c>
      <c r="R30" s="7">
        <f>Financials!R97</f>
        <v>203782.46780407999</v>
      </c>
      <c r="S30" s="7">
        <f>Financials!S97</f>
        <v>203782.46780407999</v>
      </c>
      <c r="T30" s="7">
        <f>Financials!T97</f>
        <v>203782.46780407999</v>
      </c>
      <c r="U30" s="7">
        <f>Financials!U97</f>
        <v>203782.46780407999</v>
      </c>
      <c r="V30" s="7">
        <f>Financials!V97</f>
        <v>203782.46780407999</v>
      </c>
      <c r="W30" s="7">
        <f>Financials!W97</f>
        <v>203782.46780407999</v>
      </c>
      <c r="X30" s="7">
        <f>Financials!X97</f>
        <v>203782.46780407999</v>
      </c>
      <c r="Y30" s="7">
        <f>Financials!Y97</f>
        <v>203782.46780407999</v>
      </c>
      <c r="Z30" s="7">
        <f>Financials!Z97</f>
        <v>203782.46780407999</v>
      </c>
      <c r="AA30" s="7">
        <f>Financials!AA97</f>
        <v>16981.872317006666</v>
      </c>
      <c r="AB30" s="7">
        <f>Financials!AB97</f>
        <v>16981.872317006666</v>
      </c>
      <c r="AC30" s="7">
        <f>Financials!AC97</f>
        <v>16981.872317006666</v>
      </c>
      <c r="AD30" s="7">
        <f>Financials!AD97</f>
        <v>16981.872317006666</v>
      </c>
      <c r="AE30" s="7">
        <f>Financials!AE97</f>
        <v>16981.872317006666</v>
      </c>
      <c r="AF30" s="7">
        <f>Financials!AF97</f>
        <v>16981.872317006666</v>
      </c>
      <c r="AG30" s="7">
        <f>Financials!AG97</f>
        <v>16981.872317006666</v>
      </c>
      <c r="AH30" s="7">
        <f>Financials!AH97</f>
        <v>16981.872317006666</v>
      </c>
      <c r="AI30" s="7">
        <f>Financials!AI97</f>
        <v>16981.872317006666</v>
      </c>
      <c r="AJ30" s="7">
        <f>Financials!AJ97</f>
        <v>16981.872317006666</v>
      </c>
      <c r="AK30" s="7">
        <f>Financials!AK97</f>
        <v>16981.872317006666</v>
      </c>
      <c r="AL30" s="7">
        <f>Financials!AL97</f>
        <v>16981.872317006666</v>
      </c>
      <c r="AM30" s="7">
        <f>Financials!AM97</f>
        <v>16981.872317006666</v>
      </c>
      <c r="AN30" s="7">
        <f>Financials!AN97</f>
        <v>16981.872317006666</v>
      </c>
      <c r="AO30" s="7">
        <f>Financials!AO97</f>
        <v>16981.872317006666</v>
      </c>
      <c r="AP30" s="7">
        <f>Financials!AP97</f>
        <v>16981.872317006666</v>
      </c>
      <c r="AQ30" s="7">
        <f>Financials!AQ97</f>
        <v>16981.872317006666</v>
      </c>
      <c r="AR30" s="7">
        <f>Financials!AR97</f>
        <v>16981.872317006666</v>
      </c>
      <c r="AS30" s="7">
        <f>Financials!AS97</f>
        <v>16981.872317006666</v>
      </c>
      <c r="AT30" s="7">
        <f>Financials!AT97</f>
        <v>16981.872317006666</v>
      </c>
      <c r="AU30" s="7">
        <f>Financials!AU97</f>
        <v>16981.872317006666</v>
      </c>
      <c r="AV30" s="7">
        <f>Financials!AV97</f>
        <v>16981.872317006666</v>
      </c>
      <c r="AW30" s="7">
        <f>Financials!AW97</f>
        <v>16981.872317006666</v>
      </c>
      <c r="AX30" s="7">
        <f>Financials!AX97</f>
        <v>16981.872317006666</v>
      </c>
      <c r="AY30" s="7">
        <f>Financials!AY97</f>
        <v>16981.872317006666</v>
      </c>
      <c r="AZ30" s="7">
        <f>Financials!AZ97</f>
        <v>16981.872317006666</v>
      </c>
      <c r="BA30" s="7">
        <f>Financials!BA97</f>
        <v>16981.872317006666</v>
      </c>
      <c r="BB30" s="7">
        <f>Financials!BB97</f>
        <v>16981.872317006666</v>
      </c>
      <c r="BC30" s="7">
        <f>Financials!BC97</f>
        <v>16981.872317006666</v>
      </c>
      <c r="BD30" s="7">
        <f>Financials!BD97</f>
        <v>16981.872317006666</v>
      </c>
      <c r="BE30" s="7">
        <f>Financials!BE97</f>
        <v>16981.872317006666</v>
      </c>
      <c r="BF30" s="7">
        <f>Financials!BF97</f>
        <v>16981.872317006666</v>
      </c>
      <c r="BG30" s="7">
        <f>Financials!BG97</f>
        <v>16981.872317006666</v>
      </c>
      <c r="BH30" s="7">
        <f>Financials!BH97</f>
        <v>16981.872317006666</v>
      </c>
      <c r="BI30" s="7">
        <f>Financials!BI97</f>
        <v>16981.872317006666</v>
      </c>
      <c r="BJ30" s="7">
        <f>Financials!BJ97</f>
        <v>16981.872317006666</v>
      </c>
      <c r="BK30" s="7">
        <f>Financials!BK97</f>
        <v>16981.872317006666</v>
      </c>
      <c r="BL30" s="7">
        <f>Financials!BL97</f>
        <v>16981.872317006666</v>
      </c>
      <c r="BM30" s="7">
        <f>Financials!BM97</f>
        <v>16981.872317006666</v>
      </c>
      <c r="BN30" s="7">
        <f>Financials!BN97</f>
        <v>16981.872317006666</v>
      </c>
      <c r="BO30" s="7">
        <f>Financials!BO97</f>
        <v>16981.872317006666</v>
      </c>
      <c r="BP30" s="7">
        <f>Financials!BP97</f>
        <v>16981.872317006666</v>
      </c>
      <c r="BQ30" s="7">
        <f>Financials!BQ97</f>
        <v>16981.872317006666</v>
      </c>
      <c r="BR30" s="7">
        <f>Financials!BR97</f>
        <v>16981.872317006666</v>
      </c>
      <c r="BS30" s="7">
        <f>Financials!BS97</f>
        <v>16981.872317006666</v>
      </c>
      <c r="BT30" s="7">
        <f>Financials!BT97</f>
        <v>16981.872317006666</v>
      </c>
      <c r="BU30" s="7">
        <f>Financials!BU97</f>
        <v>16981.872317006666</v>
      </c>
      <c r="BV30" s="7">
        <f>Financials!BV97</f>
        <v>16981.872317006666</v>
      </c>
      <c r="BW30" s="7">
        <f>Financials!BW97</f>
        <v>16981.872317006666</v>
      </c>
      <c r="BX30" s="7">
        <f>Financials!BX97</f>
        <v>16981.872317006666</v>
      </c>
      <c r="BY30" s="7">
        <f>Financials!BY97</f>
        <v>16981.872317006666</v>
      </c>
      <c r="BZ30" s="7">
        <f>Financials!BZ97</f>
        <v>16981.872317006666</v>
      </c>
      <c r="CA30" s="7">
        <f>Financials!CA97</f>
        <v>16981.872317006666</v>
      </c>
      <c r="CB30" s="7">
        <f>Financials!CB97</f>
        <v>16981.872317006666</v>
      </c>
      <c r="CC30" s="7">
        <f>Financials!CC97</f>
        <v>16981.872317006666</v>
      </c>
      <c r="CD30" s="7">
        <f>Financials!CD97</f>
        <v>16981.872317006666</v>
      </c>
      <c r="CE30" s="7">
        <f>Financials!CE97</f>
        <v>16981.872317006666</v>
      </c>
      <c r="CF30" s="7">
        <f>Financials!CF97</f>
        <v>16981.872317006666</v>
      </c>
      <c r="CG30" s="7">
        <f>Financials!CG97</f>
        <v>16981.872317006666</v>
      </c>
      <c r="CH30" s="7">
        <f>Financials!CH97</f>
        <v>16981.872317006666</v>
      </c>
      <c r="CI30" s="7">
        <f>Financials!CI97</f>
        <v>16981.872317006666</v>
      </c>
      <c r="CJ30" s="7">
        <f>Financials!CJ97</f>
        <v>16981.872317006666</v>
      </c>
      <c r="CK30" s="7">
        <f>Financials!CK97</f>
        <v>16981.872317006666</v>
      </c>
      <c r="CL30" s="7">
        <f>Financials!CL97</f>
        <v>16981.872317006666</v>
      </c>
      <c r="CM30" s="7">
        <f>Financials!CM97</f>
        <v>16981.872317006666</v>
      </c>
      <c r="CN30" s="7">
        <f>Financials!CN97</f>
        <v>16981.872317006666</v>
      </c>
      <c r="CO30" s="7">
        <f>Financials!CO97</f>
        <v>16981.872317006666</v>
      </c>
      <c r="CP30" s="7">
        <f>Financials!CP97</f>
        <v>16981.872317006666</v>
      </c>
      <c r="CQ30" s="7">
        <f>Financials!CQ97</f>
        <v>16981.872317006666</v>
      </c>
      <c r="CR30" s="7">
        <f>Financials!CR97</f>
        <v>16981.872317006666</v>
      </c>
      <c r="CS30" s="7">
        <f>Financials!CS97</f>
        <v>16981.872317006666</v>
      </c>
      <c r="CT30" s="7">
        <f>Financials!CT97</f>
        <v>16981.872317006666</v>
      </c>
      <c r="CU30" s="7">
        <f>Financials!CU97</f>
        <v>16981.872317006666</v>
      </c>
      <c r="CV30" s="7">
        <f>Financials!CV97</f>
        <v>16981.872317006666</v>
      </c>
      <c r="CW30" s="7">
        <f>Financials!CW97</f>
        <v>16981.872317006666</v>
      </c>
      <c r="CX30" s="7">
        <f>Financials!CX97</f>
        <v>16981.872317006666</v>
      </c>
      <c r="CY30" s="7">
        <f>Financials!CY97</f>
        <v>16981.872317006666</v>
      </c>
      <c r="CZ30" s="7">
        <f>Financials!CZ97</f>
        <v>16981.872317006666</v>
      </c>
      <c r="DA30" s="7">
        <f>Financials!DA97</f>
        <v>16981.872317006666</v>
      </c>
      <c r="DB30" s="7">
        <f>Financials!DB97</f>
        <v>16981.872317006666</v>
      </c>
      <c r="DC30" s="7">
        <f>Financials!DC97</f>
        <v>16981.872317006666</v>
      </c>
      <c r="DD30" s="7">
        <f>Financials!DD97</f>
        <v>16981.872317006666</v>
      </c>
      <c r="DE30" s="7">
        <f>Financials!DE97</f>
        <v>16981.872317006666</v>
      </c>
      <c r="DF30" s="7">
        <f>Financials!DF97</f>
        <v>16981.872317006666</v>
      </c>
      <c r="DG30" s="7">
        <f>Financials!DG97</f>
        <v>16981.872317006666</v>
      </c>
      <c r="DH30" s="7">
        <f>Financials!DH97</f>
        <v>16981.872317006666</v>
      </c>
      <c r="DI30" s="7">
        <f>Financials!DI97</f>
        <v>16981.872317006666</v>
      </c>
      <c r="DJ30" s="7">
        <f>Financials!DJ97</f>
        <v>16981.872317006666</v>
      </c>
      <c r="DK30" s="7">
        <f>Financials!DK97</f>
        <v>16981.872317006666</v>
      </c>
      <c r="DL30" s="7">
        <f>Financials!DL97</f>
        <v>16981.872317006666</v>
      </c>
      <c r="DM30" s="7">
        <f>Financials!DM97</f>
        <v>16981.872317006666</v>
      </c>
      <c r="DN30" s="7">
        <f>Financials!DN97</f>
        <v>16981.872317006666</v>
      </c>
      <c r="DO30" s="7">
        <f>Financials!DO97</f>
        <v>16981.872317006666</v>
      </c>
      <c r="DP30" s="7">
        <f>Financials!DP97</f>
        <v>16981.872317006666</v>
      </c>
      <c r="DQ30" s="7">
        <f>Financials!DQ97</f>
        <v>16981.872317006666</v>
      </c>
      <c r="DR30" s="7">
        <f>Financials!DR97</f>
        <v>16981.872317006666</v>
      </c>
      <c r="DS30" s="7">
        <f>Financials!DS97</f>
        <v>16981.872317006666</v>
      </c>
      <c r="DT30" s="7">
        <f>Financials!DT97</f>
        <v>16981.872317006666</v>
      </c>
      <c r="DU30" s="7">
        <f>Financials!DU97</f>
        <v>16981.872317006666</v>
      </c>
      <c r="DV30" s="7">
        <f>Financials!DV97</f>
        <v>16981.872317006666</v>
      </c>
      <c r="DW30" s="7">
        <f>Financials!DW97</f>
        <v>16981.872317006666</v>
      </c>
      <c r="DX30" s="7">
        <f>Financials!DX97</f>
        <v>16981.872317006666</v>
      </c>
      <c r="DY30" s="7">
        <f>Financials!DY97</f>
        <v>16981.872317006666</v>
      </c>
      <c r="DZ30" s="7">
        <f>Financials!DZ97</f>
        <v>16981.872317006666</v>
      </c>
      <c r="EA30" s="7">
        <f>Financials!EA97</f>
        <v>16981.872317006666</v>
      </c>
      <c r="EB30" s="7">
        <f>Financials!EB97</f>
        <v>16981.872317006666</v>
      </c>
      <c r="EC30" s="7">
        <f>Financials!EC97</f>
        <v>16981.872317006666</v>
      </c>
      <c r="ED30" s="7">
        <f>Financials!ED97</f>
        <v>16981.872317006666</v>
      </c>
      <c r="EE30" s="7">
        <f>Financials!EE97</f>
        <v>16981.872317006666</v>
      </c>
      <c r="EF30" s="7">
        <f>Financials!EF97</f>
        <v>16981.872317006666</v>
      </c>
      <c r="EG30" s="7">
        <f>Financials!EG97</f>
        <v>16981.872317006666</v>
      </c>
      <c r="EH30" s="7">
        <f>Financials!EH97</f>
        <v>16981.872317006666</v>
      </c>
      <c r="EI30" s="7">
        <f>Financials!EI97</f>
        <v>16981.872317006666</v>
      </c>
      <c r="EJ30" s="7">
        <f>Financials!EJ97</f>
        <v>16981.872317006666</v>
      </c>
      <c r="EK30" s="7">
        <f>Financials!EK97</f>
        <v>16981.872317006666</v>
      </c>
      <c r="EL30" s="7">
        <f>Financials!EL97</f>
        <v>16981.872317006666</v>
      </c>
      <c r="EM30" s="7">
        <f>Financials!EM97</f>
        <v>16981.872317006666</v>
      </c>
      <c r="EN30" s="7">
        <f>Financials!EN97</f>
        <v>16981.872317006666</v>
      </c>
      <c r="EO30" s="7">
        <f>Financials!EO97</f>
        <v>16981.872317006666</v>
      </c>
      <c r="EP30" s="7">
        <f>Financials!EP97</f>
        <v>16981.872317006666</v>
      </c>
      <c r="EQ30" s="7">
        <f>Financials!EQ97</f>
        <v>16981.872317006666</v>
      </c>
      <c r="ER30" s="7">
        <f>Financials!ER97</f>
        <v>16981.872317006666</v>
      </c>
      <c r="ES30" s="7">
        <f>Financials!ES97</f>
        <v>16981.872317006666</v>
      </c>
      <c r="ET30" s="7">
        <f>Financials!ET97</f>
        <v>16981.872317006666</v>
      </c>
      <c r="EU30" s="7">
        <f>Financials!EU97</f>
        <v>16981.872317006666</v>
      </c>
      <c r="EV30" s="7">
        <f>Financials!EV97</f>
        <v>16981.872317006666</v>
      </c>
      <c r="EW30" s="7">
        <f>Financials!EW97</f>
        <v>16981.872317006666</v>
      </c>
      <c r="EX30" s="7">
        <f>Financials!EX97</f>
        <v>16981.872317006666</v>
      </c>
      <c r="EY30" s="7">
        <f>Financials!EY97</f>
        <v>16981.872317006666</v>
      </c>
      <c r="EZ30" s="7">
        <f>Financials!EZ97</f>
        <v>16981.872317006666</v>
      </c>
      <c r="FA30" s="7">
        <f>Financials!FA97</f>
        <v>16981.872317006666</v>
      </c>
      <c r="FB30" s="7">
        <f>Financials!FB97</f>
        <v>16981.872317006666</v>
      </c>
      <c r="FC30" s="7">
        <f>Financials!FC97</f>
        <v>16981.872317006666</v>
      </c>
      <c r="FD30" s="7">
        <f>Financials!FD97</f>
        <v>16981.872317006666</v>
      </c>
      <c r="FE30" s="7">
        <f>Financials!FE97</f>
        <v>16981.872317006666</v>
      </c>
      <c r="FF30" s="7">
        <f>Financials!FF97</f>
        <v>16981.872317006666</v>
      </c>
      <c r="FG30" s="7">
        <f>Financials!FG97</f>
        <v>16981.872317006666</v>
      </c>
      <c r="FH30" s="7">
        <f>Financials!FH97</f>
        <v>16981.872317006666</v>
      </c>
      <c r="FI30" s="7">
        <f>Financials!FI97</f>
        <v>16981.872317006666</v>
      </c>
      <c r="FJ30" s="7">
        <f>Financials!FJ97</f>
        <v>16981.872317006666</v>
      </c>
      <c r="FK30" s="7">
        <f>Financials!FK97</f>
        <v>16981.872317006666</v>
      </c>
      <c r="FL30" s="7">
        <f>Financials!FL97</f>
        <v>16981.872317006666</v>
      </c>
      <c r="FM30" s="7">
        <f>Financials!FM97</f>
        <v>16981.872317006666</v>
      </c>
      <c r="FN30" s="7">
        <f>Financials!FN97</f>
        <v>16981.872317006666</v>
      </c>
      <c r="FO30" s="7">
        <f>Financials!FO97</f>
        <v>16981.872317006666</v>
      </c>
      <c r="FP30" s="7">
        <f>Financials!FP97</f>
        <v>16981.872317006666</v>
      </c>
      <c r="FQ30" s="7">
        <f>Financials!FQ97</f>
        <v>16981.872317006666</v>
      </c>
      <c r="FR30" s="7">
        <f>Financials!FR97</f>
        <v>16981.872317006666</v>
      </c>
      <c r="FS30" s="7">
        <f>Financials!FS97</f>
        <v>16981.872317006666</v>
      </c>
      <c r="FT30" s="7">
        <f>Financials!FT97</f>
        <v>16981.872317006666</v>
      </c>
      <c r="FU30" s="7">
        <f>Financials!FU97</f>
        <v>16981.872317006666</v>
      </c>
      <c r="FV30" s="7">
        <f>Financials!FV97</f>
        <v>16981.872317006666</v>
      </c>
      <c r="FW30" s="7">
        <f>Financials!FW97</f>
        <v>16981.872317006666</v>
      </c>
      <c r="FX30" s="7">
        <f>Financials!FX97</f>
        <v>16981.872317006666</v>
      </c>
      <c r="FY30" s="7">
        <f>Financials!FY97</f>
        <v>16981.872317006666</v>
      </c>
      <c r="FZ30" s="7">
        <f>Financials!FZ97</f>
        <v>16981.872317006666</v>
      </c>
      <c r="GA30" s="7">
        <f>Financials!GA97</f>
        <v>16981.872317006666</v>
      </c>
      <c r="GB30" s="7">
        <f>Financials!GB97</f>
        <v>16981.872317006666</v>
      </c>
      <c r="GC30" s="7">
        <f>Financials!GC97</f>
        <v>16981.872317006666</v>
      </c>
      <c r="GD30" s="7">
        <f>Financials!GD97</f>
        <v>16981.872317006666</v>
      </c>
      <c r="GE30" s="7">
        <f>Financials!GE97</f>
        <v>16981.872317006666</v>
      </c>
      <c r="GF30" s="7">
        <f>Financials!GF97</f>
        <v>16981.872317006666</v>
      </c>
      <c r="GG30" s="7">
        <f>Financials!GG97</f>
        <v>16981.872317006666</v>
      </c>
      <c r="GH30" s="7">
        <f>Financials!GH97</f>
        <v>16981.872317006666</v>
      </c>
      <c r="GI30" s="7">
        <f>Financials!GI97</f>
        <v>16981.872317006666</v>
      </c>
      <c r="GJ30" s="7">
        <f>Financials!GJ97</f>
        <v>16981.872317006666</v>
      </c>
      <c r="GK30" s="7">
        <f>Financials!GK97</f>
        <v>16981.872317006666</v>
      </c>
      <c r="GL30" s="7">
        <f>Financials!GL97</f>
        <v>16981.872317006666</v>
      </c>
      <c r="GM30" s="7">
        <f>Financials!GM97</f>
        <v>16981.872317006666</v>
      </c>
      <c r="GN30" s="7">
        <f>Financials!GN97</f>
        <v>16981.872317006666</v>
      </c>
      <c r="GO30" s="7">
        <f>Financials!GO97</f>
        <v>16981.872317006666</v>
      </c>
      <c r="GP30" s="7">
        <f>Financials!GP97</f>
        <v>16981.872317006666</v>
      </c>
      <c r="GQ30" s="7">
        <f>Financials!GQ97</f>
        <v>16981.872317006666</v>
      </c>
      <c r="GR30" s="7">
        <f>Financials!GR97</f>
        <v>16981.872317006666</v>
      </c>
      <c r="GS30" s="7">
        <f>Financials!GS97</f>
        <v>16981.872317006666</v>
      </c>
      <c r="GT30" s="7">
        <f>Financials!GT97</f>
        <v>16981.872317006666</v>
      </c>
      <c r="GU30" s="7">
        <f>Financials!GU97</f>
        <v>16981.872317006666</v>
      </c>
      <c r="GV30" s="7">
        <f>Financials!GV97</f>
        <v>16981.872317006666</v>
      </c>
      <c r="GW30" s="7">
        <f>Financials!GW97</f>
        <v>16981.872317006666</v>
      </c>
      <c r="GX30" s="7">
        <f>Financials!GX97</f>
        <v>16981.872317006666</v>
      </c>
      <c r="GY30" s="7">
        <f>Financials!GY97</f>
        <v>16981.872317006666</v>
      </c>
      <c r="GZ30" s="7">
        <f>Financials!GZ97</f>
        <v>16981.872317006666</v>
      </c>
      <c r="HA30" s="7">
        <f>Financials!HA97</f>
        <v>16981.872317006666</v>
      </c>
      <c r="HB30" s="7">
        <f>Financials!HB97</f>
        <v>16981.872317006666</v>
      </c>
      <c r="HC30" s="7">
        <f>Financials!HC97</f>
        <v>16981.872317006666</v>
      </c>
      <c r="HD30" s="7">
        <f>Financials!HD97</f>
        <v>16981.872317006666</v>
      </c>
      <c r="HE30" s="7">
        <f>Financials!HE97</f>
        <v>16981.872317006666</v>
      </c>
      <c r="HF30" s="7">
        <f>Financials!HF97</f>
        <v>16981.872317006666</v>
      </c>
      <c r="HG30" s="7">
        <f>Financials!HG97</f>
        <v>16981.872317006666</v>
      </c>
      <c r="HH30" s="7">
        <f>Financials!HH97</f>
        <v>16981.872317006666</v>
      </c>
      <c r="HI30" s="7">
        <f>Financials!HI97</f>
        <v>16981.872317006666</v>
      </c>
      <c r="HJ30" s="7">
        <f>Financials!HJ97</f>
        <v>16981.872317006666</v>
      </c>
      <c r="HK30" s="7">
        <f>Financials!HK97</f>
        <v>16981.872317006666</v>
      </c>
      <c r="HL30" s="7">
        <f>Financials!HL97</f>
        <v>16981.872317006666</v>
      </c>
      <c r="HM30" s="7">
        <f>Financials!HM97</f>
        <v>16981.872317006666</v>
      </c>
      <c r="HN30" s="7">
        <f>Financials!HN97</f>
        <v>16981.872317006666</v>
      </c>
      <c r="HO30" s="7">
        <f>Financials!HO97</f>
        <v>16981.872317006666</v>
      </c>
      <c r="HP30" s="7">
        <f>Financials!HP97</f>
        <v>16981.872317006666</v>
      </c>
      <c r="HQ30" s="7">
        <f>Financials!HQ97</f>
        <v>16981.872317006666</v>
      </c>
      <c r="HR30" s="7">
        <f>Financials!HR97</f>
        <v>16981.872317006666</v>
      </c>
      <c r="HS30" s="7">
        <f>Financials!HS97</f>
        <v>16981.872317006666</v>
      </c>
      <c r="HT30" s="7">
        <f>Financials!HT97</f>
        <v>16981.872317006666</v>
      </c>
      <c r="HU30" s="7">
        <f>Financials!HU97</f>
        <v>16981.872317006666</v>
      </c>
      <c r="HV30" s="7">
        <f>Financials!HV97</f>
        <v>16981.872317006666</v>
      </c>
      <c r="HW30" s="7">
        <f>Financials!HW97</f>
        <v>16981.872317006666</v>
      </c>
      <c r="HX30" s="7">
        <f>Financials!HX97</f>
        <v>16981.872317006666</v>
      </c>
      <c r="HY30" s="7">
        <f>Financials!HY97</f>
        <v>16981.872317006666</v>
      </c>
      <c r="HZ30" s="7">
        <f>Financials!HZ97</f>
        <v>16981.872317006666</v>
      </c>
      <c r="IA30" s="7">
        <f>Financials!IA97</f>
        <v>16981.872317006666</v>
      </c>
      <c r="IB30" s="7">
        <f>Financials!IB97</f>
        <v>16981.872317006666</v>
      </c>
      <c r="IC30" s="7">
        <f>Financials!IC97</f>
        <v>16981.872317006666</v>
      </c>
      <c r="ID30" s="7">
        <f>Financials!ID97</f>
        <v>16981.872317006666</v>
      </c>
      <c r="IE30" s="7">
        <f>Financials!IE97</f>
        <v>16981.872317006666</v>
      </c>
      <c r="IF30" s="7">
        <f>Financials!IF97</f>
        <v>16981.872317006666</v>
      </c>
      <c r="IG30" s="7">
        <f>Financials!IG97</f>
        <v>16981.872317006666</v>
      </c>
      <c r="IH30" s="7">
        <f>Financials!IH97</f>
        <v>16981.872317006666</v>
      </c>
      <c r="II30" s="7">
        <f>Financials!II97</f>
        <v>16981.872317006666</v>
      </c>
      <c r="IJ30" s="7">
        <f>Financials!IJ97</f>
        <v>16981.872317006666</v>
      </c>
      <c r="IK30" s="7">
        <f>Financials!IK97</f>
        <v>16981.872317006666</v>
      </c>
      <c r="IL30" s="7">
        <f>Financials!IL97</f>
        <v>16981.872317006666</v>
      </c>
      <c r="IM30" s="7">
        <f>Financials!IM97</f>
        <v>16981.872317006666</v>
      </c>
      <c r="IN30" s="7">
        <f>Financials!IN97</f>
        <v>16981.872317006666</v>
      </c>
      <c r="IO30" s="7">
        <f>Financials!IO97</f>
        <v>16981.872317006666</v>
      </c>
      <c r="IP30" s="7">
        <f>Financials!IP97</f>
        <v>16981.872317006666</v>
      </c>
      <c r="IQ30" s="7">
        <f>Financials!IQ97</f>
        <v>16981.872317006666</v>
      </c>
      <c r="IR30" s="7">
        <f>Financials!IR97</f>
        <v>16981.872317006666</v>
      </c>
      <c r="IS30" s="7">
        <f>Financials!IS97</f>
        <v>16981.872317006666</v>
      </c>
      <c r="IT30" s="7">
        <f>Financials!IT97</f>
        <v>16981.872317006666</v>
      </c>
      <c r="IU30" s="7">
        <f>Financials!IU97</f>
        <v>16981.872317006666</v>
      </c>
      <c r="IV30" s="7">
        <f>Financials!IV97</f>
        <v>16981.872317006666</v>
      </c>
      <c r="IW30" s="7">
        <f>Financials!IW97</f>
        <v>16981.872317006666</v>
      </c>
      <c r="IX30" s="7">
        <f>Financials!IX97</f>
        <v>16981.872317006666</v>
      </c>
      <c r="IY30" s="7">
        <f>Financials!IY97</f>
        <v>16981.872317006666</v>
      </c>
      <c r="IZ30" s="7">
        <f>Financials!IZ97</f>
        <v>16981.872317006666</v>
      </c>
      <c r="JA30" s="7">
        <f>Financials!JA97</f>
        <v>16981.872317006666</v>
      </c>
      <c r="JB30" s="7">
        <f>Financials!JB97</f>
        <v>16981.872317006666</v>
      </c>
      <c r="JC30" s="7">
        <f>Financials!JC97</f>
        <v>16981.872317006666</v>
      </c>
      <c r="JD30" s="7">
        <f>Financials!JD97</f>
        <v>16981.872317006666</v>
      </c>
      <c r="JE30" s="7">
        <f>Financials!JE97</f>
        <v>16981.872317006666</v>
      </c>
      <c r="JF30" s="7">
        <f>Financials!JF97</f>
        <v>16981.872317006666</v>
      </c>
      <c r="JG30" s="7">
        <f>Financials!JG97</f>
        <v>16981.872317006666</v>
      </c>
      <c r="JH30" s="7">
        <f>Financials!JH97</f>
        <v>16981.872317006666</v>
      </c>
      <c r="JI30" s="7">
        <f>Financials!JI97</f>
        <v>16981.872317006666</v>
      </c>
      <c r="JJ30" s="7">
        <f>Financials!JJ97</f>
        <v>16981.872317006666</v>
      </c>
      <c r="JK30" s="7">
        <f>Financials!JK97</f>
        <v>16981.872317006666</v>
      </c>
      <c r="JL30" s="7">
        <f>Financials!JL97</f>
        <v>16981.872317006666</v>
      </c>
      <c r="JM30" s="7">
        <f>Financials!JM97</f>
        <v>16981.872317006666</v>
      </c>
      <c r="JN30" s="7">
        <f>Financials!JN97</f>
        <v>16981.872317006666</v>
      </c>
      <c r="JO30" s="7">
        <f>Financials!JO97</f>
        <v>16981.872317006666</v>
      </c>
      <c r="JP30" s="7">
        <f>Financials!JP97</f>
        <v>16981.872317006666</v>
      </c>
      <c r="JQ30" s="7">
        <f>Financials!JQ97</f>
        <v>16981.872317006666</v>
      </c>
      <c r="JR30" s="7">
        <f>Financials!JR97</f>
        <v>16981.872317006666</v>
      </c>
    </row>
    <row r="31" spans="2:279" x14ac:dyDescent="0.2">
      <c r="B31" s="1" t="s">
        <v>120</v>
      </c>
      <c r="C31" s="7">
        <f>Financials!C70</f>
        <v>149874.38056581622</v>
      </c>
      <c r="D31" s="7">
        <f>Financials!D70</f>
        <v>346909.87917971844</v>
      </c>
      <c r="E31" s="7">
        <f>Financials!E70</f>
        <v>432084.91923832841</v>
      </c>
      <c r="F31" s="7">
        <f>Financials!F70</f>
        <v>494356.87390158226</v>
      </c>
      <c r="G31" s="7">
        <f>Financials!G70</f>
        <v>576134.13998181873</v>
      </c>
      <c r="H31" s="7">
        <f>Financials!H70</f>
        <v>705049.91697056184</v>
      </c>
      <c r="I31" s="7">
        <f>Financials!I70</f>
        <v>838981.74269761785</v>
      </c>
      <c r="J31" s="7">
        <f>Financials!J70</f>
        <v>955139.59980678908</v>
      </c>
      <c r="K31" s="7">
        <f>Financials!K70</f>
        <v>1058042.7831197069</v>
      </c>
      <c r="L31" s="7">
        <f>Financials!L70</f>
        <v>1147571.8593441523</v>
      </c>
      <c r="M31" s="7">
        <f>Financials!M70</f>
        <v>1226925.7568700456</v>
      </c>
      <c r="N31" s="7">
        <f>Financials!N70</f>
        <v>1323169.4979038786</v>
      </c>
      <c r="O31" s="7">
        <f>Financials!O70</f>
        <v>1380307.8092666978</v>
      </c>
      <c r="P31" s="7">
        <f>Financials!P70</f>
        <v>1380307.8092666978</v>
      </c>
      <c r="Q31" s="7">
        <f>Financials!Q70</f>
        <v>1380307.8092666978</v>
      </c>
      <c r="R31" s="7">
        <f>Financials!R70</f>
        <v>1136724.0782196335</v>
      </c>
      <c r="S31" s="7">
        <f>Financials!S70</f>
        <v>1131619.5568096749</v>
      </c>
      <c r="T31" s="7">
        <f>Financials!T70</f>
        <v>1126485.2590248249</v>
      </c>
      <c r="U31" s="7">
        <f>Financials!U70</f>
        <v>1121321.011169563</v>
      </c>
      <c r="V31" s="7">
        <f>Financials!V70</f>
        <v>1116126.6385351459</v>
      </c>
      <c r="W31" s="7">
        <f>Financials!W70</f>
        <v>1110901.9653936944</v>
      </c>
      <c r="X31" s="7">
        <f>Financials!X70</f>
        <v>1105646.8149922511</v>
      </c>
      <c r="Y31" s="7">
        <f>Financials!Y70</f>
        <v>1100361.0095467996</v>
      </c>
      <c r="Z31" s="7">
        <f>Financials!Z70</f>
        <v>1095044.3702362492</v>
      </c>
      <c r="AA31" s="7">
        <f>Financials!AA70</f>
        <v>1089696.7171963877</v>
      </c>
      <c r="AB31" s="7">
        <f>Financials!AB70</f>
        <v>1084317.8695137934</v>
      </c>
      <c r="AC31" s="7">
        <f>Financials!AC70</f>
        <v>1078907.6452197176</v>
      </c>
      <c r="AD31" s="7">
        <f>Financials!AD70</f>
        <v>1073465.8612839261</v>
      </c>
      <c r="AE31" s="7">
        <f>Financials!AE70</f>
        <v>1067992.333608509</v>
      </c>
      <c r="AF31" s="7">
        <f>Financials!AF70</f>
        <v>1062486.8770216526</v>
      </c>
      <c r="AG31" s="7">
        <f>Financials!AG70</f>
        <v>1056949.3052713722</v>
      </c>
      <c r="AH31" s="7">
        <f>Financials!AH70</f>
        <v>1051379.4310192154</v>
      </c>
      <c r="AI31" s="7">
        <f>Financials!AI70</f>
        <v>1045777.0658339211</v>
      </c>
      <c r="AJ31" s="7">
        <f>Financials!AJ70</f>
        <v>1040142.0201850459</v>
      </c>
      <c r="AK31" s="7">
        <f>Financials!AK70</f>
        <v>1034474.1034365521</v>
      </c>
      <c r="AL31" s="7">
        <f>Financials!AL70</f>
        <v>1028773.1238403589</v>
      </c>
      <c r="AM31" s="7">
        <f>Financials!AM70</f>
        <v>1023038.8885298546</v>
      </c>
      <c r="AN31" s="7">
        <f>Financials!AN70</f>
        <v>1017271.2035133722</v>
      </c>
      <c r="AO31" s="7">
        <f>Financials!AO70</f>
        <v>1011469.8736676271</v>
      </c>
      <c r="AP31" s="7">
        <f>Financials!AP70</f>
        <v>1005634.702731115</v>
      </c>
      <c r="AQ31" s="7">
        <f>Financials!AQ70</f>
        <v>999765.49329747353</v>
      </c>
      <c r="AR31" s="7">
        <f>Financials!AR70</f>
        <v>993862.04680880229</v>
      </c>
      <c r="AS31" s="7">
        <f>Financials!AS70</f>
        <v>987924.16354894708</v>
      </c>
      <c r="AT31" s="7">
        <f>Financials!AT70</f>
        <v>981951.64263674291</v>
      </c>
      <c r="AU31" s="7">
        <f>Financials!AU70</f>
        <v>975944.2820192175</v>
      </c>
      <c r="AV31" s="7">
        <f>Financials!AV70</f>
        <v>969901.87846475642</v>
      </c>
      <c r="AW31" s="7">
        <f>Financials!AW70</f>
        <v>963824.22755622771</v>
      </c>
      <c r="AX31" s="7">
        <f>Financials!AX70</f>
        <v>957711.12368406588</v>
      </c>
      <c r="AY31" s="7">
        <f>Financials!AY70</f>
        <v>951562.36003931647</v>
      </c>
      <c r="AZ31" s="7">
        <f>Financials!AZ70</f>
        <v>945377.72860663943</v>
      </c>
      <c r="BA31" s="7">
        <f>Financials!BA70</f>
        <v>939157.02015727153</v>
      </c>
      <c r="BB31" s="7">
        <f>Financials!BB70</f>
        <v>932900.0242419492</v>
      </c>
      <c r="BC31" s="7">
        <f>Financials!BC70</f>
        <v>926606.52918378753</v>
      </c>
      <c r="BD31" s="7">
        <f>Financials!BD70</f>
        <v>920276.32207111979</v>
      </c>
      <c r="BE31" s="7">
        <f>Financials!BE70</f>
        <v>913909.18875029485</v>
      </c>
      <c r="BF31" s="7">
        <f>Financials!BF70</f>
        <v>907504.91381843179</v>
      </c>
      <c r="BG31" s="7">
        <f>Financials!BG70</f>
        <v>901063.28061613278</v>
      </c>
      <c r="BH31" s="7">
        <f>Financials!BH70</f>
        <v>894584.07122015383</v>
      </c>
      <c r="BI31" s="7">
        <f>Financials!BI70</f>
        <v>888067.0664360316</v>
      </c>
      <c r="BJ31" s="7">
        <f>Financials!BJ70</f>
        <v>881512.04579066869</v>
      </c>
      <c r="BK31" s="7">
        <f>Financials!BK70</f>
        <v>874918.78752487455</v>
      </c>
      <c r="BL31" s="7">
        <f>Financials!BL70</f>
        <v>868287.0685858631</v>
      </c>
      <c r="BM31" s="7">
        <f>Financials!BM70</f>
        <v>861616.6646197075</v>
      </c>
      <c r="BN31" s="7">
        <f>Financials!BN70</f>
        <v>854907.34996374929</v>
      </c>
      <c r="BO31" s="7">
        <f>Financials!BO70</f>
        <v>848158.8976389647</v>
      </c>
      <c r="BP31" s="7">
        <f>Financials!BP70</f>
        <v>841371.07934228552</v>
      </c>
      <c r="BQ31" s="7">
        <f>Financials!BQ70</f>
        <v>834543.66543887579</v>
      </c>
      <c r="BR31" s="7">
        <f>Financials!BR70</f>
        <v>827676.42495436268</v>
      </c>
      <c r="BS31" s="7">
        <f>Financials!BS70</f>
        <v>820769.12556702341</v>
      </c>
      <c r="BT31" s="7">
        <f>Financials!BT70</f>
        <v>813821.53359992453</v>
      </c>
      <c r="BU31" s="7">
        <f>Financials!BU70</f>
        <v>806833.41401301767</v>
      </c>
      <c r="BV31" s="7">
        <f>Financials!BV70</f>
        <v>799804.5303951872</v>
      </c>
      <c r="BW31" s="7">
        <f>Financials!BW70</f>
        <v>792734.64495625254</v>
      </c>
      <c r="BX31" s="7">
        <f>Financials!BX70</f>
        <v>785623.51851892425</v>
      </c>
      <c r="BY31" s="7">
        <f>Financials!BY70</f>
        <v>778470.9105107116</v>
      </c>
      <c r="BZ31" s="7">
        <f>Financials!BZ70</f>
        <v>771276.57895578421</v>
      </c>
      <c r="CA31" s="7">
        <f>Financials!CA70</f>
        <v>764040.28046678659</v>
      </c>
      <c r="CB31" s="7">
        <f>Financials!CB70</f>
        <v>756761.77023660298</v>
      </c>
      <c r="CC31" s="7">
        <f>Financials!CC70</f>
        <v>749440.80203007674</v>
      </c>
      <c r="CD31" s="7">
        <f>Financials!CD70</f>
        <v>742077.12817567913</v>
      </c>
      <c r="CE31" s="7">
        <f>Financials!CE70</f>
        <v>734670.49955713074</v>
      </c>
      <c r="CF31" s="7">
        <f>Financials!CF70</f>
        <v>727220.66560497426</v>
      </c>
      <c r="CG31" s="7">
        <f>Financials!CG70</f>
        <v>719727.37428809679</v>
      </c>
      <c r="CH31" s="7">
        <f>Financials!CH70</f>
        <v>712190.37210520427</v>
      </c>
      <c r="CI31" s="7">
        <f>Financials!CI70</f>
        <v>704609.4040762448</v>
      </c>
      <c r="CJ31" s="7">
        <f>Financials!CJ70</f>
        <v>696984.21373378311</v>
      </c>
      <c r="CK31" s="7">
        <f>Financials!CK70</f>
        <v>689314.54311432375</v>
      </c>
      <c r="CL31" s="7">
        <f>Financials!CL70</f>
        <v>681600.13274958427</v>
      </c>
      <c r="CM31" s="7">
        <f>Financials!CM70</f>
        <v>673840.72165771702</v>
      </c>
      <c r="CN31" s="7">
        <f>Financials!CN70</f>
        <v>666036.04733448057</v>
      </c>
      <c r="CO31" s="7">
        <f>Financials!CO70</f>
        <v>658185.84574435849</v>
      </c>
      <c r="CP31" s="7">
        <f>Financials!CP70</f>
        <v>650289.85131162754</v>
      </c>
      <c r="CQ31" s="7">
        <f>Financials!CQ70</f>
        <v>642347.7969113721</v>
      </c>
      <c r="CR31" s="7">
        <f>Financials!CR70</f>
        <v>634359.41386044864</v>
      </c>
      <c r="CS31" s="7">
        <f>Financials!CS70</f>
        <v>626324.43190839479</v>
      </c>
      <c r="CT31" s="7">
        <f>Financials!CT70</f>
        <v>618242.57922828733</v>
      </c>
      <c r="CU31" s="7">
        <f>Financials!CU70</f>
        <v>610113.58240754588</v>
      </c>
      <c r="CV31" s="7">
        <f>Financials!CV70</f>
        <v>601937.16643868352</v>
      </c>
      <c r="CW31" s="7">
        <f>Financials!CW70</f>
        <v>593713.05471000262</v>
      </c>
      <c r="CX31" s="7">
        <f>Financials!CX70</f>
        <v>585440.96899623796</v>
      </c>
      <c r="CY31" s="7">
        <f>Financials!CY70</f>
        <v>577120.62944914284</v>
      </c>
      <c r="CZ31" s="7">
        <f>Financials!CZ70</f>
        <v>568751.75458802306</v>
      </c>
      <c r="DA31" s="7">
        <f>Financials!DA70</f>
        <v>560334.06129021337</v>
      </c>
      <c r="DB31" s="7">
        <f>Financials!DB70</f>
        <v>551867.26478149975</v>
      </c>
      <c r="DC31" s="7">
        <f>Financials!DC70</f>
        <v>543351.07862648543</v>
      </c>
      <c r="DD31" s="7">
        <f>Financials!DD70</f>
        <v>534785.21471890016</v>
      </c>
      <c r="DE31" s="7">
        <f>Financials!DE70</f>
        <v>526169.38327185391</v>
      </c>
      <c r="DF31" s="7">
        <f>Financials!DF70</f>
        <v>517503.29280803323</v>
      </c>
      <c r="DG31" s="7">
        <f>Financials!DG70</f>
        <v>508786.65014984028</v>
      </c>
      <c r="DH31" s="7">
        <f>Financials!DH70</f>
        <v>500019.16040947457</v>
      </c>
      <c r="DI31" s="7">
        <f>Financials!DI70</f>
        <v>491200.52697895677</v>
      </c>
      <c r="DJ31" s="7">
        <f>Financials!DJ70</f>
        <v>482330.45152009418</v>
      </c>
      <c r="DK31" s="7">
        <f>Financials!DK70</f>
        <v>473408.63395438832</v>
      </c>
      <c r="DL31" s="7">
        <f>Financials!DL70</f>
        <v>464434.77245288237</v>
      </c>
      <c r="DM31" s="7">
        <f>Financials!DM70</f>
        <v>455408.56342595106</v>
      </c>
      <c r="DN31" s="7">
        <f>Financials!DN70</f>
        <v>446329.70151302934</v>
      </c>
      <c r="DO31" s="7">
        <f>Financials!DO70</f>
        <v>437197.87957228225</v>
      </c>
      <c r="DP31" s="7">
        <f>Financials!DP70</f>
        <v>428012.78867021407</v>
      </c>
      <c r="DQ31" s="7">
        <f>Financials!DQ70</f>
        <v>418774.11807121721</v>
      </c>
      <c r="DR31" s="7">
        <f>Financials!DR70</f>
        <v>409481.55522705952</v>
      </c>
      <c r="DS31" s="7">
        <f>Financials!DS70</f>
        <v>400134.78576631087</v>
      </c>
      <c r="DT31" s="7">
        <f>Financials!DT70</f>
        <v>390733.49348370795</v>
      </c>
      <c r="DU31" s="7">
        <f>Financials!DU70</f>
        <v>381277.36032945645</v>
      </c>
      <c r="DV31" s="7">
        <f>Financials!DV70</f>
        <v>371766.06639847177</v>
      </c>
      <c r="DW31" s="7">
        <f>Financials!DW70</f>
        <v>362199.28991955641</v>
      </c>
      <c r="DX31" s="7">
        <f>Financials!DX70</f>
        <v>352576.70724451402</v>
      </c>
      <c r="DY31" s="7">
        <f>Financials!DY70</f>
        <v>342897.99283720052</v>
      </c>
      <c r="DZ31" s="7">
        <f>Financials!DZ70</f>
        <v>333162.8192625111</v>
      </c>
      <c r="EA31" s="7">
        <f>Financials!EA70</f>
        <v>323370.85717530263</v>
      </c>
      <c r="EB31" s="7">
        <f>Financials!EB70</f>
        <v>313521.77530925215</v>
      </c>
      <c r="EC31" s="7">
        <f>Financials!EC70</f>
        <v>303615.24046564964</v>
      </c>
      <c r="ED31" s="7">
        <f>Financials!ED70</f>
        <v>293650.91750212607</v>
      </c>
      <c r="EE31" s="7">
        <f>Financials!EE70</f>
        <v>283628.46932131535</v>
      </c>
      <c r="EF31" s="7">
        <f>Financials!EF70</f>
        <v>273547.55685944995</v>
      </c>
      <c r="EG31" s="7">
        <f>Financials!EG70</f>
        <v>263407.83907489025</v>
      </c>
      <c r="EH31" s="7">
        <f>Financials!EH70</f>
        <v>253208.972936587</v>
      </c>
      <c r="EI31" s="7">
        <f>Financials!EI70</f>
        <v>249672.18413340172</v>
      </c>
      <c r="EJ31" s="7">
        <f>Financials!EJ70</f>
        <v>246114.76406219791</v>
      </c>
      <c r="EK31" s="7">
        <f>Financials!EK70</f>
        <v>242536.59237391202</v>
      </c>
      <c r="EL31" s="7">
        <f>Financials!EL70</f>
        <v>238937.5480174445</v>
      </c>
      <c r="EM31" s="7">
        <f>Financials!EM70</f>
        <v>235317.50923556421</v>
      </c>
      <c r="EN31" s="7">
        <f>Financials!EN70</f>
        <v>231676.35356078963</v>
      </c>
      <c r="EO31" s="7">
        <f>Financials!EO70</f>
        <v>228013.95781124555</v>
      </c>
      <c r="EP31" s="7">
        <f>Financials!EP70</f>
        <v>224330.1980864958</v>
      </c>
      <c r="EQ31" s="7">
        <f>Financials!EQ70</f>
        <v>220624.94976335164</v>
      </c>
      <c r="ER31" s="7">
        <f>Financials!ER70</f>
        <v>216898.08749165584</v>
      </c>
      <c r="ES31" s="7">
        <f>Financials!ES70</f>
        <v>213149.48519004177</v>
      </c>
      <c r="ET31" s="7">
        <f>Financials!ET70</f>
        <v>209379.01604166834</v>
      </c>
      <c r="EU31" s="7">
        <f>Financials!EU70</f>
        <v>205586.55248992937</v>
      </c>
      <c r="EV31" s="7">
        <f>Financials!EV70</f>
        <v>201771.96623413858</v>
      </c>
      <c r="EW31" s="7">
        <f>Financials!EW70</f>
        <v>197935.12822518905</v>
      </c>
      <c r="EX31" s="7">
        <f>Financials!EX70</f>
        <v>194075.90866118731</v>
      </c>
      <c r="EY31" s="7">
        <f>Financials!EY70</f>
        <v>190194.17698306221</v>
      </c>
      <c r="EZ31" s="7">
        <f>Financials!EZ70</f>
        <v>186289.80187014805</v>
      </c>
      <c r="FA31" s="7">
        <f>Financials!FA70</f>
        <v>182362.65123574188</v>
      </c>
      <c r="FB31" s="7">
        <f>Financials!FB70</f>
        <v>178412.59222263502</v>
      </c>
      <c r="FC31" s="7">
        <f>Financials!FC70</f>
        <v>174439.49119861834</v>
      </c>
      <c r="FD31" s="7">
        <f>Financials!FD70</f>
        <v>170443.21375196159</v>
      </c>
      <c r="FE31" s="7">
        <f>Financials!FE70</f>
        <v>166423.62468686601</v>
      </c>
      <c r="FF31" s="7">
        <f>Financials!FF70</f>
        <v>162380.5880188907</v>
      </c>
      <c r="FG31" s="7">
        <f>Financials!FG70</f>
        <v>158313.96697035222</v>
      </c>
      <c r="FH31" s="7">
        <f>Financials!FH70</f>
        <v>154223.62396569728</v>
      </c>
      <c r="FI31" s="7">
        <f>Financials!FI70</f>
        <v>150109.4206268485</v>
      </c>
      <c r="FJ31" s="7">
        <f>Financials!FJ70</f>
        <v>145971.21776852309</v>
      </c>
      <c r="FK31" s="7">
        <f>Financials!FK70</f>
        <v>141808.87539352413</v>
      </c>
      <c r="FL31" s="7">
        <f>Financials!FL70</f>
        <v>137622.25268800432</v>
      </c>
      <c r="FM31" s="7">
        <f>Financials!FM70</f>
        <v>133411.20801670232</v>
      </c>
      <c r="FN31" s="7">
        <f>Financials!FN70</f>
        <v>129175.59891815107</v>
      </c>
      <c r="FO31" s="7">
        <f>Financials!FO70</f>
        <v>124915.28209985825</v>
      </c>
      <c r="FP31" s="7">
        <f>Financials!FP70</f>
        <v>120630.11343345873</v>
      </c>
      <c r="FQ31" s="7">
        <f>Financials!FQ70</f>
        <v>116319.94794983855</v>
      </c>
      <c r="FR31" s="7">
        <f>Financials!FR70</f>
        <v>111984.63983423058</v>
      </c>
      <c r="FS31" s="7">
        <f>Financials!FS70</f>
        <v>107624.04242128159</v>
      </c>
      <c r="FT31" s="7">
        <f>Financials!FT70</f>
        <v>103238.00819009036</v>
      </c>
      <c r="FU31" s="7">
        <f>Financials!FU70</f>
        <v>98826.38875921721</v>
      </c>
      <c r="FV31" s="7">
        <f>Financials!FV70</f>
        <v>94389.03488166396</v>
      </c>
      <c r="FW31" s="7">
        <f>Financials!FW70</f>
        <v>89925.796439824975</v>
      </c>
      <c r="FX31" s="7">
        <f>Financials!FX70</f>
        <v>85436.522440408589</v>
      </c>
      <c r="FY31" s="7">
        <f>Financials!FY70</f>
        <v>80921.061009328958</v>
      </c>
      <c r="FZ31" s="7">
        <f>Financials!FZ70</f>
        <v>76379.259386568025</v>
      </c>
      <c r="GA31" s="7">
        <f>Financials!GA70</f>
        <v>71810.963921007657</v>
      </c>
      <c r="GB31" s="7">
        <f>Financials!GB70</f>
        <v>67216.020065231511</v>
      </c>
      <c r="GC31" s="7">
        <f>Financials!GC70</f>
        <v>62594.272370296669</v>
      </c>
      <c r="GD31" s="7">
        <f>Financials!GD70</f>
        <v>57945.564480474713</v>
      </c>
      <c r="GE31" s="7">
        <f>Financials!GE70</f>
        <v>53269.739127962122</v>
      </c>
      <c r="GF31" s="7">
        <f>Financials!GF70</f>
        <v>48566.638127559883</v>
      </c>
      <c r="GG31" s="7">
        <f>Financials!GG70</f>
        <v>43836.102371321969</v>
      </c>
      <c r="GH31" s="7">
        <f>Financials!GH70</f>
        <v>39077.971823172658</v>
      </c>
      <c r="GI31" s="7">
        <f>Financials!GI70</f>
        <v>34292.085513492471</v>
      </c>
      <c r="GJ31" s="7">
        <f>Financials!GJ70</f>
        <v>29478.281533672493</v>
      </c>
      <c r="GK31" s="7">
        <f>Financials!GK70</f>
        <v>24636.397030636897</v>
      </c>
      <c r="GL31" s="7">
        <f>Financials!GL70</f>
        <v>19766.268201333591</v>
      </c>
      <c r="GM31" s="7">
        <f>Financials!GM70</f>
        <v>14867.730287192682</v>
      </c>
      <c r="GN31" s="7">
        <f>Financials!GN70</f>
        <v>9940.6175685526214</v>
      </c>
      <c r="GO31" s="7">
        <f>Financials!GO70</f>
        <v>4984.7633590538235</v>
      </c>
      <c r="GP31" s="7">
        <f>Financials!GP70</f>
        <v>0</v>
      </c>
      <c r="GQ31" s="7">
        <f>Financials!GQ70</f>
        <v>0</v>
      </c>
      <c r="GR31" s="7">
        <f>Financials!GR70</f>
        <v>0</v>
      </c>
      <c r="GS31" s="7">
        <f>Financials!GS70</f>
        <v>0</v>
      </c>
      <c r="GT31" s="7">
        <f>Financials!GT70</f>
        <v>0</v>
      </c>
      <c r="GU31" s="7">
        <f>Financials!GU70</f>
        <v>0</v>
      </c>
      <c r="GV31" s="7">
        <f>Financials!GV70</f>
        <v>0</v>
      </c>
      <c r="GW31" s="7">
        <f>Financials!GW70</f>
        <v>0</v>
      </c>
      <c r="GX31" s="7">
        <f>Financials!GX70</f>
        <v>0</v>
      </c>
      <c r="GY31" s="7">
        <f>Financials!GY70</f>
        <v>0</v>
      </c>
      <c r="GZ31" s="7">
        <f>Financials!GZ70</f>
        <v>0</v>
      </c>
      <c r="HA31" s="7">
        <f>Financials!HA70</f>
        <v>0</v>
      </c>
      <c r="HB31" s="7">
        <f>Financials!HB70</f>
        <v>0</v>
      </c>
      <c r="HC31" s="7">
        <f>Financials!HC70</f>
        <v>0</v>
      </c>
      <c r="HD31" s="7">
        <f>Financials!HD70</f>
        <v>0</v>
      </c>
      <c r="HE31" s="7">
        <f>Financials!HE70</f>
        <v>0</v>
      </c>
      <c r="HF31" s="7">
        <f>Financials!HF70</f>
        <v>0</v>
      </c>
      <c r="HG31" s="7">
        <f>Financials!HG70</f>
        <v>0</v>
      </c>
      <c r="HH31" s="7">
        <f>Financials!HH70</f>
        <v>0</v>
      </c>
      <c r="HI31" s="7">
        <f>Financials!HI70</f>
        <v>0</v>
      </c>
      <c r="HJ31" s="7">
        <f>Financials!HJ70</f>
        <v>0</v>
      </c>
      <c r="HK31" s="7">
        <f>Financials!HK70</f>
        <v>0</v>
      </c>
      <c r="HL31" s="7">
        <f>Financials!HL70</f>
        <v>0</v>
      </c>
      <c r="HM31" s="7">
        <f>Financials!HM70</f>
        <v>0</v>
      </c>
      <c r="HN31" s="7">
        <f>Financials!HN70</f>
        <v>0</v>
      </c>
      <c r="HO31" s="7">
        <f>Financials!HO70</f>
        <v>0</v>
      </c>
      <c r="HP31" s="7">
        <f>Financials!HP70</f>
        <v>0</v>
      </c>
      <c r="HQ31" s="7">
        <f>Financials!HQ70</f>
        <v>0</v>
      </c>
      <c r="HR31" s="7">
        <f>Financials!HR70</f>
        <v>0</v>
      </c>
      <c r="HS31" s="7">
        <f>Financials!HS70</f>
        <v>0</v>
      </c>
      <c r="HT31" s="7">
        <f>Financials!HT70</f>
        <v>0</v>
      </c>
      <c r="HU31" s="7">
        <f>Financials!HU70</f>
        <v>0</v>
      </c>
      <c r="HV31" s="7">
        <f>Financials!HV70</f>
        <v>0</v>
      </c>
      <c r="HW31" s="7">
        <f>Financials!HW70</f>
        <v>0</v>
      </c>
      <c r="HX31" s="7">
        <f>Financials!HX70</f>
        <v>0</v>
      </c>
      <c r="HY31" s="7">
        <f>Financials!HY70</f>
        <v>0</v>
      </c>
      <c r="HZ31" s="7">
        <f>Financials!HZ70</f>
        <v>0</v>
      </c>
      <c r="IA31" s="7">
        <f>Financials!IA70</f>
        <v>0</v>
      </c>
      <c r="IB31" s="7">
        <f>Financials!IB70</f>
        <v>0</v>
      </c>
      <c r="IC31" s="7">
        <f>Financials!IC70</f>
        <v>0</v>
      </c>
      <c r="ID31" s="7">
        <f>Financials!ID70</f>
        <v>0</v>
      </c>
      <c r="IE31" s="7">
        <f>Financials!IE70</f>
        <v>0</v>
      </c>
      <c r="IF31" s="7">
        <f>Financials!IF70</f>
        <v>0</v>
      </c>
      <c r="IG31" s="7">
        <f>Financials!IG70</f>
        <v>0</v>
      </c>
      <c r="IH31" s="7">
        <f>Financials!IH70</f>
        <v>0</v>
      </c>
      <c r="II31" s="7">
        <f>Financials!II70</f>
        <v>0</v>
      </c>
      <c r="IJ31" s="7">
        <f>Financials!IJ70</f>
        <v>0</v>
      </c>
      <c r="IK31" s="7">
        <f>Financials!IK70</f>
        <v>0</v>
      </c>
      <c r="IL31" s="7">
        <f>Financials!IL70</f>
        <v>0</v>
      </c>
      <c r="IM31" s="7">
        <f>Financials!IM70</f>
        <v>0</v>
      </c>
      <c r="IN31" s="7">
        <f>Financials!IN70</f>
        <v>0</v>
      </c>
      <c r="IO31" s="7">
        <f>Financials!IO70</f>
        <v>0</v>
      </c>
      <c r="IP31" s="7">
        <f>Financials!IP70</f>
        <v>0</v>
      </c>
      <c r="IQ31" s="7">
        <f>Financials!IQ70</f>
        <v>0</v>
      </c>
      <c r="IR31" s="7">
        <f>Financials!IR70</f>
        <v>0</v>
      </c>
      <c r="IS31" s="7">
        <f>Financials!IS70</f>
        <v>0</v>
      </c>
      <c r="IT31" s="7">
        <f>Financials!IT70</f>
        <v>0</v>
      </c>
      <c r="IU31" s="7">
        <f>Financials!IU70</f>
        <v>0</v>
      </c>
      <c r="IV31" s="7">
        <f>Financials!IV70</f>
        <v>0</v>
      </c>
      <c r="IW31" s="7">
        <f>Financials!IW70</f>
        <v>0</v>
      </c>
      <c r="IX31" s="7">
        <f>Financials!IX70</f>
        <v>0</v>
      </c>
      <c r="IY31" s="7">
        <f>Financials!IY70</f>
        <v>0</v>
      </c>
      <c r="IZ31" s="7">
        <f>Financials!IZ70</f>
        <v>0</v>
      </c>
      <c r="JA31" s="7">
        <f>Financials!JA70</f>
        <v>0</v>
      </c>
      <c r="JB31" s="7">
        <f>Financials!JB70</f>
        <v>0</v>
      </c>
      <c r="JC31" s="7">
        <f>Financials!JC70</f>
        <v>0</v>
      </c>
      <c r="JD31" s="7">
        <f>Financials!JD70</f>
        <v>0</v>
      </c>
      <c r="JE31" s="7">
        <f>Financials!JE70</f>
        <v>0</v>
      </c>
      <c r="JF31" s="7">
        <f>Financials!JF70</f>
        <v>0</v>
      </c>
      <c r="JG31" s="7">
        <f>Financials!JG70</f>
        <v>0</v>
      </c>
      <c r="JH31" s="7">
        <f>Financials!JH70</f>
        <v>0</v>
      </c>
      <c r="JI31" s="7">
        <f>Financials!JI70</f>
        <v>0</v>
      </c>
      <c r="JJ31" s="7">
        <f>Financials!JJ70</f>
        <v>0</v>
      </c>
      <c r="JK31" s="7">
        <f>Financials!JK70</f>
        <v>0</v>
      </c>
      <c r="JL31" s="7">
        <f>Financials!JL70</f>
        <v>0</v>
      </c>
      <c r="JM31" s="7">
        <f>Financials!JM70</f>
        <v>0</v>
      </c>
      <c r="JN31" s="7">
        <f>Financials!JN70</f>
        <v>0</v>
      </c>
      <c r="JO31" s="7">
        <f>Financials!JO70</f>
        <v>0</v>
      </c>
      <c r="JP31" s="7">
        <f>Financials!JP70</f>
        <v>0</v>
      </c>
      <c r="JQ31" s="7">
        <f>Financials!JQ70</f>
        <v>0</v>
      </c>
      <c r="JR31" s="7">
        <f>Financials!JR70</f>
        <v>0</v>
      </c>
    </row>
    <row r="32" spans="2:279" x14ac:dyDescent="0.2">
      <c r="B32" s="1" t="s">
        <v>15</v>
      </c>
      <c r="C32" s="7">
        <f>-Financials!C100</f>
        <v>0</v>
      </c>
      <c r="D32" s="7">
        <f>-Financials!D100</f>
        <v>0</v>
      </c>
      <c r="E32" s="7">
        <f>-Financials!E100</f>
        <v>0</v>
      </c>
      <c r="F32" s="7">
        <f>-Financials!F100</f>
        <v>0</v>
      </c>
      <c r="G32" s="7">
        <f>-Financials!G100</f>
        <v>0</v>
      </c>
      <c r="H32" s="7">
        <f>-Financials!H100</f>
        <v>0</v>
      </c>
      <c r="I32" s="7">
        <f>-Financials!I100</f>
        <v>0</v>
      </c>
      <c r="J32" s="7">
        <f>-Financials!J100</f>
        <v>0</v>
      </c>
      <c r="K32" s="7">
        <f>-Financials!K100</f>
        <v>0</v>
      </c>
      <c r="L32" s="7">
        <f>-Financials!L100</f>
        <v>0</v>
      </c>
      <c r="M32" s="7">
        <f>-Financials!M100</f>
        <v>0</v>
      </c>
      <c r="N32" s="7">
        <f>-Financials!N100</f>
        <v>0</v>
      </c>
      <c r="O32" s="7">
        <f>-Financials!O100</f>
        <v>0</v>
      </c>
      <c r="P32" s="7">
        <f>-Financials!P100</f>
        <v>0</v>
      </c>
      <c r="Q32" s="7">
        <f>-Financials!Q100</f>
        <v>0</v>
      </c>
      <c r="R32" s="7">
        <f>-Financials!R100</f>
        <v>0</v>
      </c>
      <c r="S32" s="7">
        <f>-Financials!S100</f>
        <v>0</v>
      </c>
      <c r="T32" s="7">
        <f>-Financials!T100</f>
        <v>0</v>
      </c>
      <c r="U32" s="7">
        <f>-Financials!U100</f>
        <v>0</v>
      </c>
      <c r="V32" s="7">
        <f>-Financials!V100</f>
        <v>0</v>
      </c>
      <c r="W32" s="7">
        <f>-Financials!W100</f>
        <v>0</v>
      </c>
      <c r="X32" s="7">
        <f>-Financials!X100</f>
        <v>0</v>
      </c>
      <c r="Y32" s="7">
        <f>-Financials!Y100</f>
        <v>0</v>
      </c>
      <c r="Z32" s="7">
        <f>-Financials!Z100</f>
        <v>0</v>
      </c>
      <c r="AA32" s="7">
        <f>-Financials!AA100</f>
        <v>0</v>
      </c>
      <c r="AB32" s="7">
        <f>-Financials!AB100</f>
        <v>0</v>
      </c>
      <c r="AC32" s="7">
        <f>-Financials!AC100</f>
        <v>0</v>
      </c>
      <c r="AD32" s="7">
        <f>-Financials!AD100</f>
        <v>0</v>
      </c>
      <c r="AE32" s="7">
        <f>-Financials!AE100</f>
        <v>0</v>
      </c>
      <c r="AF32" s="7">
        <f>-Financials!AF100</f>
        <v>0</v>
      </c>
      <c r="AG32" s="7">
        <f>-Financials!AG100</f>
        <v>0</v>
      </c>
      <c r="AH32" s="7">
        <f>-Financials!AH100</f>
        <v>0</v>
      </c>
      <c r="AI32" s="7">
        <f>-Financials!AI100</f>
        <v>0</v>
      </c>
      <c r="AJ32" s="7">
        <f>-Financials!AJ100</f>
        <v>0</v>
      </c>
      <c r="AK32" s="7">
        <f>-Financials!AK100</f>
        <v>0</v>
      </c>
      <c r="AL32" s="7">
        <f>-Financials!AL100</f>
        <v>0</v>
      </c>
      <c r="AM32" s="7">
        <f>-Financials!AM100</f>
        <v>0</v>
      </c>
      <c r="AN32" s="7">
        <f>-Financials!AN100</f>
        <v>0</v>
      </c>
      <c r="AO32" s="7">
        <f>-Financials!AO100</f>
        <v>0</v>
      </c>
      <c r="AP32" s="7">
        <f>-Financials!AP100</f>
        <v>0</v>
      </c>
      <c r="AQ32" s="7">
        <f>-Financials!AQ100</f>
        <v>0</v>
      </c>
      <c r="AR32" s="7">
        <f>-Financials!AR100</f>
        <v>0</v>
      </c>
      <c r="AS32" s="7">
        <f>-Financials!AS100</f>
        <v>0</v>
      </c>
      <c r="AT32" s="7">
        <f>-Financials!AT100</f>
        <v>0</v>
      </c>
      <c r="AU32" s="7">
        <f>-Financials!AU100</f>
        <v>0</v>
      </c>
      <c r="AV32" s="7">
        <f>-Financials!AV100</f>
        <v>0</v>
      </c>
      <c r="AW32" s="7">
        <f>-Financials!AW100</f>
        <v>0</v>
      </c>
      <c r="AX32" s="7">
        <f>-Financials!AX100</f>
        <v>0</v>
      </c>
      <c r="AY32" s="7">
        <f>-Financials!AY100</f>
        <v>0</v>
      </c>
      <c r="AZ32" s="7">
        <f>-Financials!AZ100</f>
        <v>0</v>
      </c>
      <c r="BA32" s="7">
        <f>-Financials!BA100</f>
        <v>0</v>
      </c>
      <c r="BB32" s="7">
        <f>-Financials!BB100</f>
        <v>0</v>
      </c>
      <c r="BC32" s="7">
        <f>-Financials!BC100</f>
        <v>0</v>
      </c>
      <c r="BD32" s="7">
        <f>-Financials!BD100</f>
        <v>0</v>
      </c>
      <c r="BE32" s="7">
        <f>-Financials!BE100</f>
        <v>0</v>
      </c>
      <c r="BF32" s="7">
        <f>-Financials!BF100</f>
        <v>0</v>
      </c>
      <c r="BG32" s="7">
        <f>-Financials!BG100</f>
        <v>0</v>
      </c>
      <c r="BH32" s="7">
        <f>-Financials!BH100</f>
        <v>0</v>
      </c>
      <c r="BI32" s="7">
        <f>-Financials!BI100</f>
        <v>0</v>
      </c>
      <c r="BJ32" s="7">
        <f>-Financials!BJ100</f>
        <v>0</v>
      </c>
      <c r="BK32" s="7">
        <f>-Financials!BK100</f>
        <v>0</v>
      </c>
      <c r="BL32" s="7">
        <f>-Financials!BL100</f>
        <v>0</v>
      </c>
      <c r="BM32" s="7">
        <f>-Financials!BM100</f>
        <v>0</v>
      </c>
      <c r="BN32" s="7">
        <f>-Financials!BN100</f>
        <v>0</v>
      </c>
      <c r="BO32" s="7">
        <f>-Financials!BO100</f>
        <v>0</v>
      </c>
      <c r="BP32" s="7">
        <f>-Financials!BP100</f>
        <v>0</v>
      </c>
      <c r="BQ32" s="7">
        <f>-Financials!BQ100</f>
        <v>0</v>
      </c>
      <c r="BR32" s="7">
        <f>-Financials!BR100</f>
        <v>0</v>
      </c>
      <c r="BS32" s="7">
        <f>-Financials!BS100</f>
        <v>0</v>
      </c>
      <c r="BT32" s="7">
        <f>-Financials!BT100</f>
        <v>0</v>
      </c>
      <c r="BU32" s="7">
        <f>-Financials!BU100</f>
        <v>0</v>
      </c>
      <c r="BV32" s="7">
        <f>-Financials!BV100</f>
        <v>0</v>
      </c>
      <c r="BW32" s="7">
        <f>-Financials!BW100</f>
        <v>0</v>
      </c>
      <c r="BX32" s="7">
        <f>-Financials!BX100</f>
        <v>0</v>
      </c>
      <c r="BY32" s="7">
        <f>-Financials!BY100</f>
        <v>0</v>
      </c>
      <c r="BZ32" s="7">
        <f>-Financials!BZ100</f>
        <v>0</v>
      </c>
      <c r="CA32" s="7">
        <f>-Financials!CA100</f>
        <v>0</v>
      </c>
      <c r="CB32" s="7">
        <f>-Financials!CB100</f>
        <v>0</v>
      </c>
      <c r="CC32" s="7">
        <f>-Financials!CC100</f>
        <v>0</v>
      </c>
      <c r="CD32" s="7">
        <f>-Financials!CD100</f>
        <v>0</v>
      </c>
      <c r="CE32" s="7">
        <f>-Financials!CE100</f>
        <v>0</v>
      </c>
      <c r="CF32" s="7">
        <f>-Financials!CF100</f>
        <v>0</v>
      </c>
      <c r="CG32" s="7">
        <f>-Financials!CG100</f>
        <v>0</v>
      </c>
      <c r="CH32" s="7">
        <f>-Financials!CH100</f>
        <v>0</v>
      </c>
      <c r="CI32" s="7">
        <f>-Financials!CI100</f>
        <v>-83333.333333333328</v>
      </c>
      <c r="CJ32" s="7">
        <f>-Financials!CJ100</f>
        <v>-83333.333333333328</v>
      </c>
      <c r="CK32" s="7">
        <f>-Financials!CK100</f>
        <v>-83333.333333333328</v>
      </c>
      <c r="CL32" s="7">
        <f>-Financials!CL100</f>
        <v>-83333.333333333328</v>
      </c>
      <c r="CM32" s="7">
        <f>-Financials!CM100</f>
        <v>-83333.333333333328</v>
      </c>
      <c r="CN32" s="7">
        <f>-Financials!CN100</f>
        <v>-83333.333333333328</v>
      </c>
      <c r="CO32" s="7">
        <f>-Financials!CO100</f>
        <v>-83333.333333333328</v>
      </c>
      <c r="CP32" s="7">
        <f>-Financials!CP100</f>
        <v>-83333.333333333328</v>
      </c>
      <c r="CQ32" s="7">
        <f>-Financials!CQ100</f>
        <v>-83333.333333333328</v>
      </c>
      <c r="CR32" s="7">
        <f>-Financials!CR100</f>
        <v>-83333.333333333328</v>
      </c>
      <c r="CS32" s="7">
        <f>-Financials!CS100</f>
        <v>-83333.333333333328</v>
      </c>
      <c r="CT32" s="7">
        <f>-Financials!CT100</f>
        <v>-83333.333333333328</v>
      </c>
      <c r="CU32" s="7">
        <f>-Financials!CU100</f>
        <v>-83333.333333333328</v>
      </c>
      <c r="CV32" s="7">
        <f>-Financials!CV100</f>
        <v>-83333.333333333328</v>
      </c>
      <c r="CW32" s="7">
        <f>-Financials!CW100</f>
        <v>-83333.333333333328</v>
      </c>
      <c r="CX32" s="7">
        <f>-Financials!CX100</f>
        <v>-83333.333333333328</v>
      </c>
      <c r="CY32" s="7">
        <f>-Financials!CY100</f>
        <v>-83333.333333333328</v>
      </c>
      <c r="CZ32" s="7">
        <f>-Financials!CZ100</f>
        <v>-83333.333333333328</v>
      </c>
      <c r="DA32" s="7">
        <f>-Financials!DA100</f>
        <v>-83333.333333333328</v>
      </c>
      <c r="DB32" s="7">
        <f>-Financials!DB100</f>
        <v>-83333.333333333328</v>
      </c>
      <c r="DC32" s="7">
        <f>-Financials!DC100</f>
        <v>-83333.333333333328</v>
      </c>
      <c r="DD32" s="7">
        <f>-Financials!DD100</f>
        <v>-83333.333333333328</v>
      </c>
      <c r="DE32" s="7">
        <f>-Financials!DE100</f>
        <v>-83333.333333333328</v>
      </c>
      <c r="DF32" s="7">
        <f>-Financials!DF100</f>
        <v>-83333.333333333328</v>
      </c>
      <c r="DG32" s="7">
        <f>-Financials!DG100</f>
        <v>-83333.333333333328</v>
      </c>
      <c r="DH32" s="7">
        <f>-Financials!DH100</f>
        <v>-83333.333333333328</v>
      </c>
      <c r="DI32" s="7">
        <f>-Financials!DI100</f>
        <v>-83333.333333333328</v>
      </c>
      <c r="DJ32" s="7">
        <f>-Financials!DJ100</f>
        <v>-83333.333333333328</v>
      </c>
      <c r="DK32" s="7">
        <f>-Financials!DK100</f>
        <v>-83333.333333333328</v>
      </c>
      <c r="DL32" s="7">
        <f>-Financials!DL100</f>
        <v>-83333.333333333328</v>
      </c>
      <c r="DM32" s="7">
        <f>-Financials!DM100</f>
        <v>-83333.333333333328</v>
      </c>
      <c r="DN32" s="7">
        <f>-Financials!DN100</f>
        <v>-83333.333333333328</v>
      </c>
      <c r="DO32" s="7">
        <f>-Financials!DO100</f>
        <v>-83333.333333333328</v>
      </c>
      <c r="DP32" s="7">
        <f>-Financials!DP100</f>
        <v>-83333.333333333328</v>
      </c>
      <c r="DQ32" s="7">
        <f>-Financials!DQ100</f>
        <v>-83333.333333333328</v>
      </c>
      <c r="DR32" s="7">
        <f>-Financials!DR100</f>
        <v>-83333.333333333328</v>
      </c>
      <c r="DS32" s="7">
        <f>-Financials!DS100</f>
        <v>-83333.333333333328</v>
      </c>
      <c r="DT32" s="7">
        <f>-Financials!DT100</f>
        <v>-83333.333333333328</v>
      </c>
      <c r="DU32" s="7">
        <f>-Financials!DU100</f>
        <v>-83333.333333333328</v>
      </c>
      <c r="DV32" s="7">
        <f>-Financials!DV100</f>
        <v>-83333.333333333328</v>
      </c>
      <c r="DW32" s="7">
        <f>-Financials!DW100</f>
        <v>-83333.333333333328</v>
      </c>
      <c r="DX32" s="7">
        <f>-Financials!DX100</f>
        <v>-83333.333333333328</v>
      </c>
      <c r="DY32" s="7">
        <f>-Financials!DY100</f>
        <v>-83333.333333333328</v>
      </c>
      <c r="DZ32" s="7">
        <f>-Financials!DZ100</f>
        <v>-83333.333333333328</v>
      </c>
      <c r="EA32" s="7">
        <f>-Financials!EA100</f>
        <v>-83333.333333333328</v>
      </c>
      <c r="EB32" s="7">
        <f>-Financials!EB100</f>
        <v>-83333.333333333328</v>
      </c>
      <c r="EC32" s="7">
        <f>-Financials!EC100</f>
        <v>-83333.333333333328</v>
      </c>
      <c r="ED32" s="7">
        <f>-Financials!ED100</f>
        <v>-83333.333333333328</v>
      </c>
      <c r="EE32" s="7">
        <f>-Financials!EE100</f>
        <v>-83333.333333333328</v>
      </c>
      <c r="EF32" s="7">
        <f>-Financials!EF100</f>
        <v>-83333.333333333328</v>
      </c>
      <c r="EG32" s="7">
        <f>-Financials!EG100</f>
        <v>-83333.333333333328</v>
      </c>
      <c r="EH32" s="7">
        <f>-Financials!EH100</f>
        <v>-83333.333333333328</v>
      </c>
      <c r="EI32" s="7">
        <f>-Financials!EI100</f>
        <v>-83333.333333333328</v>
      </c>
      <c r="EJ32" s="7">
        <f>-Financials!EJ100</f>
        <v>-83333.333333333328</v>
      </c>
      <c r="EK32" s="7">
        <f>-Financials!EK100</f>
        <v>-83333.333333333328</v>
      </c>
      <c r="EL32" s="7">
        <f>-Financials!EL100</f>
        <v>-83333.333333333328</v>
      </c>
      <c r="EM32" s="7">
        <f>-Financials!EM100</f>
        <v>-83333.333333333328</v>
      </c>
      <c r="EN32" s="7">
        <f>-Financials!EN100</f>
        <v>-83333.333333333328</v>
      </c>
      <c r="EO32" s="7">
        <f>-Financials!EO100</f>
        <v>-83333.333333333328</v>
      </c>
      <c r="EP32" s="7">
        <f>-Financials!EP100</f>
        <v>-83333.333333333328</v>
      </c>
      <c r="EQ32" s="7">
        <f>-Financials!EQ100</f>
        <v>-83333.333333333328</v>
      </c>
      <c r="ER32" s="7">
        <f>-Financials!ER100</f>
        <v>-83333.333333333328</v>
      </c>
      <c r="ES32" s="7">
        <f>-Financials!ES100</f>
        <v>-83333.333333333328</v>
      </c>
      <c r="ET32" s="7">
        <f>-Financials!ET100</f>
        <v>-83333.333333333328</v>
      </c>
      <c r="EU32" s="7">
        <f>-Financials!EU100</f>
        <v>-83333.333333333328</v>
      </c>
      <c r="EV32" s="7">
        <f>-Financials!EV100</f>
        <v>-83333.333333333328</v>
      </c>
      <c r="EW32" s="7">
        <f>-Financials!EW100</f>
        <v>-83333.333333333328</v>
      </c>
      <c r="EX32" s="7">
        <f>-Financials!EX100</f>
        <v>-83333.333333333328</v>
      </c>
      <c r="EY32" s="7">
        <f>-Financials!EY100</f>
        <v>-83333.333333333328</v>
      </c>
      <c r="EZ32" s="7">
        <f>-Financials!EZ100</f>
        <v>-83333.333333333328</v>
      </c>
      <c r="FA32" s="7">
        <f>-Financials!FA100</f>
        <v>-83333.333333333328</v>
      </c>
      <c r="FB32" s="7">
        <f>-Financials!FB100</f>
        <v>-83333.333333333328</v>
      </c>
      <c r="FC32" s="7">
        <f>-Financials!FC100</f>
        <v>-83333.333333333328</v>
      </c>
      <c r="FD32" s="7">
        <f>-Financials!FD100</f>
        <v>-83333.333333333328</v>
      </c>
      <c r="FE32" s="7">
        <f>-Financials!FE100</f>
        <v>-83333.333333333328</v>
      </c>
      <c r="FF32" s="7">
        <f>-Financials!FF100</f>
        <v>-83333.333333333328</v>
      </c>
      <c r="FG32" s="7">
        <f>-Financials!FG100</f>
        <v>-83333.333333333328</v>
      </c>
      <c r="FH32" s="7">
        <f>-Financials!FH100</f>
        <v>-83333.333333333328</v>
      </c>
      <c r="FI32" s="7">
        <f>-Financials!FI100</f>
        <v>-83333.333333333328</v>
      </c>
      <c r="FJ32" s="7">
        <f>-Financials!FJ100</f>
        <v>-83333.333333333328</v>
      </c>
      <c r="FK32" s="7">
        <f>-Financials!FK100</f>
        <v>-83333.333333333328</v>
      </c>
      <c r="FL32" s="7">
        <f>-Financials!FL100</f>
        <v>-83333.333333333328</v>
      </c>
      <c r="FM32" s="7">
        <f>-Financials!FM100</f>
        <v>-83333.333333333328</v>
      </c>
      <c r="FN32" s="7">
        <f>-Financials!FN100</f>
        <v>-83333.333333333328</v>
      </c>
      <c r="FO32" s="7">
        <f>-Financials!FO100</f>
        <v>-83333.333333333328</v>
      </c>
      <c r="FP32" s="7">
        <f>-Financials!FP100</f>
        <v>-83333.333333333328</v>
      </c>
      <c r="FQ32" s="7">
        <f>-Financials!FQ100</f>
        <v>-83333.333333333328</v>
      </c>
      <c r="FR32" s="7">
        <f>-Financials!FR100</f>
        <v>-83333.333333333328</v>
      </c>
      <c r="FS32" s="7">
        <f>-Financials!FS100</f>
        <v>-83333.333333333328</v>
      </c>
      <c r="FT32" s="7">
        <f>-Financials!FT100</f>
        <v>-83333.333333333328</v>
      </c>
      <c r="FU32" s="7">
        <f>-Financials!FU100</f>
        <v>-83333.333333333328</v>
      </c>
      <c r="FV32" s="7">
        <f>-Financials!FV100</f>
        <v>-83333.333333333328</v>
      </c>
      <c r="FW32" s="7">
        <f>-Financials!FW100</f>
        <v>-83333.333333333328</v>
      </c>
      <c r="FX32" s="7">
        <f>-Financials!FX100</f>
        <v>-83333.333333333328</v>
      </c>
      <c r="FY32" s="7">
        <f>-Financials!FY100</f>
        <v>-83333.333333333328</v>
      </c>
      <c r="FZ32" s="7">
        <f>-Financials!FZ100</f>
        <v>-83333.333333333328</v>
      </c>
      <c r="GA32" s="7">
        <f>-Financials!GA100</f>
        <v>-83333.333333333328</v>
      </c>
      <c r="GB32" s="7">
        <f>-Financials!GB100</f>
        <v>-83333.333333333328</v>
      </c>
      <c r="GC32" s="7">
        <f>-Financials!GC100</f>
        <v>-83333.333333333328</v>
      </c>
      <c r="GD32" s="7">
        <f>-Financials!GD100</f>
        <v>-83333.333333333328</v>
      </c>
      <c r="GE32" s="7">
        <f>-Financials!GE100</f>
        <v>-83333.333333333328</v>
      </c>
      <c r="GF32" s="7">
        <f>-Financials!GF100</f>
        <v>-83333.333333333328</v>
      </c>
      <c r="GG32" s="7">
        <f>-Financials!GG100</f>
        <v>-83333.333333333328</v>
      </c>
      <c r="GH32" s="7">
        <f>-Financials!GH100</f>
        <v>-83333.333333333328</v>
      </c>
      <c r="GI32" s="7">
        <f>-Financials!GI100</f>
        <v>-83333.333333333328</v>
      </c>
      <c r="GJ32" s="7">
        <f>-Financials!GJ100</f>
        <v>-83333.333333333328</v>
      </c>
      <c r="GK32" s="7">
        <f>-Financials!GK100</f>
        <v>-83333.333333333328</v>
      </c>
      <c r="GL32" s="7">
        <f>-Financials!GL100</f>
        <v>-83333.333333333328</v>
      </c>
      <c r="GM32" s="7">
        <f>-Financials!GM100</f>
        <v>-83333.333333333328</v>
      </c>
      <c r="GN32" s="7">
        <f>-Financials!GN100</f>
        <v>-83333.333333333328</v>
      </c>
      <c r="GO32" s="7">
        <f>-Financials!GO100</f>
        <v>-83333.333333333328</v>
      </c>
      <c r="GP32" s="7">
        <f>-Financials!GP100</f>
        <v>-83333.333333333328</v>
      </c>
      <c r="GQ32" s="7">
        <f>-Financials!GQ100</f>
        <v>-83333.333333333328</v>
      </c>
      <c r="GR32" s="7">
        <f>-Financials!GR100</f>
        <v>-83333.333333333328</v>
      </c>
      <c r="GS32" s="7">
        <f>-Financials!GS100</f>
        <v>-83333.333333333328</v>
      </c>
      <c r="GT32" s="7">
        <f>-Financials!GT100</f>
        <v>-83333.333333333328</v>
      </c>
      <c r="GU32" s="7">
        <f>-Financials!GU100</f>
        <v>-83333.333333333328</v>
      </c>
      <c r="GV32" s="7">
        <f>-Financials!GV100</f>
        <v>-83333.333333333328</v>
      </c>
      <c r="GW32" s="7">
        <f>-Financials!GW100</f>
        <v>-83333.333333333328</v>
      </c>
      <c r="GX32" s="7">
        <f>-Financials!GX100</f>
        <v>-83333.333333333328</v>
      </c>
      <c r="GY32" s="7">
        <f>-Financials!GY100</f>
        <v>-83333.333333333328</v>
      </c>
      <c r="GZ32" s="7">
        <f>-Financials!GZ100</f>
        <v>-83333.333333333328</v>
      </c>
      <c r="HA32" s="7">
        <f>-Financials!HA100</f>
        <v>-83333.333333333328</v>
      </c>
      <c r="HB32" s="7">
        <f>-Financials!HB100</f>
        <v>-83333.333333333328</v>
      </c>
      <c r="HC32" s="7">
        <f>-Financials!HC100</f>
        <v>-83333.333333333328</v>
      </c>
      <c r="HD32" s="7">
        <f>-Financials!HD100</f>
        <v>-83333.333333333328</v>
      </c>
      <c r="HE32" s="7">
        <f>-Financials!HE100</f>
        <v>-83333.333333333328</v>
      </c>
      <c r="HF32" s="7">
        <f>-Financials!HF100</f>
        <v>-83333.333333333328</v>
      </c>
      <c r="HG32" s="7">
        <f>-Financials!HG100</f>
        <v>-83333.333333333328</v>
      </c>
      <c r="HH32" s="7">
        <f>-Financials!HH100</f>
        <v>-83333.333333333328</v>
      </c>
      <c r="HI32" s="7">
        <f>-Financials!HI100</f>
        <v>-83333.333333333328</v>
      </c>
      <c r="HJ32" s="7">
        <f>-Financials!HJ100</f>
        <v>-83333.333333333328</v>
      </c>
      <c r="HK32" s="7">
        <f>-Financials!HK100</f>
        <v>-83333.333333333328</v>
      </c>
      <c r="HL32" s="7">
        <f>-Financials!HL100</f>
        <v>-83333.333333333328</v>
      </c>
      <c r="HM32" s="7">
        <f>-Financials!HM100</f>
        <v>-83333.333333333328</v>
      </c>
      <c r="HN32" s="7">
        <f>-Financials!HN100</f>
        <v>-83333.333333333328</v>
      </c>
      <c r="HO32" s="7">
        <f>-Financials!HO100</f>
        <v>-83333.333333333328</v>
      </c>
      <c r="HP32" s="7">
        <f>-Financials!HP100</f>
        <v>-83333.333333333328</v>
      </c>
      <c r="HQ32" s="7">
        <f>-Financials!HQ100</f>
        <v>-83333.333333333328</v>
      </c>
      <c r="HR32" s="7">
        <f>-Financials!HR100</f>
        <v>-83333.333333333328</v>
      </c>
      <c r="HS32" s="7">
        <f>-Financials!HS100</f>
        <v>-83333.333333333328</v>
      </c>
      <c r="HT32" s="7">
        <f>-Financials!HT100</f>
        <v>-83333.333333333328</v>
      </c>
      <c r="HU32" s="7">
        <f>-Financials!HU100</f>
        <v>-83333.333333333328</v>
      </c>
      <c r="HV32" s="7">
        <f>-Financials!HV100</f>
        <v>-83333.333333333328</v>
      </c>
      <c r="HW32" s="7">
        <f>-Financials!HW100</f>
        <v>-83333.333333333328</v>
      </c>
      <c r="HX32" s="7">
        <f>-Financials!HX100</f>
        <v>-83333.333333333328</v>
      </c>
      <c r="HY32" s="7">
        <f>-Financials!HY100</f>
        <v>-83333.333333333328</v>
      </c>
      <c r="HZ32" s="7">
        <f>-Financials!HZ100</f>
        <v>-83333.333333333328</v>
      </c>
      <c r="IA32" s="7">
        <f>-Financials!IA100</f>
        <v>-83333.333333333328</v>
      </c>
      <c r="IB32" s="7">
        <f>-Financials!IB100</f>
        <v>-83333.333333333328</v>
      </c>
      <c r="IC32" s="7">
        <f>-Financials!IC100</f>
        <v>-83333.333333333328</v>
      </c>
      <c r="ID32" s="7">
        <f>-Financials!ID100</f>
        <v>-83333.333333333328</v>
      </c>
      <c r="IE32" s="7">
        <f>-Financials!IE100</f>
        <v>-83333.333333333328</v>
      </c>
      <c r="IF32" s="7">
        <f>-Financials!IF100</f>
        <v>-83333.333333333328</v>
      </c>
      <c r="IG32" s="7">
        <f>-Financials!IG100</f>
        <v>-83333.333333333328</v>
      </c>
      <c r="IH32" s="7">
        <f>-Financials!IH100</f>
        <v>-83333.333333333328</v>
      </c>
      <c r="II32" s="7">
        <f>-Financials!II100</f>
        <v>-83333.333333333328</v>
      </c>
      <c r="IJ32" s="7">
        <f>-Financials!IJ100</f>
        <v>-83333.333333333328</v>
      </c>
      <c r="IK32" s="7">
        <f>-Financials!IK100</f>
        <v>-83333.333333333328</v>
      </c>
      <c r="IL32" s="7">
        <f>-Financials!IL100</f>
        <v>-83333.333333333328</v>
      </c>
      <c r="IM32" s="7">
        <f>-Financials!IM100</f>
        <v>-83333.333333333328</v>
      </c>
      <c r="IN32" s="7">
        <f>-Financials!IN100</f>
        <v>-83333.333333333328</v>
      </c>
      <c r="IO32" s="7">
        <f>-Financials!IO100</f>
        <v>-83333.333333333328</v>
      </c>
      <c r="IP32" s="7">
        <f>-Financials!IP100</f>
        <v>-83333.333333333328</v>
      </c>
      <c r="IQ32" s="7">
        <f>-Financials!IQ100</f>
        <v>-83333.333333333328</v>
      </c>
      <c r="IR32" s="7">
        <f>-Financials!IR100</f>
        <v>-83333.333333333328</v>
      </c>
      <c r="IS32" s="7">
        <f>-Financials!IS100</f>
        <v>-83333.333333333328</v>
      </c>
      <c r="IT32" s="7">
        <f>-Financials!IT100</f>
        <v>-83333.333333333328</v>
      </c>
      <c r="IU32" s="7">
        <f>-Financials!IU100</f>
        <v>-83333.333333333328</v>
      </c>
      <c r="IV32" s="7">
        <f>-Financials!IV100</f>
        <v>-83333.333333333328</v>
      </c>
      <c r="IW32" s="7">
        <f>-Financials!IW100</f>
        <v>-83333.333333333328</v>
      </c>
      <c r="IX32" s="7">
        <f>-Financials!IX100</f>
        <v>-83333.333333333328</v>
      </c>
      <c r="IY32" s="7">
        <f>-Financials!IY100</f>
        <v>-83333.333333333328</v>
      </c>
      <c r="IZ32" s="7">
        <f>-Financials!IZ100</f>
        <v>-83333.333333333328</v>
      </c>
      <c r="JA32" s="7">
        <f>-Financials!JA100</f>
        <v>-83333.333333333328</v>
      </c>
      <c r="JB32" s="7">
        <f>-Financials!JB100</f>
        <v>-83333.333333333328</v>
      </c>
      <c r="JC32" s="7">
        <f>-Financials!JC100</f>
        <v>-83333.333333333328</v>
      </c>
      <c r="JD32" s="7">
        <f>-Financials!JD100</f>
        <v>-83333.333333333328</v>
      </c>
      <c r="JE32" s="7">
        <f>-Financials!JE100</f>
        <v>-83333.333333333328</v>
      </c>
      <c r="JF32" s="7">
        <f>-Financials!JF100</f>
        <v>-83333.333333333328</v>
      </c>
      <c r="JG32" s="7">
        <f>-Financials!JG100</f>
        <v>-83333.333333333328</v>
      </c>
      <c r="JH32" s="7">
        <f>-Financials!JH100</f>
        <v>-83333.333333333328</v>
      </c>
      <c r="JI32" s="7">
        <f>-Financials!JI100</f>
        <v>-83333.333333333328</v>
      </c>
      <c r="JJ32" s="7">
        <f>-Financials!JJ100</f>
        <v>-83333.333333333328</v>
      </c>
      <c r="JK32" s="7">
        <f>-Financials!JK100</f>
        <v>-83333.333333333328</v>
      </c>
      <c r="JL32" s="7">
        <f>-Financials!JL100</f>
        <v>-83333.333333333328</v>
      </c>
      <c r="JM32" s="7">
        <f>-Financials!JM100</f>
        <v>-83333.333333333328</v>
      </c>
      <c r="JN32" s="7">
        <f>-Financials!JN100</f>
        <v>-83333.333333333328</v>
      </c>
      <c r="JO32" s="7">
        <f>-Financials!JO100</f>
        <v>-83333.333333333328</v>
      </c>
      <c r="JP32" s="7">
        <f>-Financials!JP100</f>
        <v>-83333.333333333328</v>
      </c>
      <c r="JQ32" s="7">
        <f>-Financials!JQ100</f>
        <v>-83333.333333333328</v>
      </c>
      <c r="JR32" s="7">
        <f>-Financials!JR100</f>
        <v>-83333.333333333328</v>
      </c>
    </row>
    <row r="33" spans="2:278" x14ac:dyDescent="0.2">
      <c r="B33" s="43" t="s">
        <v>193</v>
      </c>
      <c r="C33" s="95">
        <f>SUM(C28:C32)</f>
        <v>-601983.14987559081</v>
      </c>
      <c r="D33" s="95">
        <f t="shared" ref="D33:BO33" si="712">SUM(D28:D32)</f>
        <v>-601983.14987559081</v>
      </c>
      <c r="E33" s="95">
        <f t="shared" si="712"/>
        <v>-601983.14987559081</v>
      </c>
      <c r="F33" s="95">
        <f t="shared" si="712"/>
        <v>-601983.14987559081</v>
      </c>
      <c r="G33" s="95">
        <f t="shared" si="712"/>
        <v>-601983.14987559069</v>
      </c>
      <c r="H33" s="95">
        <f t="shared" si="712"/>
        <v>-601983.14987559093</v>
      </c>
      <c r="I33" s="95">
        <f t="shared" si="712"/>
        <v>-601983.14987559069</v>
      </c>
      <c r="J33" s="95">
        <f t="shared" si="712"/>
        <v>-601983.14987559081</v>
      </c>
      <c r="K33" s="95">
        <f t="shared" si="712"/>
        <v>-601983.14987559081</v>
      </c>
      <c r="L33" s="95">
        <f t="shared" si="712"/>
        <v>-601983.14987559081</v>
      </c>
      <c r="M33" s="95">
        <f t="shared" si="712"/>
        <v>-601983.14987559081</v>
      </c>
      <c r="N33" s="95">
        <f t="shared" si="712"/>
        <v>-601983.14987559081</v>
      </c>
      <c r="O33" s="95">
        <f t="shared" si="712"/>
        <v>-625951.35646225046</v>
      </c>
      <c r="P33" s="95">
        <f t="shared" si="712"/>
        <v>-625951.35646225046</v>
      </c>
      <c r="Q33" s="95">
        <f t="shared" si="712"/>
        <v>-625951.35646225046</v>
      </c>
      <c r="R33" s="95">
        <f t="shared" si="712"/>
        <v>3159348.504653798</v>
      </c>
      <c r="S33" s="95">
        <f t="shared" si="712"/>
        <v>3318412.4585332605</v>
      </c>
      <c r="T33" s="95">
        <f t="shared" si="712"/>
        <v>3173027.939812582</v>
      </c>
      <c r="U33" s="95">
        <f t="shared" si="712"/>
        <v>3339336.003274655</v>
      </c>
      <c r="V33" s="95">
        <f t="shared" si="712"/>
        <v>3339765.8929435378</v>
      </c>
      <c r="W33" s="95">
        <f t="shared" si="712"/>
        <v>3193634.7914692322</v>
      </c>
      <c r="X33" s="95">
        <f t="shared" si="712"/>
        <v>3354062.2871380746</v>
      </c>
      <c r="Y33" s="95">
        <f t="shared" si="712"/>
        <v>3207431.3888413114</v>
      </c>
      <c r="Z33" s="95">
        <f t="shared" si="712"/>
        <v>3368407.489749386</v>
      </c>
      <c r="AA33" s="95">
        <f t="shared" si="712"/>
        <v>3405893.8725785557</v>
      </c>
      <c r="AB33" s="95">
        <f t="shared" si="712"/>
        <v>2949336.2733800597</v>
      </c>
      <c r="AC33" s="95">
        <f t="shared" si="712"/>
        <v>3420312.5967773143</v>
      </c>
      <c r="AD33" s="95">
        <f t="shared" si="712"/>
        <v>5061404.1159926234</v>
      </c>
      <c r="AE33" s="95">
        <f t="shared" si="712"/>
        <v>5283392.3950110134</v>
      </c>
      <c r="AF33" s="95">
        <f t="shared" si="712"/>
        <v>5075366.4076126665</v>
      </c>
      <c r="AG33" s="95">
        <f t="shared" si="712"/>
        <v>5297909.7276281826</v>
      </c>
      <c r="AH33" s="95">
        <f t="shared" si="712"/>
        <v>5305186.9662038088</v>
      </c>
      <c r="AI33" s="95">
        <f t="shared" si="712"/>
        <v>5096399.3352028783</v>
      </c>
      <c r="AJ33" s="95">
        <f t="shared" si="712"/>
        <v>5319778.6922946004</v>
      </c>
      <c r="AK33" s="95">
        <f t="shared" si="712"/>
        <v>5110481.1820347067</v>
      </c>
      <c r="AL33" s="95">
        <f t="shared" si="712"/>
        <v>5334420.2232539635</v>
      </c>
      <c r="AM33" s="95">
        <f t="shared" si="712"/>
        <v>5374245.2038327139</v>
      </c>
      <c r="AN33" s="95">
        <f t="shared" si="712"/>
        <v>4729344.6300144605</v>
      </c>
      <c r="AO33" s="95">
        <f t="shared" si="712"/>
        <v>5388961.7573287133</v>
      </c>
      <c r="AP33" s="95">
        <f t="shared" si="712"/>
        <v>5365721.800203681</v>
      </c>
      <c r="AQ33" s="95">
        <f t="shared" si="712"/>
        <v>5569661.4973032884</v>
      </c>
      <c r="AR33" s="95">
        <f t="shared" si="712"/>
        <v>5358842.5392149808</v>
      </c>
      <c r="AS33" s="95">
        <f t="shared" si="712"/>
        <v>5585032.2430420322</v>
      </c>
      <c r="AT33" s="95">
        <f t="shared" si="712"/>
        <v>5592737.2594659012</v>
      </c>
      <c r="AU33" s="95">
        <f t="shared" si="712"/>
        <v>5381142.6780979149</v>
      </c>
      <c r="AV33" s="95">
        <f t="shared" si="712"/>
        <v>5608186.6897947369</v>
      </c>
      <c r="AW33" s="95">
        <f t="shared" si="712"/>
        <v>5396072.8705192301</v>
      </c>
      <c r="AX33" s="95">
        <f t="shared" si="712"/>
        <v>5623688.7976929937</v>
      </c>
      <c r="AY33" s="95">
        <f t="shared" si="712"/>
        <v>5666293.5253976379</v>
      </c>
      <c r="AZ33" s="95">
        <f t="shared" si="712"/>
        <v>5232717.5776097151</v>
      </c>
      <c r="BA33" s="95">
        <f t="shared" si="712"/>
        <v>5681874.9828984998</v>
      </c>
      <c r="BB33" s="95">
        <f t="shared" si="712"/>
        <v>5468455.4818318971</v>
      </c>
      <c r="BC33" s="95">
        <f t="shared" si="712"/>
        <v>5697509.5631696321</v>
      </c>
      <c r="BD33" s="95">
        <f t="shared" si="712"/>
        <v>5483564.7393824849</v>
      </c>
      <c r="BE33" s="95">
        <f t="shared" si="712"/>
        <v>5713197.445337452</v>
      </c>
      <c r="BF33" s="95">
        <f t="shared" si="712"/>
        <v>5721061.4307738449</v>
      </c>
      <c r="BG33" s="95">
        <f t="shared" si="712"/>
        <v>5506325.3368642414</v>
      </c>
      <c r="BH33" s="95">
        <f t="shared" si="712"/>
        <v>5736829.6029634411</v>
      </c>
      <c r="BI33" s="95">
        <f t="shared" si="712"/>
        <v>5521563.7964179292</v>
      </c>
      <c r="BJ33" s="95">
        <f t="shared" si="712"/>
        <v>5752651.5274984883</v>
      </c>
      <c r="BK33" s="95">
        <f t="shared" si="712"/>
        <v>5797934.7105466081</v>
      </c>
      <c r="BL33" s="95">
        <f t="shared" si="712"/>
        <v>5133854.2793042706</v>
      </c>
      <c r="BM33" s="95">
        <f t="shared" si="712"/>
        <v>5813837.6036107196</v>
      </c>
      <c r="BN33" s="95">
        <f t="shared" si="712"/>
        <v>5597239.7753559947</v>
      </c>
      <c r="BO33" s="95">
        <f t="shared" si="712"/>
        <v>5829794.703255279</v>
      </c>
      <c r="BP33" s="95">
        <f t="shared" ref="BP33:EA33" si="713">SUM(BP28:BP32)</f>
        <v>5612660.9547672402</v>
      </c>
      <c r="BQ33" s="95">
        <f t="shared" si="713"/>
        <v>5845806.1922415327</v>
      </c>
      <c r="BR33" s="95">
        <f t="shared" si="713"/>
        <v>5853832.3900182229</v>
      </c>
      <c r="BS33" s="95">
        <f t="shared" si="713"/>
        <v>5635891.4088300448</v>
      </c>
      <c r="BT33" s="95">
        <f t="shared" si="713"/>
        <v>5869925.8070356697</v>
      </c>
      <c r="BU33" s="95">
        <f t="shared" si="713"/>
        <v>5651444.4271153547</v>
      </c>
      <c r="BV33" s="95">
        <f t="shared" si="713"/>
        <v>5886074.0729839234</v>
      </c>
      <c r="BW33" s="95">
        <f t="shared" si="713"/>
        <v>5934221.0187158277</v>
      </c>
      <c r="BX33" s="95">
        <f t="shared" si="713"/>
        <v>5260117.8621249385</v>
      </c>
      <c r="BY33" s="95">
        <f t="shared" si="713"/>
        <v>5950451.9049704447</v>
      </c>
      <c r="BZ33" s="95">
        <f t="shared" si="713"/>
        <v>5730611.6319134608</v>
      </c>
      <c r="CA33" s="95">
        <f t="shared" si="713"/>
        <v>5966738.1036078418</v>
      </c>
      <c r="CB33" s="95">
        <f t="shared" si="713"/>
        <v>5746351.0989589542</v>
      </c>
      <c r="CC33" s="95">
        <f t="shared" si="713"/>
        <v>5983079.8010976538</v>
      </c>
      <c r="CD33" s="95">
        <f t="shared" si="713"/>
        <v>5991271.5203549024</v>
      </c>
      <c r="CE33" s="95">
        <f t="shared" si="713"/>
        <v>5770060.9983212408</v>
      </c>
      <c r="CF33" s="95">
        <f t="shared" si="713"/>
        <v>6007696.8171223579</v>
      </c>
      <c r="CG33" s="95">
        <f t="shared" si="713"/>
        <v>5785934.9946267549</v>
      </c>
      <c r="CH33" s="95">
        <f t="shared" si="713"/>
        <v>6024178.0816566683</v>
      </c>
      <c r="CI33" s="95">
        <f t="shared" si="713"/>
        <v>5992053.9898949619</v>
      </c>
      <c r="CJ33" s="95">
        <f t="shared" si="713"/>
        <v>5307725.8408661811</v>
      </c>
      <c r="CK33" s="95">
        <f t="shared" si="713"/>
        <v>6008619.5600285977</v>
      </c>
      <c r="CL33" s="95">
        <f t="shared" si="713"/>
        <v>5785471.4307328146</v>
      </c>
      <c r="CM33" s="95">
        <f t="shared" si="713"/>
        <v>6025241.5707845595</v>
      </c>
      <c r="CN33" s="95">
        <f t="shared" si="713"/>
        <v>5801535.6803767057</v>
      </c>
      <c r="CO33" s="95">
        <f t="shared" si="713"/>
        <v>6041920.2124159243</v>
      </c>
      <c r="CP33" s="95">
        <f t="shared" si="713"/>
        <v>6050280.829438353</v>
      </c>
      <c r="CQ33" s="95">
        <f t="shared" si="713"/>
        <v>5825734.8083535014</v>
      </c>
      <c r="CR33" s="95">
        <f t="shared" si="713"/>
        <v>6067044.7755034762</v>
      </c>
      <c r="CS33" s="95">
        <f t="shared" si="713"/>
        <v>5841936.3322414597</v>
      </c>
      <c r="CT33" s="95">
        <f t="shared" si="713"/>
        <v>6083865.8308724826</v>
      </c>
      <c r="CU33" s="95">
        <f t="shared" si="713"/>
        <v>6138350.079896234</v>
      </c>
      <c r="CV33" s="95">
        <f t="shared" si="713"/>
        <v>5443590.5890626078</v>
      </c>
      <c r="CW33" s="95">
        <f t="shared" si="713"/>
        <v>6155257.1603514431</v>
      </c>
      <c r="CX33" s="95">
        <f t="shared" si="713"/>
        <v>5928734.4434464695</v>
      </c>
      <c r="CY33" s="95">
        <f t="shared" si="713"/>
        <v>6172221.8325598119</v>
      </c>
      <c r="CZ33" s="95">
        <f t="shared" si="713"/>
        <v>5945130.1024581529</v>
      </c>
      <c r="DA33" s="95">
        <f t="shared" si="713"/>
        <v>6189244.2906344058</v>
      </c>
      <c r="DB33" s="95">
        <f t="shared" si="713"/>
        <v>6197777.2502097869</v>
      </c>
      <c r="DC33" s="95">
        <f t="shared" si="713"/>
        <v>5969828.4408994718</v>
      </c>
      <c r="DD33" s="95">
        <f t="shared" si="713"/>
        <v>6214886.752470131</v>
      </c>
      <c r="DE33" s="95">
        <f t="shared" si="713"/>
        <v>5986364.1748423381</v>
      </c>
      <c r="DF33" s="95">
        <f t="shared" si="713"/>
        <v>6232054.5287317606</v>
      </c>
      <c r="DG33" s="95">
        <f t="shared" si="713"/>
        <v>6290041.6967138806</v>
      </c>
      <c r="DH33" s="95">
        <f t="shared" si="713"/>
        <v>5584640.3500362393</v>
      </c>
      <c r="DI33" s="95">
        <f t="shared" si="713"/>
        <v>6307297.2524344726</v>
      </c>
      <c r="DJ33" s="95">
        <f t="shared" si="713"/>
        <v>6077331.8699775925</v>
      </c>
      <c r="DK33" s="95">
        <f t="shared" si="713"/>
        <v>6324611.5743935639</v>
      </c>
      <c r="DL33" s="95">
        <f t="shared" si="713"/>
        <v>6094065.6995992288</v>
      </c>
      <c r="DM33" s="95">
        <f t="shared" si="713"/>
        <v>6341984.8606423317</v>
      </c>
      <c r="DN33" s="95">
        <f t="shared" si="713"/>
        <v>6350693.6774478555</v>
      </c>
      <c r="DO33" s="95">
        <f t="shared" si="713"/>
        <v>6119273.4329080731</v>
      </c>
      <c r="DP33" s="95">
        <f t="shared" si="713"/>
        <v>6368155.7829303322</v>
      </c>
      <c r="DQ33" s="95">
        <f t="shared" si="713"/>
        <v>6136150.1949783936</v>
      </c>
      <c r="DR33" s="95">
        <f t="shared" si="713"/>
        <v>5184310.7565774405</v>
      </c>
      <c r="DS33" s="95">
        <f t="shared" si="713"/>
        <v>5234209.7899033539</v>
      </c>
      <c r="DT33" s="95">
        <f t="shared" si="713"/>
        <v>4659323.1592142927</v>
      </c>
      <c r="DU33" s="95">
        <f t="shared" si="713"/>
        <v>5244527.2146029947</v>
      </c>
      <c r="DV33" s="95">
        <f t="shared" si="713"/>
        <v>5055842.956056864</v>
      </c>
      <c r="DW33" s="95">
        <f t="shared" si="713"/>
        <v>5254848.4819487855</v>
      </c>
      <c r="DX33" s="95">
        <f t="shared" si="713"/>
        <v>5065668.2031604303</v>
      </c>
      <c r="DY33" s="95">
        <f t="shared" si="713"/>
        <v>5265173.2372560333</v>
      </c>
      <c r="DZ33" s="95">
        <f t="shared" si="713"/>
        <v>5270336.8105543321</v>
      </c>
      <c r="EA33" s="95">
        <f t="shared" si="713"/>
        <v>5080409.0485318461</v>
      </c>
      <c r="EB33" s="95">
        <f t="shared" ref="EB33:GM33" si="714">SUM(EB28:EB32)</f>
        <v>5280666.120720895</v>
      </c>
      <c r="EC33" s="95">
        <f t="shared" si="714"/>
        <v>5090237.7224816149</v>
      </c>
      <c r="ED33" s="95">
        <f t="shared" si="714"/>
        <v>5290998.0079257842</v>
      </c>
      <c r="EE33" s="95">
        <f t="shared" si="714"/>
        <v>5323897.3309595697</v>
      </c>
      <c r="EF33" s="95">
        <f t="shared" si="714"/>
        <v>4740014.2035417268</v>
      </c>
      <c r="EG33" s="95">
        <f t="shared" si="714"/>
        <v>5334232.3802367467</v>
      </c>
      <c r="EH33" s="95">
        <f t="shared" si="714"/>
        <v>5142544.2309234077</v>
      </c>
      <c r="EI33" s="95">
        <f t="shared" si="714"/>
        <v>5345913.3743130499</v>
      </c>
      <c r="EJ33" s="95">
        <f t="shared" si="714"/>
        <v>5155070.1940455306</v>
      </c>
      <c r="EK33" s="95">
        <f t="shared" si="714"/>
        <v>5358963.4956983468</v>
      </c>
      <c r="EL33" s="95">
        <f t="shared" si="714"/>
        <v>5365500.7763910452</v>
      </c>
      <c r="EM33" s="95">
        <f t="shared" si="714"/>
        <v>5173917.0687152129</v>
      </c>
      <c r="EN33" s="95">
        <f t="shared" si="714"/>
        <v>5378599.7597080376</v>
      </c>
      <c r="EO33" s="95">
        <f t="shared" si="714"/>
        <v>5186520.2214061571</v>
      </c>
      <c r="EP33" s="95">
        <f t="shared" si="714"/>
        <v>5391731.2802535184</v>
      </c>
      <c r="EQ33" s="95">
        <f t="shared" si="714"/>
        <v>5417482.9088847544</v>
      </c>
      <c r="ER33" s="95">
        <f t="shared" si="714"/>
        <v>4825831.2034341339</v>
      </c>
      <c r="ES33" s="95">
        <f t="shared" si="714"/>
        <v>5430663.1748293396</v>
      </c>
      <c r="ET33" s="95">
        <f t="shared" si="714"/>
        <v>5237336.5022511669</v>
      </c>
      <c r="EU33" s="95">
        <f t="shared" si="714"/>
        <v>5443875.8948249938</v>
      </c>
      <c r="EV33" s="95">
        <f t="shared" si="714"/>
        <v>5250047.3281174572</v>
      </c>
      <c r="EW33" s="95">
        <f t="shared" si="714"/>
        <v>5457121.0324642519</v>
      </c>
      <c r="EX33" s="95">
        <f t="shared" si="714"/>
        <v>5463755.7460229946</v>
      </c>
      <c r="EY33" s="95">
        <f t="shared" si="714"/>
        <v>5269171.0597442314</v>
      </c>
      <c r="EZ33" s="95">
        <f t="shared" si="714"/>
        <v>5477049.4378515678</v>
      </c>
      <c r="FA33" s="95">
        <f t="shared" si="714"/>
        <v>5281958.4765035519</v>
      </c>
      <c r="FB33" s="95">
        <f t="shared" si="714"/>
        <v>5490375.4482379127</v>
      </c>
      <c r="FC33" s="95">
        <f t="shared" si="714"/>
        <v>5517438.1837673336</v>
      </c>
      <c r="FD33" s="95">
        <f t="shared" si="714"/>
        <v>4916510.7828569375</v>
      </c>
      <c r="FE33" s="95">
        <f t="shared" si="714"/>
        <v>5530812.5908956537</v>
      </c>
      <c r="FF33" s="95">
        <f t="shared" si="714"/>
        <v>5334448.2089239024</v>
      </c>
      <c r="FG33" s="95">
        <f t="shared" si="714"/>
        <v>5544219.2056401363</v>
      </c>
      <c r="FH33" s="95">
        <f t="shared" si="714"/>
        <v>5347342.344394397</v>
      </c>
      <c r="FI33" s="95">
        <f t="shared" si="714"/>
        <v>5557657.9802097669</v>
      </c>
      <c r="FJ33" s="95">
        <f t="shared" si="714"/>
        <v>5564389.4119502483</v>
      </c>
      <c r="FK33" s="95">
        <f t="shared" si="714"/>
        <v>5366740.4771540808</v>
      </c>
      <c r="FL33" s="95">
        <f t="shared" si="714"/>
        <v>5577876.3322830535</v>
      </c>
      <c r="FM33" s="95">
        <f t="shared" si="714"/>
        <v>5379710.4353007358</v>
      </c>
      <c r="FN33" s="95">
        <f t="shared" si="714"/>
        <v>5591395.2841844261</v>
      </c>
      <c r="FO33" s="95">
        <f t="shared" si="714"/>
        <v>5617475.1305021048</v>
      </c>
      <c r="FP33" s="95">
        <f t="shared" si="714"/>
        <v>5007082.032751021</v>
      </c>
      <c r="FQ33" s="95">
        <f t="shared" si="714"/>
        <v>5631042.0261871442</v>
      </c>
      <c r="FR33" s="95">
        <f t="shared" si="714"/>
        <v>5431575.8103696648</v>
      </c>
      <c r="FS33" s="95">
        <f t="shared" si="714"/>
        <v>5644640.8122862503</v>
      </c>
      <c r="FT33" s="95">
        <f t="shared" si="714"/>
        <v>5444651.2852108022</v>
      </c>
      <c r="FU33" s="95">
        <f t="shared" si="714"/>
        <v>5658271.4286242519</v>
      </c>
      <c r="FV33" s="95">
        <f t="shared" si="714"/>
        <v>5665098.6537365066</v>
      </c>
      <c r="FW33" s="95">
        <f t="shared" si="714"/>
        <v>5464320.726602681</v>
      </c>
      <c r="FX33" s="95">
        <f t="shared" si="714"/>
        <v>5678776.8978568017</v>
      </c>
      <c r="FY33" s="95">
        <f t="shared" si="714"/>
        <v>5477471.071541802</v>
      </c>
      <c r="FZ33" s="95">
        <f t="shared" si="714"/>
        <v>5692486.8122330876</v>
      </c>
      <c r="GA33" s="95">
        <f t="shared" si="714"/>
        <v>5720057.8042731117</v>
      </c>
      <c r="GB33" s="95">
        <f t="shared" si="714"/>
        <v>5100004.9705853807</v>
      </c>
      <c r="GC33" s="95">
        <f t="shared" si="714"/>
        <v>5733815.0960277477</v>
      </c>
      <c r="GD33" s="95">
        <f t="shared" si="714"/>
        <v>5531181.4225677475</v>
      </c>
      <c r="GE33" s="95">
        <f t="shared" si="714"/>
        <v>5747603.8840363203</v>
      </c>
      <c r="GF33" s="95">
        <f t="shared" si="714"/>
        <v>5544435.8131106365</v>
      </c>
      <c r="GG33" s="95">
        <f t="shared" si="714"/>
        <v>5761424.0946629737</v>
      </c>
      <c r="GH33" s="95">
        <f t="shared" si="714"/>
        <v>5768345.9598041605</v>
      </c>
      <c r="GI33" s="95">
        <f t="shared" si="714"/>
        <v>5564372.7786082076</v>
      </c>
      <c r="GJ33" s="95">
        <f t="shared" si="714"/>
        <v>5782213.1611329867</v>
      </c>
      <c r="GK33" s="95">
        <f t="shared" si="714"/>
        <v>5577700.8863660889</v>
      </c>
      <c r="GL33" s="95">
        <f t="shared" si="714"/>
        <v>5796111.5906212945</v>
      </c>
      <c r="GM33" s="95">
        <f t="shared" si="714"/>
        <v>5810301.2970474195</v>
      </c>
      <c r="GN33" s="95">
        <f t="shared" ref="GN33:IY33" si="715">SUM(GN28:GN32)</f>
        <v>5180390.5544442078</v>
      </c>
      <c r="GO33" s="95">
        <f t="shared" si="715"/>
        <v>5824246.4142222563</v>
      </c>
      <c r="GP33" s="95">
        <f t="shared" si="715"/>
        <v>5618378.1148741683</v>
      </c>
      <c r="GQ33" s="95">
        <f t="shared" si="715"/>
        <v>5839225.3181017917</v>
      </c>
      <c r="GR33" s="95">
        <f t="shared" si="715"/>
        <v>5633819.8908598628</v>
      </c>
      <c r="GS33" s="95">
        <f t="shared" si="715"/>
        <v>5855255.5029974384</v>
      </c>
      <c r="GT33" s="95">
        <f t="shared" si="715"/>
        <v>5863291.0257268874</v>
      </c>
      <c r="GU33" s="95">
        <f t="shared" si="715"/>
        <v>5657081.1366069671</v>
      </c>
      <c r="GV33" s="95">
        <f t="shared" si="715"/>
        <v>5879403.0463892212</v>
      </c>
      <c r="GW33" s="95">
        <f t="shared" si="715"/>
        <v>5672654.6133281691</v>
      </c>
      <c r="GX33" s="95">
        <f t="shared" si="715"/>
        <v>5895569.8539579213</v>
      </c>
      <c r="GY33" s="95">
        <f t="shared" si="715"/>
        <v>5903673.8604647843</v>
      </c>
      <c r="GZ33" s="95">
        <f t="shared" si="715"/>
        <v>5264759.4617339484</v>
      </c>
      <c r="HA33" s="95">
        <f t="shared" si="715"/>
        <v>5919923.1945267394</v>
      </c>
      <c r="HB33" s="95">
        <f t="shared" si="715"/>
        <v>5711820.5319697447</v>
      </c>
      <c r="HC33" s="95">
        <f t="shared" si="715"/>
        <v>5936227.7779092472</v>
      </c>
      <c r="HD33" s="95">
        <f t="shared" si="715"/>
        <v>5727580.2599348836</v>
      </c>
      <c r="HE33" s="95">
        <f t="shared" si="715"/>
        <v>5952587.7966637947</v>
      </c>
      <c r="HF33" s="95">
        <f t="shared" si="715"/>
        <v>5960788.6526171267</v>
      </c>
      <c r="HG33" s="95">
        <f t="shared" si="715"/>
        <v>5751320.4430669956</v>
      </c>
      <c r="HH33" s="95">
        <f t="shared" si="715"/>
        <v>5977232.1746409247</v>
      </c>
      <c r="HI33" s="95">
        <f t="shared" si="715"/>
        <v>5767214.5562293753</v>
      </c>
      <c r="HJ33" s="95">
        <f t="shared" si="715"/>
        <v>5993731.5998982089</v>
      </c>
      <c r="HK33" s="95">
        <f t="shared" si="715"/>
        <v>6002002.3350407705</v>
      </c>
      <c r="HL33" s="95">
        <f t="shared" si="715"/>
        <v>5352897.2659225482</v>
      </c>
      <c r="HM33" s="95">
        <f t="shared" si="715"/>
        <v>6018585.9683012674</v>
      </c>
      <c r="HN33" s="95">
        <f t="shared" si="715"/>
        <v>5807186.7992876517</v>
      </c>
      <c r="HO33" s="95">
        <f t="shared" si="715"/>
        <v>6035225.9765867386</v>
      </c>
      <c r="HP33" s="95">
        <f t="shared" si="715"/>
        <v>5823270.9598730467</v>
      </c>
      <c r="HQ33" s="95">
        <f t="shared" si="715"/>
        <v>6051922.5497215651</v>
      </c>
      <c r="HR33" s="95">
        <f t="shared" si="715"/>
        <v>6060292.1076015113</v>
      </c>
      <c r="HS33" s="95">
        <f t="shared" si="715"/>
        <v>5847499.8421071079</v>
      </c>
      <c r="HT33" s="95">
        <f t="shared" si="715"/>
        <v>6077073.8853233401</v>
      </c>
      <c r="HU33" s="95">
        <f t="shared" si="715"/>
        <v>5863721.1267984817</v>
      </c>
      <c r="HV33" s="95">
        <f t="shared" si="715"/>
        <v>6093912.705243486</v>
      </c>
      <c r="HW33" s="95">
        <f t="shared" si="715"/>
        <v>6102353.5660216771</v>
      </c>
      <c r="HX33" s="95">
        <f t="shared" si="715"/>
        <v>5442852.1661165841</v>
      </c>
      <c r="HY33" s="95">
        <f t="shared" si="715"/>
        <v>6119278.309553571</v>
      </c>
      <c r="HZ33" s="95">
        <f t="shared" si="715"/>
        <v>5904516.1279936451</v>
      </c>
      <c r="IA33" s="95">
        <f t="shared" si="715"/>
        <v>6136260.5766422944</v>
      </c>
      <c r="IB33" s="95">
        <f t="shared" si="715"/>
        <v>5920931.3332804032</v>
      </c>
      <c r="IC33" s="95">
        <f t="shared" si="715"/>
        <v>6153300.5609614467</v>
      </c>
      <c r="ID33" s="95">
        <f t="shared" si="715"/>
        <v>6161842.2577828523</v>
      </c>
      <c r="IE33" s="95">
        <f t="shared" si="715"/>
        <v>5945658.8743184227</v>
      </c>
      <c r="IF33" s="95">
        <f t="shared" si="715"/>
        <v>6178969.1825060695</v>
      </c>
      <c r="IG33" s="95">
        <f t="shared" si="715"/>
        <v>5962213.9981685244</v>
      </c>
      <c r="IH33" s="95">
        <f t="shared" si="715"/>
        <v>6196154.3114881301</v>
      </c>
      <c r="II33" s="95">
        <f t="shared" si="715"/>
        <v>6204768.7637864854</v>
      </c>
      <c r="IJ33" s="95">
        <f t="shared" si="715"/>
        <v>5534661.221891012</v>
      </c>
      <c r="IK33" s="95">
        <f t="shared" si="715"/>
        <v>6222041.5667772619</v>
      </c>
      <c r="IL33" s="95">
        <f t="shared" si="715"/>
        <v>6003848.5245179087</v>
      </c>
      <c r="IM33" s="95">
        <f t="shared" si="715"/>
        <v>6239373.0651459638</v>
      </c>
      <c r="IN33" s="95">
        <f t="shared" si="715"/>
        <v>6020601.5206868434</v>
      </c>
      <c r="IO33" s="95">
        <f t="shared" si="715"/>
        <v>6256763.4564932873</v>
      </c>
      <c r="IP33" s="95">
        <f t="shared" si="715"/>
        <v>6265480.7989651589</v>
      </c>
      <c r="IQ33" s="95">
        <f t="shared" si="715"/>
        <v>6045837.8822216392</v>
      </c>
      <c r="IR33" s="95">
        <f t="shared" si="715"/>
        <v>6282959.901730869</v>
      </c>
      <c r="IS33" s="95">
        <f t="shared" si="715"/>
        <v>6062733.6480837865</v>
      </c>
      <c r="IT33" s="95">
        <f t="shared" si="715"/>
        <v>6300498.3943788903</v>
      </c>
      <c r="IU33" s="95">
        <f t="shared" si="715"/>
        <v>6309289.9743601494</v>
      </c>
      <c r="IV33" s="95">
        <f t="shared" si="715"/>
        <v>5628362.2446886431</v>
      </c>
      <c r="IW33" s="95">
        <f t="shared" si="715"/>
        <v>6326917.9269060707</v>
      </c>
      <c r="IX33" s="95">
        <f t="shared" si="715"/>
        <v>6105224.8066452853</v>
      </c>
      <c r="IY33" s="95">
        <f t="shared" si="715"/>
        <v>6344605.770411415</v>
      </c>
      <c r="IZ33" s="95">
        <f t="shared" ref="IZ33:JR33" si="716">SUM(IZ28:IZ32)</f>
        <v>6122322.4766900409</v>
      </c>
      <c r="JA33" s="95">
        <f t="shared" si="716"/>
        <v>6362353.70648342</v>
      </c>
      <c r="JB33" s="95">
        <f t="shared" si="716"/>
        <v>6371250.2724188482</v>
      </c>
      <c r="JC33" s="95">
        <f t="shared" si="716"/>
        <v>6148078.0264919586</v>
      </c>
      <c r="JD33" s="95">
        <f t="shared" si="716"/>
        <v>6389088.7268328704</v>
      </c>
      <c r="JE33" s="95">
        <f t="shared" si="716"/>
        <v>6165321.3751788903</v>
      </c>
      <c r="JF33" s="95">
        <f t="shared" si="716"/>
        <v>6406987.7807922969</v>
      </c>
      <c r="JG33" s="95">
        <f t="shared" si="716"/>
        <v>6415960.0963191409</v>
      </c>
      <c r="JH33" s="95">
        <f t="shared" si="716"/>
        <v>5723993.8130347356</v>
      </c>
      <c r="JI33" s="95">
        <f t="shared" si="716"/>
        <v>6433950.4322758727</v>
      </c>
      <c r="JJ33" s="95">
        <f t="shared" si="716"/>
        <v>6208686.619930597</v>
      </c>
      <c r="JK33" s="95">
        <f t="shared" si="716"/>
        <v>6452001.879014601</v>
      </c>
      <c r="JL33" s="95">
        <f t="shared" si="716"/>
        <v>6226135.9864256196</v>
      </c>
      <c r="JM33" s="95">
        <f t="shared" si="716"/>
        <v>6470114.6422301494</v>
      </c>
      <c r="JN33" s="95">
        <f t="shared" si="716"/>
        <v>6479194.0819847658</v>
      </c>
      <c r="JO33" s="95">
        <f t="shared" si="716"/>
        <v>6252421.3025118168</v>
      </c>
      <c r="JP33" s="95">
        <f t="shared" si="716"/>
        <v>6497399.2071017139</v>
      </c>
      <c r="JQ33" s="95">
        <f t="shared" si="716"/>
        <v>6270019.3155868361</v>
      </c>
      <c r="JR33" s="95">
        <f t="shared" si="716"/>
        <v>6515666.1659530886</v>
      </c>
    </row>
    <row r="34" spans="2:278" x14ac:dyDescent="0.2">
      <c r="B34" s="3" t="s">
        <v>192</v>
      </c>
      <c r="C34" s="125">
        <f>C33+C27</f>
        <v>-57175153.743454576</v>
      </c>
      <c r="D34" s="125">
        <f t="shared" ref="D34:BO34" si="717">D33+D27</f>
        <v>-18703666.88245238</v>
      </c>
      <c r="E34" s="125">
        <f t="shared" si="717"/>
        <v>-15345191.649546487</v>
      </c>
      <c r="F34" s="125">
        <f t="shared" si="717"/>
        <v>-10228775.845981376</v>
      </c>
      <c r="G34" s="125">
        <f t="shared" si="717"/>
        <v>-22832416.933154024</v>
      </c>
      <c r="H34" s="125">
        <f t="shared" si="717"/>
        <v>-28185731.819311626</v>
      </c>
      <c r="I34" s="125">
        <f t="shared" si="717"/>
        <v>-24983659.354999423</v>
      </c>
      <c r="J34" s="125">
        <f t="shared" si="717"/>
        <v>-21744445.081297152</v>
      </c>
      <c r="K34" s="125">
        <f t="shared" si="717"/>
        <v>-20212725.554478928</v>
      </c>
      <c r="L34" s="125">
        <f t="shared" si="717"/>
        <v>-16901919.378115576</v>
      </c>
      <c r="M34" s="125">
        <f t="shared" si="717"/>
        <v>-16550953.018186079</v>
      </c>
      <c r="N34" s="125">
        <f t="shared" si="717"/>
        <v>-23436046.337311391</v>
      </c>
      <c r="O34" s="125">
        <f t="shared" si="717"/>
        <v>-2006259.1657289483</v>
      </c>
      <c r="P34" s="125">
        <f t="shared" si="717"/>
        <v>-2006259.1657289483</v>
      </c>
      <c r="Q34" s="125">
        <f t="shared" si="717"/>
        <v>-2006259.1657289483</v>
      </c>
      <c r="R34" s="125">
        <f t="shared" si="717"/>
        <v>3159348.504653798</v>
      </c>
      <c r="S34" s="125">
        <f t="shared" si="717"/>
        <v>3318412.4585332605</v>
      </c>
      <c r="T34" s="125">
        <f t="shared" si="717"/>
        <v>3173027.939812582</v>
      </c>
      <c r="U34" s="125">
        <f t="shared" si="717"/>
        <v>3339336.003274655</v>
      </c>
      <c r="V34" s="125">
        <f t="shared" si="717"/>
        <v>3339765.8929435378</v>
      </c>
      <c r="W34" s="125">
        <f t="shared" si="717"/>
        <v>3193634.7914692322</v>
      </c>
      <c r="X34" s="125">
        <f t="shared" si="717"/>
        <v>3354062.2871380746</v>
      </c>
      <c r="Y34" s="125">
        <f t="shared" si="717"/>
        <v>3207431.3888413114</v>
      </c>
      <c r="Z34" s="125">
        <f t="shared" si="717"/>
        <v>3368407.489749386</v>
      </c>
      <c r="AA34" s="125">
        <f t="shared" si="717"/>
        <v>3405893.8725785557</v>
      </c>
      <c r="AB34" s="125">
        <f t="shared" si="717"/>
        <v>2949336.2733800597</v>
      </c>
      <c r="AC34" s="125">
        <f t="shared" si="717"/>
        <v>3420312.5967773143</v>
      </c>
      <c r="AD34" s="125">
        <f t="shared" si="717"/>
        <v>5061404.1159926234</v>
      </c>
      <c r="AE34" s="125">
        <f t="shared" si="717"/>
        <v>5283392.3950110134</v>
      </c>
      <c r="AF34" s="125">
        <f t="shared" si="717"/>
        <v>5075366.4076126665</v>
      </c>
      <c r="AG34" s="125">
        <f t="shared" si="717"/>
        <v>5297909.7276281826</v>
      </c>
      <c r="AH34" s="125">
        <f t="shared" si="717"/>
        <v>5305186.9662038088</v>
      </c>
      <c r="AI34" s="125">
        <f t="shared" si="717"/>
        <v>5096399.3352028783</v>
      </c>
      <c r="AJ34" s="125">
        <f t="shared" si="717"/>
        <v>5319778.6922946004</v>
      </c>
      <c r="AK34" s="125">
        <f t="shared" si="717"/>
        <v>5110481.1820347067</v>
      </c>
      <c r="AL34" s="125">
        <f t="shared" si="717"/>
        <v>5334420.2232539635</v>
      </c>
      <c r="AM34" s="125">
        <f t="shared" si="717"/>
        <v>5374245.2038327139</v>
      </c>
      <c r="AN34" s="125">
        <f t="shared" si="717"/>
        <v>4729344.6300144605</v>
      </c>
      <c r="AO34" s="125">
        <f t="shared" si="717"/>
        <v>5388961.7573287133</v>
      </c>
      <c r="AP34" s="125">
        <f t="shared" si="717"/>
        <v>5365721.800203681</v>
      </c>
      <c r="AQ34" s="125">
        <f t="shared" si="717"/>
        <v>5569661.4973032884</v>
      </c>
      <c r="AR34" s="125">
        <f t="shared" si="717"/>
        <v>5358842.5392149808</v>
      </c>
      <c r="AS34" s="125">
        <f t="shared" si="717"/>
        <v>5585032.2430420322</v>
      </c>
      <c r="AT34" s="125">
        <f t="shared" si="717"/>
        <v>5592737.2594659012</v>
      </c>
      <c r="AU34" s="125">
        <f t="shared" si="717"/>
        <v>5381142.6780979149</v>
      </c>
      <c r="AV34" s="125">
        <f t="shared" si="717"/>
        <v>5608186.6897947369</v>
      </c>
      <c r="AW34" s="125">
        <f t="shared" si="717"/>
        <v>5396072.8705192301</v>
      </c>
      <c r="AX34" s="125">
        <f t="shared" si="717"/>
        <v>5623688.7976929937</v>
      </c>
      <c r="AY34" s="125">
        <f t="shared" si="717"/>
        <v>5666293.5253976379</v>
      </c>
      <c r="AZ34" s="125">
        <f t="shared" si="717"/>
        <v>5232717.5776097151</v>
      </c>
      <c r="BA34" s="125">
        <f t="shared" si="717"/>
        <v>5681874.9828984998</v>
      </c>
      <c r="BB34" s="125">
        <f t="shared" si="717"/>
        <v>5468455.4818318971</v>
      </c>
      <c r="BC34" s="125">
        <f t="shared" si="717"/>
        <v>5697509.5631696321</v>
      </c>
      <c r="BD34" s="125">
        <f t="shared" si="717"/>
        <v>5483564.7393824849</v>
      </c>
      <c r="BE34" s="125">
        <f t="shared" si="717"/>
        <v>5713197.445337452</v>
      </c>
      <c r="BF34" s="125">
        <f t="shared" si="717"/>
        <v>5721061.4307738449</v>
      </c>
      <c r="BG34" s="125">
        <f t="shared" si="717"/>
        <v>5506325.3368642414</v>
      </c>
      <c r="BH34" s="125">
        <f t="shared" si="717"/>
        <v>5736829.6029634411</v>
      </c>
      <c r="BI34" s="125">
        <f t="shared" si="717"/>
        <v>5521563.7964179292</v>
      </c>
      <c r="BJ34" s="125">
        <f t="shared" si="717"/>
        <v>5752651.5274984883</v>
      </c>
      <c r="BK34" s="125">
        <f t="shared" si="717"/>
        <v>5797934.7105466081</v>
      </c>
      <c r="BL34" s="125">
        <f t="shared" si="717"/>
        <v>5133854.2793042706</v>
      </c>
      <c r="BM34" s="125">
        <f t="shared" si="717"/>
        <v>5813837.6036107196</v>
      </c>
      <c r="BN34" s="125">
        <f t="shared" si="717"/>
        <v>5597239.7753559947</v>
      </c>
      <c r="BO34" s="125">
        <f t="shared" si="717"/>
        <v>5829794.703255279</v>
      </c>
      <c r="BP34" s="125">
        <f t="shared" ref="BP34:EA34" si="718">BP33+BP27</f>
        <v>5612660.9547672402</v>
      </c>
      <c r="BQ34" s="125">
        <f t="shared" si="718"/>
        <v>5845806.1922415327</v>
      </c>
      <c r="BR34" s="125">
        <f t="shared" si="718"/>
        <v>5853832.3900182229</v>
      </c>
      <c r="BS34" s="125">
        <f t="shared" si="718"/>
        <v>5635891.4088300448</v>
      </c>
      <c r="BT34" s="125">
        <f t="shared" si="718"/>
        <v>5869925.8070356697</v>
      </c>
      <c r="BU34" s="125">
        <f t="shared" si="718"/>
        <v>5651444.4271153547</v>
      </c>
      <c r="BV34" s="125">
        <f t="shared" si="718"/>
        <v>5886074.0729839234</v>
      </c>
      <c r="BW34" s="125">
        <f t="shared" si="718"/>
        <v>5934221.0187158277</v>
      </c>
      <c r="BX34" s="125">
        <f t="shared" si="718"/>
        <v>5260117.8621249385</v>
      </c>
      <c r="BY34" s="125">
        <f t="shared" si="718"/>
        <v>5950451.9049704447</v>
      </c>
      <c r="BZ34" s="125">
        <f t="shared" si="718"/>
        <v>5730611.6319134608</v>
      </c>
      <c r="CA34" s="125">
        <f t="shared" si="718"/>
        <v>5966738.1036078418</v>
      </c>
      <c r="CB34" s="125">
        <f t="shared" si="718"/>
        <v>5746351.0989589542</v>
      </c>
      <c r="CC34" s="125">
        <f t="shared" si="718"/>
        <v>5983079.8010976538</v>
      </c>
      <c r="CD34" s="125">
        <f t="shared" si="718"/>
        <v>5991271.5203549024</v>
      </c>
      <c r="CE34" s="125">
        <f t="shared" si="718"/>
        <v>5770060.9983212408</v>
      </c>
      <c r="CF34" s="125">
        <f t="shared" si="718"/>
        <v>6007696.8171223579</v>
      </c>
      <c r="CG34" s="125">
        <f t="shared" si="718"/>
        <v>5785934.9946267549</v>
      </c>
      <c r="CH34" s="125">
        <f t="shared" si="718"/>
        <v>6024178.0816566683</v>
      </c>
      <c r="CI34" s="125">
        <f t="shared" si="718"/>
        <v>5992053.9898949619</v>
      </c>
      <c r="CJ34" s="125">
        <f t="shared" si="718"/>
        <v>5307725.8408661811</v>
      </c>
      <c r="CK34" s="125">
        <f t="shared" si="718"/>
        <v>6008619.5600285977</v>
      </c>
      <c r="CL34" s="125">
        <f t="shared" si="718"/>
        <v>5785471.4307328146</v>
      </c>
      <c r="CM34" s="125">
        <f t="shared" si="718"/>
        <v>6025241.5707845595</v>
      </c>
      <c r="CN34" s="125">
        <f t="shared" si="718"/>
        <v>5801535.6803767057</v>
      </c>
      <c r="CO34" s="125">
        <f t="shared" si="718"/>
        <v>6041920.2124159243</v>
      </c>
      <c r="CP34" s="125">
        <f t="shared" si="718"/>
        <v>6050280.829438353</v>
      </c>
      <c r="CQ34" s="125">
        <f t="shared" si="718"/>
        <v>5825734.8083535014</v>
      </c>
      <c r="CR34" s="125">
        <f t="shared" si="718"/>
        <v>6067044.7755034762</v>
      </c>
      <c r="CS34" s="125">
        <f t="shared" si="718"/>
        <v>5841936.3322414597</v>
      </c>
      <c r="CT34" s="125">
        <f t="shared" si="718"/>
        <v>6083865.8308724826</v>
      </c>
      <c r="CU34" s="125">
        <f t="shared" si="718"/>
        <v>6138350.079896234</v>
      </c>
      <c r="CV34" s="125">
        <f t="shared" si="718"/>
        <v>5443590.5890626078</v>
      </c>
      <c r="CW34" s="125">
        <f t="shared" si="718"/>
        <v>6155257.1603514431</v>
      </c>
      <c r="CX34" s="125">
        <f t="shared" si="718"/>
        <v>5928734.4434464695</v>
      </c>
      <c r="CY34" s="125">
        <f t="shared" si="718"/>
        <v>6172221.8325598119</v>
      </c>
      <c r="CZ34" s="125">
        <f t="shared" si="718"/>
        <v>5945130.1024581529</v>
      </c>
      <c r="DA34" s="125">
        <f t="shared" si="718"/>
        <v>6189244.2906344058</v>
      </c>
      <c r="DB34" s="125">
        <f t="shared" si="718"/>
        <v>6197777.2502097869</v>
      </c>
      <c r="DC34" s="125">
        <f t="shared" si="718"/>
        <v>5969828.4408994718</v>
      </c>
      <c r="DD34" s="125">
        <f t="shared" si="718"/>
        <v>6214886.752470131</v>
      </c>
      <c r="DE34" s="125">
        <f t="shared" si="718"/>
        <v>5986364.1748423381</v>
      </c>
      <c r="DF34" s="125">
        <f t="shared" si="718"/>
        <v>6232054.5287317606</v>
      </c>
      <c r="DG34" s="125">
        <f t="shared" si="718"/>
        <v>6290041.6967138806</v>
      </c>
      <c r="DH34" s="125">
        <f t="shared" si="718"/>
        <v>5584640.3500362393</v>
      </c>
      <c r="DI34" s="125">
        <f t="shared" si="718"/>
        <v>6307297.2524344726</v>
      </c>
      <c r="DJ34" s="125">
        <f t="shared" si="718"/>
        <v>6077331.8699775925</v>
      </c>
      <c r="DK34" s="125">
        <f t="shared" si="718"/>
        <v>6324611.5743935639</v>
      </c>
      <c r="DL34" s="125">
        <f t="shared" si="718"/>
        <v>6094065.6995992288</v>
      </c>
      <c r="DM34" s="125">
        <f t="shared" si="718"/>
        <v>6341984.8606423317</v>
      </c>
      <c r="DN34" s="125">
        <f t="shared" si="718"/>
        <v>6350693.6774478555</v>
      </c>
      <c r="DO34" s="125">
        <f t="shared" si="718"/>
        <v>6119273.4329080731</v>
      </c>
      <c r="DP34" s="125">
        <f t="shared" si="718"/>
        <v>6368155.7829303322</v>
      </c>
      <c r="DQ34" s="125">
        <f t="shared" si="718"/>
        <v>6136150.1949783936</v>
      </c>
      <c r="DR34" s="125">
        <f t="shared" si="718"/>
        <v>5184310.7565774405</v>
      </c>
      <c r="DS34" s="125">
        <f t="shared" si="718"/>
        <v>5234209.7899033539</v>
      </c>
      <c r="DT34" s="125">
        <f t="shared" si="718"/>
        <v>4659323.1592142927</v>
      </c>
      <c r="DU34" s="125">
        <f t="shared" si="718"/>
        <v>5244527.2146029947</v>
      </c>
      <c r="DV34" s="125">
        <f t="shared" si="718"/>
        <v>5055842.956056864</v>
      </c>
      <c r="DW34" s="125">
        <f t="shared" si="718"/>
        <v>5254848.4819487855</v>
      </c>
      <c r="DX34" s="125">
        <f t="shared" si="718"/>
        <v>5065668.2031604303</v>
      </c>
      <c r="DY34" s="125">
        <f t="shared" si="718"/>
        <v>5265173.2372560333</v>
      </c>
      <c r="DZ34" s="125">
        <f t="shared" si="718"/>
        <v>5270336.8105543321</v>
      </c>
      <c r="EA34" s="125">
        <f t="shared" si="718"/>
        <v>5080409.0485318461</v>
      </c>
      <c r="EB34" s="125">
        <f t="shared" ref="EB34:GM34" si="719">EB33+EB27</f>
        <v>5280666.120720895</v>
      </c>
      <c r="EC34" s="125">
        <f t="shared" si="719"/>
        <v>5090237.7224816149</v>
      </c>
      <c r="ED34" s="125">
        <f t="shared" si="719"/>
        <v>5290998.0079257842</v>
      </c>
      <c r="EE34" s="125">
        <f t="shared" si="719"/>
        <v>5323897.3309595697</v>
      </c>
      <c r="EF34" s="125">
        <f t="shared" si="719"/>
        <v>4740014.2035417268</v>
      </c>
      <c r="EG34" s="125">
        <f t="shared" si="719"/>
        <v>5334232.3802367467</v>
      </c>
      <c r="EH34" s="125">
        <f t="shared" si="719"/>
        <v>5142544.2309234077</v>
      </c>
      <c r="EI34" s="125">
        <f t="shared" si="719"/>
        <v>5345913.3743130499</v>
      </c>
      <c r="EJ34" s="125">
        <f t="shared" si="719"/>
        <v>5155070.1940455306</v>
      </c>
      <c r="EK34" s="125">
        <f t="shared" si="719"/>
        <v>5358963.4956983468</v>
      </c>
      <c r="EL34" s="125">
        <f t="shared" si="719"/>
        <v>5365500.7763910452</v>
      </c>
      <c r="EM34" s="125">
        <f t="shared" si="719"/>
        <v>5173917.0687152129</v>
      </c>
      <c r="EN34" s="125">
        <f t="shared" si="719"/>
        <v>5378599.7597080376</v>
      </c>
      <c r="EO34" s="125">
        <f t="shared" si="719"/>
        <v>5186520.2214061571</v>
      </c>
      <c r="EP34" s="125">
        <f t="shared" si="719"/>
        <v>5391731.2802535184</v>
      </c>
      <c r="EQ34" s="125">
        <f t="shared" si="719"/>
        <v>5417482.9088847544</v>
      </c>
      <c r="ER34" s="125">
        <f t="shared" si="719"/>
        <v>4825831.2034341339</v>
      </c>
      <c r="ES34" s="125">
        <f t="shared" si="719"/>
        <v>5430663.1748293396</v>
      </c>
      <c r="ET34" s="125">
        <f t="shared" si="719"/>
        <v>5237336.5022511669</v>
      </c>
      <c r="EU34" s="125">
        <f t="shared" si="719"/>
        <v>5443875.8948249938</v>
      </c>
      <c r="EV34" s="125">
        <f t="shared" si="719"/>
        <v>5250047.3281174572</v>
      </c>
      <c r="EW34" s="125">
        <f t="shared" si="719"/>
        <v>5457121.0324642519</v>
      </c>
      <c r="EX34" s="125">
        <f t="shared" si="719"/>
        <v>5463755.7460229946</v>
      </c>
      <c r="EY34" s="125">
        <f t="shared" si="719"/>
        <v>5269171.0597442314</v>
      </c>
      <c r="EZ34" s="125">
        <f t="shared" si="719"/>
        <v>5477049.4378515678</v>
      </c>
      <c r="FA34" s="125">
        <f t="shared" si="719"/>
        <v>5281958.4765035519</v>
      </c>
      <c r="FB34" s="125">
        <f t="shared" si="719"/>
        <v>5490375.4482379127</v>
      </c>
      <c r="FC34" s="125">
        <f t="shared" si="719"/>
        <v>5517438.1837673336</v>
      </c>
      <c r="FD34" s="125">
        <f t="shared" si="719"/>
        <v>4916510.7828569375</v>
      </c>
      <c r="FE34" s="125">
        <f t="shared" si="719"/>
        <v>5530812.5908956537</v>
      </c>
      <c r="FF34" s="125">
        <f t="shared" si="719"/>
        <v>5334448.2089239024</v>
      </c>
      <c r="FG34" s="125">
        <f t="shared" si="719"/>
        <v>5544219.2056401363</v>
      </c>
      <c r="FH34" s="125">
        <f t="shared" si="719"/>
        <v>5347342.344394397</v>
      </c>
      <c r="FI34" s="125">
        <f t="shared" si="719"/>
        <v>5557657.9802097669</v>
      </c>
      <c r="FJ34" s="125">
        <f t="shared" si="719"/>
        <v>5564389.4119502483</v>
      </c>
      <c r="FK34" s="125">
        <f t="shared" si="719"/>
        <v>5366740.4771540808</v>
      </c>
      <c r="FL34" s="125">
        <f t="shared" si="719"/>
        <v>5577876.3322830535</v>
      </c>
      <c r="FM34" s="125">
        <f t="shared" si="719"/>
        <v>5379710.4353007358</v>
      </c>
      <c r="FN34" s="125">
        <f t="shared" si="719"/>
        <v>5591395.2841844261</v>
      </c>
      <c r="FO34" s="125">
        <f t="shared" si="719"/>
        <v>5617475.1305021048</v>
      </c>
      <c r="FP34" s="125">
        <f t="shared" si="719"/>
        <v>5007082.032751021</v>
      </c>
      <c r="FQ34" s="125">
        <f t="shared" si="719"/>
        <v>5631042.0261871442</v>
      </c>
      <c r="FR34" s="125">
        <f t="shared" si="719"/>
        <v>5431575.8103696648</v>
      </c>
      <c r="FS34" s="125">
        <f t="shared" si="719"/>
        <v>5644640.8122862503</v>
      </c>
      <c r="FT34" s="125">
        <f t="shared" si="719"/>
        <v>5444651.2852108022</v>
      </c>
      <c r="FU34" s="125">
        <f t="shared" si="719"/>
        <v>5658271.4286242519</v>
      </c>
      <c r="FV34" s="125">
        <f t="shared" si="719"/>
        <v>5665098.6537365066</v>
      </c>
      <c r="FW34" s="125">
        <f t="shared" si="719"/>
        <v>5464320.726602681</v>
      </c>
      <c r="FX34" s="125">
        <f t="shared" si="719"/>
        <v>5678776.8978568017</v>
      </c>
      <c r="FY34" s="125">
        <f t="shared" si="719"/>
        <v>5477471.071541802</v>
      </c>
      <c r="FZ34" s="125">
        <f t="shared" si="719"/>
        <v>5692486.8122330876</v>
      </c>
      <c r="GA34" s="125">
        <f t="shared" si="719"/>
        <v>5720057.8042731117</v>
      </c>
      <c r="GB34" s="125">
        <f t="shared" si="719"/>
        <v>5100004.9705853807</v>
      </c>
      <c r="GC34" s="125">
        <f t="shared" si="719"/>
        <v>5733815.0960277477</v>
      </c>
      <c r="GD34" s="125">
        <f t="shared" si="719"/>
        <v>5531181.4225677475</v>
      </c>
      <c r="GE34" s="125">
        <f t="shared" si="719"/>
        <v>5747603.8840363203</v>
      </c>
      <c r="GF34" s="125">
        <f t="shared" si="719"/>
        <v>5544435.8131106365</v>
      </c>
      <c r="GG34" s="125">
        <f t="shared" si="719"/>
        <v>5761424.0946629737</v>
      </c>
      <c r="GH34" s="125">
        <f t="shared" si="719"/>
        <v>5768345.9598041605</v>
      </c>
      <c r="GI34" s="125">
        <f t="shared" si="719"/>
        <v>5564372.7786082076</v>
      </c>
      <c r="GJ34" s="125">
        <f t="shared" si="719"/>
        <v>5782213.1611329867</v>
      </c>
      <c r="GK34" s="125">
        <f t="shared" si="719"/>
        <v>5577700.8863660889</v>
      </c>
      <c r="GL34" s="125">
        <f t="shared" si="719"/>
        <v>5796111.5906212945</v>
      </c>
      <c r="GM34" s="125">
        <f t="shared" si="719"/>
        <v>5810301.2970474195</v>
      </c>
      <c r="GN34" s="125">
        <f t="shared" ref="GN34:IY34" si="720">GN33+GN27</f>
        <v>5180390.5544442078</v>
      </c>
      <c r="GO34" s="125">
        <f t="shared" si="720"/>
        <v>5824246.4142222563</v>
      </c>
      <c r="GP34" s="125">
        <f t="shared" si="720"/>
        <v>5618378.1148741683</v>
      </c>
      <c r="GQ34" s="125">
        <f t="shared" si="720"/>
        <v>5839225.3181017917</v>
      </c>
      <c r="GR34" s="125">
        <f t="shared" si="720"/>
        <v>5633819.8908598628</v>
      </c>
      <c r="GS34" s="125">
        <f t="shared" si="720"/>
        <v>5855255.5029974384</v>
      </c>
      <c r="GT34" s="125">
        <f t="shared" si="720"/>
        <v>5863291.0257268874</v>
      </c>
      <c r="GU34" s="125">
        <f t="shared" si="720"/>
        <v>5657081.1366069671</v>
      </c>
      <c r="GV34" s="125">
        <f t="shared" si="720"/>
        <v>5879403.0463892212</v>
      </c>
      <c r="GW34" s="125">
        <f t="shared" si="720"/>
        <v>5672654.6133281691</v>
      </c>
      <c r="GX34" s="125">
        <f t="shared" si="720"/>
        <v>5895569.8539579213</v>
      </c>
      <c r="GY34" s="125">
        <f t="shared" si="720"/>
        <v>5903673.8604647843</v>
      </c>
      <c r="GZ34" s="125">
        <f t="shared" si="720"/>
        <v>5264759.4617339484</v>
      </c>
      <c r="HA34" s="125">
        <f t="shared" si="720"/>
        <v>5919923.1945267394</v>
      </c>
      <c r="HB34" s="125">
        <f t="shared" si="720"/>
        <v>5711820.5319697447</v>
      </c>
      <c r="HC34" s="125">
        <f t="shared" si="720"/>
        <v>5936227.7779092472</v>
      </c>
      <c r="HD34" s="125">
        <f t="shared" si="720"/>
        <v>5727580.2599348836</v>
      </c>
      <c r="HE34" s="125">
        <f t="shared" si="720"/>
        <v>5952587.7966637947</v>
      </c>
      <c r="HF34" s="125">
        <f t="shared" si="720"/>
        <v>5960788.6526171267</v>
      </c>
      <c r="HG34" s="125">
        <f t="shared" si="720"/>
        <v>5751320.4430669956</v>
      </c>
      <c r="HH34" s="125">
        <f t="shared" si="720"/>
        <v>5977232.1746409247</v>
      </c>
      <c r="HI34" s="125">
        <f t="shared" si="720"/>
        <v>5767214.5562293753</v>
      </c>
      <c r="HJ34" s="125">
        <f t="shared" si="720"/>
        <v>5993731.5998982089</v>
      </c>
      <c r="HK34" s="125">
        <f t="shared" si="720"/>
        <v>6002002.3350407705</v>
      </c>
      <c r="HL34" s="125">
        <f t="shared" si="720"/>
        <v>5352897.2659225482</v>
      </c>
      <c r="HM34" s="125">
        <f t="shared" si="720"/>
        <v>6018585.9683012674</v>
      </c>
      <c r="HN34" s="125">
        <f t="shared" si="720"/>
        <v>5807186.7992876517</v>
      </c>
      <c r="HO34" s="125">
        <f t="shared" si="720"/>
        <v>6035225.9765867386</v>
      </c>
      <c r="HP34" s="125">
        <f t="shared" si="720"/>
        <v>5823270.9598730467</v>
      </c>
      <c r="HQ34" s="125">
        <f t="shared" si="720"/>
        <v>6051922.5497215651</v>
      </c>
      <c r="HR34" s="125">
        <f t="shared" si="720"/>
        <v>6060292.1076015113</v>
      </c>
      <c r="HS34" s="125">
        <f t="shared" si="720"/>
        <v>5847499.8421071079</v>
      </c>
      <c r="HT34" s="125">
        <f t="shared" si="720"/>
        <v>6077073.8853233401</v>
      </c>
      <c r="HU34" s="125">
        <f t="shared" si="720"/>
        <v>5863721.1267984817</v>
      </c>
      <c r="HV34" s="125">
        <f t="shared" si="720"/>
        <v>6093912.705243486</v>
      </c>
      <c r="HW34" s="125">
        <f t="shared" si="720"/>
        <v>6102353.5660216771</v>
      </c>
      <c r="HX34" s="125">
        <f t="shared" si="720"/>
        <v>5442852.1661165841</v>
      </c>
      <c r="HY34" s="125">
        <f t="shared" si="720"/>
        <v>6119278.309553571</v>
      </c>
      <c r="HZ34" s="125">
        <f t="shared" si="720"/>
        <v>5904516.1279936451</v>
      </c>
      <c r="IA34" s="125">
        <f t="shared" si="720"/>
        <v>6136260.5766422944</v>
      </c>
      <c r="IB34" s="125">
        <f t="shared" si="720"/>
        <v>5920931.3332804032</v>
      </c>
      <c r="IC34" s="125">
        <f t="shared" si="720"/>
        <v>6153300.5609614467</v>
      </c>
      <c r="ID34" s="125">
        <f t="shared" si="720"/>
        <v>6161842.2577828523</v>
      </c>
      <c r="IE34" s="125">
        <f t="shared" si="720"/>
        <v>5945658.8743184227</v>
      </c>
      <c r="IF34" s="125">
        <f t="shared" si="720"/>
        <v>6178969.1825060695</v>
      </c>
      <c r="IG34" s="125">
        <f t="shared" si="720"/>
        <v>5962213.9981685244</v>
      </c>
      <c r="IH34" s="125">
        <f t="shared" si="720"/>
        <v>6196154.3114881301</v>
      </c>
      <c r="II34" s="125">
        <f t="shared" si="720"/>
        <v>6204768.7637864854</v>
      </c>
      <c r="IJ34" s="125">
        <f t="shared" si="720"/>
        <v>5534661.221891012</v>
      </c>
      <c r="IK34" s="125">
        <f t="shared" si="720"/>
        <v>6222041.5667772619</v>
      </c>
      <c r="IL34" s="125">
        <f t="shared" si="720"/>
        <v>6003848.5245179087</v>
      </c>
      <c r="IM34" s="125">
        <f t="shared" si="720"/>
        <v>6239373.0651459638</v>
      </c>
      <c r="IN34" s="125">
        <f t="shared" si="720"/>
        <v>6020601.5206868434</v>
      </c>
      <c r="IO34" s="125">
        <f t="shared" si="720"/>
        <v>6256763.4564932873</v>
      </c>
      <c r="IP34" s="125">
        <f t="shared" si="720"/>
        <v>6265480.7989651589</v>
      </c>
      <c r="IQ34" s="125">
        <f t="shared" si="720"/>
        <v>6045837.8822216392</v>
      </c>
      <c r="IR34" s="125">
        <f t="shared" si="720"/>
        <v>6282959.901730869</v>
      </c>
      <c r="IS34" s="125">
        <f t="shared" si="720"/>
        <v>6062733.6480837865</v>
      </c>
      <c r="IT34" s="125">
        <f t="shared" si="720"/>
        <v>6300498.3943788903</v>
      </c>
      <c r="IU34" s="125">
        <f t="shared" si="720"/>
        <v>6309289.9743601494</v>
      </c>
      <c r="IV34" s="125">
        <f t="shared" si="720"/>
        <v>5628362.2446886431</v>
      </c>
      <c r="IW34" s="125">
        <f t="shared" si="720"/>
        <v>6326917.9269060707</v>
      </c>
      <c r="IX34" s="125">
        <f t="shared" si="720"/>
        <v>6105224.8066452853</v>
      </c>
      <c r="IY34" s="125">
        <f t="shared" si="720"/>
        <v>6344605.770411415</v>
      </c>
      <c r="IZ34" s="125">
        <f t="shared" ref="IZ34:JR34" si="721">IZ33+IZ27</f>
        <v>6122322.4766900409</v>
      </c>
      <c r="JA34" s="125">
        <f t="shared" si="721"/>
        <v>6362353.70648342</v>
      </c>
      <c r="JB34" s="125">
        <f t="shared" si="721"/>
        <v>6371250.2724188482</v>
      </c>
      <c r="JC34" s="125">
        <f t="shared" si="721"/>
        <v>6148078.0264919586</v>
      </c>
      <c r="JD34" s="125">
        <f t="shared" si="721"/>
        <v>6389088.7268328704</v>
      </c>
      <c r="JE34" s="125">
        <f t="shared" si="721"/>
        <v>6165321.3751788903</v>
      </c>
      <c r="JF34" s="125">
        <f t="shared" si="721"/>
        <v>6406987.7807922969</v>
      </c>
      <c r="JG34" s="125">
        <f t="shared" si="721"/>
        <v>6415960.0963191409</v>
      </c>
      <c r="JH34" s="125">
        <f t="shared" si="721"/>
        <v>5723993.8130347356</v>
      </c>
      <c r="JI34" s="125">
        <f t="shared" si="721"/>
        <v>6433950.4322758727</v>
      </c>
      <c r="JJ34" s="125">
        <f t="shared" si="721"/>
        <v>6208686.619930597</v>
      </c>
      <c r="JK34" s="125">
        <f t="shared" si="721"/>
        <v>6452001.879014601</v>
      </c>
      <c r="JL34" s="125">
        <f t="shared" si="721"/>
        <v>6226135.9864256196</v>
      </c>
      <c r="JM34" s="125">
        <f t="shared" si="721"/>
        <v>6470114.6422301494</v>
      </c>
      <c r="JN34" s="125">
        <f t="shared" si="721"/>
        <v>6479194.0819847658</v>
      </c>
      <c r="JO34" s="125">
        <f t="shared" si="721"/>
        <v>6252421.3025118168</v>
      </c>
      <c r="JP34" s="125">
        <f t="shared" si="721"/>
        <v>6497399.2071017139</v>
      </c>
      <c r="JQ34" s="125">
        <f t="shared" si="721"/>
        <v>6270019.3155868361</v>
      </c>
      <c r="JR34" s="125">
        <f t="shared" si="721"/>
        <v>6515666.1659530886</v>
      </c>
    </row>
    <row r="35" spans="2:278" x14ac:dyDescent="0.2">
      <c r="B35" s="48" t="s">
        <v>260</v>
      </c>
    </row>
    <row r="36" spans="2:278" x14ac:dyDescent="0.2">
      <c r="B36" s="126">
        <f>XIRR(C34:JR34,C24:JR24,0)</f>
        <v>0.20546600097656254</v>
      </c>
    </row>
  </sheetData>
  <mergeCells count="46">
    <mergeCell ref="BK2:BV2"/>
    <mergeCell ref="C2:N2"/>
    <mergeCell ref="O2:Z2"/>
    <mergeCell ref="AA2:AL2"/>
    <mergeCell ref="AM2:AX2"/>
    <mergeCell ref="AY2:BJ2"/>
    <mergeCell ref="II2:IT2"/>
    <mergeCell ref="IU2:JF2"/>
    <mergeCell ref="JG2:JR2"/>
    <mergeCell ref="GY2:HJ2"/>
    <mergeCell ref="BW2:CH2"/>
    <mergeCell ref="CI2:CT2"/>
    <mergeCell ref="CU2:DF2"/>
    <mergeCell ref="DG2:DR2"/>
    <mergeCell ref="DS2:ED2"/>
    <mergeCell ref="EE2:EP2"/>
    <mergeCell ref="EQ2:FB2"/>
    <mergeCell ref="FC2:FN2"/>
    <mergeCell ref="FO2:FZ2"/>
    <mergeCell ref="GA2:GL2"/>
    <mergeCell ref="GM2:GX2"/>
    <mergeCell ref="HK2:HV2"/>
    <mergeCell ref="HW2:IH2"/>
    <mergeCell ref="FC22:FN22"/>
    <mergeCell ref="FO22:FZ22"/>
    <mergeCell ref="GA22:GL22"/>
    <mergeCell ref="GM22:GX22"/>
    <mergeCell ref="GY22:HJ22"/>
    <mergeCell ref="HK22:HV22"/>
    <mergeCell ref="HW22:IH22"/>
    <mergeCell ref="II22:IT22"/>
    <mergeCell ref="IU22:JF22"/>
    <mergeCell ref="JG22:JR22"/>
    <mergeCell ref="C22:N22"/>
    <mergeCell ref="O22:Z22"/>
    <mergeCell ref="AA22:AL22"/>
    <mergeCell ref="AM22:AX22"/>
    <mergeCell ref="AY22:BJ22"/>
    <mergeCell ref="BK22:BV22"/>
    <mergeCell ref="BW22:CH22"/>
    <mergeCell ref="CI22:CT22"/>
    <mergeCell ref="CU22:DF22"/>
    <mergeCell ref="DG22:DR22"/>
    <mergeCell ref="DS22:ED22"/>
    <mergeCell ref="EE22:EP22"/>
    <mergeCell ref="EQ22:FB22"/>
  </mergeCells>
  <pageMargins left="0.7" right="0.7" top="0.75" bottom="0.75" header="0.3" footer="0.3"/>
  <pageSetup orientation="portrait" r:id="rId1"/>
  <cellWatches>
    <cellWatch r="B10"/>
  </cellWatch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F3CA6-D21B-4581-9CC1-D8630C86FB47}">
  <sheetPr>
    <tabColor theme="0" tint="-0.249977111117893"/>
  </sheetPr>
  <dimension ref="A1:P56"/>
  <sheetViews>
    <sheetView topLeftCell="A22" workbookViewId="0">
      <selection activeCell="B13" sqref="B13"/>
    </sheetView>
  </sheetViews>
  <sheetFormatPr defaultRowHeight="15" x14ac:dyDescent="0.25"/>
  <cols>
    <col min="2" max="2" width="12.7109375" customWidth="1"/>
    <col min="3" max="3" width="11.42578125" customWidth="1"/>
    <col min="4" max="4" width="11.85546875" customWidth="1"/>
    <col min="5" max="5" width="12.5703125" customWidth="1"/>
    <col min="6" max="6" width="12.85546875" customWidth="1"/>
    <col min="7" max="7" width="12.42578125" customWidth="1"/>
    <col min="16" max="16" width="45.85546875" customWidth="1"/>
  </cols>
  <sheetData>
    <row r="1" spans="1:16" ht="21" x14ac:dyDescent="0.35">
      <c r="A1" s="872" t="s">
        <v>416</v>
      </c>
      <c r="B1" s="872"/>
      <c r="C1" s="872"/>
      <c r="D1" s="872"/>
      <c r="E1" s="872"/>
      <c r="F1" s="171"/>
      <c r="G1" s="171"/>
      <c r="H1" s="134"/>
      <c r="I1" s="872" t="s">
        <v>266</v>
      </c>
      <c r="J1" s="872"/>
      <c r="K1" s="872"/>
      <c r="L1" s="872"/>
      <c r="M1" s="872"/>
      <c r="N1" s="872"/>
      <c r="O1" s="872"/>
      <c r="P1" s="872"/>
    </row>
    <row r="2" spans="1:16" ht="45" x14ac:dyDescent="0.25">
      <c r="A2" s="172" t="s">
        <v>331</v>
      </c>
      <c r="B2" s="173">
        <f>'Data Sources'!C53</f>
        <v>550</v>
      </c>
      <c r="C2" s="172" t="s">
        <v>332</v>
      </c>
      <c r="D2" s="173">
        <f>'Data Sources'!C54</f>
        <v>100</v>
      </c>
      <c r="I2" s="134" t="s">
        <v>333</v>
      </c>
    </row>
    <row r="3" spans="1:16" ht="60" x14ac:dyDescent="0.25">
      <c r="A3" s="174" t="s">
        <v>334</v>
      </c>
      <c r="B3" s="174" t="s">
        <v>196</v>
      </c>
      <c r="C3" s="174" t="s">
        <v>335</v>
      </c>
      <c r="D3" s="174" t="s">
        <v>336</v>
      </c>
      <c r="E3" s="174" t="s">
        <v>337</v>
      </c>
      <c r="F3" s="174" t="s">
        <v>338</v>
      </c>
      <c r="G3" s="174" t="s">
        <v>339</v>
      </c>
      <c r="H3" s="142"/>
      <c r="I3" s="174" t="s">
        <v>340</v>
      </c>
      <c r="J3" s="174" t="s">
        <v>196</v>
      </c>
      <c r="K3" s="174" t="s">
        <v>335</v>
      </c>
      <c r="L3" s="174" t="s">
        <v>336</v>
      </c>
      <c r="M3" s="174" t="s">
        <v>337</v>
      </c>
      <c r="N3" s="174" t="s">
        <v>338</v>
      </c>
      <c r="O3" s="174" t="s">
        <v>339</v>
      </c>
      <c r="P3" s="174" t="s">
        <v>341</v>
      </c>
    </row>
    <row r="4" spans="1:16" x14ac:dyDescent="0.25">
      <c r="A4" s="314" t="s">
        <v>342</v>
      </c>
      <c r="B4" s="645">
        <f>'Stage 3 Power Opt'!$B$34</f>
        <v>36.202404467132638</v>
      </c>
      <c r="C4" s="645">
        <f>'Stage 3 Power Opt'!$B$15</f>
        <v>9.8000000000000007</v>
      </c>
      <c r="D4" s="315">
        <v>9.5</v>
      </c>
      <c r="E4" s="175">
        <f>SUM(B4+C4) - D4</f>
        <v>36.502404467132635</v>
      </c>
      <c r="F4" s="175">
        <f>SUM($B$2/24)</f>
        <v>22.916666666666668</v>
      </c>
      <c r="G4" s="175">
        <f>SUM($D$2/24)</f>
        <v>4.166666666666667</v>
      </c>
      <c r="I4" s="167">
        <v>1</v>
      </c>
      <c r="J4" s="175">
        <f>$B$28</f>
        <v>868.85770721118308</v>
      </c>
      <c r="K4" s="175">
        <f>$C$28</f>
        <v>235.2000000000001</v>
      </c>
      <c r="L4" s="175">
        <f>$D$28</f>
        <v>208</v>
      </c>
      <c r="M4" s="175">
        <f>SUM(J4+K4) - L4</f>
        <v>896.05770721118324</v>
      </c>
      <c r="N4" s="175">
        <f>$B$2</f>
        <v>550</v>
      </c>
      <c r="O4" s="175">
        <f>$D$2</f>
        <v>100</v>
      </c>
      <c r="P4" s="873" t="s">
        <v>343</v>
      </c>
    </row>
    <row r="5" spans="1:16" x14ac:dyDescent="0.25">
      <c r="A5" s="314" t="s">
        <v>344</v>
      </c>
      <c r="B5" s="645">
        <f>'Stage 3 Power Opt'!$B$34</f>
        <v>36.202404467132638</v>
      </c>
      <c r="C5" s="645">
        <f>'Stage 3 Power Opt'!$B$15</f>
        <v>9.8000000000000007</v>
      </c>
      <c r="D5" s="315">
        <v>9.5</v>
      </c>
      <c r="E5" s="175">
        <f t="shared" ref="E5:E27" si="0">SUM(B5+C5) - D5</f>
        <v>36.502404467132635</v>
      </c>
      <c r="F5" s="175">
        <f t="shared" ref="F5:F27" si="1">SUM($B$2/24)</f>
        <v>22.916666666666668</v>
      </c>
      <c r="G5" s="175">
        <f t="shared" ref="G5:G27" si="2">SUM($D$2/24)</f>
        <v>4.166666666666667</v>
      </c>
      <c r="I5" s="167">
        <f>SUM(I4+1)</f>
        <v>2</v>
      </c>
      <c r="J5" s="175">
        <f t="shared" ref="J5:J34" si="3">$B$28</f>
        <v>868.85770721118308</v>
      </c>
      <c r="K5" s="175">
        <f t="shared" ref="K5:K34" si="4">$C$28</f>
        <v>235.2000000000001</v>
      </c>
      <c r="L5" s="175">
        <f t="shared" ref="L5:L34" si="5">$D$28</f>
        <v>208</v>
      </c>
      <c r="M5" s="175">
        <f t="shared" ref="M5:M34" si="6">SUM(J5+K5) - L5</f>
        <v>896.05770721118324</v>
      </c>
      <c r="N5" s="175">
        <f t="shared" ref="N5:N34" si="7">$B$2</f>
        <v>550</v>
      </c>
      <c r="O5" s="175">
        <f t="shared" ref="O5:O34" si="8">$D$2</f>
        <v>100</v>
      </c>
      <c r="P5" s="873"/>
    </row>
    <row r="6" spans="1:16" x14ac:dyDescent="0.25">
      <c r="A6" s="314" t="s">
        <v>345</v>
      </c>
      <c r="B6" s="645">
        <f>'Stage 3 Power Opt'!$B$34</f>
        <v>36.202404467132638</v>
      </c>
      <c r="C6" s="645">
        <f>'Stage 3 Power Opt'!$B$15</f>
        <v>9.8000000000000007</v>
      </c>
      <c r="D6" s="315">
        <v>9.5</v>
      </c>
      <c r="E6" s="175">
        <f t="shared" si="0"/>
        <v>36.502404467132635</v>
      </c>
      <c r="F6" s="175">
        <f t="shared" si="1"/>
        <v>22.916666666666668</v>
      </c>
      <c r="G6" s="175">
        <f t="shared" si="2"/>
        <v>4.166666666666667</v>
      </c>
      <c r="I6" s="167">
        <f t="shared" ref="I6:I34" si="9">SUM(I5+1)</f>
        <v>3</v>
      </c>
      <c r="J6" s="175">
        <f t="shared" si="3"/>
        <v>868.85770721118308</v>
      </c>
      <c r="K6" s="175">
        <f t="shared" si="4"/>
        <v>235.2000000000001</v>
      </c>
      <c r="L6" s="175">
        <f t="shared" si="5"/>
        <v>208</v>
      </c>
      <c r="M6" s="175">
        <f t="shared" si="6"/>
        <v>896.05770721118324</v>
      </c>
      <c r="N6" s="175">
        <f t="shared" si="7"/>
        <v>550</v>
      </c>
      <c r="O6" s="175">
        <f t="shared" si="8"/>
        <v>100</v>
      </c>
      <c r="P6" s="873"/>
    </row>
    <row r="7" spans="1:16" x14ac:dyDescent="0.25">
      <c r="A7" s="314" t="s">
        <v>346</v>
      </c>
      <c r="B7" s="645">
        <f>'Stage 3 Power Opt'!$B$34</f>
        <v>36.202404467132638</v>
      </c>
      <c r="C7" s="645">
        <f>'Stage 3 Power Opt'!$B$15</f>
        <v>9.8000000000000007</v>
      </c>
      <c r="D7" s="315">
        <v>9.5</v>
      </c>
      <c r="E7" s="175">
        <f t="shared" si="0"/>
        <v>36.502404467132635</v>
      </c>
      <c r="F7" s="175">
        <f t="shared" si="1"/>
        <v>22.916666666666668</v>
      </c>
      <c r="G7" s="175">
        <f t="shared" si="2"/>
        <v>4.166666666666667</v>
      </c>
      <c r="I7" s="167">
        <f t="shared" si="9"/>
        <v>4</v>
      </c>
      <c r="J7" s="175">
        <f t="shared" si="3"/>
        <v>868.85770721118308</v>
      </c>
      <c r="K7" s="175">
        <f t="shared" si="4"/>
        <v>235.2000000000001</v>
      </c>
      <c r="L7" s="175">
        <f t="shared" si="5"/>
        <v>208</v>
      </c>
      <c r="M7" s="175">
        <f t="shared" si="6"/>
        <v>896.05770721118324</v>
      </c>
      <c r="N7" s="175">
        <f t="shared" si="7"/>
        <v>550</v>
      </c>
      <c r="O7" s="175">
        <f t="shared" si="8"/>
        <v>100</v>
      </c>
      <c r="P7" s="873"/>
    </row>
    <row r="8" spans="1:16" x14ac:dyDescent="0.25">
      <c r="A8" s="314" t="s">
        <v>347</v>
      </c>
      <c r="B8" s="645">
        <f>'Stage 3 Power Opt'!$B$34</f>
        <v>36.202404467132638</v>
      </c>
      <c r="C8" s="645">
        <f>'Stage 3 Power Opt'!$B$15</f>
        <v>9.8000000000000007</v>
      </c>
      <c r="D8" s="315">
        <v>9.5</v>
      </c>
      <c r="E8" s="175">
        <f t="shared" si="0"/>
        <v>36.502404467132635</v>
      </c>
      <c r="F8" s="175">
        <f t="shared" si="1"/>
        <v>22.916666666666668</v>
      </c>
      <c r="G8" s="175">
        <f t="shared" si="2"/>
        <v>4.166666666666667</v>
      </c>
      <c r="I8" s="167">
        <f t="shared" si="9"/>
        <v>5</v>
      </c>
      <c r="J8" s="175">
        <f t="shared" si="3"/>
        <v>868.85770721118308</v>
      </c>
      <c r="K8" s="175">
        <f t="shared" si="4"/>
        <v>235.2000000000001</v>
      </c>
      <c r="L8" s="175">
        <f t="shared" si="5"/>
        <v>208</v>
      </c>
      <c r="M8" s="175">
        <f t="shared" si="6"/>
        <v>896.05770721118324</v>
      </c>
      <c r="N8" s="175">
        <f t="shared" si="7"/>
        <v>550</v>
      </c>
      <c r="O8" s="175">
        <f t="shared" si="8"/>
        <v>100</v>
      </c>
      <c r="P8" s="873"/>
    </row>
    <row r="9" spans="1:16" x14ac:dyDescent="0.25">
      <c r="A9" s="314" t="s">
        <v>348</v>
      </c>
      <c r="B9" s="645">
        <f>'Stage 3 Power Opt'!$B$34</f>
        <v>36.202404467132638</v>
      </c>
      <c r="C9" s="645">
        <f>'Stage 3 Power Opt'!$B$15</f>
        <v>9.8000000000000007</v>
      </c>
      <c r="D9" s="315">
        <v>9.5</v>
      </c>
      <c r="E9" s="175">
        <f t="shared" si="0"/>
        <v>36.502404467132635</v>
      </c>
      <c r="F9" s="175">
        <f t="shared" si="1"/>
        <v>22.916666666666668</v>
      </c>
      <c r="G9" s="175">
        <f t="shared" si="2"/>
        <v>4.166666666666667</v>
      </c>
      <c r="I9" s="167">
        <f t="shared" si="9"/>
        <v>6</v>
      </c>
      <c r="J9" s="175">
        <f t="shared" si="3"/>
        <v>868.85770721118308</v>
      </c>
      <c r="K9" s="175">
        <f t="shared" si="4"/>
        <v>235.2000000000001</v>
      </c>
      <c r="L9" s="175">
        <f t="shared" si="5"/>
        <v>208</v>
      </c>
      <c r="M9" s="175">
        <f t="shared" si="6"/>
        <v>896.05770721118324</v>
      </c>
      <c r="N9" s="175">
        <f t="shared" si="7"/>
        <v>550</v>
      </c>
      <c r="O9" s="175">
        <f t="shared" si="8"/>
        <v>100</v>
      </c>
      <c r="P9" s="873"/>
    </row>
    <row r="10" spans="1:16" x14ac:dyDescent="0.25">
      <c r="A10" s="314" t="s">
        <v>349</v>
      </c>
      <c r="B10" s="645">
        <f>'Stage 3 Power Opt'!$B$34</f>
        <v>36.202404467132638</v>
      </c>
      <c r="C10" s="645">
        <f>'Stage 3 Power Opt'!$B$15</f>
        <v>9.8000000000000007</v>
      </c>
      <c r="D10" s="315">
        <v>9.5</v>
      </c>
      <c r="E10" s="175">
        <f t="shared" si="0"/>
        <v>36.502404467132635</v>
      </c>
      <c r="F10" s="175">
        <f t="shared" si="1"/>
        <v>22.916666666666668</v>
      </c>
      <c r="G10" s="175">
        <f t="shared" si="2"/>
        <v>4.166666666666667</v>
      </c>
      <c r="I10" s="167">
        <f t="shared" si="9"/>
        <v>7</v>
      </c>
      <c r="J10" s="175">
        <f t="shared" si="3"/>
        <v>868.85770721118308</v>
      </c>
      <c r="K10" s="175">
        <f t="shared" si="4"/>
        <v>235.2000000000001</v>
      </c>
      <c r="L10" s="175">
        <f t="shared" si="5"/>
        <v>208</v>
      </c>
      <c r="M10" s="175">
        <f t="shared" si="6"/>
        <v>896.05770721118324</v>
      </c>
      <c r="N10" s="175">
        <f t="shared" si="7"/>
        <v>550</v>
      </c>
      <c r="O10" s="175">
        <f t="shared" si="8"/>
        <v>100</v>
      </c>
      <c r="P10" s="873"/>
    </row>
    <row r="11" spans="1:16" x14ac:dyDescent="0.25">
      <c r="A11" s="314" t="s">
        <v>350</v>
      </c>
      <c r="B11" s="645">
        <f>'Stage 3 Power Opt'!$B$34</f>
        <v>36.202404467132638</v>
      </c>
      <c r="C11" s="645">
        <f>'Stage 3 Power Opt'!$B$15</f>
        <v>9.8000000000000007</v>
      </c>
      <c r="D11" s="315">
        <v>9.5</v>
      </c>
      <c r="E11" s="175">
        <f t="shared" si="0"/>
        <v>36.502404467132635</v>
      </c>
      <c r="F11" s="175">
        <f t="shared" si="1"/>
        <v>22.916666666666668</v>
      </c>
      <c r="G11" s="175">
        <f t="shared" si="2"/>
        <v>4.166666666666667</v>
      </c>
      <c r="I11" s="167">
        <f t="shared" si="9"/>
        <v>8</v>
      </c>
      <c r="J11" s="175">
        <f t="shared" si="3"/>
        <v>868.85770721118308</v>
      </c>
      <c r="K11" s="175">
        <f t="shared" si="4"/>
        <v>235.2000000000001</v>
      </c>
      <c r="L11" s="175">
        <f t="shared" si="5"/>
        <v>208</v>
      </c>
      <c r="M11" s="175">
        <f t="shared" si="6"/>
        <v>896.05770721118324</v>
      </c>
      <c r="N11" s="175">
        <f t="shared" si="7"/>
        <v>550</v>
      </c>
      <c r="O11" s="175">
        <f t="shared" si="8"/>
        <v>100</v>
      </c>
      <c r="P11" s="873"/>
    </row>
    <row r="12" spans="1:16" x14ac:dyDescent="0.25">
      <c r="A12" s="314" t="s">
        <v>351</v>
      </c>
      <c r="B12" s="645">
        <f>'Stage 3 Power Opt'!$B$34</f>
        <v>36.202404467132638</v>
      </c>
      <c r="C12" s="645">
        <f>'Stage 3 Power Opt'!$B$15</f>
        <v>9.8000000000000007</v>
      </c>
      <c r="D12" s="315">
        <v>9.5</v>
      </c>
      <c r="E12" s="175">
        <f t="shared" si="0"/>
        <v>36.502404467132635</v>
      </c>
      <c r="F12" s="175">
        <f t="shared" si="1"/>
        <v>22.916666666666668</v>
      </c>
      <c r="G12" s="175">
        <f t="shared" si="2"/>
        <v>4.166666666666667</v>
      </c>
      <c r="I12" s="167">
        <f t="shared" si="9"/>
        <v>9</v>
      </c>
      <c r="J12" s="175">
        <f t="shared" si="3"/>
        <v>868.85770721118308</v>
      </c>
      <c r="K12" s="175">
        <f t="shared" si="4"/>
        <v>235.2000000000001</v>
      </c>
      <c r="L12" s="175">
        <f t="shared" si="5"/>
        <v>208</v>
      </c>
      <c r="M12" s="175">
        <f t="shared" si="6"/>
        <v>896.05770721118324</v>
      </c>
      <c r="N12" s="175">
        <f t="shared" si="7"/>
        <v>550</v>
      </c>
      <c r="O12" s="175">
        <f t="shared" si="8"/>
        <v>100</v>
      </c>
      <c r="P12" s="873"/>
    </row>
    <row r="13" spans="1:16" x14ac:dyDescent="0.25">
      <c r="A13" s="314" t="s">
        <v>352</v>
      </c>
      <c r="B13" s="645">
        <f>'Stage 3 Power Opt'!$B$34</f>
        <v>36.202404467132638</v>
      </c>
      <c r="C13" s="645">
        <f>'Stage 3 Power Opt'!$B$15</f>
        <v>9.8000000000000007</v>
      </c>
      <c r="D13" s="315">
        <v>9.5</v>
      </c>
      <c r="E13" s="175">
        <f t="shared" si="0"/>
        <v>36.502404467132635</v>
      </c>
      <c r="F13" s="175">
        <f t="shared" si="1"/>
        <v>22.916666666666668</v>
      </c>
      <c r="G13" s="175">
        <f t="shared" si="2"/>
        <v>4.166666666666667</v>
      </c>
      <c r="I13" s="167">
        <f t="shared" si="9"/>
        <v>10</v>
      </c>
      <c r="J13" s="175">
        <f t="shared" si="3"/>
        <v>868.85770721118308</v>
      </c>
      <c r="K13" s="175">
        <f t="shared" si="4"/>
        <v>235.2000000000001</v>
      </c>
      <c r="L13" s="175">
        <f t="shared" si="5"/>
        <v>208</v>
      </c>
      <c r="M13" s="175">
        <f t="shared" si="6"/>
        <v>896.05770721118324</v>
      </c>
      <c r="N13" s="175">
        <f t="shared" si="7"/>
        <v>550</v>
      </c>
      <c r="O13" s="175">
        <f t="shared" si="8"/>
        <v>100</v>
      </c>
      <c r="P13" s="873"/>
    </row>
    <row r="14" spans="1:16" x14ac:dyDescent="0.25">
      <c r="A14" s="314" t="s">
        <v>353</v>
      </c>
      <c r="B14" s="645">
        <f>'Stage 3 Power Opt'!$B$34</f>
        <v>36.202404467132638</v>
      </c>
      <c r="C14" s="645">
        <f>'Stage 3 Power Opt'!$B$15</f>
        <v>9.8000000000000007</v>
      </c>
      <c r="D14" s="315">
        <v>9.5</v>
      </c>
      <c r="E14" s="175">
        <f t="shared" si="0"/>
        <v>36.502404467132635</v>
      </c>
      <c r="F14" s="175">
        <f t="shared" si="1"/>
        <v>22.916666666666668</v>
      </c>
      <c r="G14" s="175">
        <f t="shared" si="2"/>
        <v>4.166666666666667</v>
      </c>
      <c r="I14" s="167">
        <f t="shared" si="9"/>
        <v>11</v>
      </c>
      <c r="J14" s="175">
        <f t="shared" si="3"/>
        <v>868.85770721118308</v>
      </c>
      <c r="K14" s="175">
        <f t="shared" si="4"/>
        <v>235.2000000000001</v>
      </c>
      <c r="L14" s="175">
        <f t="shared" si="5"/>
        <v>208</v>
      </c>
      <c r="M14" s="175">
        <f t="shared" si="6"/>
        <v>896.05770721118324</v>
      </c>
      <c r="N14" s="175">
        <f t="shared" si="7"/>
        <v>550</v>
      </c>
      <c r="O14" s="175">
        <f t="shared" si="8"/>
        <v>100</v>
      </c>
      <c r="P14" s="873"/>
    </row>
    <row r="15" spans="1:16" x14ac:dyDescent="0.25">
      <c r="A15" s="314" t="s">
        <v>354</v>
      </c>
      <c r="B15" s="645">
        <f>'Stage 3 Power Opt'!$B$34</f>
        <v>36.202404467132638</v>
      </c>
      <c r="C15" s="645">
        <f>'Stage 3 Power Opt'!$B$15</f>
        <v>9.8000000000000007</v>
      </c>
      <c r="D15" s="315">
        <v>9.5</v>
      </c>
      <c r="E15" s="175">
        <f t="shared" si="0"/>
        <v>36.502404467132635</v>
      </c>
      <c r="F15" s="175">
        <f t="shared" si="1"/>
        <v>22.916666666666668</v>
      </c>
      <c r="G15" s="175">
        <f t="shared" si="2"/>
        <v>4.166666666666667</v>
      </c>
      <c r="I15" s="167">
        <f t="shared" si="9"/>
        <v>12</v>
      </c>
      <c r="J15" s="175">
        <f t="shared" si="3"/>
        <v>868.85770721118308</v>
      </c>
      <c r="K15" s="175">
        <f t="shared" si="4"/>
        <v>235.2000000000001</v>
      </c>
      <c r="L15" s="175">
        <f t="shared" si="5"/>
        <v>208</v>
      </c>
      <c r="M15" s="175">
        <f t="shared" si="6"/>
        <v>896.05770721118324</v>
      </c>
      <c r="N15" s="175">
        <f t="shared" si="7"/>
        <v>550</v>
      </c>
      <c r="O15" s="175">
        <f t="shared" si="8"/>
        <v>100</v>
      </c>
      <c r="P15" s="873"/>
    </row>
    <row r="16" spans="1:16" x14ac:dyDescent="0.25">
      <c r="A16" s="314" t="s">
        <v>355</v>
      </c>
      <c r="B16" s="645">
        <f>'Stage 3 Power Opt'!$B$34</f>
        <v>36.202404467132638</v>
      </c>
      <c r="C16" s="645">
        <f>'Stage 3 Power Opt'!$B$15</f>
        <v>9.8000000000000007</v>
      </c>
      <c r="D16" s="315">
        <v>9.5</v>
      </c>
      <c r="E16" s="175">
        <f t="shared" si="0"/>
        <v>36.502404467132635</v>
      </c>
      <c r="F16" s="175">
        <f t="shared" si="1"/>
        <v>22.916666666666668</v>
      </c>
      <c r="G16" s="175">
        <f t="shared" si="2"/>
        <v>4.166666666666667</v>
      </c>
      <c r="I16" s="167">
        <f t="shared" si="9"/>
        <v>13</v>
      </c>
      <c r="J16" s="175">
        <f t="shared" si="3"/>
        <v>868.85770721118308</v>
      </c>
      <c r="K16" s="175">
        <f t="shared" si="4"/>
        <v>235.2000000000001</v>
      </c>
      <c r="L16" s="175">
        <f t="shared" si="5"/>
        <v>208</v>
      </c>
      <c r="M16" s="175">
        <f t="shared" si="6"/>
        <v>896.05770721118324</v>
      </c>
      <c r="N16" s="175">
        <f t="shared" si="7"/>
        <v>550</v>
      </c>
      <c r="O16" s="175">
        <f t="shared" si="8"/>
        <v>100</v>
      </c>
      <c r="P16" s="873"/>
    </row>
    <row r="17" spans="1:16" x14ac:dyDescent="0.25">
      <c r="A17" s="314" t="s">
        <v>356</v>
      </c>
      <c r="B17" s="645">
        <f>'Stage 3 Power Opt'!$B$34</f>
        <v>36.202404467132638</v>
      </c>
      <c r="C17" s="645">
        <f>'Stage 3 Power Opt'!$B$15</f>
        <v>9.8000000000000007</v>
      </c>
      <c r="D17" s="315">
        <v>9.5</v>
      </c>
      <c r="E17" s="175">
        <f t="shared" si="0"/>
        <v>36.502404467132635</v>
      </c>
      <c r="F17" s="175">
        <f t="shared" si="1"/>
        <v>22.916666666666668</v>
      </c>
      <c r="G17" s="175">
        <f t="shared" si="2"/>
        <v>4.166666666666667</v>
      </c>
      <c r="I17" s="167">
        <f t="shared" si="9"/>
        <v>14</v>
      </c>
      <c r="J17" s="175">
        <f t="shared" si="3"/>
        <v>868.85770721118308</v>
      </c>
      <c r="K17" s="175">
        <f t="shared" si="4"/>
        <v>235.2000000000001</v>
      </c>
      <c r="L17" s="175">
        <f t="shared" si="5"/>
        <v>208</v>
      </c>
      <c r="M17" s="175">
        <f t="shared" si="6"/>
        <v>896.05770721118324</v>
      </c>
      <c r="N17" s="175">
        <f t="shared" si="7"/>
        <v>550</v>
      </c>
      <c r="O17" s="175">
        <f t="shared" si="8"/>
        <v>100</v>
      </c>
      <c r="P17" s="873"/>
    </row>
    <row r="18" spans="1:16" x14ac:dyDescent="0.25">
      <c r="A18" s="314" t="s">
        <v>357</v>
      </c>
      <c r="B18" s="645">
        <f>'Stage 3 Power Opt'!$B$34</f>
        <v>36.202404467132638</v>
      </c>
      <c r="C18" s="645">
        <f>'Stage 3 Power Opt'!$B$15</f>
        <v>9.8000000000000007</v>
      </c>
      <c r="D18" s="315">
        <v>9.5</v>
      </c>
      <c r="E18" s="175">
        <f t="shared" si="0"/>
        <v>36.502404467132635</v>
      </c>
      <c r="F18" s="175">
        <f t="shared" si="1"/>
        <v>22.916666666666668</v>
      </c>
      <c r="G18" s="175">
        <f t="shared" si="2"/>
        <v>4.166666666666667</v>
      </c>
      <c r="I18" s="167">
        <f t="shared" si="9"/>
        <v>15</v>
      </c>
      <c r="J18" s="175">
        <f t="shared" si="3"/>
        <v>868.85770721118308</v>
      </c>
      <c r="K18" s="175">
        <f t="shared" si="4"/>
        <v>235.2000000000001</v>
      </c>
      <c r="L18" s="175">
        <f t="shared" si="5"/>
        <v>208</v>
      </c>
      <c r="M18" s="175">
        <f t="shared" si="6"/>
        <v>896.05770721118324</v>
      </c>
      <c r="N18" s="175">
        <f t="shared" si="7"/>
        <v>550</v>
      </c>
      <c r="O18" s="175">
        <f t="shared" si="8"/>
        <v>100</v>
      </c>
      <c r="P18" s="873"/>
    </row>
    <row r="19" spans="1:16" x14ac:dyDescent="0.25">
      <c r="A19" s="314" t="s">
        <v>358</v>
      </c>
      <c r="B19" s="645">
        <f>'Stage 3 Power Opt'!$B$34</f>
        <v>36.202404467132638</v>
      </c>
      <c r="C19" s="645">
        <f>'Stage 3 Power Opt'!$B$15</f>
        <v>9.8000000000000007</v>
      </c>
      <c r="D19" s="315">
        <v>9.5</v>
      </c>
      <c r="E19" s="175">
        <f t="shared" si="0"/>
        <v>36.502404467132635</v>
      </c>
      <c r="F19" s="175">
        <f t="shared" si="1"/>
        <v>22.916666666666668</v>
      </c>
      <c r="G19" s="175">
        <f t="shared" si="2"/>
        <v>4.166666666666667</v>
      </c>
      <c r="I19" s="167">
        <f t="shared" si="9"/>
        <v>16</v>
      </c>
      <c r="J19" s="175">
        <f t="shared" si="3"/>
        <v>868.85770721118308</v>
      </c>
      <c r="K19" s="175">
        <f t="shared" si="4"/>
        <v>235.2000000000001</v>
      </c>
      <c r="L19" s="175">
        <f t="shared" si="5"/>
        <v>208</v>
      </c>
      <c r="M19" s="175">
        <f t="shared" si="6"/>
        <v>896.05770721118324</v>
      </c>
      <c r="N19" s="175">
        <f t="shared" si="7"/>
        <v>550</v>
      </c>
      <c r="O19" s="175">
        <f t="shared" si="8"/>
        <v>100</v>
      </c>
      <c r="P19" s="873"/>
    </row>
    <row r="20" spans="1:16" x14ac:dyDescent="0.25">
      <c r="A20" s="314" t="s">
        <v>359</v>
      </c>
      <c r="B20" s="645">
        <f>'Stage 3 Power Opt'!$B$34</f>
        <v>36.202404467132638</v>
      </c>
      <c r="C20" s="645">
        <f>'Stage 3 Power Opt'!$B$15</f>
        <v>9.8000000000000007</v>
      </c>
      <c r="D20" s="315">
        <v>9.5</v>
      </c>
      <c r="E20" s="175">
        <f t="shared" si="0"/>
        <v>36.502404467132635</v>
      </c>
      <c r="F20" s="175">
        <f t="shared" si="1"/>
        <v>22.916666666666668</v>
      </c>
      <c r="G20" s="175">
        <f t="shared" si="2"/>
        <v>4.166666666666667</v>
      </c>
      <c r="I20" s="167">
        <f t="shared" si="9"/>
        <v>17</v>
      </c>
      <c r="J20" s="175">
        <f t="shared" si="3"/>
        <v>868.85770721118308</v>
      </c>
      <c r="K20" s="175">
        <f t="shared" si="4"/>
        <v>235.2000000000001</v>
      </c>
      <c r="L20" s="175">
        <f t="shared" si="5"/>
        <v>208</v>
      </c>
      <c r="M20" s="175">
        <f t="shared" si="6"/>
        <v>896.05770721118324</v>
      </c>
      <c r="N20" s="175">
        <f t="shared" si="7"/>
        <v>550</v>
      </c>
      <c r="O20" s="175">
        <f t="shared" si="8"/>
        <v>100</v>
      </c>
      <c r="P20" s="873"/>
    </row>
    <row r="21" spans="1:16" x14ac:dyDescent="0.25">
      <c r="A21" s="314" t="s">
        <v>360</v>
      </c>
      <c r="B21" s="645">
        <f>'Stage 3 Power Opt'!$B$34</f>
        <v>36.202404467132638</v>
      </c>
      <c r="C21" s="645">
        <f>'Stage 3 Power Opt'!$B$15</f>
        <v>9.8000000000000007</v>
      </c>
      <c r="D21" s="315">
        <v>9.5</v>
      </c>
      <c r="E21" s="175">
        <f t="shared" si="0"/>
        <v>36.502404467132635</v>
      </c>
      <c r="F21" s="175">
        <f t="shared" si="1"/>
        <v>22.916666666666668</v>
      </c>
      <c r="G21" s="175">
        <f t="shared" si="2"/>
        <v>4.166666666666667</v>
      </c>
      <c r="I21" s="167">
        <f t="shared" si="9"/>
        <v>18</v>
      </c>
      <c r="J21" s="175">
        <f t="shared" si="3"/>
        <v>868.85770721118308</v>
      </c>
      <c r="K21" s="175">
        <f t="shared" si="4"/>
        <v>235.2000000000001</v>
      </c>
      <c r="L21" s="175">
        <f t="shared" si="5"/>
        <v>208</v>
      </c>
      <c r="M21" s="175">
        <f t="shared" si="6"/>
        <v>896.05770721118324</v>
      </c>
      <c r="N21" s="175">
        <f t="shared" si="7"/>
        <v>550</v>
      </c>
      <c r="O21" s="175">
        <f t="shared" si="8"/>
        <v>100</v>
      </c>
      <c r="P21" s="873"/>
    </row>
    <row r="22" spans="1:16" x14ac:dyDescent="0.25">
      <c r="A22" s="314" t="s">
        <v>361</v>
      </c>
      <c r="B22" s="645">
        <f>'Stage 3 Power Opt'!$B$34</f>
        <v>36.202404467132638</v>
      </c>
      <c r="C22" s="645">
        <f>'Stage 3 Power Opt'!$B$15</f>
        <v>9.8000000000000007</v>
      </c>
      <c r="D22" s="315">
        <v>9.5</v>
      </c>
      <c r="E22" s="175">
        <f t="shared" si="0"/>
        <v>36.502404467132635</v>
      </c>
      <c r="F22" s="175">
        <f t="shared" si="1"/>
        <v>22.916666666666668</v>
      </c>
      <c r="G22" s="175">
        <f t="shared" si="2"/>
        <v>4.166666666666667</v>
      </c>
      <c r="I22" s="167">
        <f t="shared" si="9"/>
        <v>19</v>
      </c>
      <c r="J22" s="175">
        <f t="shared" si="3"/>
        <v>868.85770721118308</v>
      </c>
      <c r="K22" s="175">
        <f t="shared" si="4"/>
        <v>235.2000000000001</v>
      </c>
      <c r="L22" s="175">
        <f t="shared" si="5"/>
        <v>208</v>
      </c>
      <c r="M22" s="175">
        <f t="shared" si="6"/>
        <v>896.05770721118324</v>
      </c>
      <c r="N22" s="175">
        <f t="shared" si="7"/>
        <v>550</v>
      </c>
      <c r="O22" s="175">
        <f t="shared" si="8"/>
        <v>100</v>
      </c>
      <c r="P22" s="873"/>
    </row>
    <row r="23" spans="1:16" x14ac:dyDescent="0.25">
      <c r="A23" s="314" t="s">
        <v>362</v>
      </c>
      <c r="B23" s="645">
        <f>'Stage 3 Power Opt'!$B$34</f>
        <v>36.202404467132638</v>
      </c>
      <c r="C23" s="645">
        <f>'Stage 3 Power Opt'!$B$15</f>
        <v>9.8000000000000007</v>
      </c>
      <c r="D23" s="315">
        <v>5.5</v>
      </c>
      <c r="E23" s="175">
        <f t="shared" si="0"/>
        <v>40.502404467132635</v>
      </c>
      <c r="F23" s="175">
        <f t="shared" si="1"/>
        <v>22.916666666666668</v>
      </c>
      <c r="G23" s="175">
        <f t="shared" si="2"/>
        <v>4.166666666666667</v>
      </c>
      <c r="I23" s="167">
        <f t="shared" si="9"/>
        <v>20</v>
      </c>
      <c r="J23" s="175">
        <f t="shared" si="3"/>
        <v>868.85770721118308</v>
      </c>
      <c r="K23" s="175">
        <f t="shared" si="4"/>
        <v>235.2000000000001</v>
      </c>
      <c r="L23" s="175">
        <f t="shared" si="5"/>
        <v>208</v>
      </c>
      <c r="M23" s="175">
        <f t="shared" si="6"/>
        <v>896.05770721118324</v>
      </c>
      <c r="N23" s="175">
        <f t="shared" si="7"/>
        <v>550</v>
      </c>
      <c r="O23" s="175">
        <f t="shared" si="8"/>
        <v>100</v>
      </c>
      <c r="P23" s="873"/>
    </row>
    <row r="24" spans="1:16" x14ac:dyDescent="0.25">
      <c r="A24" s="314" t="s">
        <v>363</v>
      </c>
      <c r="B24" s="645">
        <f>'Stage 3 Power Opt'!$B$34</f>
        <v>36.202404467132638</v>
      </c>
      <c r="C24" s="645">
        <f>'Stage 3 Power Opt'!$B$15</f>
        <v>9.8000000000000007</v>
      </c>
      <c r="D24" s="315">
        <v>5.5</v>
      </c>
      <c r="E24" s="175">
        <f t="shared" si="0"/>
        <v>40.502404467132635</v>
      </c>
      <c r="F24" s="175">
        <f t="shared" si="1"/>
        <v>22.916666666666668</v>
      </c>
      <c r="G24" s="175">
        <f t="shared" si="2"/>
        <v>4.166666666666667</v>
      </c>
      <c r="I24" s="167">
        <f t="shared" si="9"/>
        <v>21</v>
      </c>
      <c r="J24" s="175">
        <f t="shared" si="3"/>
        <v>868.85770721118308</v>
      </c>
      <c r="K24" s="175">
        <f t="shared" si="4"/>
        <v>235.2000000000001</v>
      </c>
      <c r="L24" s="175">
        <f t="shared" si="5"/>
        <v>208</v>
      </c>
      <c r="M24" s="175">
        <f t="shared" si="6"/>
        <v>896.05770721118324</v>
      </c>
      <c r="N24" s="175">
        <f t="shared" si="7"/>
        <v>550</v>
      </c>
      <c r="O24" s="175">
        <f t="shared" si="8"/>
        <v>100</v>
      </c>
      <c r="P24" s="873"/>
    </row>
    <row r="25" spans="1:16" x14ac:dyDescent="0.25">
      <c r="A25" s="314" t="s">
        <v>364</v>
      </c>
      <c r="B25" s="645">
        <f>'Stage 3 Power Opt'!$B$34</f>
        <v>36.202404467132638</v>
      </c>
      <c r="C25" s="645">
        <f>'Stage 3 Power Opt'!$B$15</f>
        <v>9.8000000000000007</v>
      </c>
      <c r="D25" s="315">
        <v>5.5</v>
      </c>
      <c r="E25" s="175">
        <f t="shared" si="0"/>
        <v>40.502404467132635</v>
      </c>
      <c r="F25" s="175">
        <f t="shared" si="1"/>
        <v>22.916666666666668</v>
      </c>
      <c r="G25" s="175">
        <f t="shared" si="2"/>
        <v>4.166666666666667</v>
      </c>
      <c r="I25" s="167">
        <f t="shared" si="9"/>
        <v>22</v>
      </c>
      <c r="J25" s="175">
        <f t="shared" si="3"/>
        <v>868.85770721118308</v>
      </c>
      <c r="K25" s="175">
        <f t="shared" si="4"/>
        <v>235.2000000000001</v>
      </c>
      <c r="L25" s="175">
        <f t="shared" si="5"/>
        <v>208</v>
      </c>
      <c r="M25" s="175">
        <f t="shared" si="6"/>
        <v>896.05770721118324</v>
      </c>
      <c r="N25" s="175">
        <f t="shared" si="7"/>
        <v>550</v>
      </c>
      <c r="O25" s="175">
        <f t="shared" si="8"/>
        <v>100</v>
      </c>
      <c r="P25" s="873"/>
    </row>
    <row r="26" spans="1:16" x14ac:dyDescent="0.25">
      <c r="A26" s="314" t="s">
        <v>365</v>
      </c>
      <c r="B26" s="645">
        <f>'Stage 3 Power Opt'!$B$34</f>
        <v>36.202404467132638</v>
      </c>
      <c r="C26" s="645">
        <f>'Stage 3 Power Opt'!$B$15</f>
        <v>9.8000000000000007</v>
      </c>
      <c r="D26" s="315">
        <v>5.5</v>
      </c>
      <c r="E26" s="175">
        <f t="shared" si="0"/>
        <v>40.502404467132635</v>
      </c>
      <c r="F26" s="175">
        <f t="shared" si="1"/>
        <v>22.916666666666668</v>
      </c>
      <c r="G26" s="175">
        <f t="shared" si="2"/>
        <v>4.166666666666667</v>
      </c>
      <c r="I26" s="167">
        <f t="shared" si="9"/>
        <v>23</v>
      </c>
      <c r="J26" s="175">
        <f t="shared" si="3"/>
        <v>868.85770721118308</v>
      </c>
      <c r="K26" s="175">
        <f t="shared" si="4"/>
        <v>235.2000000000001</v>
      </c>
      <c r="L26" s="175">
        <f t="shared" si="5"/>
        <v>208</v>
      </c>
      <c r="M26" s="175">
        <f t="shared" si="6"/>
        <v>896.05770721118324</v>
      </c>
      <c r="N26" s="175">
        <f t="shared" si="7"/>
        <v>550</v>
      </c>
      <c r="O26" s="175">
        <f t="shared" si="8"/>
        <v>100</v>
      </c>
      <c r="P26" s="873"/>
    </row>
    <row r="27" spans="1:16" ht="15.75" thickBot="1" x14ac:dyDescent="0.3">
      <c r="A27" s="314" t="s">
        <v>366</v>
      </c>
      <c r="B27" s="645">
        <f>'Stage 3 Power Opt'!$B$34</f>
        <v>36.202404467132638</v>
      </c>
      <c r="C27" s="645">
        <f>'Stage 3 Power Opt'!$B$15</f>
        <v>9.8000000000000007</v>
      </c>
      <c r="D27" s="315">
        <v>5.5</v>
      </c>
      <c r="E27" s="175">
        <f t="shared" si="0"/>
        <v>40.502404467132635</v>
      </c>
      <c r="F27" s="175">
        <f t="shared" si="1"/>
        <v>22.916666666666668</v>
      </c>
      <c r="G27" s="175">
        <f t="shared" si="2"/>
        <v>4.166666666666667</v>
      </c>
      <c r="I27" s="167">
        <f t="shared" si="9"/>
        <v>24</v>
      </c>
      <c r="J27" s="175">
        <f t="shared" si="3"/>
        <v>868.85770721118308</v>
      </c>
      <c r="K27" s="175">
        <f t="shared" si="4"/>
        <v>235.2000000000001</v>
      </c>
      <c r="L27" s="175">
        <f t="shared" si="5"/>
        <v>208</v>
      </c>
      <c r="M27" s="175">
        <f t="shared" si="6"/>
        <v>896.05770721118324</v>
      </c>
      <c r="N27" s="175">
        <f t="shared" si="7"/>
        <v>550</v>
      </c>
      <c r="O27" s="175">
        <f t="shared" si="8"/>
        <v>100</v>
      </c>
      <c r="P27" s="873"/>
    </row>
    <row r="28" spans="1:16" ht="15.75" thickTop="1" x14ac:dyDescent="0.25">
      <c r="A28" s="176" t="s">
        <v>333</v>
      </c>
      <c r="B28" s="177">
        <f>SUM(B4:B27)</f>
        <v>868.85770721118308</v>
      </c>
      <c r="C28" s="177">
        <f t="shared" ref="C28:G28" si="10">SUM(C4:C27)</f>
        <v>235.2000000000001</v>
      </c>
      <c r="D28" s="177">
        <f t="shared" si="10"/>
        <v>208</v>
      </c>
      <c r="E28" s="177">
        <f t="shared" si="10"/>
        <v>896.0577072111837</v>
      </c>
      <c r="F28" s="177">
        <f t="shared" si="10"/>
        <v>550.00000000000011</v>
      </c>
      <c r="G28" s="177">
        <f t="shared" si="10"/>
        <v>100.00000000000003</v>
      </c>
      <c r="I28" s="167">
        <f t="shared" si="9"/>
        <v>25</v>
      </c>
      <c r="J28" s="175">
        <f t="shared" si="3"/>
        <v>868.85770721118308</v>
      </c>
      <c r="K28" s="175">
        <f t="shared" si="4"/>
        <v>235.2000000000001</v>
      </c>
      <c r="L28" s="175">
        <f t="shared" si="5"/>
        <v>208</v>
      </c>
      <c r="M28" s="175">
        <f t="shared" si="6"/>
        <v>896.05770721118324</v>
      </c>
      <c r="N28" s="175">
        <f t="shared" si="7"/>
        <v>550</v>
      </c>
      <c r="O28" s="175">
        <f t="shared" si="8"/>
        <v>100</v>
      </c>
      <c r="P28" s="873"/>
    </row>
    <row r="29" spans="1:16" x14ac:dyDescent="0.25">
      <c r="I29" s="167">
        <f t="shared" si="9"/>
        <v>26</v>
      </c>
      <c r="J29" s="175">
        <f t="shared" si="3"/>
        <v>868.85770721118308</v>
      </c>
      <c r="K29" s="175">
        <f t="shared" si="4"/>
        <v>235.2000000000001</v>
      </c>
      <c r="L29" s="175">
        <f t="shared" si="5"/>
        <v>208</v>
      </c>
      <c r="M29" s="175">
        <f t="shared" si="6"/>
        <v>896.05770721118324</v>
      </c>
      <c r="N29" s="175">
        <f t="shared" si="7"/>
        <v>550</v>
      </c>
      <c r="O29" s="175">
        <f t="shared" si="8"/>
        <v>100</v>
      </c>
      <c r="P29" s="873"/>
    </row>
    <row r="30" spans="1:16" x14ac:dyDescent="0.25">
      <c r="C30" s="874" t="s">
        <v>367</v>
      </c>
      <c r="D30" s="874"/>
      <c r="E30" s="134">
        <f>SUM(E28/24)</f>
        <v>37.335737800465985</v>
      </c>
      <c r="F30" s="134"/>
      <c r="G30" s="134"/>
      <c r="I30" s="167">
        <f t="shared" si="9"/>
        <v>27</v>
      </c>
      <c r="J30" s="175">
        <f t="shared" si="3"/>
        <v>868.85770721118308</v>
      </c>
      <c r="K30" s="175">
        <f t="shared" si="4"/>
        <v>235.2000000000001</v>
      </c>
      <c r="L30" s="175">
        <f t="shared" si="5"/>
        <v>208</v>
      </c>
      <c r="M30" s="175">
        <f t="shared" si="6"/>
        <v>896.05770721118324</v>
      </c>
      <c r="N30" s="175">
        <f t="shared" si="7"/>
        <v>550</v>
      </c>
      <c r="O30" s="175">
        <f t="shared" si="8"/>
        <v>100</v>
      </c>
      <c r="P30" s="873"/>
    </row>
    <row r="31" spans="1:16" x14ac:dyDescent="0.25">
      <c r="C31" s="874" t="s">
        <v>812</v>
      </c>
      <c r="D31" s="874"/>
      <c r="E31" s="134">
        <f>SUM(D28/24)</f>
        <v>8.6666666666666661</v>
      </c>
      <c r="I31" s="167">
        <f t="shared" si="9"/>
        <v>28</v>
      </c>
      <c r="J31" s="175">
        <f t="shared" si="3"/>
        <v>868.85770721118308</v>
      </c>
      <c r="K31" s="175">
        <f t="shared" si="4"/>
        <v>235.2000000000001</v>
      </c>
      <c r="L31" s="175">
        <f t="shared" si="5"/>
        <v>208</v>
      </c>
      <c r="M31" s="175">
        <f t="shared" si="6"/>
        <v>896.05770721118324</v>
      </c>
      <c r="N31" s="175">
        <f t="shared" si="7"/>
        <v>550</v>
      </c>
      <c r="O31" s="175">
        <f t="shared" si="8"/>
        <v>100</v>
      </c>
      <c r="P31" s="873"/>
    </row>
    <row r="32" spans="1:16" x14ac:dyDescent="0.25">
      <c r="D32" s="178">
        <v>0.9</v>
      </c>
      <c r="E32" s="179">
        <f>SUM(E30*D32)</f>
        <v>33.602164020419387</v>
      </c>
      <c r="F32" s="179"/>
      <c r="G32" s="179"/>
      <c r="I32" s="167">
        <f t="shared" si="9"/>
        <v>29</v>
      </c>
      <c r="J32" s="175">
        <f t="shared" si="3"/>
        <v>868.85770721118308</v>
      </c>
      <c r="K32" s="175">
        <f t="shared" si="4"/>
        <v>235.2000000000001</v>
      </c>
      <c r="L32" s="175">
        <f t="shared" si="5"/>
        <v>208</v>
      </c>
      <c r="M32" s="175">
        <f t="shared" si="6"/>
        <v>896.05770721118324</v>
      </c>
      <c r="N32" s="175">
        <f t="shared" si="7"/>
        <v>550</v>
      </c>
      <c r="O32" s="175">
        <f t="shared" si="8"/>
        <v>100</v>
      </c>
      <c r="P32" s="873"/>
    </row>
    <row r="33" spans="1:16" x14ac:dyDescent="0.25">
      <c r="D33" s="178">
        <v>0.95</v>
      </c>
      <c r="E33" s="179">
        <f>SUM(E30*D33)</f>
        <v>35.468950910442686</v>
      </c>
      <c r="F33" s="179"/>
      <c r="G33" s="179"/>
      <c r="I33" s="167">
        <f t="shared" si="9"/>
        <v>30</v>
      </c>
      <c r="J33" s="175">
        <f t="shared" si="3"/>
        <v>868.85770721118308</v>
      </c>
      <c r="K33" s="175">
        <f t="shared" si="4"/>
        <v>235.2000000000001</v>
      </c>
      <c r="L33" s="175">
        <f t="shared" si="5"/>
        <v>208</v>
      </c>
      <c r="M33" s="175">
        <f t="shared" si="6"/>
        <v>896.05770721118324</v>
      </c>
      <c r="N33" s="175">
        <f t="shared" si="7"/>
        <v>550</v>
      </c>
      <c r="O33" s="175">
        <f t="shared" si="8"/>
        <v>100</v>
      </c>
      <c r="P33" s="873"/>
    </row>
    <row r="34" spans="1:16" x14ac:dyDescent="0.25">
      <c r="I34" s="167">
        <f t="shared" si="9"/>
        <v>31</v>
      </c>
      <c r="J34" s="175">
        <f t="shared" si="3"/>
        <v>868.85770721118308</v>
      </c>
      <c r="K34" s="175">
        <f t="shared" si="4"/>
        <v>235.2000000000001</v>
      </c>
      <c r="L34" s="175">
        <f t="shared" si="5"/>
        <v>208</v>
      </c>
      <c r="M34" s="175">
        <f t="shared" si="6"/>
        <v>896.05770721118324</v>
      </c>
      <c r="N34" s="175">
        <f t="shared" si="7"/>
        <v>550</v>
      </c>
      <c r="O34" s="175">
        <f t="shared" si="8"/>
        <v>100</v>
      </c>
      <c r="P34" s="873"/>
    </row>
    <row r="38" spans="1:16" ht="23.25" x14ac:dyDescent="0.35">
      <c r="A38" s="875" t="s">
        <v>368</v>
      </c>
      <c r="B38" s="875"/>
      <c r="C38" s="875"/>
      <c r="D38" s="875"/>
      <c r="E38" s="875"/>
      <c r="F38" s="875"/>
      <c r="G38" s="875"/>
      <c r="H38" s="875"/>
      <c r="I38" s="875"/>
      <c r="J38" s="875"/>
      <c r="K38" s="875"/>
      <c r="L38" s="875"/>
      <c r="M38" s="875"/>
      <c r="N38" s="875"/>
      <c r="O38" s="875"/>
      <c r="P38" s="875"/>
    </row>
    <row r="39" spans="1:16" ht="45" x14ac:dyDescent="0.25">
      <c r="A39" s="174" t="s">
        <v>98</v>
      </c>
      <c r="B39" s="174" t="s">
        <v>196</v>
      </c>
      <c r="C39" s="174" t="s">
        <v>335</v>
      </c>
      <c r="D39" s="174" t="s">
        <v>336</v>
      </c>
      <c r="E39" s="174" t="s">
        <v>337</v>
      </c>
      <c r="F39" s="174" t="s">
        <v>338</v>
      </c>
      <c r="G39" s="174" t="s">
        <v>339</v>
      </c>
      <c r="H39" s="876" t="s">
        <v>341</v>
      </c>
      <c r="I39" s="876"/>
      <c r="J39" s="876"/>
      <c r="K39" s="876"/>
      <c r="L39" s="876"/>
      <c r="M39" s="876"/>
      <c r="N39" s="876"/>
      <c r="O39" s="876"/>
      <c r="P39" s="876"/>
    </row>
    <row r="40" spans="1:16" x14ac:dyDescent="0.25">
      <c r="A40" s="152" t="s">
        <v>28</v>
      </c>
      <c r="B40" s="180">
        <f>SUM($B$28 *31)</f>
        <v>26934.588923546675</v>
      </c>
      <c r="C40" s="180">
        <f>SUM($C$28*31)</f>
        <v>7291.2000000000035</v>
      </c>
      <c r="D40" s="180">
        <f>SUM($D$28*31)</f>
        <v>6448</v>
      </c>
      <c r="E40" s="180">
        <f>SUM(B40+C40)-D40</f>
        <v>27777.788923546679</v>
      </c>
      <c r="F40" s="180">
        <f>SUM($F$28*31)</f>
        <v>17050.000000000004</v>
      </c>
      <c r="G40" s="180">
        <f>SUM($G$28*31)</f>
        <v>3100.0000000000009</v>
      </c>
      <c r="H40" s="871"/>
      <c r="I40" s="871"/>
      <c r="J40" s="871"/>
      <c r="K40" s="871"/>
      <c r="L40" s="871"/>
      <c r="M40" s="871"/>
      <c r="N40" s="871"/>
      <c r="O40" s="871"/>
      <c r="P40" s="871"/>
    </row>
    <row r="41" spans="1:16" x14ac:dyDescent="0.25">
      <c r="A41" s="152" t="s">
        <v>29</v>
      </c>
      <c r="B41" s="180">
        <f>SUM($B$28 *28)</f>
        <v>24328.015801913127</v>
      </c>
      <c r="C41" s="180">
        <f>SUM($C$28*28)</f>
        <v>6585.6000000000031</v>
      </c>
      <c r="D41" s="180">
        <f>SUM($D$28*28)</f>
        <v>5824</v>
      </c>
      <c r="E41" s="180">
        <f t="shared" ref="E41:E51" si="11">SUM(B41+C41)-D41</f>
        <v>25089.615801913129</v>
      </c>
      <c r="F41" s="180">
        <f>SUM($F$28*28)</f>
        <v>15400.000000000004</v>
      </c>
      <c r="G41" s="180">
        <f>SUM($G$28*28)</f>
        <v>2800.0000000000009</v>
      </c>
      <c r="H41" s="871"/>
      <c r="I41" s="871"/>
      <c r="J41" s="871"/>
      <c r="K41" s="871"/>
      <c r="L41" s="871"/>
      <c r="M41" s="871"/>
      <c r="N41" s="871"/>
      <c r="O41" s="871"/>
      <c r="P41" s="871"/>
    </row>
    <row r="42" spans="1:16" x14ac:dyDescent="0.25">
      <c r="A42" s="152" t="s">
        <v>30</v>
      </c>
      <c r="B42" s="180">
        <f t="shared" ref="B42:B51" si="12">SUM($B$28 *31)</f>
        <v>26934.588923546675</v>
      </c>
      <c r="C42" s="180">
        <f t="shared" ref="C42:C51" si="13">SUM($C$28*31)</f>
        <v>7291.2000000000035</v>
      </c>
      <c r="D42" s="180">
        <f t="shared" ref="D42:D51" si="14">SUM($D$28*31)</f>
        <v>6448</v>
      </c>
      <c r="E42" s="180">
        <f t="shared" si="11"/>
        <v>27777.788923546679</v>
      </c>
      <c r="F42" s="180">
        <f>SUM($F$28*31)</f>
        <v>17050.000000000004</v>
      </c>
      <c r="G42" s="180">
        <f>SUM($G$28*31)</f>
        <v>3100.0000000000009</v>
      </c>
      <c r="H42" s="871"/>
      <c r="I42" s="871"/>
      <c r="J42" s="871"/>
      <c r="K42" s="871"/>
      <c r="L42" s="871"/>
      <c r="M42" s="871"/>
      <c r="N42" s="871"/>
      <c r="O42" s="871"/>
      <c r="P42" s="871"/>
    </row>
    <row r="43" spans="1:16" x14ac:dyDescent="0.25">
      <c r="A43" s="152" t="s">
        <v>31</v>
      </c>
      <c r="B43" s="180">
        <f>SUM($B$28 *30)</f>
        <v>26065.731216335491</v>
      </c>
      <c r="C43" s="180">
        <f>SUM($C$28*30)</f>
        <v>7056.0000000000027</v>
      </c>
      <c r="D43" s="180">
        <f>SUM($D$28*30)</f>
        <v>6240</v>
      </c>
      <c r="E43" s="180">
        <f t="shared" si="11"/>
        <v>26881.731216335495</v>
      </c>
      <c r="F43" s="180">
        <f>SUM($F$28*30)</f>
        <v>16500.000000000004</v>
      </c>
      <c r="G43" s="180">
        <f>SUM($G$28*30)</f>
        <v>3000.0000000000009</v>
      </c>
      <c r="H43" s="871"/>
      <c r="I43" s="871"/>
      <c r="J43" s="871"/>
      <c r="K43" s="871"/>
      <c r="L43" s="871"/>
      <c r="M43" s="871"/>
      <c r="N43" s="871"/>
      <c r="O43" s="871"/>
      <c r="P43" s="871"/>
    </row>
    <row r="44" spans="1:16" x14ac:dyDescent="0.25">
      <c r="A44" s="152" t="s">
        <v>32</v>
      </c>
      <c r="B44" s="180">
        <f t="shared" si="12"/>
        <v>26934.588923546675</v>
      </c>
      <c r="C44" s="180">
        <f t="shared" si="13"/>
        <v>7291.2000000000035</v>
      </c>
      <c r="D44" s="180">
        <f t="shared" si="14"/>
        <v>6448</v>
      </c>
      <c r="E44" s="180">
        <f t="shared" si="11"/>
        <v>27777.788923546679</v>
      </c>
      <c r="F44" s="180">
        <f>SUM($F$28*31)</f>
        <v>17050.000000000004</v>
      </c>
      <c r="G44" s="180">
        <f>SUM($G$28*31)</f>
        <v>3100.0000000000009</v>
      </c>
      <c r="H44" s="871"/>
      <c r="I44" s="871"/>
      <c r="J44" s="871"/>
      <c r="K44" s="871"/>
      <c r="L44" s="871"/>
      <c r="M44" s="871"/>
      <c r="N44" s="871"/>
      <c r="O44" s="871"/>
      <c r="P44" s="871"/>
    </row>
    <row r="45" spans="1:16" x14ac:dyDescent="0.25">
      <c r="A45" s="152" t="s">
        <v>33</v>
      </c>
      <c r="B45" s="180">
        <f>SUM($B$28 *30)</f>
        <v>26065.731216335491</v>
      </c>
      <c r="C45" s="180">
        <f>SUM($C$28*30)</f>
        <v>7056.0000000000027</v>
      </c>
      <c r="D45" s="180">
        <f>SUM($D$28*30)</f>
        <v>6240</v>
      </c>
      <c r="E45" s="180">
        <f t="shared" si="11"/>
        <v>26881.731216335495</v>
      </c>
      <c r="F45" s="180">
        <f>SUM($F$28*30)</f>
        <v>16500.000000000004</v>
      </c>
      <c r="G45" s="180">
        <f>SUM($G$28*30)</f>
        <v>3000.0000000000009</v>
      </c>
      <c r="H45" s="871"/>
      <c r="I45" s="871"/>
      <c r="J45" s="871"/>
      <c r="K45" s="871"/>
      <c r="L45" s="871"/>
      <c r="M45" s="871"/>
      <c r="N45" s="871"/>
      <c r="O45" s="871"/>
      <c r="P45" s="871"/>
    </row>
    <row r="46" spans="1:16" x14ac:dyDescent="0.25">
      <c r="A46" s="152" t="s">
        <v>34</v>
      </c>
      <c r="B46" s="180">
        <f t="shared" si="12"/>
        <v>26934.588923546675</v>
      </c>
      <c r="C46" s="180">
        <f t="shared" si="13"/>
        <v>7291.2000000000035</v>
      </c>
      <c r="D46" s="180">
        <f t="shared" si="14"/>
        <v>6448</v>
      </c>
      <c r="E46" s="180">
        <f t="shared" si="11"/>
        <v>27777.788923546679</v>
      </c>
      <c r="F46" s="180">
        <f>SUM($F$28*31)</f>
        <v>17050.000000000004</v>
      </c>
      <c r="G46" s="180">
        <f>SUM($G$28*31)</f>
        <v>3100.0000000000009</v>
      </c>
      <c r="H46" s="871"/>
      <c r="I46" s="871"/>
      <c r="J46" s="871"/>
      <c r="K46" s="871"/>
      <c r="L46" s="871"/>
      <c r="M46" s="871"/>
      <c r="N46" s="871"/>
      <c r="O46" s="871"/>
      <c r="P46" s="871"/>
    </row>
    <row r="47" spans="1:16" x14ac:dyDescent="0.25">
      <c r="A47" s="152" t="s">
        <v>35</v>
      </c>
      <c r="B47" s="180">
        <f t="shared" si="12"/>
        <v>26934.588923546675</v>
      </c>
      <c r="C47" s="180">
        <f t="shared" si="13"/>
        <v>7291.2000000000035</v>
      </c>
      <c r="D47" s="180">
        <f t="shared" si="14"/>
        <v>6448</v>
      </c>
      <c r="E47" s="180">
        <f t="shared" si="11"/>
        <v>27777.788923546679</v>
      </c>
      <c r="F47" s="180">
        <f>SUM($F$28*31)</f>
        <v>17050.000000000004</v>
      </c>
      <c r="G47" s="180">
        <f>SUM($G$28*31)</f>
        <v>3100.0000000000009</v>
      </c>
      <c r="H47" s="871"/>
      <c r="I47" s="871"/>
      <c r="J47" s="871"/>
      <c r="K47" s="871"/>
      <c r="L47" s="871"/>
      <c r="M47" s="871"/>
      <c r="N47" s="871"/>
      <c r="O47" s="871"/>
      <c r="P47" s="871"/>
    </row>
    <row r="48" spans="1:16" x14ac:dyDescent="0.25">
      <c r="A48" s="152" t="s">
        <v>36</v>
      </c>
      <c r="B48" s="180">
        <f>SUM($B$28 *30)</f>
        <v>26065.731216335491</v>
      </c>
      <c r="C48" s="180">
        <f>SUM($C$28*30)</f>
        <v>7056.0000000000027</v>
      </c>
      <c r="D48" s="180">
        <f>SUM($D$28*30)</f>
        <v>6240</v>
      </c>
      <c r="E48" s="180">
        <f t="shared" si="11"/>
        <v>26881.731216335495</v>
      </c>
      <c r="F48" s="180">
        <f>SUM($F$28*30)</f>
        <v>16500.000000000004</v>
      </c>
      <c r="G48" s="180">
        <f>SUM($G$28*30)</f>
        <v>3000.0000000000009</v>
      </c>
      <c r="H48" s="871"/>
      <c r="I48" s="871"/>
      <c r="J48" s="871"/>
      <c r="K48" s="871"/>
      <c r="L48" s="871"/>
      <c r="M48" s="871"/>
      <c r="N48" s="871"/>
      <c r="O48" s="871"/>
      <c r="P48" s="871"/>
    </row>
    <row r="49" spans="1:16" x14ac:dyDescent="0.25">
      <c r="A49" s="152" t="s">
        <v>37</v>
      </c>
      <c r="B49" s="180">
        <f t="shared" si="12"/>
        <v>26934.588923546675</v>
      </c>
      <c r="C49" s="180">
        <f t="shared" si="13"/>
        <v>7291.2000000000035</v>
      </c>
      <c r="D49" s="180">
        <f t="shared" si="14"/>
        <v>6448</v>
      </c>
      <c r="E49" s="180">
        <f t="shared" si="11"/>
        <v>27777.788923546679</v>
      </c>
      <c r="F49" s="180">
        <f>SUM($F$28*31)</f>
        <v>17050.000000000004</v>
      </c>
      <c r="G49" s="180">
        <f>SUM($G$28*31)</f>
        <v>3100.0000000000009</v>
      </c>
      <c r="H49" s="871"/>
      <c r="I49" s="871"/>
      <c r="J49" s="871"/>
      <c r="K49" s="871"/>
      <c r="L49" s="871"/>
      <c r="M49" s="871"/>
      <c r="N49" s="871"/>
      <c r="O49" s="871"/>
      <c r="P49" s="871"/>
    </row>
    <row r="50" spans="1:16" x14ac:dyDescent="0.25">
      <c r="A50" s="152" t="s">
        <v>38</v>
      </c>
      <c r="B50" s="180">
        <f>SUM($B$28 *30)</f>
        <v>26065.731216335491</v>
      </c>
      <c r="C50" s="180">
        <f>SUM($C$28*30)</f>
        <v>7056.0000000000027</v>
      </c>
      <c r="D50" s="180">
        <f>SUM($D$28*30)</f>
        <v>6240</v>
      </c>
      <c r="E50" s="180">
        <f t="shared" si="11"/>
        <v>26881.731216335495</v>
      </c>
      <c r="F50" s="180">
        <f>SUM($F$28*30)</f>
        <v>16500.000000000004</v>
      </c>
      <c r="G50" s="180">
        <f>SUM($G$28*30)</f>
        <v>3000.0000000000009</v>
      </c>
      <c r="H50" s="871"/>
      <c r="I50" s="871"/>
      <c r="J50" s="871"/>
      <c r="K50" s="871"/>
      <c r="L50" s="871"/>
      <c r="M50" s="871"/>
      <c r="N50" s="871"/>
      <c r="O50" s="871"/>
      <c r="P50" s="871"/>
    </row>
    <row r="51" spans="1:16" x14ac:dyDescent="0.25">
      <c r="A51" s="152" t="s">
        <v>39</v>
      </c>
      <c r="B51" s="180">
        <f t="shared" si="12"/>
        <v>26934.588923546675</v>
      </c>
      <c r="C51" s="180">
        <f t="shared" si="13"/>
        <v>7291.2000000000035</v>
      </c>
      <c r="D51" s="180">
        <f t="shared" si="14"/>
        <v>6448</v>
      </c>
      <c r="E51" s="180">
        <f t="shared" si="11"/>
        <v>27777.788923546679</v>
      </c>
      <c r="F51" s="180">
        <f>SUM($F$28*31)</f>
        <v>17050.000000000004</v>
      </c>
      <c r="G51" s="180">
        <f>SUM($G$28*31)</f>
        <v>3100.0000000000009</v>
      </c>
      <c r="H51" s="871"/>
      <c r="I51" s="871"/>
      <c r="J51" s="871"/>
      <c r="K51" s="871"/>
      <c r="L51" s="871"/>
      <c r="M51" s="871"/>
      <c r="N51" s="871"/>
      <c r="O51" s="871"/>
      <c r="P51" s="871"/>
    </row>
    <row r="52" spans="1:16" x14ac:dyDescent="0.25">
      <c r="A52" s="181" t="s">
        <v>333</v>
      </c>
      <c r="B52" s="182">
        <f>SUM(B40:B51)</f>
        <v>317133.06313208176</v>
      </c>
      <c r="C52" s="182">
        <f t="shared" ref="C52:G52" si="15">SUM(C40:C51)</f>
        <v>85848.000000000029</v>
      </c>
      <c r="D52" s="182">
        <f t="shared" si="15"/>
        <v>75920</v>
      </c>
      <c r="E52" s="182">
        <f t="shared" si="15"/>
        <v>327061.06313208182</v>
      </c>
      <c r="F52" s="182">
        <f t="shared" si="15"/>
        <v>200750.00000000003</v>
      </c>
      <c r="G52" s="182">
        <f t="shared" si="15"/>
        <v>36500.000000000007</v>
      </c>
      <c r="H52" s="871"/>
      <c r="I52" s="871"/>
      <c r="J52" s="871"/>
      <c r="K52" s="871"/>
      <c r="L52" s="871"/>
      <c r="M52" s="871"/>
      <c r="N52" s="871"/>
      <c r="O52" s="871"/>
      <c r="P52" s="871"/>
    </row>
    <row r="53" spans="1:16" x14ac:dyDescent="0.25">
      <c r="E53" s="183" t="s">
        <v>266</v>
      </c>
      <c r="F53" s="183"/>
      <c r="G53" s="183"/>
    </row>
    <row r="54" spans="1:16" x14ac:dyDescent="0.25">
      <c r="A54" t="s">
        <v>266</v>
      </c>
    </row>
    <row r="55" spans="1:16" x14ac:dyDescent="0.25">
      <c r="A55" t="s">
        <v>266</v>
      </c>
    </row>
    <row r="56" spans="1:16" x14ac:dyDescent="0.25">
      <c r="A56" t="s">
        <v>266</v>
      </c>
    </row>
  </sheetData>
  <mergeCells count="20">
    <mergeCell ref="H52:P52"/>
    <mergeCell ref="H46:P46"/>
    <mergeCell ref="H47:P47"/>
    <mergeCell ref="H48:P48"/>
    <mergeCell ref="H49:P49"/>
    <mergeCell ref="H50:P50"/>
    <mergeCell ref="H51:P51"/>
    <mergeCell ref="H45:P45"/>
    <mergeCell ref="A1:E1"/>
    <mergeCell ref="I1:P1"/>
    <mergeCell ref="P4:P34"/>
    <mergeCell ref="C30:D30"/>
    <mergeCell ref="A38:P38"/>
    <mergeCell ref="H39:P39"/>
    <mergeCell ref="H40:P40"/>
    <mergeCell ref="H41:P41"/>
    <mergeCell ref="H42:P42"/>
    <mergeCell ref="H43:P43"/>
    <mergeCell ref="H44:P44"/>
    <mergeCell ref="C31:D3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D5A8-95FD-4B32-9551-B930DB6B4EEF}">
  <sheetPr>
    <tabColor theme="0" tint="-0.249977111117893"/>
  </sheetPr>
  <dimension ref="A1:R20"/>
  <sheetViews>
    <sheetView workbookViewId="0">
      <selection activeCell="B16" sqref="B16"/>
    </sheetView>
  </sheetViews>
  <sheetFormatPr defaultColWidth="9.5703125" defaultRowHeight="15" x14ac:dyDescent="0.25"/>
  <cols>
    <col min="1" max="1" width="36.85546875" style="370" customWidth="1"/>
    <col min="2" max="2" width="15.5703125" style="370" customWidth="1"/>
    <col min="3" max="3" width="12.85546875" style="370" customWidth="1"/>
    <col min="4" max="4" width="10.7109375" style="370" customWidth="1"/>
    <col min="5" max="5" width="15.140625" style="370" customWidth="1"/>
    <col min="6" max="6" width="13.85546875" style="370" customWidth="1"/>
    <col min="7" max="7" width="14.85546875" style="370" customWidth="1"/>
    <col min="8" max="8" width="14.42578125" style="370" customWidth="1"/>
    <col min="9" max="9" width="19.140625" style="370" customWidth="1"/>
    <col min="10" max="10" width="14.42578125" style="370" customWidth="1"/>
    <col min="11" max="16384" width="9.5703125" style="370"/>
  </cols>
  <sheetData>
    <row r="1" spans="1:18" ht="78.75" customHeight="1" x14ac:dyDescent="0.25">
      <c r="A1" s="480" t="s">
        <v>690</v>
      </c>
      <c r="B1" s="481">
        <f>SUM(K3/52)</f>
        <v>7.0192307692307692</v>
      </c>
      <c r="C1" s="884" t="s">
        <v>691</v>
      </c>
      <c r="D1" s="885"/>
      <c r="E1" s="885"/>
      <c r="F1" s="885"/>
      <c r="G1" s="885"/>
      <c r="H1" s="886"/>
      <c r="I1" s="877" t="s">
        <v>692</v>
      </c>
      <c r="J1" s="878"/>
      <c r="K1" s="482">
        <f>'Power Production'!E4</f>
        <v>36.502404467132635</v>
      </c>
      <c r="L1" s="879" t="s">
        <v>813</v>
      </c>
      <c r="M1" s="880"/>
      <c r="N1" s="880"/>
      <c r="O1" s="880"/>
      <c r="P1" s="880"/>
      <c r="Q1" s="880"/>
      <c r="R1" s="880"/>
    </row>
    <row r="2" spans="1:18" ht="30" customHeight="1" x14ac:dyDescent="0.25">
      <c r="A2" s="480" t="s">
        <v>693</v>
      </c>
      <c r="B2" s="481">
        <f>SUM(K4/52)</f>
        <v>7.0192307692307692</v>
      </c>
      <c r="C2" s="884" t="s">
        <v>691</v>
      </c>
      <c r="D2" s="885"/>
      <c r="E2" s="885"/>
      <c r="F2" s="885"/>
      <c r="G2" s="885"/>
      <c r="H2" s="886"/>
      <c r="I2" s="877" t="s">
        <v>694</v>
      </c>
      <c r="J2" s="878"/>
      <c r="K2" s="556">
        <f>SUM(100% - 'TDF Makeup'!E3)</f>
        <v>0.85</v>
      </c>
      <c r="L2" s="880" t="s">
        <v>695</v>
      </c>
      <c r="M2" s="880"/>
      <c r="N2" s="880"/>
      <c r="O2" s="880"/>
      <c r="P2" s="880"/>
      <c r="Q2" s="880"/>
      <c r="R2" s="880"/>
    </row>
    <row r="3" spans="1:18" ht="31.5" customHeight="1" x14ac:dyDescent="0.25">
      <c r="A3" s="480" t="s">
        <v>696</v>
      </c>
      <c r="B3" s="555">
        <f>'Data Sources'!C13</f>
        <v>19</v>
      </c>
      <c r="C3" s="884" t="s">
        <v>697</v>
      </c>
      <c r="D3" s="885"/>
      <c r="E3" s="885"/>
      <c r="F3" s="885"/>
      <c r="G3" s="885"/>
      <c r="H3" s="886"/>
      <c r="I3" s="877" t="s">
        <v>698</v>
      </c>
      <c r="J3" s="878"/>
      <c r="K3" s="557">
        <f>'Data Sources'!C10</f>
        <v>365</v>
      </c>
      <c r="L3" s="879" t="s">
        <v>266</v>
      </c>
      <c r="M3" s="880"/>
      <c r="N3" s="880"/>
      <c r="O3" s="880"/>
      <c r="P3" s="880"/>
      <c r="Q3" s="880"/>
      <c r="R3" s="880"/>
    </row>
    <row r="4" spans="1:18" ht="30.75" customHeight="1" x14ac:dyDescent="0.25">
      <c r="A4" s="480" t="s">
        <v>699</v>
      </c>
      <c r="B4" s="555">
        <f>'Data Sources'!C13</f>
        <v>19</v>
      </c>
      <c r="C4" s="884" t="s">
        <v>700</v>
      </c>
      <c r="D4" s="885"/>
      <c r="E4" s="885"/>
      <c r="F4" s="885"/>
      <c r="G4" s="885"/>
      <c r="H4" s="886"/>
      <c r="I4" s="877" t="s">
        <v>701</v>
      </c>
      <c r="J4" s="878"/>
      <c r="K4" s="557">
        <f>'Data Sources'!C11</f>
        <v>365</v>
      </c>
      <c r="L4" s="879" t="s">
        <v>266</v>
      </c>
      <c r="M4" s="880"/>
      <c r="N4" s="880"/>
      <c r="O4" s="880"/>
      <c r="P4" s="880"/>
      <c r="Q4" s="880"/>
      <c r="R4" s="880"/>
    </row>
    <row r="5" spans="1:18" x14ac:dyDescent="0.25">
      <c r="A5" s="483"/>
      <c r="B5" s="483"/>
    </row>
    <row r="6" spans="1:18" s="478" customFormat="1" ht="51.75" customHeight="1" x14ac:dyDescent="0.25">
      <c r="A6" s="476" t="s">
        <v>306</v>
      </c>
      <c r="B6" s="476" t="s">
        <v>702</v>
      </c>
      <c r="C6" s="476" t="s">
        <v>703</v>
      </c>
      <c r="D6" s="476" t="s">
        <v>704</v>
      </c>
      <c r="E6" s="476" t="s">
        <v>705</v>
      </c>
      <c r="F6" s="477"/>
      <c r="G6" s="476" t="s">
        <v>814</v>
      </c>
      <c r="H6" s="476" t="s">
        <v>706</v>
      </c>
      <c r="I6" s="476" t="s">
        <v>707</v>
      </c>
      <c r="J6" s="484"/>
    </row>
    <row r="7" spans="1:18" ht="22.5" customHeight="1" x14ac:dyDescent="0.3">
      <c r="A7" s="881" t="s">
        <v>708</v>
      </c>
      <c r="B7" s="882"/>
      <c r="C7" s="882"/>
      <c r="D7" s="882"/>
      <c r="E7" s="882"/>
      <c r="F7" s="882"/>
      <c r="G7" s="882"/>
      <c r="H7" s="882"/>
      <c r="I7" s="882"/>
      <c r="J7" s="883"/>
    </row>
    <row r="8" spans="1:18" ht="30" x14ac:dyDescent="0.25">
      <c r="A8" s="479" t="s">
        <v>758</v>
      </c>
      <c r="B8" s="485">
        <f>'Stage 1 Mass Balance'!K15</f>
        <v>550</v>
      </c>
      <c r="C8" s="486">
        <f>SUM(E8/$K$3)</f>
        <v>550</v>
      </c>
      <c r="D8" s="486">
        <f>SUM(C8/$B$3)</f>
        <v>28.94736842105263</v>
      </c>
      <c r="E8" s="487">
        <f>SUM('Stage 1 Mass Balance'!K15 * 'Data Sources'!C6)</f>
        <v>200750</v>
      </c>
      <c r="F8" s="486" t="s">
        <v>266</v>
      </c>
      <c r="G8" s="486"/>
      <c r="H8" s="486" t="s">
        <v>266</v>
      </c>
    </row>
    <row r="9" spans="1:18" x14ac:dyDescent="0.25">
      <c r="A9" s="370" t="s">
        <v>709</v>
      </c>
      <c r="B9" s="485"/>
      <c r="C9" s="486" t="s">
        <v>266</v>
      </c>
      <c r="D9" s="486" t="s">
        <v>266</v>
      </c>
      <c r="E9" s="487" t="s">
        <v>266</v>
      </c>
      <c r="G9" s="486">
        <f>'Stage 1 Mass Balance'!N20</f>
        <v>450.29755715521503</v>
      </c>
      <c r="H9" s="486" t="s">
        <v>266</v>
      </c>
    </row>
    <row r="10" spans="1:18" x14ac:dyDescent="0.25">
      <c r="B10" s="488"/>
      <c r="C10" s="486" t="s">
        <v>266</v>
      </c>
      <c r="D10" s="486" t="s">
        <v>266</v>
      </c>
      <c r="E10" s="487" t="s">
        <v>266</v>
      </c>
      <c r="H10" s="486"/>
    </row>
    <row r="11" spans="1:18" x14ac:dyDescent="0.25">
      <c r="A11" s="479" t="s">
        <v>710</v>
      </c>
      <c r="B11" s="484"/>
      <c r="C11" s="489"/>
      <c r="D11" s="486"/>
      <c r="E11" s="487"/>
      <c r="G11" s="370" t="s">
        <v>266</v>
      </c>
    </row>
    <row r="12" spans="1:18" x14ac:dyDescent="0.25">
      <c r="A12" s="370" t="s">
        <v>711</v>
      </c>
      <c r="B12" s="484">
        <f>'TDF Makeup'!C3</f>
        <v>100</v>
      </c>
      <c r="C12" s="486">
        <f>SUM(E12/$K$4)</f>
        <v>100</v>
      </c>
      <c r="D12" s="486">
        <f>SUM(C12/$B$4)</f>
        <v>5.2631578947368425</v>
      </c>
      <c r="E12" s="487">
        <f>SUM(B12*K4)</f>
        <v>36500</v>
      </c>
      <c r="G12" s="370">
        <f t="shared" ref="G12" si="0">SUM(B12 * $K$2)</f>
        <v>85</v>
      </c>
    </row>
    <row r="13" spans="1:18" x14ac:dyDescent="0.25">
      <c r="C13" s="486"/>
      <c r="D13" s="486"/>
      <c r="E13" s="487"/>
      <c r="I13" s="486"/>
    </row>
    <row r="14" spans="1:18" x14ac:dyDescent="0.25">
      <c r="A14" s="370" t="s">
        <v>712</v>
      </c>
      <c r="B14" s="490">
        <f>'Stage 2 Mass Balance'!L57</f>
        <v>10947.3885594031</v>
      </c>
    </row>
    <row r="15" spans="1:18" x14ac:dyDescent="0.25">
      <c r="A15" s="370" t="s">
        <v>713</v>
      </c>
      <c r="B15" s="490">
        <f>'Stage 2 Mass Balance'!J29</f>
        <v>67.544633573282255</v>
      </c>
    </row>
    <row r="16" spans="1:18" x14ac:dyDescent="0.25">
      <c r="A16" s="370" t="s">
        <v>714</v>
      </c>
      <c r="B16" s="490">
        <f>'Stage 2 Mass Balance'!K55</f>
        <v>31.45</v>
      </c>
    </row>
    <row r="17" spans="1:4" x14ac:dyDescent="0.25">
      <c r="A17" s="370" t="s">
        <v>715</v>
      </c>
      <c r="B17" s="370">
        <f>'Stage 1 Mass Balance'!K26</f>
        <v>17.050000000000026</v>
      </c>
    </row>
    <row r="18" spans="1:4" x14ac:dyDescent="0.25">
      <c r="A18" s="370" t="s">
        <v>716</v>
      </c>
      <c r="B18" s="370">
        <f>'Stage 1 Mass Balance'!K27</f>
        <v>8.25</v>
      </c>
    </row>
    <row r="19" spans="1:4" x14ac:dyDescent="0.25">
      <c r="A19" s="370" t="s">
        <v>717</v>
      </c>
      <c r="B19" s="370">
        <f>'TDF Makeup'!C14</f>
        <v>14.999999999999998</v>
      </c>
    </row>
    <row r="20" spans="1:4" ht="16.5" customHeight="1" x14ac:dyDescent="0.25">
      <c r="D20" s="370" t="s">
        <v>266</v>
      </c>
    </row>
  </sheetData>
  <mergeCells count="13">
    <mergeCell ref="I4:J4"/>
    <mergeCell ref="L4:R4"/>
    <mergeCell ref="A7:J7"/>
    <mergeCell ref="C1:H1"/>
    <mergeCell ref="I1:J1"/>
    <mergeCell ref="C2:H2"/>
    <mergeCell ref="I2:J2"/>
    <mergeCell ref="C3:H3"/>
    <mergeCell ref="I3:J3"/>
    <mergeCell ref="L1:R1"/>
    <mergeCell ref="L2:R2"/>
    <mergeCell ref="L3:R3"/>
    <mergeCell ref="C4:H4"/>
  </mergeCells>
  <conditionalFormatting sqref="B10">
    <cfRule type="expression" dxfId="7" priority="7">
      <formula>SEARCH("yes",$B$10)&gt;0</formula>
    </cfRule>
    <cfRule type="expression" dxfId="6" priority="8" stopIfTrue="1">
      <formula>SEARCH("no",$B$10)&gt;0</formula>
    </cfRule>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92D9E-0172-4D43-BA26-B01A62366DEA}">
  <sheetPr>
    <tabColor theme="0" tint="-0.249977111117893"/>
  </sheetPr>
  <dimension ref="A12:AQ34"/>
  <sheetViews>
    <sheetView topLeftCell="L9" workbookViewId="0">
      <selection activeCell="AH14" sqref="AH14"/>
    </sheetView>
  </sheetViews>
  <sheetFormatPr defaultColWidth="9.85546875" defaultRowHeight="15" x14ac:dyDescent="0.25"/>
  <cols>
    <col min="1" max="1" width="38.42578125" style="376" customWidth="1"/>
    <col min="2" max="2" width="15.7109375" style="376" customWidth="1"/>
    <col min="3" max="3" width="12" style="376" customWidth="1"/>
    <col min="4" max="4" width="9.85546875" style="376"/>
    <col min="5" max="5" width="12.7109375" style="376" customWidth="1"/>
    <col min="6" max="6" width="15.85546875" style="376" customWidth="1"/>
    <col min="7" max="7" width="10.7109375" style="376" customWidth="1"/>
    <col min="8" max="8" width="11" style="376" customWidth="1"/>
    <col min="9" max="9" width="9.85546875" style="376"/>
    <col min="10" max="10" width="23.5703125" style="376" customWidth="1"/>
    <col min="11" max="12" width="9.85546875" style="376"/>
    <col min="13" max="13" width="30.85546875" style="376" customWidth="1"/>
    <col min="14" max="14" width="14.140625" style="376" customWidth="1"/>
    <col min="15" max="15" width="12.28515625" style="376" customWidth="1"/>
    <col min="16" max="16" width="12.42578125" style="376" customWidth="1"/>
    <col min="17" max="17" width="9.85546875" style="376"/>
    <col min="18" max="18" width="10.140625" style="376" customWidth="1"/>
    <col min="19" max="21" width="9.85546875" style="376"/>
    <col min="22" max="22" width="11.7109375" style="376" customWidth="1"/>
    <col min="23" max="26" width="9.85546875" style="376"/>
    <col min="27" max="27" width="15" style="376" customWidth="1"/>
    <col min="28" max="30" width="9.85546875" style="376"/>
    <col min="31" max="31" width="13.5703125" style="376" customWidth="1"/>
    <col min="32" max="32" width="13.28515625" style="376" customWidth="1"/>
    <col min="33" max="16384" width="9.85546875" style="376"/>
  </cols>
  <sheetData>
    <row r="12" spans="1:43" ht="15.75" thickBot="1" x14ac:dyDescent="0.3"/>
    <row r="13" spans="1:43" ht="33" thickBot="1" x14ac:dyDescent="0.35">
      <c r="A13" s="371" t="s">
        <v>556</v>
      </c>
      <c r="B13" s="372" t="s">
        <v>557</v>
      </c>
      <c r="C13" s="373" t="s">
        <v>578</v>
      </c>
      <c r="D13" s="373" t="s">
        <v>559</v>
      </c>
      <c r="E13" s="329" t="s">
        <v>560</v>
      </c>
      <c r="F13" s="374" t="s">
        <v>561</v>
      </c>
      <c r="G13" s="375" t="s">
        <v>579</v>
      </c>
      <c r="H13" s="374" t="s">
        <v>580</v>
      </c>
      <c r="J13" s="887" t="s">
        <v>606</v>
      </c>
      <c r="K13" s="888"/>
      <c r="M13" s="377" t="s">
        <v>607</v>
      </c>
      <c r="N13" s="377">
        <v>0</v>
      </c>
      <c r="O13" s="377">
        <v>1.1000000000000001</v>
      </c>
      <c r="P13" s="377">
        <v>1.2</v>
      </c>
      <c r="Q13" s="377">
        <v>1.3</v>
      </c>
      <c r="R13" s="377">
        <v>1.4</v>
      </c>
      <c r="S13" s="377">
        <v>1.5</v>
      </c>
      <c r="T13" s="377">
        <v>1.6</v>
      </c>
      <c r="U13" s="377">
        <v>1.7</v>
      </c>
      <c r="V13" s="377">
        <v>1.8</v>
      </c>
      <c r="W13" s="377">
        <v>1.9</v>
      </c>
      <c r="X13" s="378">
        <v>1.1000000000000001</v>
      </c>
      <c r="Y13" s="378">
        <v>1.1100000000000001</v>
      </c>
      <c r="Z13" s="378">
        <v>1.1200000000000001</v>
      </c>
      <c r="AA13" s="378">
        <v>1.1299999999999999</v>
      </c>
      <c r="AB13" s="378">
        <v>1.1399999999999999</v>
      </c>
      <c r="AC13" s="378">
        <v>1.1499999999999999</v>
      </c>
      <c r="AD13" s="378">
        <v>1.1599999999999999</v>
      </c>
      <c r="AE13" s="378">
        <v>1.17</v>
      </c>
      <c r="AF13" s="378">
        <v>1.18</v>
      </c>
      <c r="AG13" s="378">
        <v>1.19</v>
      </c>
    </row>
    <row r="14" spans="1:43" ht="16.5" thickBot="1" x14ac:dyDescent="0.3">
      <c r="A14" s="379" t="s">
        <v>584</v>
      </c>
      <c r="B14" s="342">
        <f>'RDF Makeup'!C8</f>
        <v>0.13200000000000001</v>
      </c>
      <c r="C14" s="380">
        <f>IF(P13="Yes",0,B14)</f>
        <v>0.13200000000000001</v>
      </c>
      <c r="D14" s="381">
        <f t="shared" ref="D14:D32" si="0">SUM($C$15 * B14)</f>
        <v>4.6200000000000008E-3</v>
      </c>
      <c r="E14" s="344">
        <v>6835</v>
      </c>
      <c r="F14" s="345">
        <f t="shared" ref="F14:F29" si="1">E14*0.5559</f>
        <v>3799.5764999999997</v>
      </c>
      <c r="G14" s="382">
        <v>0.7</v>
      </c>
      <c r="H14" s="383">
        <f t="shared" ref="H14:H29" si="2">(C14*1000)*G14</f>
        <v>92.399999999999991</v>
      </c>
      <c r="J14" s="384"/>
      <c r="K14" s="385"/>
      <c r="M14" s="386" t="s">
        <v>608</v>
      </c>
      <c r="N14" s="386">
        <f>K15/K16</f>
        <v>28.94736842105263</v>
      </c>
      <c r="O14" s="386">
        <f>N14-(N14*B31)</f>
        <v>28.889473684210525</v>
      </c>
      <c r="P14" s="386">
        <f>O14</f>
        <v>28.889473684210525</v>
      </c>
      <c r="Q14" s="386">
        <f>O14</f>
        <v>28.889473684210525</v>
      </c>
      <c r="R14" s="386">
        <f>Q14-S14</f>
        <v>0.89736842105263293</v>
      </c>
      <c r="S14" s="386">
        <f>Q14-(N14*K18)</f>
        <v>27.992105263157892</v>
      </c>
      <c r="T14" s="386">
        <f>N14*K19</f>
        <v>0.43421052631578944</v>
      </c>
      <c r="U14" s="386">
        <f>S14-T14</f>
        <v>27.557894736842101</v>
      </c>
      <c r="V14" s="386">
        <f>N14*0.02</f>
        <v>0.57894736842105265</v>
      </c>
      <c r="W14" s="386">
        <f>U14-V14</f>
        <v>26.97894736842105</v>
      </c>
      <c r="X14" s="386">
        <f>N14*K20</f>
        <v>1.4473684210526316E-2</v>
      </c>
      <c r="Y14" s="386">
        <f>W14-X14</f>
        <v>26.964473684210525</v>
      </c>
      <c r="Z14" s="386">
        <f>Y14</f>
        <v>26.964473684210525</v>
      </c>
      <c r="AA14" s="386">
        <f>Z16-(Z14-Z16)*K22</f>
        <v>2.5988127813044719</v>
      </c>
      <c r="AB14" s="386">
        <f>Z14-AA14</f>
        <v>24.365660902906054</v>
      </c>
      <c r="AC14" s="386">
        <f>N14*2.3%</f>
        <v>0.66578947368421049</v>
      </c>
      <c r="AD14" s="386">
        <f>AB14-AC14</f>
        <v>23.699871429221844</v>
      </c>
      <c r="AE14" s="386">
        <f>AD14</f>
        <v>23.699871429221844</v>
      </c>
      <c r="AF14" s="386">
        <f>AE14-AG14</f>
        <v>4.9374732144212174</v>
      </c>
      <c r="AG14" s="386">
        <f>AE14*(K16/24)</f>
        <v>18.762398214800626</v>
      </c>
      <c r="AI14" s="385"/>
    </row>
    <row r="15" spans="1:43" ht="16.5" thickBot="1" x14ac:dyDescent="0.3">
      <c r="A15" s="387" t="s">
        <v>585</v>
      </c>
      <c r="B15" s="342">
        <f>'RDF Makeup'!C9</f>
        <v>3.5000000000000003E-2</v>
      </c>
      <c r="C15" s="380">
        <f>IF(P13="Yes",(B15/(1-B14)),B15)</f>
        <v>3.5000000000000003E-2</v>
      </c>
      <c r="D15" s="381">
        <f t="shared" si="0"/>
        <v>1.2250000000000002E-3</v>
      </c>
      <c r="E15" s="344">
        <v>16189</v>
      </c>
      <c r="F15" s="345">
        <f t="shared" si="1"/>
        <v>8999.4650999999994</v>
      </c>
      <c r="G15" s="382">
        <v>4.3999999999999997E-2</v>
      </c>
      <c r="H15" s="383">
        <f t="shared" si="2"/>
        <v>1.5399999999999998</v>
      </c>
      <c r="J15" s="530" t="s">
        <v>609</v>
      </c>
      <c r="K15" s="531">
        <f>'Data Sources'!C53</f>
        <v>550</v>
      </c>
      <c r="M15" s="386" t="s">
        <v>610</v>
      </c>
      <c r="N15" s="388">
        <f>K17</f>
        <v>0.23192226890756301</v>
      </c>
      <c r="O15" s="388">
        <f>N15</f>
        <v>0.23192226890756301</v>
      </c>
      <c r="P15" s="388">
        <f>O15</f>
        <v>0.23192226890756301</v>
      </c>
      <c r="Q15" s="388">
        <f>O15</f>
        <v>0.23192226890756301</v>
      </c>
      <c r="R15" s="388">
        <v>0</v>
      </c>
      <c r="S15" s="388">
        <f>N15</f>
        <v>0.23192226890756301</v>
      </c>
      <c r="T15" s="388">
        <v>0</v>
      </c>
      <c r="U15" s="388">
        <f>N15</f>
        <v>0.23192226890756301</v>
      </c>
      <c r="V15" s="388">
        <v>0</v>
      </c>
      <c r="W15" s="388">
        <f>U15</f>
        <v>0.23192226890756301</v>
      </c>
      <c r="X15" s="388">
        <v>0</v>
      </c>
      <c r="Y15" s="388">
        <f>W15</f>
        <v>0.23192226890756301</v>
      </c>
      <c r="Z15" s="388">
        <f>Y15</f>
        <v>0.23192226890756301</v>
      </c>
      <c r="AA15" s="388">
        <v>1</v>
      </c>
      <c r="AB15" s="388">
        <f>AB16/AB14</f>
        <v>0.15</v>
      </c>
      <c r="AC15" s="388">
        <f>AB15</f>
        <v>0.15</v>
      </c>
      <c r="AD15" s="388">
        <f>AD16/AD14</f>
        <v>0.15</v>
      </c>
      <c r="AE15" s="388">
        <f>AD15</f>
        <v>0.15</v>
      </c>
      <c r="AF15" s="388">
        <f>AE15</f>
        <v>0.15</v>
      </c>
      <c r="AG15" s="388">
        <f>AF15</f>
        <v>0.15</v>
      </c>
      <c r="AH15" s="389"/>
      <c r="AI15" s="389"/>
      <c r="AJ15" s="389"/>
      <c r="AK15" s="389"/>
      <c r="AL15" s="389"/>
      <c r="AM15" s="389"/>
      <c r="AN15" s="389"/>
      <c r="AO15" s="389"/>
      <c r="AP15" s="389"/>
      <c r="AQ15" s="389"/>
    </row>
    <row r="16" spans="1:43" ht="16.5" thickBot="1" x14ac:dyDescent="0.3">
      <c r="A16" s="387" t="s">
        <v>586</v>
      </c>
      <c r="B16" s="342">
        <f>'RDF Makeup'!C10</f>
        <v>4.2999999999999997E-2</v>
      </c>
      <c r="C16" s="380">
        <f>IF(P13="Yes",(B16/(1-B14)),B16)</f>
        <v>4.2999999999999997E-2</v>
      </c>
      <c r="D16" s="381">
        <f t="shared" si="0"/>
        <v>1.505E-3</v>
      </c>
      <c r="E16" s="344">
        <v>16459</v>
      </c>
      <c r="F16" s="345">
        <f t="shared" si="1"/>
        <v>9149.5580999999984</v>
      </c>
      <c r="G16" s="382">
        <v>0.05</v>
      </c>
      <c r="H16" s="383">
        <f t="shared" si="2"/>
        <v>2.15</v>
      </c>
      <c r="J16" s="384" t="s">
        <v>611</v>
      </c>
      <c r="K16" s="385">
        <f>'Data Sources'!C13</f>
        <v>19</v>
      </c>
      <c r="M16" s="386" t="s">
        <v>612</v>
      </c>
      <c r="N16" s="386">
        <f>N14*N15</f>
        <v>6.7135393631136662</v>
      </c>
      <c r="O16" s="386">
        <f>O14*O15</f>
        <v>6.7001122843874388</v>
      </c>
      <c r="P16" s="386">
        <f>O16</f>
        <v>6.7001122843874388</v>
      </c>
      <c r="Q16" s="386">
        <f>O16</f>
        <v>6.7001122843874388</v>
      </c>
      <c r="R16" s="386">
        <v>0</v>
      </c>
      <c r="S16" s="386">
        <f>S14*S15</f>
        <v>6.4919925641309142</v>
      </c>
      <c r="T16" s="386">
        <v>0</v>
      </c>
      <c r="U16" s="386">
        <f>U14*U15</f>
        <v>6.3912894736842096</v>
      </c>
      <c r="V16" s="386">
        <v>0</v>
      </c>
      <c r="W16" s="386">
        <f>W14*W15</f>
        <v>6.2570186864219366</v>
      </c>
      <c r="X16" s="386">
        <v>0</v>
      </c>
      <c r="Y16" s="386">
        <f>Y14*Y15</f>
        <v>6.2536619167403797</v>
      </c>
      <c r="Z16" s="386">
        <f>Y16</f>
        <v>6.2536619167403797</v>
      </c>
      <c r="AA16" s="386">
        <f>AA14</f>
        <v>2.5988127813044719</v>
      </c>
      <c r="AB16" s="386">
        <f>Z16-AA14</f>
        <v>3.6548491354359078</v>
      </c>
      <c r="AC16" s="386">
        <f>AC14*AC15</f>
        <v>9.9868421052631565E-2</v>
      </c>
      <c r="AD16" s="386">
        <f>AB16-AC16</f>
        <v>3.5549807143832761</v>
      </c>
      <c r="AE16" s="386">
        <f>AD16</f>
        <v>3.5549807143832761</v>
      </c>
      <c r="AF16" s="386">
        <f>AF14*AF15</f>
        <v>0.74062098216318262</v>
      </c>
      <c r="AG16" s="386">
        <f>AG14*AG15</f>
        <v>2.8143597322200939</v>
      </c>
    </row>
    <row r="17" spans="1:33" ht="16.5" thickBot="1" x14ac:dyDescent="0.3">
      <c r="A17" s="387" t="s">
        <v>587</v>
      </c>
      <c r="B17" s="331">
        <f>'RDF Makeup'!C11</f>
        <v>0.17499999999999999</v>
      </c>
      <c r="C17" s="390">
        <f>IF(P13="Yes",(B17/(1-B14)),B17)</f>
        <v>0.17499999999999999</v>
      </c>
      <c r="D17" s="381">
        <f t="shared" si="0"/>
        <v>6.1250000000000002E-3</v>
      </c>
      <c r="E17" s="344">
        <v>8095</v>
      </c>
      <c r="F17" s="345">
        <f t="shared" si="1"/>
        <v>4500.0104999999994</v>
      </c>
      <c r="G17" s="382">
        <v>6.0999999999999999E-2</v>
      </c>
      <c r="H17" s="383">
        <f t="shared" si="2"/>
        <v>10.674999999999999</v>
      </c>
      <c r="J17" s="384" t="s">
        <v>613</v>
      </c>
      <c r="K17" s="391">
        <f>H33/((C33-C31)*1000)</f>
        <v>0.23192226890756301</v>
      </c>
      <c r="M17" s="386"/>
      <c r="N17" s="386"/>
      <c r="O17" s="392"/>
      <c r="P17" s="386"/>
      <c r="Q17" s="386"/>
      <c r="R17" s="392"/>
      <c r="S17" s="386"/>
      <c r="T17" s="392"/>
      <c r="U17" s="386"/>
      <c r="V17" s="392"/>
      <c r="W17" s="386"/>
      <c r="X17" s="386"/>
      <c r="Y17" s="386"/>
      <c r="Z17" s="386"/>
      <c r="AA17" s="386"/>
      <c r="AB17" s="386"/>
      <c r="AC17" s="392"/>
      <c r="AD17" s="386"/>
      <c r="AE17" s="386"/>
      <c r="AF17" s="386"/>
      <c r="AG17" s="386"/>
    </row>
    <row r="18" spans="1:33" ht="16.5" thickBot="1" x14ac:dyDescent="0.3">
      <c r="A18" s="387" t="s">
        <v>588</v>
      </c>
      <c r="B18" s="331">
        <f>'RDF Makeup'!C12</f>
        <v>7.8E-2</v>
      </c>
      <c r="C18" s="390">
        <f>IF(P13="Yes",(B18/(1-B14)),B18)</f>
        <v>7.8E-2</v>
      </c>
      <c r="D18" s="381">
        <f t="shared" si="0"/>
        <v>2.7300000000000002E-3</v>
      </c>
      <c r="E18" s="344">
        <v>7015</v>
      </c>
      <c r="F18" s="345">
        <f t="shared" si="1"/>
        <v>3899.6384999999996</v>
      </c>
      <c r="G18" s="382">
        <v>0.05</v>
      </c>
      <c r="H18" s="383">
        <f t="shared" si="2"/>
        <v>3.9000000000000004</v>
      </c>
      <c r="J18" s="530" t="s">
        <v>614</v>
      </c>
      <c r="K18" s="389">
        <f>'Data Sources'!C55</f>
        <v>3.1E-2</v>
      </c>
      <c r="M18" s="386"/>
      <c r="N18" s="386"/>
      <c r="O18" s="386"/>
      <c r="P18" s="386"/>
      <c r="Q18" s="386"/>
      <c r="R18" s="386"/>
      <c r="S18" s="386"/>
      <c r="T18" s="386"/>
      <c r="U18" s="386"/>
      <c r="V18" s="386"/>
      <c r="W18" s="386"/>
      <c r="X18" s="386"/>
      <c r="Y18" s="386"/>
      <c r="Z18" s="386"/>
      <c r="AA18" s="386"/>
      <c r="AB18" s="386"/>
      <c r="AC18" s="386"/>
      <c r="AD18" s="386"/>
      <c r="AE18" s="386"/>
      <c r="AF18" s="386"/>
      <c r="AG18" s="386"/>
    </row>
    <row r="19" spans="1:33" ht="16.5" thickBot="1" x14ac:dyDescent="0.3">
      <c r="A19" s="387" t="s">
        <v>589</v>
      </c>
      <c r="B19" s="331">
        <f>'RDF Makeup'!C13</f>
        <v>1.4E-2</v>
      </c>
      <c r="C19" s="390">
        <f>IF(P13="Yes",(B19/(1-B14)),B19)</f>
        <v>1.4E-2</v>
      </c>
      <c r="D19" s="381">
        <f t="shared" si="0"/>
        <v>4.9000000000000009E-4</v>
      </c>
      <c r="E19" s="344">
        <v>10793</v>
      </c>
      <c r="F19" s="345">
        <f t="shared" si="1"/>
        <v>5999.8286999999991</v>
      </c>
      <c r="G19" s="382">
        <v>0.1</v>
      </c>
      <c r="H19" s="383">
        <f t="shared" si="2"/>
        <v>1.4000000000000001</v>
      </c>
      <c r="J19" s="530" t="s">
        <v>615</v>
      </c>
      <c r="K19" s="389">
        <f>'Data Sources'!C56</f>
        <v>1.4999999999999999E-2</v>
      </c>
      <c r="M19" s="386"/>
      <c r="N19" s="386"/>
      <c r="O19" s="386"/>
      <c r="P19" s="386"/>
      <c r="Q19" s="386"/>
      <c r="R19" s="386"/>
      <c r="S19" s="386"/>
      <c r="T19" s="386"/>
      <c r="U19" s="386"/>
      <c r="V19" s="386"/>
      <c r="W19" s="386"/>
      <c r="X19" s="386"/>
      <c r="Y19" s="386"/>
      <c r="Z19" s="386"/>
      <c r="AA19" s="386"/>
      <c r="AB19" s="386"/>
      <c r="AC19" s="386"/>
      <c r="AD19" s="386"/>
      <c r="AE19" s="386"/>
      <c r="AF19" s="386"/>
      <c r="AG19" s="386"/>
    </row>
    <row r="20" spans="1:33" ht="16.5" thickBot="1" x14ac:dyDescent="0.3">
      <c r="A20" s="387" t="s">
        <v>590</v>
      </c>
      <c r="B20" s="331">
        <f>'RDF Makeup'!C14</f>
        <v>5.0000000000000001E-3</v>
      </c>
      <c r="C20" s="390">
        <f>IF(P13="Yes",(B20/(1-B14)),B20)</f>
        <v>5.0000000000000001E-3</v>
      </c>
      <c r="D20" s="381">
        <f t="shared" si="0"/>
        <v>1.7500000000000003E-4</v>
      </c>
      <c r="E20" s="344">
        <v>6296</v>
      </c>
      <c r="F20" s="345">
        <f t="shared" si="1"/>
        <v>3499.9463999999998</v>
      </c>
      <c r="G20" s="382">
        <v>0.05</v>
      </c>
      <c r="H20" s="383">
        <f t="shared" si="2"/>
        <v>0.25</v>
      </c>
      <c r="J20" s="530" t="s">
        <v>616</v>
      </c>
      <c r="K20" s="389">
        <f>'Data Sources'!C57</f>
        <v>5.0000000000000001E-4</v>
      </c>
      <c r="M20" s="393" t="s">
        <v>617</v>
      </c>
      <c r="N20" s="394">
        <f>AE14*K16</f>
        <v>450.29755715521503</v>
      </c>
      <c r="O20" s="386"/>
      <c r="P20" s="386"/>
      <c r="Q20" s="386"/>
      <c r="R20" s="386"/>
      <c r="S20" s="386"/>
      <c r="T20" s="386"/>
      <c r="U20" s="386"/>
      <c r="V20" s="386"/>
      <c r="W20" s="386"/>
      <c r="X20" s="386"/>
      <c r="Y20" s="386"/>
      <c r="Z20" s="386"/>
      <c r="AA20" s="386"/>
      <c r="AB20" s="386"/>
      <c r="AC20" s="386"/>
      <c r="AD20" s="386"/>
      <c r="AE20" s="386"/>
      <c r="AF20" s="386"/>
      <c r="AG20" s="386"/>
    </row>
    <row r="21" spans="1:33" ht="16.5" thickBot="1" x14ac:dyDescent="0.3">
      <c r="A21" s="387" t="s">
        <v>591</v>
      </c>
      <c r="B21" s="331">
        <f>'RDF Makeup'!C15</f>
        <v>5.0000000000000001E-3</v>
      </c>
      <c r="C21" s="390">
        <f>IF(P13="Yes",(B21/(1-B14)),B21)</f>
        <v>5.0000000000000001E-3</v>
      </c>
      <c r="D21" s="381">
        <f t="shared" si="0"/>
        <v>1.7500000000000003E-4</v>
      </c>
      <c r="E21" s="344">
        <v>10073</v>
      </c>
      <c r="F21" s="345">
        <f t="shared" si="1"/>
        <v>5599.5806999999995</v>
      </c>
      <c r="G21" s="382">
        <v>0.125</v>
      </c>
      <c r="H21" s="383">
        <f t="shared" si="2"/>
        <v>0.625</v>
      </c>
      <c r="J21" s="530" t="s">
        <v>618</v>
      </c>
      <c r="K21" s="389">
        <f>'Data Sources'!C58</f>
        <v>0.15</v>
      </c>
      <c r="M21" s="393" t="s">
        <v>266</v>
      </c>
      <c r="N21" s="395">
        <f>N20*365</f>
        <v>164358.60836165349</v>
      </c>
      <c r="O21" s="386"/>
      <c r="P21" s="386"/>
      <c r="Q21" s="386"/>
      <c r="R21" s="386"/>
      <c r="S21" s="386"/>
      <c r="T21" s="386"/>
      <c r="U21" s="386"/>
      <c r="V21" s="386"/>
      <c r="W21" s="386"/>
      <c r="X21" s="386"/>
      <c r="Y21" s="386"/>
      <c r="Z21" s="386"/>
      <c r="AA21" s="386"/>
      <c r="AB21" s="386"/>
      <c r="AC21" s="386"/>
      <c r="AD21" s="386"/>
      <c r="AE21" s="386"/>
      <c r="AF21" s="386"/>
      <c r="AG21" s="386"/>
    </row>
    <row r="22" spans="1:33" ht="32.25" thickBot="1" x14ac:dyDescent="0.3">
      <c r="A22" s="396" t="s">
        <v>592</v>
      </c>
      <c r="B22" s="331">
        <f>'RDF Makeup'!C16</f>
        <v>2E-3</v>
      </c>
      <c r="C22" s="390">
        <f>IF(P71="Yes",(B22/(1-B14)),B22)</f>
        <v>2E-3</v>
      </c>
      <c r="D22" s="381">
        <f t="shared" si="0"/>
        <v>7.0000000000000007E-5</v>
      </c>
      <c r="E22" s="344">
        <v>15000</v>
      </c>
      <c r="F22" s="345">
        <f t="shared" si="1"/>
        <v>8338.5</v>
      </c>
      <c r="G22" s="382">
        <v>0.1</v>
      </c>
      <c r="H22" s="383">
        <f t="shared" si="2"/>
        <v>0.2</v>
      </c>
      <c r="J22" s="384" t="s">
        <v>619</v>
      </c>
      <c r="K22" s="385">
        <f>K21/(1-K21)</f>
        <v>0.17647058823529413</v>
      </c>
      <c r="M22" s="393" t="s">
        <v>620</v>
      </c>
      <c r="N22" s="395">
        <f>K15*365</f>
        <v>200750</v>
      </c>
      <c r="O22" s="386"/>
      <c r="P22" s="386"/>
      <c r="Q22" s="386"/>
      <c r="R22" s="386"/>
      <c r="S22" s="386"/>
      <c r="T22" s="386"/>
      <c r="U22" s="386"/>
      <c r="V22" s="386"/>
      <c r="W22" s="386"/>
      <c r="X22" s="386"/>
      <c r="Y22" s="386"/>
      <c r="Z22" s="386"/>
      <c r="AA22" s="386"/>
      <c r="AB22" s="386"/>
      <c r="AC22" s="386"/>
      <c r="AD22" s="386"/>
      <c r="AE22" s="386"/>
      <c r="AF22" s="386"/>
      <c r="AG22" s="386"/>
    </row>
    <row r="23" spans="1:33" ht="16.5" thickBot="1" x14ac:dyDescent="0.3">
      <c r="A23" s="387" t="s">
        <v>593</v>
      </c>
      <c r="B23" s="354">
        <f>'RDF Makeup'!C17</f>
        <v>0.19700000000000001</v>
      </c>
      <c r="C23" s="390">
        <f>IF(P13="Yes",(B23/(1-B14)),B23)</f>
        <v>0.19700000000000001</v>
      </c>
      <c r="D23" s="381">
        <f t="shared" si="0"/>
        <v>6.895000000000001E-3</v>
      </c>
      <c r="E23" s="344">
        <v>7200</v>
      </c>
      <c r="F23" s="345">
        <f t="shared" si="1"/>
        <v>4002.4799999999996</v>
      </c>
      <c r="G23" s="382">
        <v>0.3</v>
      </c>
      <c r="H23" s="383">
        <f t="shared" si="2"/>
        <v>59.099999999999994</v>
      </c>
      <c r="J23" s="530" t="s">
        <v>815</v>
      </c>
      <c r="K23" s="376">
        <f>O29+P29+T29+V29+Y29+Z29+AA29+AB29+AC29</f>
        <v>114.14117647058825</v>
      </c>
      <c r="M23" s="386"/>
      <c r="N23" s="386"/>
      <c r="O23" s="386"/>
      <c r="P23" s="386"/>
      <c r="Q23" s="386"/>
      <c r="R23" s="386"/>
      <c r="S23" s="386"/>
      <c r="T23" s="386"/>
      <c r="U23" s="386"/>
      <c r="V23" s="386"/>
      <c r="W23" s="386"/>
      <c r="X23" s="386"/>
      <c r="Y23" s="386"/>
      <c r="Z23" s="386"/>
      <c r="AA23" s="386"/>
      <c r="AB23" s="386"/>
      <c r="AC23" s="386"/>
      <c r="AD23" s="386"/>
      <c r="AE23" s="386"/>
      <c r="AF23" s="386"/>
      <c r="AG23" s="386"/>
    </row>
    <row r="24" spans="1:33" ht="16.5" thickBot="1" x14ac:dyDescent="0.3">
      <c r="A24" s="387" t="s">
        <v>594</v>
      </c>
      <c r="B24" s="331">
        <f>'RDF Makeup'!C18</f>
        <v>9.7000000000000003E-2</v>
      </c>
      <c r="C24" s="390">
        <f>IF(P13="Yes",(B24/(1-B14)),B24)</f>
        <v>9.7000000000000003E-2</v>
      </c>
      <c r="D24" s="381">
        <f t="shared" si="0"/>
        <v>3.3950000000000004E-3</v>
      </c>
      <c r="E24" s="344">
        <v>8364</v>
      </c>
      <c r="F24" s="345">
        <f t="shared" si="1"/>
        <v>4649.5475999999999</v>
      </c>
      <c r="G24" s="382">
        <v>0.3</v>
      </c>
      <c r="H24" s="383">
        <f t="shared" si="2"/>
        <v>29.099999999999998</v>
      </c>
      <c r="J24" s="530"/>
      <c r="M24" s="386"/>
      <c r="N24" s="534" t="s">
        <v>621</v>
      </c>
      <c r="O24" s="534" t="s">
        <v>585</v>
      </c>
      <c r="P24" s="534" t="s">
        <v>586</v>
      </c>
      <c r="Q24" s="534" t="s">
        <v>587</v>
      </c>
      <c r="R24" s="534" t="s">
        <v>588</v>
      </c>
      <c r="S24" s="534" t="s">
        <v>589</v>
      </c>
      <c r="T24" s="534" t="s">
        <v>590</v>
      </c>
      <c r="U24" s="534" t="s">
        <v>591</v>
      </c>
      <c r="V24" s="534" t="s">
        <v>622</v>
      </c>
      <c r="W24" s="534" t="s">
        <v>593</v>
      </c>
      <c r="X24" s="534" t="s">
        <v>623</v>
      </c>
      <c r="Y24" s="534" t="s">
        <v>595</v>
      </c>
      <c r="Z24" s="534" t="s">
        <v>596</v>
      </c>
      <c r="AA24" s="534" t="s">
        <v>597</v>
      </c>
      <c r="AB24" s="534" t="s">
        <v>598</v>
      </c>
      <c r="AC24" s="534" t="s">
        <v>624</v>
      </c>
      <c r="AD24" s="534" t="s">
        <v>625</v>
      </c>
      <c r="AE24" s="534" t="s">
        <v>626</v>
      </c>
      <c r="AF24" s="534" t="s">
        <v>627</v>
      </c>
      <c r="AG24" s="386"/>
    </row>
    <row r="25" spans="1:33" ht="16.5" thickBot="1" x14ac:dyDescent="0.3">
      <c r="A25" s="387" t="s">
        <v>595</v>
      </c>
      <c r="B25" s="331">
        <f>'RDF Makeup'!C19</f>
        <v>7.0000000000000001E-3</v>
      </c>
      <c r="C25" s="390">
        <f>IF(P13="Yes",(B25/(1-B14)),B25)</f>
        <v>7.0000000000000001E-3</v>
      </c>
      <c r="D25" s="381">
        <f t="shared" si="0"/>
        <v>2.4500000000000005E-4</v>
      </c>
      <c r="E25" s="344">
        <v>6000</v>
      </c>
      <c r="F25" s="345">
        <f t="shared" si="1"/>
        <v>3335.3999999999996</v>
      </c>
      <c r="G25" s="382">
        <v>0.2</v>
      </c>
      <c r="H25" s="383">
        <f t="shared" si="2"/>
        <v>1.4000000000000001</v>
      </c>
      <c r="J25" s="530" t="s">
        <v>628</v>
      </c>
      <c r="K25" s="376">
        <f>(N14-O14)*K16</f>
        <v>1.0999999999999908</v>
      </c>
      <c r="M25" s="393" t="s">
        <v>629</v>
      </c>
      <c r="N25" s="386">
        <f>K15*B14</f>
        <v>72.600000000000009</v>
      </c>
      <c r="O25" s="386">
        <f>K15*B15</f>
        <v>19.250000000000004</v>
      </c>
      <c r="P25" s="386">
        <f>K15*B16</f>
        <v>23.65</v>
      </c>
      <c r="Q25" s="386">
        <f>K15*B17</f>
        <v>96.25</v>
      </c>
      <c r="R25" s="386">
        <f>K15*B18</f>
        <v>42.9</v>
      </c>
      <c r="S25" s="386">
        <f>K15*B19</f>
        <v>7.7</v>
      </c>
      <c r="T25" s="386">
        <f>K15*B20</f>
        <v>2.75</v>
      </c>
      <c r="U25" s="386">
        <f>K15*B21</f>
        <v>2.75</v>
      </c>
      <c r="V25" s="386">
        <f>K15*B22</f>
        <v>1.1000000000000001</v>
      </c>
      <c r="W25" s="386">
        <f>K15*B23</f>
        <v>108.35000000000001</v>
      </c>
      <c r="X25" s="386">
        <f>K15*B24</f>
        <v>53.35</v>
      </c>
      <c r="Y25" s="386">
        <f>K15*B25</f>
        <v>3.85</v>
      </c>
      <c r="Z25" s="386">
        <f>K15*B26</f>
        <v>18.150000000000002</v>
      </c>
      <c r="AA25" s="386">
        <f>K15*B27</f>
        <v>1.6500000000000001</v>
      </c>
      <c r="AB25" s="386">
        <f>K15*B28</f>
        <v>17.05</v>
      </c>
      <c r="AC25" s="386">
        <f>K15*B29</f>
        <v>28.599999999999998</v>
      </c>
      <c r="AD25" s="386"/>
      <c r="AE25" s="386"/>
      <c r="AF25" s="386" t="s">
        <v>630</v>
      </c>
      <c r="AG25" s="386"/>
    </row>
    <row r="26" spans="1:33" ht="16.5" thickBot="1" x14ac:dyDescent="0.3">
      <c r="A26" s="387" t="s">
        <v>596</v>
      </c>
      <c r="B26" s="331">
        <f>'RDF Makeup'!C20</f>
        <v>3.3000000000000002E-2</v>
      </c>
      <c r="C26" s="390">
        <f>IF(P13="Yes",(B26/(1-B14)),B26)</f>
        <v>3.3000000000000002E-2</v>
      </c>
      <c r="D26" s="381">
        <f t="shared" si="0"/>
        <v>1.1550000000000002E-3</v>
      </c>
      <c r="E26" s="344">
        <v>10660</v>
      </c>
      <c r="F26" s="345">
        <f t="shared" si="1"/>
        <v>5925.8939999999993</v>
      </c>
      <c r="G26" s="382">
        <v>0.05</v>
      </c>
      <c r="H26" s="383">
        <f t="shared" si="2"/>
        <v>1.6500000000000001</v>
      </c>
      <c r="J26" s="530" t="s">
        <v>631</v>
      </c>
      <c r="K26" s="376">
        <f>(R14*K16)</f>
        <v>17.050000000000026</v>
      </c>
      <c r="M26" s="393" t="s">
        <v>632</v>
      </c>
      <c r="N26" s="386">
        <f>N25*G14</f>
        <v>50.82</v>
      </c>
      <c r="O26" s="386">
        <f>G15*O25</f>
        <v>0.84700000000000009</v>
      </c>
      <c r="P26" s="386">
        <f>P25*G16</f>
        <v>1.1824999999999999</v>
      </c>
      <c r="Q26" s="386">
        <f>G17*Q25</f>
        <v>5.8712499999999999</v>
      </c>
      <c r="R26" s="386">
        <f>R25*G18</f>
        <v>2.145</v>
      </c>
      <c r="S26" s="386">
        <f>S25*G19</f>
        <v>0.77</v>
      </c>
      <c r="T26" s="386">
        <f>T25*G20</f>
        <v>0.13750000000000001</v>
      </c>
      <c r="U26" s="386">
        <f>U25*G21</f>
        <v>0.34375</v>
      </c>
      <c r="V26" s="386">
        <f>V25*G22</f>
        <v>0.11000000000000001</v>
      </c>
      <c r="W26" s="386">
        <f>W25*G23</f>
        <v>32.505000000000003</v>
      </c>
      <c r="X26" s="386">
        <f>X25*G24</f>
        <v>16.004999999999999</v>
      </c>
      <c r="Y26" s="386">
        <f>Y25*G25</f>
        <v>0.77</v>
      </c>
      <c r="Z26" s="386">
        <f>Z25*G26</f>
        <v>0.9075000000000002</v>
      </c>
      <c r="AA26" s="386">
        <f>AA25*G27</f>
        <v>8.2500000000000018E-2</v>
      </c>
      <c r="AB26" s="386">
        <f>AB25*G28</f>
        <v>0.85250000000000004</v>
      </c>
      <c r="AC26" s="386">
        <f>AC25*G29</f>
        <v>5.72</v>
      </c>
      <c r="AD26" s="386"/>
      <c r="AE26" s="386"/>
      <c r="AF26" s="386"/>
      <c r="AG26" s="386"/>
    </row>
    <row r="27" spans="1:33" ht="16.5" thickBot="1" x14ac:dyDescent="0.3">
      <c r="A27" s="387" t="s">
        <v>597</v>
      </c>
      <c r="B27" s="331">
        <f>'RDF Makeup'!C21</f>
        <v>3.0000000000000001E-3</v>
      </c>
      <c r="C27" s="390">
        <f>IF(P13="Yes",(B27/(1-B14)),B27)</f>
        <v>3.0000000000000001E-3</v>
      </c>
      <c r="D27" s="381">
        <f t="shared" si="0"/>
        <v>1.0500000000000002E-4</v>
      </c>
      <c r="E27" s="344">
        <v>6000</v>
      </c>
      <c r="F27" s="345">
        <f t="shared" si="1"/>
        <v>3335.3999999999996</v>
      </c>
      <c r="G27" s="382">
        <v>0.05</v>
      </c>
      <c r="H27" s="383">
        <f t="shared" si="2"/>
        <v>0.15000000000000002</v>
      </c>
      <c r="J27" s="530" t="s">
        <v>615</v>
      </c>
      <c r="K27" s="376">
        <f>(T14*K16)</f>
        <v>8.25</v>
      </c>
      <c r="M27" s="393" t="s">
        <v>633</v>
      </c>
      <c r="N27" s="397">
        <f>N26-(N25-N26)*K22</f>
        <v>46.976470588235294</v>
      </c>
      <c r="O27" s="397">
        <f>O26-(O25-O26)*K22</f>
        <v>-2.4005882352941184</v>
      </c>
      <c r="P27" s="386">
        <f>P26-(P25-P26)*K22</f>
        <v>-2.7823529411764705</v>
      </c>
      <c r="Q27" s="386">
        <f>Q26-(Q25-Q26)*K22</f>
        <v>-10.077941176470588</v>
      </c>
      <c r="R27" s="386">
        <f>R26-(R25-R26)*K22</f>
        <v>-5.0470588235294116</v>
      </c>
      <c r="S27" s="386">
        <f>S26-(S25-S26)</f>
        <v>-6.16</v>
      </c>
      <c r="T27" s="386">
        <f>T26-(T25-T26)*K22</f>
        <v>-0.32352941176470584</v>
      </c>
      <c r="U27" s="386">
        <f>U26-(U25-U26)</f>
        <v>-2.0625</v>
      </c>
      <c r="V27" s="386">
        <f>V26-(V25-V26)*K22</f>
        <v>-6.4705882352941196E-2</v>
      </c>
      <c r="W27" s="397">
        <f>W26-(W25-W26)*K22</f>
        <v>19.120588235294122</v>
      </c>
      <c r="X27" s="386">
        <f>X26-(X25-X26)*K22</f>
        <v>9.4147058823529406</v>
      </c>
      <c r="Y27" s="386">
        <f>Y26-(Y25-Y26)*K22</f>
        <v>0.22647058823529409</v>
      </c>
      <c r="Z27" s="386">
        <f>Z26-(Z25-Z26)*K22</f>
        <v>-2.1352941176470592</v>
      </c>
      <c r="AA27" s="386">
        <f>AA26-(AA25-AA26)*K22</f>
        <v>-0.19411764705882356</v>
      </c>
      <c r="AB27" s="386">
        <f>AB26-(AB25-AB26)*K22</f>
        <v>-2.0058823529411769</v>
      </c>
      <c r="AC27" s="386">
        <f>AC26-(AC25-AC26)*K22</f>
        <v>1.6823529411764699</v>
      </c>
      <c r="AD27" s="386"/>
      <c r="AE27" s="386"/>
      <c r="AF27" s="386"/>
      <c r="AG27" s="386"/>
    </row>
    <row r="28" spans="1:33" ht="16.5" thickBot="1" x14ac:dyDescent="0.3">
      <c r="A28" s="387" t="s">
        <v>598</v>
      </c>
      <c r="B28" s="331">
        <f>'RDF Makeup'!C22</f>
        <v>3.1E-2</v>
      </c>
      <c r="C28" s="390">
        <f>IF(P13="Yes",(B28/(1-B14)),B28)</f>
        <v>3.1E-2</v>
      </c>
      <c r="D28" s="381">
        <f t="shared" si="0"/>
        <v>1.085E-3</v>
      </c>
      <c r="E28" s="344">
        <v>15000</v>
      </c>
      <c r="F28" s="345">
        <f t="shared" si="1"/>
        <v>8338.5</v>
      </c>
      <c r="G28" s="382">
        <v>0.05</v>
      </c>
      <c r="H28" s="383">
        <f t="shared" si="2"/>
        <v>1.55</v>
      </c>
      <c r="J28" s="530" t="s">
        <v>634</v>
      </c>
      <c r="K28" s="376">
        <f>X14*K16</f>
        <v>0.27500000000000002</v>
      </c>
      <c r="M28" s="393" t="s">
        <v>635</v>
      </c>
      <c r="N28" s="386">
        <f t="shared" ref="N28:AC28" si="3">IF(N27&gt;0,N27,"0")</f>
        <v>46.976470588235294</v>
      </c>
      <c r="O28" s="386" t="str">
        <f t="shared" si="3"/>
        <v>0</v>
      </c>
      <c r="P28" s="386" t="str">
        <f t="shared" si="3"/>
        <v>0</v>
      </c>
      <c r="Q28" s="386" t="str">
        <f t="shared" si="3"/>
        <v>0</v>
      </c>
      <c r="R28" s="386" t="str">
        <f t="shared" si="3"/>
        <v>0</v>
      </c>
      <c r="S28" s="386" t="str">
        <f t="shared" si="3"/>
        <v>0</v>
      </c>
      <c r="T28" s="386" t="str">
        <f t="shared" si="3"/>
        <v>0</v>
      </c>
      <c r="U28" s="386" t="str">
        <f t="shared" si="3"/>
        <v>0</v>
      </c>
      <c r="V28" s="386" t="str">
        <f t="shared" si="3"/>
        <v>0</v>
      </c>
      <c r="W28" s="386">
        <f t="shared" si="3"/>
        <v>19.120588235294122</v>
      </c>
      <c r="X28" s="386">
        <f t="shared" si="3"/>
        <v>9.4147058823529406</v>
      </c>
      <c r="Y28" s="386">
        <f t="shared" si="3"/>
        <v>0.22647058823529409</v>
      </c>
      <c r="Z28" s="386" t="str">
        <f t="shared" si="3"/>
        <v>0</v>
      </c>
      <c r="AA28" s="386" t="str">
        <f t="shared" si="3"/>
        <v>0</v>
      </c>
      <c r="AB28" s="386" t="str">
        <f t="shared" si="3"/>
        <v>0</v>
      </c>
      <c r="AC28" s="386">
        <f t="shared" si="3"/>
        <v>1.6823529411764699</v>
      </c>
      <c r="AD28" s="386"/>
      <c r="AE28" s="386"/>
      <c r="AF28" s="386"/>
      <c r="AG28" s="386"/>
    </row>
    <row r="29" spans="1:33" ht="16.5" thickBot="1" x14ac:dyDescent="0.3">
      <c r="A29" s="387" t="s">
        <v>599</v>
      </c>
      <c r="B29" s="331">
        <f>'RDF Makeup'!C23</f>
        <v>5.1999999999999998E-2</v>
      </c>
      <c r="C29" s="390">
        <f>IF(P13="Yes",(B29/(1-B14)),B29)</f>
        <v>5.1999999999999998E-2</v>
      </c>
      <c r="D29" s="381">
        <f t="shared" si="0"/>
        <v>1.82E-3</v>
      </c>
      <c r="E29" s="344">
        <v>8364</v>
      </c>
      <c r="F29" s="345">
        <f t="shared" si="1"/>
        <v>4649.5475999999999</v>
      </c>
      <c r="G29" s="382">
        <v>0.2</v>
      </c>
      <c r="H29" s="383">
        <f t="shared" si="2"/>
        <v>10.4</v>
      </c>
      <c r="J29" s="530" t="s">
        <v>636</v>
      </c>
      <c r="K29" s="376">
        <f>AA14*K16</f>
        <v>49.377442844784966</v>
      </c>
      <c r="M29" s="393" t="s">
        <v>816</v>
      </c>
      <c r="N29" s="386">
        <f t="shared" ref="N29:AC29" si="4">N25-N28</f>
        <v>25.623529411764714</v>
      </c>
      <c r="O29" s="386">
        <f t="shared" si="4"/>
        <v>19.250000000000004</v>
      </c>
      <c r="P29" s="386">
        <f t="shared" si="4"/>
        <v>23.65</v>
      </c>
      <c r="Q29" s="386">
        <f t="shared" si="4"/>
        <v>96.25</v>
      </c>
      <c r="R29" s="386">
        <f t="shared" si="4"/>
        <v>42.9</v>
      </c>
      <c r="S29" s="386">
        <f t="shared" si="4"/>
        <v>7.7</v>
      </c>
      <c r="T29" s="386">
        <f t="shared" si="4"/>
        <v>2.75</v>
      </c>
      <c r="U29" s="386">
        <f t="shared" si="4"/>
        <v>2.75</v>
      </c>
      <c r="V29" s="386">
        <f t="shared" si="4"/>
        <v>1.1000000000000001</v>
      </c>
      <c r="W29" s="386">
        <f t="shared" si="4"/>
        <v>89.229411764705887</v>
      </c>
      <c r="X29" s="386">
        <f t="shared" si="4"/>
        <v>43.935294117647061</v>
      </c>
      <c r="Y29" s="386">
        <f t="shared" si="4"/>
        <v>3.6235294117647059</v>
      </c>
      <c r="Z29" s="386">
        <f t="shared" si="4"/>
        <v>18.150000000000002</v>
      </c>
      <c r="AA29" s="386">
        <f t="shared" si="4"/>
        <v>1.6500000000000001</v>
      </c>
      <c r="AB29" s="386">
        <f t="shared" si="4"/>
        <v>17.05</v>
      </c>
      <c r="AC29" s="386">
        <f t="shared" si="4"/>
        <v>26.917647058823526</v>
      </c>
      <c r="AD29" s="386">
        <f>SUM(N29:AC29)</f>
        <v>422.52941176470586</v>
      </c>
      <c r="AE29" s="386"/>
      <c r="AF29" s="386"/>
      <c r="AG29" s="386"/>
    </row>
    <row r="30" spans="1:33" ht="16.5" thickBot="1" x14ac:dyDescent="0.3">
      <c r="A30" s="398" t="s">
        <v>600</v>
      </c>
      <c r="B30" s="331">
        <f>'RDF Makeup'!C24</f>
        <v>4.5999999999999999E-2</v>
      </c>
      <c r="C30" s="390" t="s">
        <v>266</v>
      </c>
      <c r="D30" s="381">
        <f t="shared" si="0"/>
        <v>1.6100000000000001E-3</v>
      </c>
      <c r="E30" s="344"/>
      <c r="F30" s="345"/>
      <c r="G30" s="382"/>
      <c r="H30" s="383"/>
      <c r="J30" s="530" t="s">
        <v>637</v>
      </c>
      <c r="K30" s="376">
        <f>(V14*K16)+(AC14*K16)</f>
        <v>23.65</v>
      </c>
      <c r="M30" s="399" t="s">
        <v>638</v>
      </c>
      <c r="N30" s="533">
        <f>N29/AD29</f>
        <v>6.0643185298621768E-2</v>
      </c>
      <c r="O30" s="533">
        <f>O29/AD29</f>
        <v>4.5558958652373673E-2</v>
      </c>
      <c r="P30" s="533">
        <f>P29/AD29</f>
        <v>5.5972434915773354E-2</v>
      </c>
      <c r="Q30" s="533">
        <f>Q29/AD29</f>
        <v>0.22779479326186833</v>
      </c>
      <c r="R30" s="533">
        <f>R29/AD29</f>
        <v>0.10153139356814701</v>
      </c>
      <c r="S30" s="533">
        <f>S29/AD29</f>
        <v>1.8223583460949464E-2</v>
      </c>
      <c r="T30" s="533">
        <f>T29/AD29</f>
        <v>6.508422664624809E-3</v>
      </c>
      <c r="U30" s="533">
        <f>U29/AD29</f>
        <v>6.508422664624809E-3</v>
      </c>
      <c r="V30" s="533">
        <f>V29/AD29</f>
        <v>2.6033690658499239E-3</v>
      </c>
      <c r="W30" s="533">
        <f>W29/AD29</f>
        <v>0.21117917304747322</v>
      </c>
      <c r="X30" s="533">
        <f>X29/AD29</f>
        <v>0.10398162327718224</v>
      </c>
      <c r="Y30" s="533">
        <f>Y29/AD29</f>
        <v>8.5758039816232774E-3</v>
      </c>
      <c r="Z30" s="533">
        <f>Z29/AD29</f>
        <v>4.2955589586523742E-2</v>
      </c>
      <c r="AA30" s="533">
        <f>AA29/AD29</f>
        <v>3.9050535987748859E-3</v>
      </c>
      <c r="AB30" s="533">
        <f>AB29/AD29</f>
        <v>4.0352220520673818E-2</v>
      </c>
      <c r="AC30" s="533">
        <f>AC29/AD29</f>
        <v>6.370597243491577E-2</v>
      </c>
      <c r="AD30" s="533">
        <f>SUM(N30:AC30)</f>
        <v>1</v>
      </c>
      <c r="AE30" s="533">
        <f>AD29/N20</f>
        <v>0.93833378629469744</v>
      </c>
      <c r="AF30" s="400">
        <f>100%-AE30</f>
        <v>6.1666213705302564E-2</v>
      </c>
      <c r="AG30" s="386"/>
    </row>
    <row r="31" spans="1:33" ht="16.5" thickBot="1" x14ac:dyDescent="0.3">
      <c r="A31" s="398" t="s">
        <v>601</v>
      </c>
      <c r="B31" s="331">
        <f>'RDF Makeup'!C25</f>
        <v>2E-3</v>
      </c>
      <c r="C31" s="390">
        <f>IF(P13="Yes",(B31/(1-B14)),B31)</f>
        <v>2E-3</v>
      </c>
      <c r="D31" s="381">
        <f t="shared" si="0"/>
        <v>7.0000000000000007E-5</v>
      </c>
      <c r="E31" s="344"/>
      <c r="F31" s="345"/>
      <c r="G31" s="382"/>
      <c r="H31" s="383"/>
      <c r="J31" s="530" t="s">
        <v>639</v>
      </c>
      <c r="K31" s="376">
        <f>SUM(K25:K30)</f>
        <v>99.702442844784969</v>
      </c>
    </row>
    <row r="32" spans="1:33" ht="16.5" thickBot="1" x14ac:dyDescent="0.3">
      <c r="A32" s="401" t="s">
        <v>602</v>
      </c>
      <c r="B32" s="357">
        <f>'RDF Makeup'!C26</f>
        <v>4.2999999999999997E-2</v>
      </c>
      <c r="C32" s="390">
        <f>IF(P13="Yes",(B32/(1-B14)),B32)</f>
        <v>4.2999999999999997E-2</v>
      </c>
      <c r="D32" s="381">
        <f t="shared" si="0"/>
        <v>1.505E-3</v>
      </c>
      <c r="E32" s="344"/>
      <c r="F32" s="345"/>
      <c r="G32" s="382">
        <v>0.1</v>
      </c>
      <c r="H32" s="383">
        <f>(C32*1000)*G32</f>
        <v>4.3</v>
      </c>
      <c r="J32" s="530" t="s">
        <v>640</v>
      </c>
      <c r="K32" s="376">
        <f>K31+N20</f>
        <v>550</v>
      </c>
      <c r="L32" s="532" t="str">
        <f>IF(K32=K15,"Yes","No")</f>
        <v>Yes</v>
      </c>
      <c r="N32" s="389"/>
    </row>
    <row r="33" spans="1:11" ht="16.5" thickBot="1" x14ac:dyDescent="0.3">
      <c r="A33" s="358"/>
      <c r="B33" s="359">
        <f>SUM(B14:B32)</f>
        <v>1.0000000000000002</v>
      </c>
      <c r="C33" s="360">
        <f>SUM(C14:C32)</f>
        <v>0.95400000000000018</v>
      </c>
      <c r="D33" s="361">
        <f>SUM(D14:D32)</f>
        <v>3.5000000000000003E-2</v>
      </c>
      <c r="E33" s="402"/>
      <c r="F33" s="402"/>
      <c r="G33" s="403"/>
      <c r="H33" s="364">
        <f>SUM(H14:H32)</f>
        <v>220.79000000000005</v>
      </c>
      <c r="J33" s="530" t="s">
        <v>743</v>
      </c>
      <c r="K33" s="376">
        <f>N20/K32</f>
        <v>0.81872283119130007</v>
      </c>
    </row>
    <row r="34" spans="1:11" x14ac:dyDescent="0.25">
      <c r="A34" s="404"/>
    </row>
  </sheetData>
  <mergeCells count="1">
    <mergeCell ref="J13:K13"/>
  </mergeCells>
  <conditionalFormatting sqref="L32">
    <cfRule type="expression" dxfId="5" priority="1">
      <formula>SEARCH("yes",$L$32)&gt;0</formula>
    </cfRule>
    <cfRule type="expression" dxfId="4" priority="2">
      <formula>SEARCH("No",$L$32)&gt;0</formula>
    </cfRule>
  </conditionalFormatting>
  <dataValidations count="1">
    <dataValidation type="list" allowBlank="1" showInputMessage="1" showErrorMessage="1" sqref="B13" xr:uid="{D2749DB1-ECC4-4736-BE1F-5B01DE4FEB62}">
      <formula1>$AQ$18:$AQ$19</formula1>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53252-AC29-40DB-9955-5EF25F24EC19}">
  <sheetPr>
    <tabColor theme="0" tint="-0.249977111117893"/>
  </sheetPr>
  <dimension ref="A1:N83"/>
  <sheetViews>
    <sheetView topLeftCell="B6" workbookViewId="0">
      <selection activeCell="H55" sqref="H55"/>
    </sheetView>
  </sheetViews>
  <sheetFormatPr defaultColWidth="9.5703125" defaultRowHeight="17.25" x14ac:dyDescent="0.3"/>
  <cols>
    <col min="1" max="1" width="43" style="406" customWidth="1"/>
    <col min="2" max="2" width="11.28515625" style="406" customWidth="1"/>
    <col min="3" max="6" width="23.85546875" style="406" hidden="1" customWidth="1"/>
    <col min="7" max="8" width="23.85546875" style="406" customWidth="1"/>
    <col min="9" max="9" width="23.85546875" style="406" hidden="1" customWidth="1"/>
    <col min="10" max="13" width="23.85546875" style="406" customWidth="1"/>
    <col min="14" max="14" width="43.85546875" style="406" customWidth="1"/>
    <col min="15" max="16384" width="9.5703125" style="406"/>
  </cols>
  <sheetData>
    <row r="1" spans="1:13" x14ac:dyDescent="0.3">
      <c r="A1" s="405" t="s">
        <v>641</v>
      </c>
      <c r="B1" s="405"/>
      <c r="H1" s="405" t="s">
        <v>750</v>
      </c>
    </row>
    <row r="3" spans="1:13" x14ac:dyDescent="0.3">
      <c r="A3" s="893" t="s">
        <v>820</v>
      </c>
      <c r="B3" s="888"/>
      <c r="C3" s="888"/>
      <c r="D3" s="888"/>
      <c r="E3" s="888"/>
      <c r="F3" s="888"/>
      <c r="G3" s="888"/>
    </row>
    <row r="4" spans="1:13" x14ac:dyDescent="0.3">
      <c r="A4" s="538" t="s">
        <v>746</v>
      </c>
      <c r="B4" s="537">
        <f>SUM(B9 +1)</f>
        <v>10.157564441217664</v>
      </c>
      <c r="G4" s="894" t="s">
        <v>817</v>
      </c>
      <c r="H4" s="895"/>
      <c r="I4" s="895"/>
      <c r="J4" s="895"/>
      <c r="K4" s="895"/>
      <c r="L4" s="895"/>
    </row>
    <row r="5" spans="1:13" ht="18" thickBot="1" x14ac:dyDescent="0.35">
      <c r="A5" s="538" t="s">
        <v>747</v>
      </c>
      <c r="B5" s="537">
        <f>SUM(B35 +1)</f>
        <v>3.5398550724637685</v>
      </c>
      <c r="G5" s="895"/>
      <c r="H5" s="895"/>
      <c r="I5" s="895"/>
      <c r="J5" s="895"/>
      <c r="K5" s="895"/>
      <c r="L5" s="895"/>
    </row>
    <row r="6" spans="1:13" ht="18" thickTop="1" x14ac:dyDescent="0.3">
      <c r="A6" s="538" t="s">
        <v>748</v>
      </c>
      <c r="B6" s="539">
        <f>SUM(B4:B5)</f>
        <v>13.697419513681432</v>
      </c>
    </row>
    <row r="8" spans="1:13" x14ac:dyDescent="0.3">
      <c r="A8" s="405" t="s">
        <v>642</v>
      </c>
      <c r="B8" s="405"/>
      <c r="G8" s="406" t="s">
        <v>266</v>
      </c>
      <c r="H8" s="407"/>
      <c r="I8" s="407"/>
      <c r="J8" s="407"/>
      <c r="K8" s="889" t="s">
        <v>643</v>
      </c>
      <c r="L8" s="889"/>
      <c r="M8" s="889"/>
    </row>
    <row r="9" spans="1:13" x14ac:dyDescent="0.3">
      <c r="A9" s="408" t="s">
        <v>644</v>
      </c>
      <c r="B9" s="535">
        <f>SUM(B10/M9) +1</f>
        <v>9.157564441217664</v>
      </c>
      <c r="G9" s="406" t="s">
        <v>745</v>
      </c>
      <c r="K9" s="542">
        <v>0.15</v>
      </c>
      <c r="L9" s="536" t="s">
        <v>744</v>
      </c>
      <c r="M9" s="543">
        <f>48*1.15</f>
        <v>55.199999999999996</v>
      </c>
    </row>
    <row r="10" spans="1:13" ht="19.5" customHeight="1" x14ac:dyDescent="0.3">
      <c r="A10" s="408" t="s">
        <v>645</v>
      </c>
      <c r="B10" s="409">
        <f>'Stage 1 Mass Balance'!N20</f>
        <v>450.29755715521503</v>
      </c>
      <c r="K10" s="542">
        <v>0.22</v>
      </c>
      <c r="L10" s="536" t="s">
        <v>744</v>
      </c>
      <c r="M10" s="543">
        <f>48*1.22</f>
        <v>58.56</v>
      </c>
    </row>
    <row r="11" spans="1:13" ht="3.95" customHeight="1" x14ac:dyDescent="0.3">
      <c r="A11" s="410"/>
      <c r="B11" s="410"/>
    </row>
    <row r="12" spans="1:13" x14ac:dyDescent="0.3">
      <c r="A12" s="411" t="s">
        <v>607</v>
      </c>
      <c r="B12" s="412"/>
      <c r="C12" s="413">
        <v>20</v>
      </c>
      <c r="D12" s="413">
        <v>21</v>
      </c>
      <c r="E12" s="414">
        <v>22</v>
      </c>
      <c r="F12" s="414">
        <v>23</v>
      </c>
      <c r="G12" s="415">
        <v>2.0099999999999998</v>
      </c>
      <c r="H12" s="416">
        <v>2.02</v>
      </c>
      <c r="I12" s="415">
        <v>26</v>
      </c>
      <c r="J12" s="415">
        <v>2.0299999999999998</v>
      </c>
      <c r="K12" s="417">
        <v>2.04</v>
      </c>
      <c r="L12" s="417">
        <v>2.0499999999999998</v>
      </c>
      <c r="M12" s="418">
        <v>2.06</v>
      </c>
    </row>
    <row r="13" spans="1:13" s="427" customFormat="1" ht="69.75" thickBot="1" x14ac:dyDescent="0.3">
      <c r="A13" s="419" t="s">
        <v>646</v>
      </c>
      <c r="B13" s="420"/>
      <c r="C13" s="421" t="s">
        <v>647</v>
      </c>
      <c r="D13" s="421" t="s">
        <v>648</v>
      </c>
      <c r="E13" s="422" t="s">
        <v>649</v>
      </c>
      <c r="F13" s="422" t="s">
        <v>650</v>
      </c>
      <c r="G13" s="423" t="s">
        <v>651</v>
      </c>
      <c r="H13" s="424" t="s">
        <v>652</v>
      </c>
      <c r="I13" s="423" t="s">
        <v>818</v>
      </c>
      <c r="J13" s="423" t="s">
        <v>653</v>
      </c>
      <c r="K13" s="425" t="s">
        <v>654</v>
      </c>
      <c r="L13" s="425" t="s">
        <v>655</v>
      </c>
      <c r="M13" s="426" t="s">
        <v>656</v>
      </c>
    </row>
    <row r="14" spans="1:13" ht="3.95" customHeight="1" x14ac:dyDescent="0.3">
      <c r="A14" s="428"/>
      <c r="B14" s="428"/>
    </row>
    <row r="15" spans="1:13" hidden="1" x14ac:dyDescent="0.3">
      <c r="A15" s="429" t="s">
        <v>657</v>
      </c>
      <c r="B15" s="430"/>
      <c r="C15" s="431"/>
      <c r="D15" s="431"/>
      <c r="E15" s="431"/>
      <c r="F15" s="431"/>
      <c r="G15" s="432">
        <f>12+12</f>
        <v>24</v>
      </c>
      <c r="H15" s="431">
        <f t="shared" ref="H15:M15" si="0">$G$15</f>
        <v>24</v>
      </c>
      <c r="I15" s="431">
        <f t="shared" si="0"/>
        <v>24</v>
      </c>
      <c r="J15" s="431">
        <f t="shared" si="0"/>
        <v>24</v>
      </c>
      <c r="K15" s="431">
        <f t="shared" si="0"/>
        <v>24</v>
      </c>
      <c r="L15" s="431">
        <f t="shared" si="0"/>
        <v>24</v>
      </c>
      <c r="M15" s="431">
        <f t="shared" si="0"/>
        <v>24</v>
      </c>
    </row>
    <row r="16" spans="1:13" hidden="1" x14ac:dyDescent="0.3">
      <c r="A16" s="433" t="s">
        <v>658</v>
      </c>
      <c r="B16" s="434"/>
      <c r="C16" s="435"/>
      <c r="D16" s="435"/>
      <c r="E16" s="435"/>
      <c r="F16" s="435"/>
      <c r="G16" s="435"/>
      <c r="H16" s="435"/>
      <c r="I16" s="435"/>
      <c r="J16" s="435"/>
      <c r="K16" s="435"/>
      <c r="L16" s="435"/>
      <c r="M16" s="435"/>
    </row>
    <row r="17" spans="1:13" x14ac:dyDescent="0.3">
      <c r="A17" s="436" t="s">
        <v>659</v>
      </c>
      <c r="B17" s="437"/>
      <c r="C17" s="438"/>
      <c r="D17" s="438"/>
      <c r="E17" s="438"/>
      <c r="F17" s="438"/>
      <c r="G17" s="540">
        <v>32</v>
      </c>
      <c r="H17" s="438"/>
      <c r="I17" s="438">
        <f>40</f>
        <v>40</v>
      </c>
      <c r="J17" s="540">
        <v>107</v>
      </c>
      <c r="K17" s="438"/>
      <c r="L17" s="540">
        <v>52.27</v>
      </c>
      <c r="M17" s="540">
        <v>62.3</v>
      </c>
    </row>
    <row r="18" spans="1:13" hidden="1" x14ac:dyDescent="0.3">
      <c r="A18" s="433" t="s">
        <v>660</v>
      </c>
      <c r="B18" s="434"/>
      <c r="C18" s="435"/>
      <c r="D18" s="435"/>
      <c r="E18" s="435"/>
      <c r="F18" s="439">
        <v>70</v>
      </c>
      <c r="G18" s="435"/>
      <c r="H18" s="435"/>
      <c r="I18" s="435"/>
      <c r="J18" s="544"/>
      <c r="K18" s="435"/>
      <c r="L18" s="435"/>
      <c r="M18" s="435"/>
    </row>
    <row r="19" spans="1:13" hidden="1" x14ac:dyDescent="0.3">
      <c r="A19" s="433" t="s">
        <v>661</v>
      </c>
      <c r="B19" s="434"/>
      <c r="C19" s="435"/>
      <c r="D19" s="435"/>
      <c r="E19" s="435"/>
      <c r="F19" s="440">
        <v>30.4</v>
      </c>
      <c r="G19" s="435"/>
      <c r="H19" s="435"/>
      <c r="I19" s="435"/>
      <c r="J19" s="544"/>
      <c r="K19" s="435"/>
      <c r="L19" s="435"/>
      <c r="M19" s="435"/>
    </row>
    <row r="20" spans="1:13" hidden="1" x14ac:dyDescent="0.3">
      <c r="A20" s="433" t="s">
        <v>662</v>
      </c>
      <c r="B20" s="434"/>
      <c r="C20" s="435"/>
      <c r="D20" s="435"/>
      <c r="E20" s="435"/>
      <c r="F20" s="435"/>
      <c r="G20" s="435"/>
      <c r="H20" s="435"/>
      <c r="I20" s="435"/>
      <c r="J20" s="544"/>
      <c r="K20" s="435"/>
      <c r="L20" s="435"/>
      <c r="M20" s="435"/>
    </row>
    <row r="21" spans="1:13" hidden="1" x14ac:dyDescent="0.3">
      <c r="A21" s="433" t="s">
        <v>663</v>
      </c>
      <c r="B21" s="434"/>
      <c r="C21" s="435"/>
      <c r="D21" s="435"/>
      <c r="E21" s="435"/>
      <c r="F21" s="435"/>
      <c r="G21" s="435"/>
      <c r="H21" s="435"/>
      <c r="I21" s="435"/>
      <c r="J21" s="544"/>
      <c r="K21" s="435"/>
      <c r="L21" s="435"/>
      <c r="M21" s="435"/>
    </row>
    <row r="22" spans="1:13" hidden="1" x14ac:dyDescent="0.3">
      <c r="A22" s="441" t="s">
        <v>664</v>
      </c>
      <c r="B22" s="442"/>
      <c r="C22" s="443"/>
      <c r="D22" s="443"/>
      <c r="E22" s="443"/>
      <c r="F22" s="443"/>
      <c r="G22" s="443"/>
      <c r="H22" s="443"/>
      <c r="I22" s="443"/>
      <c r="J22" s="545"/>
      <c r="K22" s="443"/>
      <c r="L22" s="443"/>
      <c r="M22" s="443"/>
    </row>
    <row r="23" spans="1:13" ht="18" thickBot="1" x14ac:dyDescent="0.35">
      <c r="A23" s="433" t="s">
        <v>665</v>
      </c>
      <c r="B23" s="434"/>
      <c r="C23" s="444"/>
      <c r="D23" s="444"/>
      <c r="E23" s="444"/>
      <c r="F23" s="444"/>
      <c r="G23" s="444">
        <f>SUM($H$23:$M$23)</f>
        <v>1</v>
      </c>
      <c r="H23" s="541">
        <v>0.75</v>
      </c>
      <c r="I23" s="444"/>
      <c r="J23" s="541">
        <v>0.15</v>
      </c>
      <c r="K23" s="444"/>
      <c r="L23" s="444"/>
      <c r="M23" s="444">
        <f>1-SUM($H$23:$L$23)</f>
        <v>9.9999999999999978E-2</v>
      </c>
    </row>
    <row r="24" spans="1:13" x14ac:dyDescent="0.3">
      <c r="A24" s="445" t="s">
        <v>666</v>
      </c>
      <c r="B24" s="446"/>
      <c r="C24" s="447"/>
      <c r="D24" s="447"/>
      <c r="E24" s="447"/>
      <c r="F24" s="447"/>
      <c r="G24" s="447"/>
      <c r="H24" s="447"/>
      <c r="I24" s="447"/>
      <c r="J24" s="447"/>
      <c r="K24" s="447"/>
      <c r="L24" s="447"/>
      <c r="M24" s="448"/>
    </row>
    <row r="25" spans="1:13" x14ac:dyDescent="0.3">
      <c r="A25" s="441" t="s">
        <v>667</v>
      </c>
      <c r="B25" s="442"/>
      <c r="C25" s="449"/>
      <c r="D25" s="449"/>
      <c r="E25" s="449"/>
      <c r="F25" s="449"/>
      <c r="G25" s="449">
        <f>B10/B9</f>
        <v>49.172196389735674</v>
      </c>
      <c r="H25" s="449">
        <f>$H$23*$G$25</f>
        <v>36.879147292301752</v>
      </c>
      <c r="I25" s="449"/>
      <c r="J25" s="449">
        <f>$J$23*$G$25</f>
        <v>7.375829458460351</v>
      </c>
      <c r="K25" s="546" t="s">
        <v>749</v>
      </c>
      <c r="L25" s="449"/>
      <c r="M25" s="449">
        <f>$G$25*$M$23</f>
        <v>4.9172196389735667</v>
      </c>
    </row>
    <row r="26" spans="1:13" x14ac:dyDescent="0.3">
      <c r="A26" s="436" t="s">
        <v>669</v>
      </c>
      <c r="B26" s="437"/>
      <c r="C26" s="450"/>
      <c r="D26" s="450"/>
      <c r="E26" s="450"/>
      <c r="F26" s="450"/>
      <c r="G26" s="450">
        <f>SUM(G25*'RDF Makeup'!F3/'Stage 2 Mass Balance'!G17)</f>
        <v>3387.6877376480957</v>
      </c>
      <c r="H26" s="451" t="s">
        <v>670</v>
      </c>
      <c r="I26" s="450"/>
      <c r="J26" s="450">
        <f>$J$25*2000/$J$17</f>
        <v>137.86597118617479</v>
      </c>
      <c r="K26" s="546" t="s">
        <v>749</v>
      </c>
      <c r="L26" s="450"/>
      <c r="M26" s="450">
        <f>$M$25*2000/$M$17</f>
        <v>157.85616818534723</v>
      </c>
    </row>
    <row r="27" spans="1:13" ht="18" thickBot="1" x14ac:dyDescent="0.35">
      <c r="A27" s="436" t="s">
        <v>671</v>
      </c>
      <c r="B27" s="437"/>
      <c r="C27" s="452"/>
      <c r="D27" s="452"/>
      <c r="E27" s="452"/>
      <c r="F27" s="452"/>
      <c r="G27" s="452" t="s">
        <v>668</v>
      </c>
      <c r="H27" s="453" t="s">
        <v>670</v>
      </c>
      <c r="I27" s="452"/>
      <c r="J27" s="546" t="s">
        <v>749</v>
      </c>
      <c r="K27" s="546" t="s">
        <v>749</v>
      </c>
      <c r="L27" s="452"/>
      <c r="M27" s="452">
        <f>$M$26*7.48</f>
        <v>1180.7641380263974</v>
      </c>
    </row>
    <row r="28" spans="1:13" x14ac:dyDescent="0.3">
      <c r="A28" s="445" t="s">
        <v>819</v>
      </c>
      <c r="B28" s="446"/>
      <c r="C28" s="447"/>
      <c r="D28" s="447"/>
      <c r="E28" s="447"/>
      <c r="F28" s="447"/>
      <c r="G28" s="447"/>
      <c r="H28" s="447"/>
      <c r="I28" s="447"/>
      <c r="J28" s="447"/>
      <c r="K28" s="447"/>
      <c r="L28" s="447"/>
      <c r="M28" s="448"/>
    </row>
    <row r="29" spans="1:13" x14ac:dyDescent="0.3">
      <c r="A29" s="441" t="s">
        <v>667</v>
      </c>
      <c r="B29" s="442"/>
      <c r="C29" s="449"/>
      <c r="D29" s="449"/>
      <c r="E29" s="449"/>
      <c r="F29" s="449"/>
      <c r="G29" s="454">
        <f>B10</f>
        <v>450.29755715521503</v>
      </c>
      <c r="H29" s="449">
        <f>$H$23*$G$29</f>
        <v>337.72316786641125</v>
      </c>
      <c r="I29" s="449"/>
      <c r="J29" s="449">
        <f>$J$23*$G$29</f>
        <v>67.544633573282255</v>
      </c>
      <c r="K29" s="546" t="s">
        <v>749</v>
      </c>
      <c r="L29" s="449"/>
      <c r="M29" s="449">
        <f>$G$29*$M$23</f>
        <v>45.029755715521496</v>
      </c>
    </row>
    <row r="30" spans="1:13" x14ac:dyDescent="0.3">
      <c r="A30" s="436" t="s">
        <v>669</v>
      </c>
      <c r="B30" s="437"/>
      <c r="C30" s="450"/>
      <c r="D30" s="450"/>
      <c r="E30" s="450"/>
      <c r="F30" s="450"/>
      <c r="G30" s="450">
        <f>SUM(G29*'RDF Makeup'!F3)/'Stage 2 Mass Balance'!G17</f>
        <v>31022.968764235316</v>
      </c>
      <c r="H30" s="451" t="s">
        <v>670</v>
      </c>
      <c r="I30" s="450"/>
      <c r="J30" s="450">
        <f>SUM($J$29 * 2000)/$J$17</f>
        <v>1262.5165153884532</v>
      </c>
      <c r="K30" s="546" t="s">
        <v>749</v>
      </c>
      <c r="L30" s="450"/>
      <c r="M30" s="450">
        <f>$M$29*2000/$M$17</f>
        <v>1445.5780326010113</v>
      </c>
    </row>
    <row r="31" spans="1:13" ht="18" thickBot="1" x14ac:dyDescent="0.35">
      <c r="A31" s="455" t="s">
        <v>671</v>
      </c>
      <c r="B31" s="456"/>
      <c r="C31" s="452"/>
      <c r="D31" s="452"/>
      <c r="E31" s="452"/>
      <c r="F31" s="452"/>
      <c r="G31" s="549" t="s">
        <v>749</v>
      </c>
      <c r="H31" s="550" t="s">
        <v>670</v>
      </c>
      <c r="I31" s="551"/>
      <c r="J31" s="549" t="s">
        <v>749</v>
      </c>
      <c r="K31" s="549" t="s">
        <v>749</v>
      </c>
      <c r="L31" s="452"/>
      <c r="M31" s="452">
        <f>$M$30*7.48</f>
        <v>10812.923683855564</v>
      </c>
    </row>
    <row r="32" spans="1:13" ht="3.95" customHeight="1" x14ac:dyDescent="0.3"/>
    <row r="33" spans="1:13" ht="38.25" customHeight="1" x14ac:dyDescent="0.3"/>
    <row r="34" spans="1:13" x14ac:dyDescent="0.3">
      <c r="A34" s="405" t="s">
        <v>672</v>
      </c>
      <c r="B34" s="405"/>
      <c r="G34" s="406" t="s">
        <v>266</v>
      </c>
    </row>
    <row r="35" spans="1:13" x14ac:dyDescent="0.3">
      <c r="A35" s="408" t="s">
        <v>644</v>
      </c>
      <c r="B35" s="535">
        <f>SUM(B36/M9) +1</f>
        <v>2.5398550724637685</v>
      </c>
      <c r="G35" s="406" t="str">
        <f>G9</f>
        <v xml:space="preserve">a 2 MT a hour unit can process 48 MT a day  </v>
      </c>
    </row>
    <row r="36" spans="1:13" x14ac:dyDescent="0.3">
      <c r="A36" s="408" t="s">
        <v>673</v>
      </c>
      <c r="B36" s="409">
        <f>'TDF Makeup'!C15</f>
        <v>85</v>
      </c>
    </row>
    <row r="37" spans="1:13" ht="12.75" customHeight="1" x14ac:dyDescent="0.3">
      <c r="A37" s="410"/>
      <c r="B37" s="410"/>
    </row>
    <row r="38" spans="1:13" x14ac:dyDescent="0.3">
      <c r="A38" s="411" t="s">
        <v>607</v>
      </c>
      <c r="B38" s="412"/>
      <c r="C38" s="413">
        <v>20</v>
      </c>
      <c r="D38" s="413">
        <v>21</v>
      </c>
      <c r="E38" s="414">
        <v>22</v>
      </c>
      <c r="F38" s="414">
        <v>23</v>
      </c>
      <c r="G38" s="415">
        <v>2.0099999999999998</v>
      </c>
      <c r="H38" s="416">
        <v>2.02</v>
      </c>
      <c r="I38" s="415">
        <v>26</v>
      </c>
      <c r="J38" s="415">
        <v>2.0299999999999998</v>
      </c>
      <c r="K38" s="417">
        <v>2.04</v>
      </c>
      <c r="L38" s="417">
        <v>2.0499999999999998</v>
      </c>
      <c r="M38" s="418">
        <v>2.06</v>
      </c>
    </row>
    <row r="39" spans="1:13" s="427" customFormat="1" ht="69.75" thickBot="1" x14ac:dyDescent="0.3">
      <c r="A39" s="419" t="s">
        <v>646</v>
      </c>
      <c r="B39" s="420"/>
      <c r="C39" s="421" t="s">
        <v>647</v>
      </c>
      <c r="D39" s="421" t="s">
        <v>648</v>
      </c>
      <c r="E39" s="422" t="s">
        <v>649</v>
      </c>
      <c r="F39" s="422" t="s">
        <v>650</v>
      </c>
      <c r="G39" s="423" t="s">
        <v>674</v>
      </c>
      <c r="H39" s="424" t="s">
        <v>652</v>
      </c>
      <c r="I39" s="423" t="s">
        <v>818</v>
      </c>
      <c r="J39" s="423" t="s">
        <v>653</v>
      </c>
      <c r="K39" s="425" t="s">
        <v>654</v>
      </c>
      <c r="L39" s="425" t="s">
        <v>655</v>
      </c>
      <c r="M39" s="426" t="s">
        <v>656</v>
      </c>
    </row>
    <row r="40" spans="1:13" ht="3.95" customHeight="1" x14ac:dyDescent="0.3">
      <c r="A40" s="428"/>
      <c r="B40" s="428"/>
    </row>
    <row r="41" spans="1:13" hidden="1" x14ac:dyDescent="0.3">
      <c r="A41" s="429" t="s">
        <v>657</v>
      </c>
      <c r="B41" s="430"/>
      <c r="C41" s="431"/>
      <c r="D41" s="431"/>
      <c r="E41" s="431"/>
      <c r="F41" s="431"/>
      <c r="G41" s="432">
        <f>12+12</f>
        <v>24</v>
      </c>
      <c r="H41" s="431">
        <f t="shared" ref="H41:M41" si="1">$G$41</f>
        <v>24</v>
      </c>
      <c r="I41" s="431">
        <f t="shared" si="1"/>
        <v>24</v>
      </c>
      <c r="J41" s="431">
        <f t="shared" si="1"/>
        <v>24</v>
      </c>
      <c r="K41" s="431">
        <f t="shared" si="1"/>
        <v>24</v>
      </c>
      <c r="L41" s="431">
        <f t="shared" si="1"/>
        <v>24</v>
      </c>
      <c r="M41" s="431">
        <f t="shared" si="1"/>
        <v>24</v>
      </c>
    </row>
    <row r="42" spans="1:13" hidden="1" x14ac:dyDescent="0.3">
      <c r="A42" s="433" t="s">
        <v>658</v>
      </c>
      <c r="B42" s="434"/>
      <c r="C42" s="435"/>
      <c r="D42" s="435"/>
      <c r="E42" s="435"/>
      <c r="F42" s="435"/>
      <c r="G42" s="435"/>
      <c r="H42" s="435"/>
      <c r="I42" s="435"/>
      <c r="J42" s="435"/>
      <c r="K42" s="435"/>
      <c r="L42" s="435"/>
      <c r="M42" s="435"/>
    </row>
    <row r="43" spans="1:13" x14ac:dyDescent="0.3">
      <c r="A43" s="436" t="s">
        <v>659</v>
      </c>
      <c r="B43" s="437"/>
      <c r="C43" s="438"/>
      <c r="D43" s="438"/>
      <c r="E43" s="438"/>
      <c r="F43" s="438"/>
      <c r="G43" s="540">
        <v>25</v>
      </c>
      <c r="H43" s="438"/>
      <c r="I43" s="438">
        <f>40</f>
        <v>40</v>
      </c>
      <c r="J43" s="540">
        <v>107</v>
      </c>
      <c r="K43" s="540">
        <v>23.5</v>
      </c>
      <c r="L43" s="540">
        <v>52.27</v>
      </c>
      <c r="M43" s="540">
        <v>62.3</v>
      </c>
    </row>
    <row r="44" spans="1:13" hidden="1" x14ac:dyDescent="0.3">
      <c r="A44" s="433" t="s">
        <v>660</v>
      </c>
      <c r="B44" s="434"/>
      <c r="C44" s="435"/>
      <c r="D44" s="435"/>
      <c r="E44" s="435"/>
      <c r="F44" s="439">
        <v>70</v>
      </c>
      <c r="G44" s="435"/>
      <c r="H44" s="435"/>
      <c r="I44" s="435"/>
      <c r="J44" s="435"/>
      <c r="K44" s="435"/>
      <c r="L44" s="435"/>
      <c r="M44" s="435"/>
    </row>
    <row r="45" spans="1:13" hidden="1" x14ac:dyDescent="0.3">
      <c r="A45" s="433" t="s">
        <v>661</v>
      </c>
      <c r="B45" s="434"/>
      <c r="C45" s="435"/>
      <c r="D45" s="435"/>
      <c r="E45" s="435"/>
      <c r="F45" s="440">
        <v>30.4</v>
      </c>
      <c r="G45" s="435"/>
      <c r="H45" s="435"/>
      <c r="I45" s="435"/>
      <c r="J45" s="435"/>
      <c r="K45" s="435"/>
      <c r="L45" s="435"/>
      <c r="M45" s="435"/>
    </row>
    <row r="46" spans="1:13" hidden="1" x14ac:dyDescent="0.3">
      <c r="A46" s="433" t="s">
        <v>662</v>
      </c>
      <c r="B46" s="434"/>
      <c r="C46" s="435"/>
      <c r="D46" s="435"/>
      <c r="E46" s="435"/>
      <c r="F46" s="435"/>
      <c r="G46" s="435"/>
      <c r="H46" s="435"/>
      <c r="I46" s="435"/>
      <c r="J46" s="435"/>
      <c r="K46" s="435"/>
      <c r="L46" s="435"/>
      <c r="M46" s="435"/>
    </row>
    <row r="47" spans="1:13" hidden="1" x14ac:dyDescent="0.3">
      <c r="A47" s="433" t="s">
        <v>663</v>
      </c>
      <c r="B47" s="434"/>
      <c r="C47" s="435"/>
      <c r="D47" s="435"/>
      <c r="E47" s="435"/>
      <c r="F47" s="435"/>
      <c r="G47" s="435"/>
      <c r="H47" s="435"/>
      <c r="I47" s="435"/>
      <c r="J47" s="435"/>
      <c r="K47" s="435"/>
      <c r="L47" s="435"/>
      <c r="M47" s="435"/>
    </row>
    <row r="48" spans="1:13" hidden="1" x14ac:dyDescent="0.3">
      <c r="A48" s="441" t="s">
        <v>664</v>
      </c>
      <c r="B48" s="442"/>
      <c r="C48" s="443"/>
      <c r="D48" s="443"/>
      <c r="E48" s="443"/>
      <c r="F48" s="443"/>
      <c r="G48" s="443"/>
      <c r="H48" s="443"/>
      <c r="I48" s="443"/>
      <c r="J48" s="443"/>
      <c r="K48" s="443"/>
      <c r="L48" s="443"/>
      <c r="M48" s="443"/>
    </row>
    <row r="49" spans="1:13" ht="18" thickBot="1" x14ac:dyDescent="0.35">
      <c r="A49" s="433" t="s">
        <v>665</v>
      </c>
      <c r="B49" s="434"/>
      <c r="C49" s="444"/>
      <c r="D49" s="444"/>
      <c r="E49" s="444"/>
      <c r="F49" s="444"/>
      <c r="G49" s="444">
        <f>SUM($H$49:$M$49)</f>
        <v>1</v>
      </c>
      <c r="H49" s="541">
        <v>0.15</v>
      </c>
      <c r="I49" s="541"/>
      <c r="J49" s="541">
        <v>0</v>
      </c>
      <c r="K49" s="541">
        <v>0.37</v>
      </c>
      <c r="L49" s="541">
        <v>0.45</v>
      </c>
      <c r="M49" s="444">
        <f>1-SUM($H$49:$L$49)</f>
        <v>3.0000000000000027E-2</v>
      </c>
    </row>
    <row r="50" spans="1:13" x14ac:dyDescent="0.3">
      <c r="A50" s="445" t="s">
        <v>666</v>
      </c>
      <c r="B50" s="446"/>
      <c r="C50" s="447"/>
      <c r="D50" s="447"/>
      <c r="E50" s="447"/>
      <c r="F50" s="447"/>
      <c r="G50" s="447"/>
      <c r="H50" s="447"/>
      <c r="I50" s="447"/>
      <c r="J50" s="447"/>
      <c r="K50" s="447"/>
      <c r="L50" s="447"/>
      <c r="M50" s="448"/>
    </row>
    <row r="51" spans="1:13" x14ac:dyDescent="0.3">
      <c r="A51" s="441" t="s">
        <v>667</v>
      </c>
      <c r="B51" s="442"/>
      <c r="C51" s="449"/>
      <c r="D51" s="449"/>
      <c r="E51" s="449"/>
      <c r="F51" s="449"/>
      <c r="G51" s="449">
        <f>B36/B35</f>
        <v>33.466476462196859</v>
      </c>
      <c r="H51" s="449">
        <f>$H$49*$G$51</f>
        <v>5.019971469329529</v>
      </c>
      <c r="I51" s="449"/>
      <c r="J51" s="449">
        <f>$J$49*$G$51</f>
        <v>0</v>
      </c>
      <c r="K51" s="449">
        <f>$K$49*$G$51</f>
        <v>12.382596291012838</v>
      </c>
      <c r="L51" s="449">
        <f>$L$49*$G$51</f>
        <v>15.059914407988586</v>
      </c>
      <c r="M51" s="449">
        <f>$G$51*$M$49</f>
        <v>1.0039942938659066</v>
      </c>
    </row>
    <row r="52" spans="1:13" x14ac:dyDescent="0.3">
      <c r="A52" s="436" t="s">
        <v>669</v>
      </c>
      <c r="B52" s="437"/>
      <c r="C52" s="450"/>
      <c r="D52" s="450"/>
      <c r="E52" s="450"/>
      <c r="F52" s="450"/>
      <c r="G52" s="450">
        <f>SUM(G51 *'TDF Makeup'!F3)/'Stage 2 Mass Balance'!G43</f>
        <v>2951.2345335235377</v>
      </c>
      <c r="H52" s="451" t="s">
        <v>670</v>
      </c>
      <c r="I52" s="450"/>
      <c r="J52" s="450">
        <f>$J$51*2000/$J$43</f>
        <v>0</v>
      </c>
      <c r="K52" s="450">
        <f>$K$51*2000/$K$43</f>
        <v>1053.8379822138586</v>
      </c>
      <c r="L52" s="450">
        <f>$L$51*2000/$L$43</f>
        <v>576.23548528749131</v>
      </c>
      <c r="M52" s="450">
        <f>$M$51*2000/$M$43</f>
        <v>32.230956464395078</v>
      </c>
    </row>
    <row r="53" spans="1:13" ht="18" thickBot="1" x14ac:dyDescent="0.35">
      <c r="A53" s="455" t="s">
        <v>671</v>
      </c>
      <c r="B53" s="456"/>
      <c r="C53" s="452"/>
      <c r="D53" s="452"/>
      <c r="E53" s="452"/>
      <c r="F53" s="452"/>
      <c r="G53" s="452" t="s">
        <v>668</v>
      </c>
      <c r="H53" s="453" t="s">
        <v>670</v>
      </c>
      <c r="I53" s="452"/>
      <c r="J53" s="548" t="s">
        <v>749</v>
      </c>
      <c r="K53" s="452" t="s">
        <v>668</v>
      </c>
      <c r="L53" s="452">
        <f>$L$52*7.48</f>
        <v>4310.2414299504353</v>
      </c>
      <c r="M53" s="452">
        <f>$M$52*7.48</f>
        <v>241.08755435367519</v>
      </c>
    </row>
    <row r="54" spans="1:13" x14ac:dyDescent="0.3">
      <c r="A54" s="445" t="s">
        <v>819</v>
      </c>
      <c r="B54" s="446"/>
      <c r="C54" s="447"/>
      <c r="D54" s="447"/>
      <c r="E54" s="447"/>
      <c r="F54" s="447"/>
      <c r="G54" s="447"/>
      <c r="H54" s="447"/>
      <c r="I54" s="447"/>
      <c r="J54" s="447"/>
      <c r="K54" s="447"/>
      <c r="L54" s="447"/>
      <c r="M54" s="448"/>
    </row>
    <row r="55" spans="1:13" x14ac:dyDescent="0.3">
      <c r="A55" s="441" t="s">
        <v>667</v>
      </c>
      <c r="B55" s="442"/>
      <c r="C55" s="449"/>
      <c r="D55" s="449"/>
      <c r="E55" s="449"/>
      <c r="F55" s="449"/>
      <c r="G55" s="454">
        <f>B36</f>
        <v>85</v>
      </c>
      <c r="H55" s="449">
        <f>$H$49*$G$55</f>
        <v>12.75</v>
      </c>
      <c r="I55" s="449"/>
      <c r="J55" s="449">
        <f>$J$49*$G$55</f>
        <v>0</v>
      </c>
      <c r="K55" s="449">
        <f>$K$49*$G$55</f>
        <v>31.45</v>
      </c>
      <c r="L55" s="449">
        <f>$L$49*$G$55</f>
        <v>38.25</v>
      </c>
      <c r="M55" s="449">
        <f>$G$55*$M$49</f>
        <v>2.5500000000000025</v>
      </c>
    </row>
    <row r="56" spans="1:13" x14ac:dyDescent="0.3">
      <c r="A56" s="436" t="s">
        <v>669</v>
      </c>
      <c r="B56" s="437"/>
      <c r="C56" s="450"/>
      <c r="D56" s="450"/>
      <c r="E56" s="450"/>
      <c r="F56" s="450"/>
      <c r="G56" s="450">
        <f>SUM(G55*'TDF Makeup'!F3)/'Stage 2 Mass Balance'!G43</f>
        <v>7495.7079999999996</v>
      </c>
      <c r="H56" s="451" t="s">
        <v>670</v>
      </c>
      <c r="I56" s="450"/>
      <c r="J56" s="450">
        <f>$J$55*2000/$J$43</f>
        <v>0</v>
      </c>
      <c r="K56" s="450">
        <f>$K$55*2000/$K$43</f>
        <v>2676.5957446808511</v>
      </c>
      <c r="L56" s="450">
        <f>$L$55*2000/$L$43</f>
        <v>1463.554620241056</v>
      </c>
      <c r="M56" s="450">
        <f>$M$55*2000/$M$43</f>
        <v>81.861958266452731</v>
      </c>
    </row>
    <row r="57" spans="1:13" ht="18" thickBot="1" x14ac:dyDescent="0.35">
      <c r="A57" s="455" t="s">
        <v>671</v>
      </c>
      <c r="B57" s="456"/>
      <c r="C57" s="452"/>
      <c r="D57" s="452"/>
      <c r="E57" s="452"/>
      <c r="F57" s="452"/>
      <c r="G57" s="548" t="s">
        <v>749</v>
      </c>
      <c r="H57" s="453" t="s">
        <v>670</v>
      </c>
      <c r="I57" s="452"/>
      <c r="J57" s="548" t="s">
        <v>749</v>
      </c>
      <c r="K57" s="548" t="s">
        <v>749</v>
      </c>
      <c r="L57" s="452">
        <f>$L$56*7.48</f>
        <v>10947.3885594031</v>
      </c>
      <c r="M57" s="452">
        <f>$M$56*7.48</f>
        <v>612.32744783306646</v>
      </c>
    </row>
    <row r="58" spans="1:13" ht="3.95" customHeight="1" x14ac:dyDescent="0.3"/>
    <row r="60" spans="1:13" x14ac:dyDescent="0.3">
      <c r="G60" s="552" t="s">
        <v>751</v>
      </c>
    </row>
    <row r="61" spans="1:13" ht="30.75" customHeight="1" thickBot="1" x14ac:dyDescent="0.35">
      <c r="A61" s="405" t="s">
        <v>675</v>
      </c>
      <c r="B61" s="405"/>
      <c r="G61" s="553">
        <f>'Data Sources'!C14</f>
        <v>7</v>
      </c>
    </row>
    <row r="62" spans="1:13" x14ac:dyDescent="0.3">
      <c r="A62" s="445" t="s">
        <v>676</v>
      </c>
      <c r="B62" s="446"/>
      <c r="C62" s="447"/>
      <c r="D62" s="447"/>
      <c r="E62" s="447"/>
      <c r="F62" s="447"/>
      <c r="G62" s="447"/>
      <c r="H62" s="447"/>
      <c r="I62" s="447"/>
      <c r="J62" s="447"/>
      <c r="K62" s="447"/>
      <c r="L62" s="447"/>
      <c r="M62" s="448"/>
    </row>
    <row r="63" spans="1:13" x14ac:dyDescent="0.3">
      <c r="A63" s="457" t="s">
        <v>677</v>
      </c>
      <c r="B63" s="458"/>
      <c r="C63" s="450"/>
      <c r="D63" s="450"/>
      <c r="E63" s="450"/>
      <c r="F63" s="450"/>
      <c r="G63" s="450">
        <f>SUM(G61*$G$29)</f>
        <v>3152.0829000865051</v>
      </c>
      <c r="H63" s="451" t="s">
        <v>670</v>
      </c>
      <c r="I63" s="450"/>
      <c r="J63" s="450">
        <f>SUM(G61*$J$29)</f>
        <v>472.81243501297581</v>
      </c>
      <c r="K63" s="450"/>
      <c r="L63" s="450"/>
      <c r="M63" s="450">
        <f>SUM(G61*$M$29)</f>
        <v>315.20829000865047</v>
      </c>
    </row>
    <row r="64" spans="1:13" x14ac:dyDescent="0.3">
      <c r="A64" s="457" t="s">
        <v>678</v>
      </c>
      <c r="B64" s="458"/>
      <c r="C64" s="450"/>
      <c r="D64" s="450"/>
      <c r="E64" s="450"/>
      <c r="F64" s="450"/>
      <c r="G64" s="450">
        <f>SUM(G61*$G$30)</f>
        <v>217160.78134964721</v>
      </c>
      <c r="H64" s="451" t="s">
        <v>670</v>
      </c>
      <c r="I64" s="450"/>
      <c r="J64" s="450">
        <f>SUM(G61*$J$30)</f>
        <v>8837.6156077191717</v>
      </c>
      <c r="K64" s="450"/>
      <c r="L64" s="450"/>
      <c r="M64" s="450">
        <f>SUM(G61*$M$30)</f>
        <v>10119.046228207078</v>
      </c>
    </row>
    <row r="65" spans="1:14" ht="18" thickBot="1" x14ac:dyDescent="0.35">
      <c r="A65" s="457" t="s">
        <v>679</v>
      </c>
      <c r="B65" s="458"/>
      <c r="C65" s="450"/>
      <c r="D65" s="450"/>
      <c r="E65" s="450"/>
      <c r="F65" s="450"/>
      <c r="G65" s="547" t="s">
        <v>749</v>
      </c>
      <c r="H65" s="451" t="s">
        <v>670</v>
      </c>
      <c r="I65" s="450"/>
      <c r="J65" s="547" t="s">
        <v>749</v>
      </c>
      <c r="K65" s="547" t="s">
        <v>749</v>
      </c>
      <c r="L65" s="450"/>
      <c r="M65" s="450">
        <f>SUM(G61*$M$31)</f>
        <v>75690.465786988949</v>
      </c>
    </row>
    <row r="66" spans="1:14" x14ac:dyDescent="0.3">
      <c r="A66" s="445" t="s">
        <v>680</v>
      </c>
      <c r="B66" s="446"/>
      <c r="C66" s="447"/>
      <c r="D66" s="447"/>
      <c r="E66" s="447"/>
      <c r="F66" s="447"/>
      <c r="G66" s="447"/>
      <c r="H66" s="447"/>
      <c r="I66" s="447"/>
      <c r="J66" s="447"/>
      <c r="K66" s="447"/>
      <c r="L66" s="447"/>
      <c r="M66" s="448"/>
    </row>
    <row r="67" spans="1:14" x14ac:dyDescent="0.3">
      <c r="A67" s="457" t="s">
        <v>677</v>
      </c>
      <c r="B67" s="458"/>
      <c r="C67" s="450"/>
      <c r="D67" s="450"/>
      <c r="E67" s="450"/>
      <c r="F67" s="450"/>
      <c r="G67" s="450">
        <f>SUM(G61*$G$55)</f>
        <v>595</v>
      </c>
      <c r="H67" s="451" t="s">
        <v>670</v>
      </c>
      <c r="I67" s="450"/>
      <c r="J67" s="450">
        <f>SUM(G61*$J$55)</f>
        <v>0</v>
      </c>
      <c r="K67" s="450">
        <f>SUM(G61*$K$55)</f>
        <v>220.15</v>
      </c>
      <c r="L67" s="450">
        <f>SUM(G61*$L$55)</f>
        <v>267.75</v>
      </c>
      <c r="M67" s="450">
        <f>SUM(G61*$M$55)</f>
        <v>17.850000000000016</v>
      </c>
    </row>
    <row r="68" spans="1:14" x14ac:dyDescent="0.3">
      <c r="A68" s="457" t="s">
        <v>678</v>
      </c>
      <c r="B68" s="458"/>
      <c r="C68" s="450"/>
      <c r="D68" s="450"/>
      <c r="E68" s="450"/>
      <c r="F68" s="450"/>
      <c r="G68" s="450">
        <f>SUM(G61*$G$56)</f>
        <v>52469.955999999998</v>
      </c>
      <c r="H68" s="451" t="s">
        <v>670</v>
      </c>
      <c r="I68" s="450"/>
      <c r="J68" s="450">
        <f>SUM(G61*$J$56)</f>
        <v>0</v>
      </c>
      <c r="K68" s="450">
        <f>SUM(G61*$K$56)</f>
        <v>18736.170212765959</v>
      </c>
      <c r="L68" s="450">
        <f>SUM(G61*$L$56)</f>
        <v>10244.882341687393</v>
      </c>
      <c r="M68" s="450">
        <f>SUM(G61*$M$56)</f>
        <v>573.03370786516916</v>
      </c>
    </row>
    <row r="69" spans="1:14" ht="18" thickBot="1" x14ac:dyDescent="0.35">
      <c r="A69" s="459" t="s">
        <v>679</v>
      </c>
      <c r="B69" s="460"/>
      <c r="C69" s="461"/>
      <c r="D69" s="461"/>
      <c r="E69" s="461"/>
      <c r="F69" s="461"/>
      <c r="G69" s="554" t="s">
        <v>749</v>
      </c>
      <c r="H69" s="462" t="s">
        <v>670</v>
      </c>
      <c r="I69" s="461"/>
      <c r="J69" s="547" t="s">
        <v>749</v>
      </c>
      <c r="K69" s="547" t="s">
        <v>749</v>
      </c>
      <c r="L69" s="461">
        <f>SUM(G61*$L$57)</f>
        <v>76631.719915821697</v>
      </c>
      <c r="M69" s="461">
        <f>SUM(G61*$M$57)</f>
        <v>4286.2921348314649</v>
      </c>
    </row>
    <row r="70" spans="1:14" x14ac:dyDescent="0.3">
      <c r="A70" s="445" t="s">
        <v>681</v>
      </c>
      <c r="B70" s="446"/>
      <c r="C70" s="447"/>
      <c r="D70" s="447"/>
      <c r="E70" s="447"/>
      <c r="F70" s="447"/>
      <c r="G70" s="447"/>
      <c r="H70" s="447"/>
      <c r="I70" s="447"/>
      <c r="J70" s="447"/>
      <c r="K70" s="447"/>
      <c r="L70" s="447"/>
      <c r="M70" s="448"/>
    </row>
    <row r="71" spans="1:14" x14ac:dyDescent="0.3">
      <c r="A71" s="457" t="s">
        <v>677</v>
      </c>
      <c r="B71" s="458"/>
      <c r="C71" s="450"/>
      <c r="D71" s="450"/>
      <c r="E71" s="450"/>
      <c r="F71" s="450"/>
      <c r="G71" s="450">
        <f>G63+G67</f>
        <v>3747.0829000865051</v>
      </c>
      <c r="H71" s="451" t="s">
        <v>670</v>
      </c>
      <c r="I71" s="450"/>
      <c r="J71" s="450">
        <f t="shared" ref="J71:M72" si="2">J63+J67</f>
        <v>472.81243501297581</v>
      </c>
      <c r="K71" s="450">
        <f t="shared" si="2"/>
        <v>220.15</v>
      </c>
      <c r="L71" s="450">
        <f t="shared" si="2"/>
        <v>267.75</v>
      </c>
      <c r="M71" s="450">
        <f t="shared" si="2"/>
        <v>333.05829000865049</v>
      </c>
    </row>
    <row r="72" spans="1:14" x14ac:dyDescent="0.3">
      <c r="A72" s="457" t="s">
        <v>678</v>
      </c>
      <c r="B72" s="458"/>
      <c r="C72" s="450"/>
      <c r="D72" s="450"/>
      <c r="E72" s="450"/>
      <c r="F72" s="450"/>
      <c r="G72" s="450">
        <f>G64+G68</f>
        <v>269630.73734964721</v>
      </c>
      <c r="H72" s="451" t="s">
        <v>670</v>
      </c>
      <c r="I72" s="450"/>
      <c r="J72" s="450">
        <f t="shared" si="2"/>
        <v>8837.6156077191717</v>
      </c>
      <c r="K72" s="450">
        <f t="shared" si="2"/>
        <v>18736.170212765959</v>
      </c>
      <c r="L72" s="450">
        <f t="shared" si="2"/>
        <v>10244.882341687393</v>
      </c>
      <c r="M72" s="450">
        <f t="shared" si="2"/>
        <v>10692.079936072249</v>
      </c>
    </row>
    <row r="73" spans="1:14" x14ac:dyDescent="0.3">
      <c r="A73" s="459" t="s">
        <v>679</v>
      </c>
      <c r="B73" s="460"/>
      <c r="C73" s="461"/>
      <c r="D73" s="461"/>
      <c r="E73" s="461"/>
      <c r="F73" s="461"/>
      <c r="G73" s="554" t="s">
        <v>749</v>
      </c>
      <c r="H73" s="462" t="s">
        <v>670</v>
      </c>
      <c r="I73" s="461"/>
      <c r="J73" s="547" t="s">
        <v>749</v>
      </c>
      <c r="K73" s="547" t="s">
        <v>749</v>
      </c>
      <c r="L73" s="461">
        <f>L65+L69</f>
        <v>76631.719915821697</v>
      </c>
      <c r="M73" s="461">
        <f>M65+M69</f>
        <v>79976.757921820419</v>
      </c>
    </row>
    <row r="74" spans="1:14" x14ac:dyDescent="0.3">
      <c r="G74" s="463"/>
      <c r="J74" s="464"/>
      <c r="K74" s="464"/>
      <c r="L74" s="463"/>
      <c r="M74" s="463"/>
    </row>
    <row r="75" spans="1:14" x14ac:dyDescent="0.3">
      <c r="G75" s="465"/>
      <c r="J75" s="466"/>
      <c r="K75" s="466"/>
      <c r="L75" s="465"/>
      <c r="M75" s="467">
        <f>ROUND(M73,-3)</f>
        <v>80000</v>
      </c>
      <c r="N75" s="468" t="s">
        <v>682</v>
      </c>
    </row>
    <row r="76" spans="1:14" x14ac:dyDescent="0.3">
      <c r="G76" s="465"/>
      <c r="J76" s="466"/>
      <c r="K76" s="466"/>
      <c r="L76" s="465"/>
      <c r="M76" s="890" t="s">
        <v>683</v>
      </c>
      <c r="N76" s="891"/>
    </row>
    <row r="77" spans="1:14" x14ac:dyDescent="0.3">
      <c r="G77" s="465"/>
      <c r="J77" s="466"/>
      <c r="K77" s="466"/>
      <c r="L77" s="469">
        <f>ROUND(L73/50,0)</f>
        <v>1533</v>
      </c>
      <c r="M77" s="470" t="s">
        <v>684</v>
      </c>
      <c r="N77" s="468"/>
    </row>
    <row r="78" spans="1:14" x14ac:dyDescent="0.3">
      <c r="G78" s="465"/>
      <c r="J78" s="466"/>
      <c r="K78" s="466"/>
      <c r="L78" s="890" t="s">
        <v>685</v>
      </c>
      <c r="M78" s="892"/>
      <c r="N78" s="891"/>
    </row>
    <row r="79" spans="1:14" x14ac:dyDescent="0.3">
      <c r="G79" s="465"/>
      <c r="J79" s="466"/>
      <c r="K79" s="471">
        <f>K72/4</f>
        <v>4684.0425531914898</v>
      </c>
      <c r="L79" s="472" t="s">
        <v>686</v>
      </c>
      <c r="M79" s="472"/>
      <c r="N79" s="473"/>
    </row>
    <row r="80" spans="1:14" x14ac:dyDescent="0.3">
      <c r="G80" s="465"/>
      <c r="J80" s="471">
        <f>J72/4</f>
        <v>2209.4039019297929</v>
      </c>
      <c r="K80" s="474" t="s">
        <v>687</v>
      </c>
      <c r="L80" s="474"/>
      <c r="M80" s="474"/>
      <c r="N80" s="475"/>
    </row>
    <row r="81" spans="7:14" x14ac:dyDescent="0.3">
      <c r="G81" s="465"/>
    </row>
    <row r="82" spans="7:14" x14ac:dyDescent="0.3">
      <c r="G82" s="471">
        <f>G64/8</f>
        <v>27145.097668705901</v>
      </c>
      <c r="H82" s="474" t="s">
        <v>688</v>
      </c>
      <c r="I82" s="474"/>
      <c r="J82" s="474"/>
      <c r="K82" s="474"/>
      <c r="L82" s="474"/>
      <c r="M82" s="474"/>
      <c r="N82" s="475"/>
    </row>
    <row r="83" spans="7:14" x14ac:dyDescent="0.3">
      <c r="G83" s="471">
        <f>G68/8</f>
        <v>6558.7444999999998</v>
      </c>
      <c r="H83" s="474" t="s">
        <v>689</v>
      </c>
      <c r="I83" s="474"/>
      <c r="J83" s="474"/>
      <c r="K83" s="474"/>
      <c r="L83" s="474"/>
      <c r="M83" s="474"/>
      <c r="N83" s="475"/>
    </row>
  </sheetData>
  <mergeCells count="5">
    <mergeCell ref="K8:M8"/>
    <mergeCell ref="M76:N76"/>
    <mergeCell ref="L78:N78"/>
    <mergeCell ref="A3:G3"/>
    <mergeCell ref="G4:L5"/>
  </mergeCells>
  <conditionalFormatting sqref="G9">
    <cfRule type="cellIs" dxfId="3" priority="3" operator="equal">
      <formula>"over capacity"</formula>
    </cfRule>
  </conditionalFormatting>
  <conditionalFormatting sqref="G35">
    <cfRule type="cellIs" dxfId="2" priority="1" operator="equal">
      <formula>"over capacity"</formula>
    </cfRule>
  </conditionalFormatting>
  <pageMargins left="0.7" right="0.7" top="0.75" bottom="0.75" header="0.3" footer="0.3"/>
  <pageSetup orientation="portrait" r:id="rId1"/>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A75F2-E6E3-482B-9D73-C635CE664CF8}">
  <sheetPr>
    <tabColor theme="0" tint="-0.249977111117893"/>
  </sheetPr>
  <dimension ref="A1:K45"/>
  <sheetViews>
    <sheetView topLeftCell="A16" workbookViewId="0">
      <selection activeCell="B21" sqref="B21"/>
    </sheetView>
  </sheetViews>
  <sheetFormatPr defaultColWidth="9.140625" defaultRowHeight="15" x14ac:dyDescent="0.25"/>
  <cols>
    <col min="1" max="1" width="37.140625" style="143" customWidth="1"/>
    <col min="2" max="2" width="14.7109375" style="143" customWidth="1"/>
    <col min="3" max="3" width="36.5703125" style="143" customWidth="1"/>
    <col min="4" max="4" width="30" style="143" customWidth="1"/>
    <col min="5" max="5" width="18.42578125" style="143" customWidth="1"/>
    <col min="6" max="6" width="20" style="143" customWidth="1"/>
    <col min="7" max="16384" width="9.140625" style="143"/>
  </cols>
  <sheetData>
    <row r="1" spans="1:4" x14ac:dyDescent="0.25">
      <c r="C1" s="558" t="s">
        <v>759</v>
      </c>
    </row>
    <row r="2" spans="1:4" x14ac:dyDescent="0.25">
      <c r="A2" s="491" t="s">
        <v>760</v>
      </c>
      <c r="B2" s="491">
        <f>'Power Production'!E31</f>
        <v>8.6666666666666661</v>
      </c>
      <c r="C2" s="491"/>
    </row>
    <row r="3" spans="1:4" x14ac:dyDescent="0.25">
      <c r="A3" s="491" t="s">
        <v>761</v>
      </c>
      <c r="B3" s="564">
        <v>35</v>
      </c>
      <c r="C3" s="491" t="s">
        <v>789</v>
      </c>
    </row>
    <row r="4" spans="1:4" ht="30" x14ac:dyDescent="0.25">
      <c r="A4" s="491" t="s">
        <v>826</v>
      </c>
      <c r="B4" s="565">
        <v>0.7</v>
      </c>
      <c r="C4" s="491" t="s">
        <v>762</v>
      </c>
    </row>
    <row r="5" spans="1:4" ht="30" x14ac:dyDescent="0.25">
      <c r="A5" s="491" t="s">
        <v>763</v>
      </c>
      <c r="B5" s="565">
        <v>0.45</v>
      </c>
      <c r="C5" s="491" t="s">
        <v>764</v>
      </c>
    </row>
    <row r="6" spans="1:4" ht="30" x14ac:dyDescent="0.25">
      <c r="A6" s="491" t="s">
        <v>765</v>
      </c>
      <c r="B6" s="565">
        <v>0.2</v>
      </c>
      <c r="C6" s="491" t="s">
        <v>764</v>
      </c>
    </row>
    <row r="7" spans="1:4" ht="90" x14ac:dyDescent="0.25">
      <c r="A7" s="218" t="s">
        <v>766</v>
      </c>
      <c r="B7" s="566">
        <v>0</v>
      </c>
      <c r="C7" s="491" t="s">
        <v>767</v>
      </c>
      <c r="D7" s="143" t="s">
        <v>266</v>
      </c>
    </row>
    <row r="8" spans="1:4" x14ac:dyDescent="0.25">
      <c r="A8" s="491" t="s">
        <v>837</v>
      </c>
      <c r="B8" s="563">
        <f>'Stage 1 Mass Balance'!N20</f>
        <v>450.29755715521503</v>
      </c>
      <c r="C8" s="491"/>
    </row>
    <row r="9" spans="1:4" x14ac:dyDescent="0.25">
      <c r="A9" s="492" t="s">
        <v>769</v>
      </c>
      <c r="B9" s="492">
        <f>'TDF Makeup'!C15</f>
        <v>85</v>
      </c>
      <c r="C9" s="491"/>
    </row>
    <row r="10" spans="1:4" x14ac:dyDescent="0.25">
      <c r="A10" s="491" t="s">
        <v>770</v>
      </c>
      <c r="B10" s="559">
        <f>'RDF Makeup'!D35</f>
        <v>1.0000000467215897</v>
      </c>
      <c r="C10" s="491"/>
    </row>
    <row r="11" spans="1:4" x14ac:dyDescent="0.25">
      <c r="A11" s="491" t="s">
        <v>771</v>
      </c>
      <c r="B11" s="567">
        <v>3.3000000000000002E-2</v>
      </c>
      <c r="C11" s="491" t="s">
        <v>838</v>
      </c>
    </row>
    <row r="12" spans="1:4" x14ac:dyDescent="0.25">
      <c r="A12" s="491" t="s">
        <v>768</v>
      </c>
      <c r="B12" s="647">
        <f>'Data Sources'!C19</f>
        <v>44</v>
      </c>
      <c r="C12" s="491" t="s">
        <v>839</v>
      </c>
    </row>
    <row r="13" spans="1:4" ht="30" x14ac:dyDescent="0.25">
      <c r="A13" s="491" t="s">
        <v>840</v>
      </c>
      <c r="B13" s="567">
        <v>14</v>
      </c>
      <c r="C13" s="491" t="s">
        <v>841</v>
      </c>
    </row>
    <row r="14" spans="1:4" x14ac:dyDescent="0.25">
      <c r="A14" s="491" t="s">
        <v>842</v>
      </c>
      <c r="B14" s="567">
        <v>3</v>
      </c>
      <c r="C14" s="491"/>
    </row>
    <row r="15" spans="1:4" x14ac:dyDescent="0.25">
      <c r="A15" s="491" t="s">
        <v>843</v>
      </c>
      <c r="B15" s="567">
        <v>9.8000000000000007</v>
      </c>
      <c r="C15" s="491" t="s">
        <v>844</v>
      </c>
    </row>
    <row r="16" spans="1:4" ht="15.75" customHeight="1" x14ac:dyDescent="0.25"/>
    <row r="18" spans="1:11" ht="15.75" x14ac:dyDescent="0.25">
      <c r="A18" s="896" t="s">
        <v>772</v>
      </c>
      <c r="B18" s="897"/>
      <c r="C18" s="897"/>
    </row>
    <row r="19" spans="1:11" ht="15.75" x14ac:dyDescent="0.25">
      <c r="A19" s="574"/>
      <c r="B19" s="575"/>
      <c r="C19" s="576"/>
    </row>
    <row r="20" spans="1:11" ht="30" x14ac:dyDescent="0.25">
      <c r="A20" s="491" t="s">
        <v>821</v>
      </c>
      <c r="B20" s="568">
        <f>((18.3 * 'Data Sources'!C5)*B4)</f>
        <v>28241.182199999999</v>
      </c>
      <c r="C20" s="569">
        <f>('Data Sources'!C5*B5)*20.88</f>
        <v>20714.609519999998</v>
      </c>
    </row>
    <row r="21" spans="1:11" ht="30" x14ac:dyDescent="0.25">
      <c r="A21" s="491" t="s">
        <v>822</v>
      </c>
      <c r="B21" s="568">
        <f>(575.57+520.23)/2</f>
        <v>547.90000000000009</v>
      </c>
      <c r="C21" s="569">
        <f>(844.17+756.48)/2</f>
        <v>800.32500000000005</v>
      </c>
    </row>
    <row r="22" spans="1:11" x14ac:dyDescent="0.25">
      <c r="A22" s="218" t="s">
        <v>773</v>
      </c>
      <c r="B22" s="585">
        <v>9630</v>
      </c>
      <c r="C22" s="571" t="s">
        <v>823</v>
      </c>
      <c r="E22" s="560">
        <f>B29*330</f>
        <v>5106203430.0354004</v>
      </c>
    </row>
    <row r="23" spans="1:11" x14ac:dyDescent="0.25">
      <c r="A23" s="218" t="s">
        <v>774</v>
      </c>
      <c r="B23" s="572">
        <f>(C21*C20)-B7</f>
        <v>16578419.864094</v>
      </c>
      <c r="C23" s="571"/>
      <c r="E23" s="560">
        <f>E22/1000000</f>
        <v>5106.2034300354007</v>
      </c>
      <c r="F23" s="560">
        <f>E22/24</f>
        <v>212758476.25147501</v>
      </c>
    </row>
    <row r="24" spans="1:11" x14ac:dyDescent="0.25">
      <c r="A24" s="218" t="s">
        <v>775</v>
      </c>
      <c r="B24" s="570">
        <f>(B23/B22)/1000</f>
        <v>1.7215389266971963</v>
      </c>
      <c r="C24" s="571"/>
      <c r="E24" s="560">
        <f>E23*0.9</f>
        <v>4595.5830870318605</v>
      </c>
      <c r="F24" s="560">
        <f>F23+31634166.67</f>
        <v>244392642.92147499</v>
      </c>
    </row>
    <row r="25" spans="1:11" x14ac:dyDescent="0.25">
      <c r="A25" s="218" t="s">
        <v>824</v>
      </c>
      <c r="B25" s="573">
        <f>(B11*(B3/1000))</f>
        <v>1.1550000000000002E-3</v>
      </c>
      <c r="C25" s="571"/>
      <c r="F25" s="560">
        <f>F24*0.9</f>
        <v>219953378.62932751</v>
      </c>
    </row>
    <row r="26" spans="1:11" x14ac:dyDescent="0.25">
      <c r="A26" s="218" t="s">
        <v>776</v>
      </c>
      <c r="B26" s="570">
        <f>B24-(B24*B25)</f>
        <v>1.719550549236861</v>
      </c>
      <c r="C26" s="570"/>
      <c r="F26" s="560">
        <f>F25/1000000</f>
        <v>219.95337862932752</v>
      </c>
    </row>
    <row r="27" spans="1:11" x14ac:dyDescent="0.25">
      <c r="A27" s="218" t="s">
        <v>777</v>
      </c>
      <c r="B27" s="570">
        <f>(B26*B9)/24</f>
        <v>6.0900748618805496</v>
      </c>
      <c r="C27" s="570"/>
      <c r="F27" s="560">
        <f>F26*24</f>
        <v>5278.8810871038604</v>
      </c>
      <c r="G27" s="560"/>
    </row>
    <row r="28" spans="1:11" x14ac:dyDescent="0.25">
      <c r="A28" s="218" t="s">
        <v>778</v>
      </c>
      <c r="B28" s="570">
        <f>(B8+B2)-B27</f>
        <v>452.87414896000115</v>
      </c>
      <c r="C28" s="570"/>
    </row>
    <row r="29" spans="1:11" ht="32.25" customHeight="1" x14ac:dyDescent="0.25">
      <c r="A29" s="218" t="s">
        <v>779</v>
      </c>
      <c r="B29" s="570">
        <f>(B21*B20)-B7</f>
        <v>15473343.727380002</v>
      </c>
      <c r="C29" s="571"/>
      <c r="D29" s="649" t="s">
        <v>780</v>
      </c>
      <c r="E29" s="648">
        <f>B36-B12</f>
        <v>2.0024044671326351</v>
      </c>
      <c r="F29" s="898" t="s">
        <v>854</v>
      </c>
      <c r="G29" s="864"/>
      <c r="H29" s="864"/>
      <c r="I29" s="864"/>
      <c r="J29" s="864"/>
      <c r="K29" s="864"/>
    </row>
    <row r="30" spans="1:11" ht="15.75" x14ac:dyDescent="0.25">
      <c r="A30" s="218" t="s">
        <v>781</v>
      </c>
      <c r="B30" s="570">
        <f>(B29/B22)/1000</f>
        <v>1.6067854337881622</v>
      </c>
      <c r="C30" s="571"/>
      <c r="D30" s="580" t="s">
        <v>825</v>
      </c>
      <c r="E30" s="562">
        <f>E29*B32</f>
        <v>3.2137183438395436</v>
      </c>
    </row>
    <row r="31" spans="1:11" ht="30" x14ac:dyDescent="0.25">
      <c r="A31" s="218" t="s">
        <v>845</v>
      </c>
      <c r="B31" s="570">
        <f>B30*B10</f>
        <v>1.606785508859732</v>
      </c>
      <c r="C31" s="571"/>
      <c r="D31" s="578" t="s">
        <v>783</v>
      </c>
      <c r="E31" s="561">
        <f>(E30*B22)*1000</f>
        <v>30948107.651174802</v>
      </c>
      <c r="F31" s="560"/>
    </row>
    <row r="32" spans="1:11" ht="15.75" x14ac:dyDescent="0.25">
      <c r="A32" s="218" t="s">
        <v>782</v>
      </c>
      <c r="B32" s="570">
        <f>B31-(B31*B25)</f>
        <v>1.604929671596999</v>
      </c>
      <c r="C32" s="571"/>
      <c r="D32" s="580" t="s">
        <v>846</v>
      </c>
      <c r="E32" s="561">
        <f>E31/1000000</f>
        <v>30.948107651174801</v>
      </c>
    </row>
    <row r="33" spans="1:6" x14ac:dyDescent="0.25">
      <c r="A33" s="218" t="s">
        <v>847</v>
      </c>
      <c r="B33" s="570">
        <f>(B32*B8)/24</f>
        <v>30.112329605252089</v>
      </c>
      <c r="D33" s="579" t="s">
        <v>848</v>
      </c>
      <c r="E33" s="562">
        <f>(E29/B32)*24</f>
        <v>29.943808792171566</v>
      </c>
    </row>
    <row r="34" spans="1:6" x14ac:dyDescent="0.25">
      <c r="A34" s="639" t="s">
        <v>858</v>
      </c>
      <c r="B34" s="640">
        <f>B33+B27</f>
        <v>36.202404467132638</v>
      </c>
      <c r="D34" s="641" t="s">
        <v>849</v>
      </c>
      <c r="E34" s="561">
        <f>B34/B13</f>
        <v>2.5858860333666169</v>
      </c>
    </row>
    <row r="35" spans="1:6" x14ac:dyDescent="0.25">
      <c r="A35" s="642" t="s">
        <v>856</v>
      </c>
      <c r="B35" s="643">
        <f>B15</f>
        <v>9.8000000000000007</v>
      </c>
      <c r="D35" s="579" t="s">
        <v>850</v>
      </c>
      <c r="E35" s="644" t="str">
        <f>IF(E34&lt;B14,"Yes","No")</f>
        <v>Yes</v>
      </c>
    </row>
    <row r="36" spans="1:6" x14ac:dyDescent="0.25">
      <c r="A36" s="650" t="s">
        <v>857</v>
      </c>
      <c r="B36" s="651">
        <f>SUM(B34:B35)</f>
        <v>46.002404467132635</v>
      </c>
      <c r="D36" s="218"/>
      <c r="E36" s="581"/>
    </row>
    <row r="38" spans="1:6" x14ac:dyDescent="0.25">
      <c r="A38" s="584" t="s">
        <v>784</v>
      </c>
      <c r="B38" s="584"/>
      <c r="C38" s="584" t="s">
        <v>785</v>
      </c>
    </row>
    <row r="39" spans="1:6" x14ac:dyDescent="0.25">
      <c r="A39" s="491" t="s">
        <v>786</v>
      </c>
      <c r="B39" s="582">
        <f>B9*C20</f>
        <v>1760741.8091999998</v>
      </c>
      <c r="C39" s="559">
        <f>B39/B41</f>
        <v>0.15879018849203039</v>
      </c>
    </row>
    <row r="40" spans="1:6" x14ac:dyDescent="0.25">
      <c r="A40" s="491" t="s">
        <v>787</v>
      </c>
      <c r="B40" s="582">
        <f>B8*C20</f>
        <v>9327738.0642801598</v>
      </c>
      <c r="C40" s="559">
        <f>B40/B41</f>
        <v>0.84120981150796958</v>
      </c>
    </row>
    <row r="41" spans="1:6" x14ac:dyDescent="0.25">
      <c r="A41" s="491" t="s">
        <v>625</v>
      </c>
      <c r="B41" s="582">
        <f>B40+B39</f>
        <v>11088479.87348016</v>
      </c>
      <c r="C41" s="491"/>
    </row>
    <row r="42" spans="1:6" x14ac:dyDescent="0.25">
      <c r="A42" s="491" t="s">
        <v>788</v>
      </c>
      <c r="B42" s="582">
        <f>((B40*B21)+(B39*C21))/B41</f>
        <v>587.98261333010089</v>
      </c>
      <c r="C42" s="491"/>
      <c r="E42" s="143">
        <f>B40*0.9</f>
        <v>8394964.2578521445</v>
      </c>
      <c r="F42" s="560">
        <f>SUM(E42 * 'Stage 3 Gas Opt'!F2)</f>
        <v>4599600916.8771906</v>
      </c>
    </row>
    <row r="43" spans="1:6" x14ac:dyDescent="0.25">
      <c r="A43" s="583" t="s">
        <v>851</v>
      </c>
      <c r="B43" s="143">
        <f>(B42*B41)/1000000</f>
        <v>6519.8333738670908</v>
      </c>
      <c r="F43" s="560">
        <f>F42/24</f>
        <v>191650038.20321628</v>
      </c>
    </row>
    <row r="44" spans="1:6" x14ac:dyDescent="0.25">
      <c r="E44" s="560">
        <f>F43+31634166.67</f>
        <v>223284204.87321627</v>
      </c>
    </row>
    <row r="45" spans="1:6" x14ac:dyDescent="0.25">
      <c r="E45" s="560">
        <f>E44*0.9</f>
        <v>200955784.38589466</v>
      </c>
    </row>
  </sheetData>
  <mergeCells count="2">
    <mergeCell ref="A18:C18"/>
    <mergeCell ref="F29:K29"/>
  </mergeCells>
  <conditionalFormatting sqref="E35">
    <cfRule type="containsText" dxfId="1" priority="1" operator="containsText" text="yes">
      <formula>NOT(ISERROR(SEARCH("yes",E35)))</formula>
    </cfRule>
    <cfRule type="containsText" dxfId="0" priority="2" operator="containsText" text="No">
      <formula>NOT(ISERROR(SEARCH("No",E35)))</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015FB-6017-4576-A665-79AEC0B126E5}">
  <sheetPr>
    <tabColor theme="0" tint="-0.249977111117893"/>
  </sheetPr>
  <dimension ref="A1:N17"/>
  <sheetViews>
    <sheetView workbookViewId="0">
      <selection activeCell="B2" sqref="B2"/>
    </sheetView>
  </sheetViews>
  <sheetFormatPr defaultColWidth="9.140625" defaultRowHeight="15" x14ac:dyDescent="0.25"/>
  <cols>
    <col min="1" max="1" width="45.85546875" style="323" customWidth="1"/>
    <col min="2" max="2" width="13" style="323" customWidth="1"/>
    <col min="3" max="4" width="9.140625" style="323"/>
    <col min="5" max="5" width="38.140625" style="323" customWidth="1"/>
    <col min="6" max="6" width="16.28515625" style="323" customWidth="1"/>
    <col min="7" max="7" width="36.7109375" style="323" customWidth="1"/>
    <col min="8" max="8" width="9.140625" style="323"/>
    <col min="9" max="9" width="32.85546875" style="323" customWidth="1"/>
    <col min="10" max="10" width="17.5703125" style="323" customWidth="1"/>
    <col min="11" max="11" width="26.140625" style="323" customWidth="1"/>
    <col min="12" max="16384" width="9.140625" style="323"/>
  </cols>
  <sheetData>
    <row r="1" spans="1:14" ht="15.75" x14ac:dyDescent="0.25">
      <c r="A1" s="586" t="s">
        <v>791</v>
      </c>
      <c r="B1" s="589">
        <f>'Stage 1 Mass Balance'!N20</f>
        <v>450.29755715521503</v>
      </c>
      <c r="C1" s="586"/>
      <c r="D1" s="586"/>
      <c r="E1" s="586" t="s">
        <v>718</v>
      </c>
      <c r="F1" s="586">
        <f>'Stage 1 Mass Balance'!K22</f>
        <v>0.17647058823529413</v>
      </c>
      <c r="G1" s="586" t="s">
        <v>719</v>
      </c>
      <c r="H1" s="594">
        <f>'Data Sources'!C16</f>
        <v>0.1</v>
      </c>
      <c r="M1" s="586"/>
      <c r="N1" s="586"/>
    </row>
    <row r="2" spans="1:14" ht="15.75" x14ac:dyDescent="0.25">
      <c r="A2" s="586" t="s">
        <v>720</v>
      </c>
      <c r="B2" s="590">
        <f>SUM(B1 * 'Stage 3 Power Opt'!B29/1000000)</f>
        <v>6967.6088814621844</v>
      </c>
      <c r="C2" s="586"/>
      <c r="D2" s="586"/>
      <c r="E2" s="586" t="s">
        <v>721</v>
      </c>
      <c r="F2" s="589">
        <f>'Stage 3 Power Opt'!B21</f>
        <v>547.90000000000009</v>
      </c>
      <c r="G2" s="586" t="s">
        <v>722</v>
      </c>
      <c r="H2" s="595">
        <f>'Data Sources'!C17</f>
        <v>5</v>
      </c>
      <c r="M2" s="586"/>
      <c r="N2" s="586"/>
    </row>
    <row r="3" spans="1:14" ht="15.75" x14ac:dyDescent="0.25">
      <c r="A3" s="587" t="s">
        <v>792</v>
      </c>
      <c r="B3" s="588">
        <f>'TDF Makeup'!C15</f>
        <v>85</v>
      </c>
      <c r="C3" s="586"/>
      <c r="D3" s="586"/>
      <c r="E3" s="586" t="s">
        <v>723</v>
      </c>
      <c r="F3" s="589">
        <f>'Stage 3 Power Opt'!B27</f>
        <v>6.0900748618805496</v>
      </c>
      <c r="G3" s="586"/>
      <c r="H3" s="586"/>
      <c r="M3" s="586"/>
      <c r="N3" s="586"/>
    </row>
    <row r="4" spans="1:14" ht="15.75" x14ac:dyDescent="0.25">
      <c r="A4" s="586" t="s">
        <v>793</v>
      </c>
      <c r="B4" s="589">
        <f>SUM(B3 * 'Stage 3 Power Opt'!B23/1000000)</f>
        <v>1409.1656884479899</v>
      </c>
      <c r="C4" s="586"/>
      <c r="D4" s="586"/>
      <c r="E4" s="899" t="s">
        <v>827</v>
      </c>
      <c r="F4" s="900"/>
      <c r="G4" s="900"/>
      <c r="H4" s="901"/>
      <c r="I4" s="586"/>
      <c r="J4" s="586"/>
      <c r="K4" s="586"/>
      <c r="L4" s="586"/>
      <c r="M4" s="586"/>
      <c r="N4" s="586"/>
    </row>
    <row r="5" spans="1:14" ht="15.75" x14ac:dyDescent="0.25">
      <c r="A5" s="586" t="s">
        <v>794</v>
      </c>
      <c r="B5" s="589">
        <f>SUM(B2+B4)</f>
        <v>8376.7745699101743</v>
      </c>
      <c r="C5" s="586"/>
      <c r="D5" s="586"/>
      <c r="E5" s="586"/>
      <c r="F5" s="586"/>
      <c r="G5" s="586"/>
      <c r="H5" s="586"/>
      <c r="I5" s="586"/>
      <c r="J5" s="586"/>
      <c r="K5" s="586"/>
      <c r="L5" s="586"/>
      <c r="M5" s="586"/>
      <c r="N5" s="586"/>
    </row>
    <row r="6" spans="1:14" ht="15.75" x14ac:dyDescent="0.25">
      <c r="A6" s="586" t="s">
        <v>795</v>
      </c>
      <c r="B6" s="589">
        <f>SUM(B5*H1)</f>
        <v>837.67745699101749</v>
      </c>
      <c r="C6" s="586"/>
      <c r="D6" s="586"/>
      <c r="E6" s="586"/>
      <c r="F6" s="586"/>
      <c r="G6" s="586"/>
      <c r="H6" s="586"/>
      <c r="M6" s="586"/>
      <c r="N6" s="586"/>
    </row>
    <row r="7" spans="1:14" ht="15.75" x14ac:dyDescent="0.25">
      <c r="A7" s="586" t="s">
        <v>797</v>
      </c>
      <c r="B7" s="589">
        <f>SUM(B5-B6)</f>
        <v>7539.0971129191566</v>
      </c>
      <c r="C7" s="586"/>
      <c r="D7" s="902" t="s">
        <v>796</v>
      </c>
      <c r="E7" s="903"/>
      <c r="F7" s="903"/>
      <c r="G7" s="903"/>
      <c r="H7" s="904"/>
      <c r="I7" s="586"/>
      <c r="J7" s="586"/>
      <c r="K7" s="586"/>
      <c r="L7" s="586"/>
      <c r="M7" s="586"/>
      <c r="N7" s="586"/>
    </row>
    <row r="8" spans="1:14" ht="15.75" x14ac:dyDescent="0.25">
      <c r="A8" s="586" t="s">
        <v>725</v>
      </c>
      <c r="B8" s="596">
        <f>SUM(B5*H2)</f>
        <v>41883.872849550869</v>
      </c>
      <c r="C8" s="586"/>
      <c r="D8" s="586"/>
      <c r="E8" s="586"/>
      <c r="F8" s="586"/>
      <c r="G8" s="586"/>
      <c r="H8" s="586"/>
      <c r="I8" s="586"/>
      <c r="J8" s="586"/>
      <c r="K8" s="586"/>
      <c r="L8" s="586"/>
      <c r="M8" s="586"/>
      <c r="N8" s="586"/>
    </row>
    <row r="9" spans="1:14" ht="15.75" x14ac:dyDescent="0.25">
      <c r="A9" s="586"/>
      <c r="B9" s="586"/>
      <c r="C9" s="586"/>
      <c r="D9" s="586"/>
      <c r="E9" s="586"/>
      <c r="F9" s="586"/>
      <c r="G9" s="586"/>
      <c r="H9" s="586"/>
      <c r="I9" s="586"/>
      <c r="J9" s="586"/>
      <c r="K9" s="586"/>
      <c r="L9" s="586"/>
      <c r="M9" s="586"/>
      <c r="N9" s="586"/>
    </row>
    <row r="10" spans="1:14" ht="15.75" x14ac:dyDescent="0.25">
      <c r="A10" s="586"/>
      <c r="B10" s="586"/>
      <c r="C10" s="586"/>
      <c r="D10" s="586"/>
      <c r="E10" s="586"/>
      <c r="F10" s="586"/>
      <c r="G10" s="586"/>
      <c r="H10" s="586"/>
      <c r="I10" s="586"/>
      <c r="J10" s="586"/>
      <c r="K10" s="586"/>
      <c r="L10" s="586"/>
      <c r="M10" s="586"/>
      <c r="N10" s="586"/>
    </row>
    <row r="11" spans="1:14" ht="15.75" x14ac:dyDescent="0.25">
      <c r="A11" s="586"/>
      <c r="B11" s="586"/>
      <c r="C11" s="586"/>
      <c r="D11" s="586"/>
      <c r="E11" s="586"/>
      <c r="F11" s="586"/>
      <c r="G11" s="586"/>
      <c r="H11" s="586"/>
      <c r="I11" s="586"/>
      <c r="J11" s="586"/>
      <c r="K11" s="586"/>
      <c r="L11" s="586"/>
      <c r="M11" s="586"/>
      <c r="N11" s="586"/>
    </row>
    <row r="12" spans="1:14" ht="15.75" x14ac:dyDescent="0.25">
      <c r="A12" s="586"/>
      <c r="B12" s="586"/>
      <c r="C12" s="586"/>
      <c r="D12" s="586"/>
      <c r="E12" s="586"/>
      <c r="F12" s="586"/>
      <c r="G12" s="586"/>
      <c r="H12" s="586"/>
      <c r="I12" s="586"/>
      <c r="J12" s="586"/>
      <c r="K12" s="586"/>
      <c r="L12" s="586"/>
      <c r="M12" s="586"/>
      <c r="N12" s="586"/>
    </row>
    <row r="13" spans="1:14" ht="15.75" x14ac:dyDescent="0.25">
      <c r="A13" s="586"/>
      <c r="B13" s="586"/>
      <c r="C13" s="586"/>
      <c r="D13" s="586"/>
      <c r="E13" s="586"/>
      <c r="F13" s="586"/>
      <c r="G13" s="586"/>
      <c r="H13" s="586"/>
      <c r="I13" s="586"/>
      <c r="J13" s="586"/>
      <c r="K13" s="586"/>
      <c r="L13" s="586"/>
      <c r="M13" s="586"/>
      <c r="N13" s="586"/>
    </row>
    <row r="14" spans="1:14" ht="15.75" x14ac:dyDescent="0.25">
      <c r="A14" s="586"/>
      <c r="B14" s="586"/>
      <c r="C14" s="586"/>
      <c r="D14" s="586"/>
      <c r="E14" s="586"/>
      <c r="F14" s="586"/>
      <c r="G14" s="586"/>
      <c r="H14" s="586"/>
      <c r="I14" s="586"/>
      <c r="J14" s="586"/>
      <c r="K14" s="586"/>
      <c r="L14" s="586"/>
      <c r="M14" s="586"/>
      <c r="N14" s="586"/>
    </row>
    <row r="15" spans="1:14" ht="15.75" x14ac:dyDescent="0.25">
      <c r="A15" s="586"/>
      <c r="B15" s="586"/>
      <c r="C15" s="586"/>
      <c r="D15" s="586"/>
      <c r="E15" s="586"/>
      <c r="F15" s="586"/>
      <c r="G15" s="586"/>
      <c r="H15" s="586"/>
      <c r="I15" s="586"/>
      <c r="J15" s="586"/>
      <c r="K15" s="586"/>
      <c r="L15" s="586"/>
      <c r="M15" s="586"/>
      <c r="N15" s="586"/>
    </row>
    <row r="16" spans="1:14" ht="15.75" x14ac:dyDescent="0.25">
      <c r="A16" s="586"/>
      <c r="B16" s="586"/>
      <c r="C16" s="586"/>
      <c r="D16" s="586"/>
      <c r="E16" s="586"/>
      <c r="F16" s="586"/>
      <c r="G16" s="586"/>
      <c r="H16" s="586"/>
      <c r="I16" s="586"/>
      <c r="J16" s="586"/>
      <c r="K16" s="586"/>
      <c r="L16" s="586"/>
      <c r="M16" s="586"/>
      <c r="N16" s="586"/>
    </row>
    <row r="17" spans="1:14" ht="15.75" x14ac:dyDescent="0.25">
      <c r="A17" s="586"/>
      <c r="B17" s="586"/>
      <c r="C17" s="586"/>
      <c r="D17" s="586"/>
      <c r="E17" s="586"/>
      <c r="F17" s="586"/>
      <c r="G17" s="586"/>
      <c r="H17" s="586"/>
      <c r="I17" s="586"/>
      <c r="J17" s="586"/>
      <c r="K17" s="586"/>
      <c r="L17" s="586"/>
      <c r="M17" s="586"/>
      <c r="N17" s="586"/>
    </row>
  </sheetData>
  <mergeCells count="2">
    <mergeCell ref="E4:H4"/>
    <mergeCell ref="D7:H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86AF3-FA3A-4F18-8630-A9B70466B322}">
  <sheetPr>
    <tabColor theme="0" tint="-0.249977111117893"/>
  </sheetPr>
  <dimension ref="B2:Q40"/>
  <sheetViews>
    <sheetView topLeftCell="A6" workbookViewId="0">
      <selection activeCell="C8" sqref="C8"/>
    </sheetView>
  </sheetViews>
  <sheetFormatPr defaultRowHeight="15" x14ac:dyDescent="0.25"/>
  <cols>
    <col min="2" max="2" width="35.7109375" customWidth="1"/>
    <col min="4" max="4" width="12.5703125" customWidth="1"/>
    <col min="9" max="9" width="11.140625" customWidth="1"/>
    <col min="11" max="11" width="12.42578125" customWidth="1"/>
    <col min="12" max="12" width="19" customWidth="1"/>
    <col min="13" max="13" width="11" customWidth="1"/>
    <col min="14" max="14" width="11.7109375" customWidth="1"/>
    <col min="15" max="15" width="13.42578125" customWidth="1"/>
  </cols>
  <sheetData>
    <row r="2" spans="2:17" ht="20.25" x14ac:dyDescent="0.3">
      <c r="B2" s="493" t="s">
        <v>547</v>
      </c>
      <c r="F2" s="494" t="s">
        <v>549</v>
      </c>
      <c r="J2" t="s">
        <v>552</v>
      </c>
      <c r="L2">
        <f>'Data Sources'!C12</f>
        <v>3.9656699999999998</v>
      </c>
      <c r="M2" t="s">
        <v>553</v>
      </c>
    </row>
    <row r="3" spans="2:17" ht="15.75" x14ac:dyDescent="0.25">
      <c r="B3" s="495" t="s">
        <v>576</v>
      </c>
      <c r="C3" s="496">
        <f>'Data Sources'!C53</f>
        <v>550</v>
      </c>
      <c r="F3" s="167">
        <f>'Data Sources'!C5</f>
        <v>2204.62</v>
      </c>
    </row>
    <row r="4" spans="2:17" ht="120" customHeight="1" x14ac:dyDescent="0.25">
      <c r="B4" s="905" t="s">
        <v>828</v>
      </c>
      <c r="C4" s="905"/>
      <c r="D4" s="905"/>
      <c r="E4" s="905"/>
      <c r="F4" s="905"/>
      <c r="G4" s="905"/>
      <c r="H4" s="905"/>
      <c r="I4" s="905"/>
      <c r="J4" s="905"/>
      <c r="K4" s="905"/>
      <c r="L4" s="905"/>
      <c r="M4" s="905"/>
      <c r="N4" s="905"/>
      <c r="O4" s="905"/>
    </row>
    <row r="5" spans="2:17" ht="234" customHeight="1" x14ac:dyDescent="0.25">
      <c r="B5" s="668"/>
      <c r="C5" s="668"/>
      <c r="D5" s="668"/>
      <c r="E5" s="668"/>
      <c r="F5" s="668"/>
      <c r="G5" s="668"/>
      <c r="H5" s="668"/>
      <c r="I5" s="668"/>
      <c r="J5" s="668"/>
      <c r="K5" s="668"/>
      <c r="L5" s="668"/>
      <c r="M5" s="668"/>
      <c r="N5" s="668"/>
      <c r="O5" s="668"/>
    </row>
    <row r="6" spans="2:17" ht="45.75" thickBot="1" x14ac:dyDescent="0.3">
      <c r="C6" s="522" t="s">
        <v>829</v>
      </c>
      <c r="Q6" s="517" t="s">
        <v>577</v>
      </c>
    </row>
    <row r="7" spans="2:17" ht="48.75" thickBot="1" x14ac:dyDescent="0.35">
      <c r="B7" s="326" t="s">
        <v>556</v>
      </c>
      <c r="C7" s="327" t="s">
        <v>557</v>
      </c>
      <c r="D7" s="328" t="s">
        <v>578</v>
      </c>
      <c r="E7" s="328" t="s">
        <v>559</v>
      </c>
      <c r="F7" s="329" t="s">
        <v>560</v>
      </c>
      <c r="G7" s="374" t="s">
        <v>561</v>
      </c>
      <c r="H7" s="497" t="s">
        <v>579</v>
      </c>
      <c r="I7" s="374" t="s">
        <v>580</v>
      </c>
      <c r="J7" s="498" t="s">
        <v>562</v>
      </c>
      <c r="K7" s="499" t="s">
        <v>563</v>
      </c>
      <c r="L7" s="499" t="s">
        <v>830</v>
      </c>
      <c r="M7" s="500" t="s">
        <v>579</v>
      </c>
      <c r="N7" s="501" t="s">
        <v>581</v>
      </c>
      <c r="O7" s="502" t="s">
        <v>582</v>
      </c>
      <c r="Q7" s="505" t="s">
        <v>583</v>
      </c>
    </row>
    <row r="8" spans="2:17" ht="16.5" thickBot="1" x14ac:dyDescent="0.3">
      <c r="B8" s="503" t="s">
        <v>584</v>
      </c>
      <c r="C8" s="518">
        <v>0.13200000000000001</v>
      </c>
      <c r="D8" s="343">
        <f>IF(Q7="Yes",0,C8)</f>
        <v>0.13200000000000001</v>
      </c>
      <c r="E8" s="333">
        <f>SUM($C$3 * C8)</f>
        <v>72.600000000000009</v>
      </c>
      <c r="F8" s="344">
        <v>6835</v>
      </c>
      <c r="G8" s="345">
        <f>F8*0.556</f>
        <v>3800.26</v>
      </c>
      <c r="H8" s="524">
        <v>0.7</v>
      </c>
      <c r="I8" s="346">
        <f t="shared" ref="I8:I23" si="0">(D8*1000)*H8</f>
        <v>92.399999999999991</v>
      </c>
      <c r="J8" s="335">
        <f t="shared" ref="J8:J23" si="1">(D8*1000)-I8</f>
        <v>39.600000000000009</v>
      </c>
      <c r="K8" s="335">
        <f t="shared" ref="K8:K23" si="2">G8*(J8/1000)</f>
        <v>150.49029600000006</v>
      </c>
      <c r="L8" s="523">
        <f>SUM(K8*$L$2)</f>
        <v>596.79485213832015</v>
      </c>
      <c r="M8" s="347"/>
      <c r="N8" s="348">
        <v>0.1</v>
      </c>
      <c r="O8" s="348">
        <v>0.12</v>
      </c>
      <c r="P8" s="278">
        <f>(1-C8)</f>
        <v>0.86799999999999999</v>
      </c>
    </row>
    <row r="9" spans="2:17" ht="16.5" thickBot="1" x14ac:dyDescent="0.3">
      <c r="B9" s="349" t="s">
        <v>585</v>
      </c>
      <c r="C9" s="518">
        <v>3.5000000000000003E-2</v>
      </c>
      <c r="D9" s="343">
        <f>IF(Q7="Yes",(C9/(1-C8)),C9)</f>
        <v>3.5000000000000003E-2</v>
      </c>
      <c r="E9" s="333">
        <f t="shared" ref="E9:E26" si="3">SUM($C$3 * C9)</f>
        <v>19.250000000000004</v>
      </c>
      <c r="F9" s="344">
        <v>16189</v>
      </c>
      <c r="G9" s="345">
        <f t="shared" ref="G9:G23" si="4">F9*0.556</f>
        <v>9001.0840000000007</v>
      </c>
      <c r="H9" s="524">
        <v>4.3999999999999997E-2</v>
      </c>
      <c r="I9" s="346">
        <f t="shared" si="0"/>
        <v>1.5399999999999998</v>
      </c>
      <c r="J9" s="335">
        <f t="shared" si="1"/>
        <v>33.46</v>
      </c>
      <c r="K9" s="335">
        <f t="shared" si="2"/>
        <v>301.17627064000004</v>
      </c>
      <c r="L9" s="523">
        <f t="shared" ref="L9:L23" si="5">SUM(K9*$L$2)</f>
        <v>1194.3657011889288</v>
      </c>
      <c r="M9" s="347"/>
      <c r="N9" s="348">
        <v>0.05</v>
      </c>
      <c r="O9" s="348">
        <v>0.02</v>
      </c>
      <c r="P9" s="278">
        <f>(C9/P8)</f>
        <v>4.0322580645161296E-2</v>
      </c>
    </row>
    <row r="10" spans="2:17" ht="16.5" thickBot="1" x14ac:dyDescent="0.3">
      <c r="B10" s="349" t="s">
        <v>586</v>
      </c>
      <c r="C10" s="518">
        <v>4.2999999999999997E-2</v>
      </c>
      <c r="D10" s="343">
        <f>IF(Q7="Yes",(C10/(1-C8)),C10)</f>
        <v>4.2999999999999997E-2</v>
      </c>
      <c r="E10" s="333">
        <f t="shared" si="3"/>
        <v>23.65</v>
      </c>
      <c r="F10" s="344">
        <v>16459</v>
      </c>
      <c r="G10" s="345">
        <f t="shared" si="4"/>
        <v>9151.2040000000015</v>
      </c>
      <c r="H10" s="524">
        <v>0.05</v>
      </c>
      <c r="I10" s="346">
        <f t="shared" si="0"/>
        <v>2.15</v>
      </c>
      <c r="J10" s="335">
        <f t="shared" si="1"/>
        <v>40.85</v>
      </c>
      <c r="K10" s="335">
        <f t="shared" si="2"/>
        <v>373.82668340000009</v>
      </c>
      <c r="L10" s="523">
        <f t="shared" si="5"/>
        <v>1482.4732635588782</v>
      </c>
      <c r="M10" s="347"/>
      <c r="N10" s="348">
        <v>0.05</v>
      </c>
      <c r="O10" s="348">
        <v>0.03</v>
      </c>
      <c r="P10" s="278">
        <f>C10/P8</f>
        <v>4.9539170506912436E-2</v>
      </c>
    </row>
    <row r="11" spans="2:17" ht="16.5" thickBot="1" x14ac:dyDescent="0.3">
      <c r="B11" s="349" t="s">
        <v>587</v>
      </c>
      <c r="C11" s="519">
        <v>0.17499999999999999</v>
      </c>
      <c r="D11" s="350">
        <f>IF(Q7="Yes",(C11/(1-C8)),C11)</f>
        <v>0.17499999999999999</v>
      </c>
      <c r="E11" s="333">
        <f t="shared" si="3"/>
        <v>96.25</v>
      </c>
      <c r="F11" s="344">
        <v>8095</v>
      </c>
      <c r="G11" s="345">
        <f t="shared" si="4"/>
        <v>4500.8200000000006</v>
      </c>
      <c r="H11" s="524">
        <v>6.0999999999999999E-2</v>
      </c>
      <c r="I11" s="346">
        <f t="shared" si="0"/>
        <v>10.674999999999999</v>
      </c>
      <c r="J11" s="335">
        <f t="shared" si="1"/>
        <v>164.32499999999999</v>
      </c>
      <c r="K11" s="335">
        <f t="shared" si="2"/>
        <v>739.5972465000001</v>
      </c>
      <c r="L11" s="523">
        <f t="shared" si="5"/>
        <v>2932.998612527655</v>
      </c>
      <c r="M11" s="347"/>
      <c r="N11" s="348">
        <v>0.129</v>
      </c>
      <c r="O11" s="348">
        <v>5.3999999999999999E-2</v>
      </c>
      <c r="P11" s="278">
        <f>C11/P8</f>
        <v>0.20161290322580644</v>
      </c>
    </row>
    <row r="12" spans="2:17" ht="16.5" thickBot="1" x14ac:dyDescent="0.3">
      <c r="B12" s="349" t="s">
        <v>588</v>
      </c>
      <c r="C12" s="519">
        <v>7.8E-2</v>
      </c>
      <c r="D12" s="350">
        <f>IF(Q7="Yes",(C12/(1-C8)),C12)</f>
        <v>7.8E-2</v>
      </c>
      <c r="E12" s="333">
        <f t="shared" si="3"/>
        <v>42.9</v>
      </c>
      <c r="F12" s="344">
        <v>7015</v>
      </c>
      <c r="G12" s="345">
        <f t="shared" si="4"/>
        <v>3900.34</v>
      </c>
      <c r="H12" s="524">
        <v>0.05</v>
      </c>
      <c r="I12" s="346">
        <f t="shared" si="0"/>
        <v>3.9000000000000004</v>
      </c>
      <c r="J12" s="335">
        <f t="shared" si="1"/>
        <v>74.099999999999994</v>
      </c>
      <c r="K12" s="335">
        <f t="shared" si="2"/>
        <v>289.01519400000001</v>
      </c>
      <c r="L12" s="523">
        <f t="shared" si="5"/>
        <v>1146.1388843899799</v>
      </c>
      <c r="M12" s="347"/>
      <c r="N12" s="351">
        <v>0.129</v>
      </c>
      <c r="O12" s="351">
        <v>5.3999999999999999E-2</v>
      </c>
      <c r="P12" s="278">
        <f>C12/P8</f>
        <v>8.9861751152073732E-2</v>
      </c>
    </row>
    <row r="13" spans="2:17" ht="16.5" thickBot="1" x14ac:dyDescent="0.3">
      <c r="B13" s="349" t="s">
        <v>589</v>
      </c>
      <c r="C13" s="519">
        <v>1.4E-2</v>
      </c>
      <c r="D13" s="350">
        <f>IF(Q7="Yes",(C13/(1-C8)),C13)</f>
        <v>1.4E-2</v>
      </c>
      <c r="E13" s="333">
        <f t="shared" si="3"/>
        <v>7.7</v>
      </c>
      <c r="F13" s="344">
        <v>10793</v>
      </c>
      <c r="G13" s="345">
        <f t="shared" si="4"/>
        <v>6000.9080000000004</v>
      </c>
      <c r="H13" s="524">
        <v>0.1</v>
      </c>
      <c r="I13" s="346">
        <f t="shared" si="0"/>
        <v>1.4000000000000001</v>
      </c>
      <c r="J13" s="335">
        <f t="shared" si="1"/>
        <v>12.6</v>
      </c>
      <c r="K13" s="335">
        <f t="shared" si="2"/>
        <v>75.611440800000011</v>
      </c>
      <c r="L13" s="523">
        <f t="shared" si="5"/>
        <v>299.85002243733601</v>
      </c>
      <c r="M13" s="347"/>
      <c r="N13" s="351">
        <v>7.0000000000000007E-2</v>
      </c>
      <c r="O13" s="351">
        <v>0.08</v>
      </c>
      <c r="P13" s="278">
        <f>C13/P8</f>
        <v>1.6129032258064516E-2</v>
      </c>
    </row>
    <row r="14" spans="2:17" ht="16.5" thickBot="1" x14ac:dyDescent="0.3">
      <c r="B14" s="349" t="s">
        <v>590</v>
      </c>
      <c r="C14" s="519">
        <v>5.0000000000000001E-3</v>
      </c>
      <c r="D14" s="350">
        <f>IF(Q7="Yes",(C14/(1-C8)),C14)</f>
        <v>5.0000000000000001E-3</v>
      </c>
      <c r="E14" s="333">
        <f t="shared" si="3"/>
        <v>2.75</v>
      </c>
      <c r="F14" s="344">
        <v>6296</v>
      </c>
      <c r="G14" s="345">
        <f t="shared" si="4"/>
        <v>3500.5760000000005</v>
      </c>
      <c r="H14" s="524">
        <v>0.05</v>
      </c>
      <c r="I14" s="346">
        <f t="shared" si="0"/>
        <v>0.25</v>
      </c>
      <c r="J14" s="335">
        <f t="shared" si="1"/>
        <v>4.75</v>
      </c>
      <c r="K14" s="335">
        <f t="shared" si="2"/>
        <v>16.627736000000002</v>
      </c>
      <c r="L14" s="523">
        <f t="shared" si="5"/>
        <v>65.940113823120001</v>
      </c>
      <c r="M14" s="347"/>
      <c r="N14" s="352">
        <v>0.35</v>
      </c>
      <c r="O14" s="352">
        <v>0.2</v>
      </c>
      <c r="P14" s="278">
        <f>C14/P8</f>
        <v>5.7603686635944703E-3</v>
      </c>
    </row>
    <row r="15" spans="2:17" ht="16.5" thickBot="1" x14ac:dyDescent="0.3">
      <c r="B15" s="349" t="s">
        <v>591</v>
      </c>
      <c r="C15" s="519">
        <v>5.0000000000000001E-3</v>
      </c>
      <c r="D15" s="350">
        <f>IF(Q7="Yes",(C15/(1-C8)),C15)</f>
        <v>5.0000000000000001E-3</v>
      </c>
      <c r="E15" s="333">
        <f t="shared" si="3"/>
        <v>2.75</v>
      </c>
      <c r="F15" s="344">
        <v>10073</v>
      </c>
      <c r="G15" s="345">
        <f t="shared" si="4"/>
        <v>5600.5880000000006</v>
      </c>
      <c r="H15" s="524">
        <v>0.125</v>
      </c>
      <c r="I15" s="346">
        <f t="shared" si="0"/>
        <v>0.625</v>
      </c>
      <c r="J15" s="335">
        <f t="shared" si="1"/>
        <v>4.375</v>
      </c>
      <c r="K15" s="335">
        <f t="shared" si="2"/>
        <v>24.502572500000007</v>
      </c>
      <c r="L15" s="523">
        <f t="shared" si="5"/>
        <v>97.169116686075014</v>
      </c>
      <c r="M15" s="347"/>
      <c r="N15" s="352">
        <v>0.15</v>
      </c>
      <c r="O15" s="352">
        <v>0</v>
      </c>
      <c r="P15" s="278">
        <f>C15/P8</f>
        <v>5.7603686635944703E-3</v>
      </c>
    </row>
    <row r="16" spans="2:17" ht="32.25" thickBot="1" x14ac:dyDescent="0.3">
      <c r="B16" s="353" t="s">
        <v>592</v>
      </c>
      <c r="C16" s="519">
        <v>2E-3</v>
      </c>
      <c r="D16" s="350">
        <f>IF(Q35="Yes",(C16/(1-C8)),C16)</f>
        <v>2E-3</v>
      </c>
      <c r="E16" s="333">
        <f t="shared" si="3"/>
        <v>1.1000000000000001</v>
      </c>
      <c r="F16" s="344">
        <v>15000</v>
      </c>
      <c r="G16" s="345">
        <f t="shared" si="4"/>
        <v>8340</v>
      </c>
      <c r="H16" s="524">
        <v>0.1</v>
      </c>
      <c r="I16" s="346">
        <f t="shared" si="0"/>
        <v>0.2</v>
      </c>
      <c r="J16" s="335">
        <f t="shared" si="1"/>
        <v>1.8</v>
      </c>
      <c r="K16" s="335">
        <f t="shared" si="2"/>
        <v>15.012</v>
      </c>
      <c r="L16" s="523">
        <f t="shared" si="5"/>
        <v>59.532638040000002</v>
      </c>
      <c r="M16" s="347"/>
      <c r="N16" s="352">
        <v>0.15</v>
      </c>
      <c r="O16" s="352">
        <v>0.05</v>
      </c>
      <c r="P16" s="278">
        <f>C16/P8</f>
        <v>2.304147465437788E-3</v>
      </c>
    </row>
    <row r="17" spans="2:16" ht="16.5" thickBot="1" x14ac:dyDescent="0.3">
      <c r="B17" s="349" t="s">
        <v>593</v>
      </c>
      <c r="C17" s="520">
        <v>0.19700000000000001</v>
      </c>
      <c r="D17" s="350">
        <f>IF(Q7="Yes",(C17/(1-C8)),C17)</f>
        <v>0.19700000000000001</v>
      </c>
      <c r="E17" s="333">
        <f t="shared" si="3"/>
        <v>108.35000000000001</v>
      </c>
      <c r="F17" s="344">
        <v>7200</v>
      </c>
      <c r="G17" s="345">
        <f t="shared" si="4"/>
        <v>4003.2000000000003</v>
      </c>
      <c r="H17" s="524">
        <v>0.3</v>
      </c>
      <c r="I17" s="346">
        <f t="shared" si="0"/>
        <v>59.099999999999994</v>
      </c>
      <c r="J17" s="335">
        <f t="shared" si="1"/>
        <v>137.9</v>
      </c>
      <c r="K17" s="335">
        <f t="shared" si="2"/>
        <v>552.04128000000003</v>
      </c>
      <c r="L17" s="523">
        <f t="shared" si="5"/>
        <v>2189.2135428575998</v>
      </c>
      <c r="M17" s="347"/>
      <c r="N17" s="352">
        <v>0.1</v>
      </c>
      <c r="O17" s="352">
        <v>0.04</v>
      </c>
      <c r="P17" s="278">
        <f>C17/P8</f>
        <v>0.22695852534562214</v>
      </c>
    </row>
    <row r="18" spans="2:16" ht="16.5" thickBot="1" x14ac:dyDescent="0.3">
      <c r="B18" s="349" t="s">
        <v>594</v>
      </c>
      <c r="C18" s="519">
        <v>9.7000000000000003E-2</v>
      </c>
      <c r="D18" s="350">
        <f>IF(Q7="Yes",(C18/(1-C8)),C18)</f>
        <v>9.7000000000000003E-2</v>
      </c>
      <c r="E18" s="333">
        <f t="shared" si="3"/>
        <v>53.35</v>
      </c>
      <c r="F18" s="344">
        <v>8364</v>
      </c>
      <c r="G18" s="345">
        <f t="shared" si="4"/>
        <v>4650.384</v>
      </c>
      <c r="H18" s="524">
        <v>0.3</v>
      </c>
      <c r="I18" s="346">
        <f t="shared" si="0"/>
        <v>29.099999999999998</v>
      </c>
      <c r="J18" s="335">
        <f t="shared" si="1"/>
        <v>67.900000000000006</v>
      </c>
      <c r="K18" s="335">
        <f t="shared" si="2"/>
        <v>315.76107360000003</v>
      </c>
      <c r="L18" s="523">
        <f t="shared" si="5"/>
        <v>1252.2042167433121</v>
      </c>
      <c r="M18" s="347"/>
      <c r="N18" s="348">
        <v>0.1</v>
      </c>
      <c r="O18" s="348">
        <v>0.02</v>
      </c>
      <c r="P18" s="278">
        <f>C18/P8</f>
        <v>0.11175115207373272</v>
      </c>
    </row>
    <row r="19" spans="2:16" ht="16.5" thickBot="1" x14ac:dyDescent="0.3">
      <c r="B19" s="349" t="s">
        <v>595</v>
      </c>
      <c r="C19" s="519">
        <v>7.0000000000000001E-3</v>
      </c>
      <c r="D19" s="350">
        <f>IF(Q7="Yes",(C19/(1-C8)),C19)</f>
        <v>7.0000000000000001E-3</v>
      </c>
      <c r="E19" s="333">
        <f t="shared" si="3"/>
        <v>3.85</v>
      </c>
      <c r="F19" s="344">
        <v>6000</v>
      </c>
      <c r="G19" s="345">
        <f t="shared" si="4"/>
        <v>3336.0000000000005</v>
      </c>
      <c r="H19" s="524">
        <v>0.2</v>
      </c>
      <c r="I19" s="346">
        <f t="shared" si="0"/>
        <v>1.4000000000000001</v>
      </c>
      <c r="J19" s="335">
        <f t="shared" si="1"/>
        <v>5.6</v>
      </c>
      <c r="K19" s="335">
        <f t="shared" si="2"/>
        <v>18.681600000000003</v>
      </c>
      <c r="L19" s="523">
        <f t="shared" si="5"/>
        <v>74.085060672000012</v>
      </c>
      <c r="M19" s="347"/>
      <c r="N19" s="348">
        <v>0.1</v>
      </c>
      <c r="O19" s="348">
        <v>0.05</v>
      </c>
      <c r="P19" s="278">
        <f>C19/P8</f>
        <v>8.0645161290322578E-3</v>
      </c>
    </row>
    <row r="20" spans="2:16" ht="16.5" thickBot="1" x14ac:dyDescent="0.3">
      <c r="B20" s="349" t="s">
        <v>596</v>
      </c>
      <c r="C20" s="519">
        <v>3.3000000000000002E-2</v>
      </c>
      <c r="D20" s="350">
        <f>IF(Q7="Yes",(C20/(1-C8)),C20)</f>
        <v>3.3000000000000002E-2</v>
      </c>
      <c r="E20" s="333">
        <f t="shared" si="3"/>
        <v>18.150000000000002</v>
      </c>
      <c r="F20" s="344">
        <v>10660</v>
      </c>
      <c r="G20" s="345">
        <f t="shared" si="4"/>
        <v>5926.9600000000009</v>
      </c>
      <c r="H20" s="524">
        <v>0.05</v>
      </c>
      <c r="I20" s="346">
        <f t="shared" si="0"/>
        <v>1.6500000000000001</v>
      </c>
      <c r="J20" s="335">
        <f t="shared" si="1"/>
        <v>31.35</v>
      </c>
      <c r="K20" s="335">
        <f t="shared" si="2"/>
        <v>185.81019600000005</v>
      </c>
      <c r="L20" s="523">
        <f t="shared" si="5"/>
        <v>736.86191997132016</v>
      </c>
      <c r="M20" s="347"/>
      <c r="N20" s="348">
        <v>0.1</v>
      </c>
      <c r="O20" s="348">
        <v>0.05</v>
      </c>
      <c r="P20" s="278">
        <f>C20/P8</f>
        <v>3.8018433179723504E-2</v>
      </c>
    </row>
    <row r="21" spans="2:16" ht="16.5" thickBot="1" x14ac:dyDescent="0.3">
      <c r="B21" s="349" t="s">
        <v>597</v>
      </c>
      <c r="C21" s="519">
        <v>3.0000000000000001E-3</v>
      </c>
      <c r="D21" s="350">
        <f>IF(Q7="Yes",(C21/(1-C8)),C21)</f>
        <v>3.0000000000000001E-3</v>
      </c>
      <c r="E21" s="333">
        <f t="shared" si="3"/>
        <v>1.6500000000000001</v>
      </c>
      <c r="F21" s="344">
        <v>6000</v>
      </c>
      <c r="G21" s="345">
        <f t="shared" si="4"/>
        <v>3336.0000000000005</v>
      </c>
      <c r="H21" s="524">
        <v>0.05</v>
      </c>
      <c r="I21" s="346">
        <f t="shared" si="0"/>
        <v>0.15000000000000002</v>
      </c>
      <c r="J21" s="335">
        <f t="shared" si="1"/>
        <v>2.85</v>
      </c>
      <c r="K21" s="335">
        <f t="shared" si="2"/>
        <v>9.5076000000000018</v>
      </c>
      <c r="L21" s="523">
        <f t="shared" si="5"/>
        <v>37.704004092000005</v>
      </c>
      <c r="M21" s="347"/>
      <c r="N21" s="348">
        <v>0.1</v>
      </c>
      <c r="O21" s="348">
        <v>0.05</v>
      </c>
      <c r="P21" s="278">
        <f>C21/P8</f>
        <v>3.4562211981566822E-3</v>
      </c>
    </row>
    <row r="22" spans="2:16" ht="16.5" thickBot="1" x14ac:dyDescent="0.3">
      <c r="B22" s="349" t="s">
        <v>598</v>
      </c>
      <c r="C22" s="519">
        <v>3.1E-2</v>
      </c>
      <c r="D22" s="350">
        <f>IF(Q7="Yes",(C22/(1-C8)),C22)</f>
        <v>3.1E-2</v>
      </c>
      <c r="E22" s="333">
        <f t="shared" si="3"/>
        <v>17.05</v>
      </c>
      <c r="F22" s="344">
        <v>15000</v>
      </c>
      <c r="G22" s="345">
        <f t="shared" si="4"/>
        <v>8340</v>
      </c>
      <c r="H22" s="524">
        <v>0.05</v>
      </c>
      <c r="I22" s="346">
        <f t="shared" si="0"/>
        <v>1.55</v>
      </c>
      <c r="J22" s="335">
        <f t="shared" si="1"/>
        <v>29.45</v>
      </c>
      <c r="K22" s="335">
        <f t="shared" si="2"/>
        <v>245.613</v>
      </c>
      <c r="L22" s="523">
        <f t="shared" si="5"/>
        <v>974.02010570999994</v>
      </c>
      <c r="M22" s="347"/>
      <c r="N22" s="348">
        <v>0.1</v>
      </c>
      <c r="O22" s="348">
        <v>0.05</v>
      </c>
      <c r="P22" s="278">
        <f>C22/P8</f>
        <v>3.5714285714285712E-2</v>
      </c>
    </row>
    <row r="23" spans="2:16" ht="16.5" thickBot="1" x14ac:dyDescent="0.3">
      <c r="B23" s="349" t="s">
        <v>599</v>
      </c>
      <c r="C23" s="519">
        <v>5.1999999999999998E-2</v>
      </c>
      <c r="D23" s="350">
        <f>IF(Q7="Yes",(C23/(1-C8)),C23)</f>
        <v>5.1999999999999998E-2</v>
      </c>
      <c r="E23" s="333">
        <f t="shared" si="3"/>
        <v>28.599999999999998</v>
      </c>
      <c r="F23" s="344">
        <v>8364</v>
      </c>
      <c r="G23" s="345">
        <f t="shared" si="4"/>
        <v>4650.384</v>
      </c>
      <c r="H23" s="524">
        <v>0.2</v>
      </c>
      <c r="I23" s="346">
        <f t="shared" si="0"/>
        <v>10.4</v>
      </c>
      <c r="J23" s="335">
        <f t="shared" si="1"/>
        <v>41.6</v>
      </c>
      <c r="K23" s="335">
        <f t="shared" si="2"/>
        <v>193.4559744</v>
      </c>
      <c r="L23" s="523">
        <f t="shared" si="5"/>
        <v>767.18255399884799</v>
      </c>
      <c r="M23" s="347"/>
      <c r="N23" s="348">
        <v>0.1</v>
      </c>
      <c r="O23" s="348">
        <v>0.05</v>
      </c>
      <c r="P23" s="278">
        <f>C23/P8</f>
        <v>5.9907834101382486E-2</v>
      </c>
    </row>
    <row r="24" spans="2:16" ht="16.5" thickBot="1" x14ac:dyDescent="0.3">
      <c r="B24" s="355" t="s">
        <v>600</v>
      </c>
      <c r="C24" s="519">
        <v>4.5999999999999999E-2</v>
      </c>
      <c r="D24" s="350" t="s">
        <v>266</v>
      </c>
      <c r="E24" s="333">
        <f>SUM($C$3 * C24)</f>
        <v>25.3</v>
      </c>
      <c r="F24" s="344"/>
      <c r="G24" s="345"/>
      <c r="H24" s="524"/>
      <c r="I24" s="346"/>
      <c r="J24" s="335"/>
      <c r="K24" s="335"/>
      <c r="L24" s="523"/>
      <c r="M24" s="347"/>
      <c r="N24" s="348"/>
      <c r="O24" s="348"/>
      <c r="P24" s="278"/>
    </row>
    <row r="25" spans="2:16" ht="16.5" thickBot="1" x14ac:dyDescent="0.3">
      <c r="B25" s="355" t="s">
        <v>601</v>
      </c>
      <c r="C25" s="519">
        <v>2E-3</v>
      </c>
      <c r="D25" s="350">
        <f>IF(Q7="Yes",(C25/(1-C8)),C25)</f>
        <v>2E-3</v>
      </c>
      <c r="E25" s="333">
        <f>SUM($C$3 * C25)</f>
        <v>1.1000000000000001</v>
      </c>
      <c r="F25" s="344"/>
      <c r="G25" s="345"/>
      <c r="H25" s="524"/>
      <c r="I25" s="346"/>
      <c r="J25" s="335"/>
      <c r="K25" s="335"/>
      <c r="L25" s="523"/>
      <c r="M25" s="347"/>
      <c r="N25" s="348"/>
      <c r="O25" s="348"/>
    </row>
    <row r="26" spans="2:16" ht="16.5" thickBot="1" x14ac:dyDescent="0.3">
      <c r="B26" s="356" t="s">
        <v>602</v>
      </c>
      <c r="C26" s="521">
        <v>4.2999999999999997E-2</v>
      </c>
      <c r="D26" s="350">
        <f>IF(Q7="Yes",(C26/(1-C8)),C26)</f>
        <v>4.2999999999999997E-2</v>
      </c>
      <c r="E26" s="333">
        <f t="shared" si="3"/>
        <v>23.65</v>
      </c>
      <c r="F26" s="344"/>
      <c r="G26" s="345"/>
      <c r="H26" s="524">
        <v>0.1</v>
      </c>
      <c r="I26" s="346">
        <f t="shared" ref="I26" si="6">(D26*1000)*H26</f>
        <v>4.3</v>
      </c>
      <c r="J26" s="335">
        <f t="shared" ref="J26" si="7">(D26*1000)-I26</f>
        <v>38.700000000000003</v>
      </c>
      <c r="K26" s="335">
        <f t="shared" ref="K26" si="8">G26*(J26/1000)</f>
        <v>0</v>
      </c>
      <c r="L26" s="523">
        <f t="shared" ref="L26" si="9">SUM(K26*$L$2)</f>
        <v>0</v>
      </c>
      <c r="M26" s="347"/>
      <c r="N26" s="348"/>
      <c r="O26" s="348"/>
    </row>
    <row r="27" spans="2:16" ht="16.5" thickBot="1" x14ac:dyDescent="0.3">
      <c r="B27" s="358"/>
      <c r="C27" s="359">
        <f>SUM(C8:C26)</f>
        <v>1.0000000000000002</v>
      </c>
      <c r="D27" s="360">
        <f>SUM(D8:D26)</f>
        <v>0.95400000000000018</v>
      </c>
      <c r="E27" s="361">
        <f>SUM(E8:E26)</f>
        <v>550.00000000000011</v>
      </c>
      <c r="F27" s="362">
        <f>G27*1.798796</f>
        <v>8212.5700778006176</v>
      </c>
      <c r="G27" s="362">
        <f>K27/(1-M27)</f>
        <v>4565.592806410853</v>
      </c>
      <c r="H27" s="363"/>
      <c r="I27" s="364">
        <f>SUM(I8:I26)</f>
        <v>220.79000000000005</v>
      </c>
      <c r="J27" s="364">
        <f>SUM(J8:J26)</f>
        <v>731.21000000000026</v>
      </c>
      <c r="K27" s="364">
        <f>SUM(K8:K26)</f>
        <v>3506.7301638399999</v>
      </c>
      <c r="L27" s="523">
        <f>SUM(L8:L26)</f>
        <v>13906.534608835373</v>
      </c>
      <c r="M27" s="365">
        <f>I27/(J27+I27)</f>
        <v>0.23192226890756298</v>
      </c>
      <c r="N27" s="504">
        <f>SUM(($J8*N8)+($J9*N9)+($J10*N10)+($J11*N11)+($J12*N12)+($J13*N13)+($J14*N14)+($J15*N15)+($J16*N16)+($J17*N17)+($J18*N18)+($J19*N19)+(J20*N20)+(J21+N21)+(J22*N22)+(J23*N23)) * 100</f>
        <v>7623.3075000000017</v>
      </c>
      <c r="O27" s="366">
        <f>SUM(($J8*O8)+($J9*O9)+($J10*O10)+($J11*O11)+($J12*O12)+($J13*O13)+($J14*O14)+($J15*O15)+($J16*O16)+($J17*O17)+($J18*O18)+($J19*O19)+(J20*O20)+(J21+O21)+(J22*O22)+(J23*O23)) * 100</f>
        <v>3674.3650000000002</v>
      </c>
    </row>
    <row r="28" spans="2:16" ht="30.75" thickBot="1" x14ac:dyDescent="0.3">
      <c r="B28" s="336" t="s">
        <v>567</v>
      </c>
      <c r="C28" s="337"/>
      <c r="D28" s="367">
        <f>N27</f>
        <v>7623.3075000000017</v>
      </c>
      <c r="E28" s="338"/>
      <c r="F28" s="134"/>
      <c r="H28" s="368" t="s">
        <v>603</v>
      </c>
      <c r="I28" s="369">
        <f>J28*1.798796</f>
        <v>6307.8921917947364</v>
      </c>
      <c r="J28" s="369">
        <f>K27</f>
        <v>3506.7301638399999</v>
      </c>
      <c r="K28" s="134"/>
      <c r="L28" s="134"/>
      <c r="M28" s="527">
        <f>M27-15%</f>
        <v>8.192226890756299E-2</v>
      </c>
      <c r="N28" t="s">
        <v>831</v>
      </c>
    </row>
    <row r="29" spans="2:16" ht="16.5" thickBot="1" x14ac:dyDescent="0.3">
      <c r="B29" s="336" t="s">
        <v>582</v>
      </c>
      <c r="C29" s="337"/>
      <c r="D29" s="367">
        <f>O27</f>
        <v>3674.3650000000002</v>
      </c>
      <c r="E29" s="338"/>
      <c r="F29" s="134"/>
      <c r="G29" s="134"/>
      <c r="H29" s="134"/>
      <c r="I29" s="134"/>
      <c r="J29" s="134"/>
      <c r="K29" s="134"/>
      <c r="L29" s="134"/>
      <c r="M29" s="134"/>
    </row>
    <row r="30" spans="2:16" x14ac:dyDescent="0.25">
      <c r="L30" s="525" t="s">
        <v>604</v>
      </c>
    </row>
    <row r="31" spans="2:16" x14ac:dyDescent="0.25">
      <c r="L31" s="526">
        <f>(L27*1000)/1000000</f>
        <v>13.906534608835374</v>
      </c>
    </row>
    <row r="34" spans="2:9" ht="15.75" x14ac:dyDescent="0.25">
      <c r="B34" s="134" t="s">
        <v>736</v>
      </c>
      <c r="D34" s="529">
        <v>3506.73</v>
      </c>
      <c r="G34" s="278"/>
      <c r="H34" t="s">
        <v>729</v>
      </c>
      <c r="I34" s="167">
        <f>J8+J11+J12+J15+J17+J18</f>
        <v>488.19999999999993</v>
      </c>
    </row>
    <row r="35" spans="2:9" ht="15.75" x14ac:dyDescent="0.25">
      <c r="B35" s="134" t="s">
        <v>730</v>
      </c>
      <c r="D35" s="528">
        <f>K27/D34</f>
        <v>1.0000000467215897</v>
      </c>
      <c r="H35" t="s">
        <v>731</v>
      </c>
      <c r="I35" s="167">
        <f>I8+I11+I12+I17+I18+I15</f>
        <v>195.79999999999998</v>
      </c>
    </row>
    <row r="36" spans="2:9" x14ac:dyDescent="0.25">
      <c r="B36" s="134"/>
      <c r="H36" t="s">
        <v>732</v>
      </c>
      <c r="I36" s="167">
        <f>I34+I35</f>
        <v>683.99999999999989</v>
      </c>
    </row>
    <row r="37" spans="2:9" x14ac:dyDescent="0.25">
      <c r="B37" s="134"/>
    </row>
    <row r="38" spans="2:9" x14ac:dyDescent="0.25">
      <c r="B38" s="134" t="s">
        <v>733</v>
      </c>
      <c r="C38" s="278">
        <f>C18+C17+C15+C12+C11+C8</f>
        <v>0.68400000000000005</v>
      </c>
    </row>
    <row r="39" spans="2:9" x14ac:dyDescent="0.25">
      <c r="B39" s="134" t="s">
        <v>734</v>
      </c>
      <c r="C39">
        <f>I35/I36</f>
        <v>0.28625730994152049</v>
      </c>
    </row>
    <row r="40" spans="2:9" x14ac:dyDescent="0.25">
      <c r="B40" s="134" t="s">
        <v>735</v>
      </c>
      <c r="C40" s="278">
        <f>C9+C10+C14+C16+C20+C21+C22+C23+C13+C19</f>
        <v>0.22500000000000003</v>
      </c>
    </row>
  </sheetData>
  <mergeCells count="1">
    <mergeCell ref="B4:O4"/>
  </mergeCells>
  <dataValidations count="1">
    <dataValidation type="list" allowBlank="1" showInputMessage="1" showErrorMessage="1" sqref="C7" xr:uid="{805A9797-B806-47D9-8B4B-CCA9A0EF883B}">
      <formula1>$AQ$7:$AQ$8</formula1>
    </dataValidation>
  </dataValidation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D2358-1998-464C-BBFD-2E3DAB4BC678}">
  <sheetPr>
    <tabColor theme="0" tint="-0.249977111117893"/>
  </sheetPr>
  <dimension ref="B1:O15"/>
  <sheetViews>
    <sheetView topLeftCell="A4" workbookViewId="0">
      <selection activeCell="O7" sqref="O7"/>
    </sheetView>
  </sheetViews>
  <sheetFormatPr defaultRowHeight="15" x14ac:dyDescent="0.25"/>
  <cols>
    <col min="2" max="2" width="27" customWidth="1"/>
    <col min="3" max="3" width="11.7109375" customWidth="1"/>
    <col min="4" max="4" width="11.85546875" customWidth="1"/>
    <col min="6" max="6" width="13.5703125" customWidth="1"/>
    <col min="7" max="7" width="13.28515625" customWidth="1"/>
    <col min="8" max="8" width="13.7109375" customWidth="1"/>
    <col min="9" max="9" width="15.28515625" customWidth="1"/>
    <col min="10" max="10" width="14.85546875" customWidth="1"/>
    <col min="11" max="11" width="12.85546875" customWidth="1"/>
  </cols>
  <sheetData>
    <row r="1" spans="2:15" x14ac:dyDescent="0.25">
      <c r="D1" t="s">
        <v>266</v>
      </c>
    </row>
    <row r="2" spans="2:15" ht="47.25" x14ac:dyDescent="0.25">
      <c r="B2" s="510" t="s">
        <v>547</v>
      </c>
      <c r="C2" s="323"/>
      <c r="D2" s="323"/>
      <c r="E2" s="511" t="s">
        <v>548</v>
      </c>
      <c r="F2" s="511" t="s">
        <v>549</v>
      </c>
      <c r="G2" s="323"/>
      <c r="H2" s="511" t="s">
        <v>550</v>
      </c>
      <c r="I2" s="511" t="s">
        <v>551</v>
      </c>
      <c r="J2" s="136" t="s">
        <v>552</v>
      </c>
      <c r="K2" s="134">
        <f>'Data Sources'!C12</f>
        <v>3.9656699999999998</v>
      </c>
      <c r="L2" s="134" t="s">
        <v>553</v>
      </c>
    </row>
    <row r="3" spans="2:15" ht="15.75" x14ac:dyDescent="0.25">
      <c r="B3" s="495" t="s">
        <v>554</v>
      </c>
      <c r="C3" s="512">
        <f>'Data Sources'!C54</f>
        <v>100</v>
      </c>
      <c r="E3" s="325">
        <f>'Data Sources'!C74</f>
        <v>0.15</v>
      </c>
      <c r="F3" s="175">
        <f>'Data Sources'!C5</f>
        <v>2204.62</v>
      </c>
      <c r="H3" s="509">
        <f>'Data Sources'!C76</f>
        <v>22</v>
      </c>
      <c r="I3" s="170">
        <f>SUM(E3*H3)</f>
        <v>3.3</v>
      </c>
    </row>
    <row r="4" spans="2:15" ht="132.75" customHeight="1" x14ac:dyDescent="0.25">
      <c r="B4" s="905" t="s">
        <v>555</v>
      </c>
      <c r="C4" s="905"/>
      <c r="D4" s="905"/>
      <c r="E4" s="905"/>
      <c r="F4" s="905"/>
      <c r="G4" s="905"/>
      <c r="H4" s="905"/>
      <c r="I4" s="905"/>
      <c r="J4" s="905"/>
      <c r="K4" s="905"/>
      <c r="L4" s="905"/>
      <c r="M4" s="905"/>
      <c r="N4" s="905"/>
      <c r="O4" s="905"/>
    </row>
    <row r="5" spans="2:15" ht="15.75" thickBot="1" x14ac:dyDescent="0.3">
      <c r="C5" t="s">
        <v>726</v>
      </c>
    </row>
    <row r="6" spans="2:15" ht="48.75" thickBot="1" x14ac:dyDescent="0.35">
      <c r="B6" s="326" t="s">
        <v>556</v>
      </c>
      <c r="C6" s="513" t="s">
        <v>557</v>
      </c>
      <c r="D6" s="328" t="s">
        <v>558</v>
      </c>
      <c r="E6" s="328" t="s">
        <v>559</v>
      </c>
      <c r="F6" s="329" t="s">
        <v>560</v>
      </c>
      <c r="G6" s="374" t="s">
        <v>561</v>
      </c>
      <c r="H6" s="498" t="s">
        <v>562</v>
      </c>
      <c r="I6" s="499" t="s">
        <v>563</v>
      </c>
      <c r="J6" s="499" t="s">
        <v>564</v>
      </c>
      <c r="K6" s="134" t="s">
        <v>565</v>
      </c>
    </row>
    <row r="7" spans="2:15" ht="16.5" thickBot="1" x14ac:dyDescent="0.3">
      <c r="B7" s="330" t="s">
        <v>566</v>
      </c>
      <c r="C7" s="331">
        <v>1</v>
      </c>
      <c r="D7" s="332">
        <f>SUM(((C3*F3)/H3)*I3) / F3</f>
        <v>14.999999999999998</v>
      </c>
      <c r="E7" s="333">
        <f>SUM(C3-D7)</f>
        <v>85</v>
      </c>
      <c r="F7" s="514">
        <v>13491</v>
      </c>
      <c r="G7" s="334">
        <f>(F7*K2)/2.2</f>
        <v>24318.569986363633</v>
      </c>
      <c r="H7" s="506">
        <f>E7*1000</f>
        <v>85000</v>
      </c>
      <c r="I7" s="335">
        <f>G7</f>
        <v>24318.569986363633</v>
      </c>
      <c r="J7" s="523">
        <f>SUM(E7*F3*F7)/1000000</f>
        <v>2528.1149157</v>
      </c>
      <c r="K7" s="183">
        <f>J7/24</f>
        <v>105.3381214875</v>
      </c>
    </row>
    <row r="8" spans="2:15" ht="16.5" thickBot="1" x14ac:dyDescent="0.3">
      <c r="B8" s="336" t="s">
        <v>567</v>
      </c>
      <c r="C8" s="337"/>
      <c r="D8" s="515">
        <v>0.31519999999999998</v>
      </c>
      <c r="E8" s="338"/>
      <c r="F8" s="339" t="s">
        <v>568</v>
      </c>
      <c r="G8" s="338"/>
      <c r="H8" s="338"/>
      <c r="I8" s="338"/>
      <c r="J8" s="338"/>
      <c r="K8" s="338"/>
      <c r="L8" s="338"/>
      <c r="M8" s="134"/>
      <c r="N8" s="134"/>
      <c r="O8" s="134"/>
    </row>
    <row r="9" spans="2:15" ht="16.5" thickBot="1" x14ac:dyDescent="0.3">
      <c r="B9" s="336" t="s">
        <v>569</v>
      </c>
      <c r="C9" s="337"/>
      <c r="D9" s="515">
        <v>3.0000000000000001E-3</v>
      </c>
      <c r="E9" s="338"/>
      <c r="F9" s="340" t="s">
        <v>570</v>
      </c>
      <c r="G9" s="134"/>
      <c r="H9" s="134"/>
      <c r="I9" s="134"/>
      <c r="J9" s="134"/>
      <c r="K9" s="134"/>
      <c r="L9" s="134"/>
      <c r="M9" s="134"/>
      <c r="N9" s="134"/>
      <c r="O9" s="134"/>
    </row>
    <row r="10" spans="2:15" x14ac:dyDescent="0.25">
      <c r="L10" s="134"/>
      <c r="M10" s="134"/>
    </row>
    <row r="11" spans="2:15" x14ac:dyDescent="0.25">
      <c r="L11" s="134"/>
    </row>
    <row r="12" spans="2:15" ht="15.75" x14ac:dyDescent="0.25">
      <c r="B12" s="906" t="s">
        <v>571</v>
      </c>
      <c r="C12" s="906"/>
      <c r="L12" s="134"/>
    </row>
    <row r="13" spans="2:15" ht="15.75" x14ac:dyDescent="0.25">
      <c r="B13" s="495" t="s">
        <v>572</v>
      </c>
      <c r="C13" s="341">
        <f>C3</f>
        <v>100</v>
      </c>
    </row>
    <row r="14" spans="2:15" ht="16.5" thickBot="1" x14ac:dyDescent="0.3">
      <c r="B14" s="495" t="s">
        <v>573</v>
      </c>
      <c r="C14" s="341">
        <f>D7</f>
        <v>14.999999999999998</v>
      </c>
      <c r="E14" s="495" t="s">
        <v>574</v>
      </c>
    </row>
    <row r="15" spans="2:15" ht="16.5" thickTop="1" x14ac:dyDescent="0.25">
      <c r="B15" s="507" t="s">
        <v>575</v>
      </c>
      <c r="C15" s="508">
        <f>SUM(C13-C14)</f>
        <v>85</v>
      </c>
      <c r="E15" s="516">
        <f>'Data Sources'!C6</f>
        <v>365</v>
      </c>
    </row>
  </sheetData>
  <mergeCells count="2">
    <mergeCell ref="B4:O4"/>
    <mergeCell ref="B12:C12"/>
  </mergeCells>
  <dataValidations count="1">
    <dataValidation type="list" allowBlank="1" showInputMessage="1" showErrorMessage="1" sqref="C6" xr:uid="{A483BBD2-6127-4168-BA7A-7FABFC22830C}">
      <formula1>$AQ$6:$AQ$6</formula1>
    </dataValidation>
  </dataValidations>
  <hyperlinks>
    <hyperlink ref="F8" r:id="rId1" xr:uid="{6E6B7BE2-F47B-4A97-AC6E-F49107722129}"/>
    <hyperlink ref="F9" r:id="rId2" xr:uid="{2293B120-29FC-4EAD-8C1B-4F588C0DD125}"/>
  </hyperlinks>
  <pageMargins left="0.7" right="0.7" top="0.75" bottom="0.75" header="0.3" footer="0.3"/>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7BDB8-4F7B-4BD9-8E94-F2FB40414FA9}">
  <dimension ref="A1:W160"/>
  <sheetViews>
    <sheetView workbookViewId="0">
      <pane xSplit="9315" ySplit="1935" topLeftCell="F4" activePane="bottomLeft"/>
      <selection activeCell="G11" sqref="G11"/>
      <selection pane="topRight" activeCell="H3" sqref="H3"/>
      <selection pane="bottomLeft" activeCell="C3" sqref="C3"/>
      <selection pane="bottomRight" activeCell="F4" sqref="F4"/>
    </sheetView>
  </sheetViews>
  <sheetFormatPr defaultRowHeight="15" x14ac:dyDescent="0.25"/>
  <cols>
    <col min="1" max="1" width="24.7109375" customWidth="1"/>
    <col min="2" max="2" width="12.140625" customWidth="1"/>
    <col min="3" max="3" width="35.85546875" customWidth="1"/>
    <col min="4" max="5" width="12.28515625" customWidth="1"/>
    <col min="6" max="6" width="12.85546875" customWidth="1"/>
    <col min="7" max="7" width="13.42578125" customWidth="1"/>
    <col min="8" max="9" width="13.28515625" customWidth="1"/>
    <col min="10" max="10" width="12.7109375" customWidth="1"/>
    <col min="11" max="11" width="12.5703125" customWidth="1"/>
    <col min="12" max="12" width="13.28515625" customWidth="1"/>
    <col min="13" max="13" width="12.85546875" customWidth="1"/>
    <col min="14" max="14" width="13.42578125" customWidth="1"/>
    <col min="15" max="15" width="12.7109375" customWidth="1"/>
    <col min="16" max="16" width="14.28515625" customWidth="1"/>
    <col min="17" max="17" width="13.42578125" customWidth="1"/>
    <col min="18" max="18" width="12.5703125" customWidth="1"/>
    <col min="19" max="19" width="11.7109375" customWidth="1"/>
    <col min="22" max="23" width="14" bestFit="1" customWidth="1"/>
    <col min="35" max="35" width="13.7109375" customWidth="1"/>
  </cols>
  <sheetData>
    <row r="1" spans="1:23" x14ac:dyDescent="0.25">
      <c r="A1" s="907"/>
      <c r="B1" s="908"/>
      <c r="C1" s="909" t="s">
        <v>467</v>
      </c>
      <c r="D1" s="910"/>
      <c r="E1" s="286">
        <v>2.5000000000000001E-2</v>
      </c>
      <c r="F1" s="911" t="s">
        <v>468</v>
      </c>
      <c r="G1" s="911"/>
      <c r="H1" s="911"/>
      <c r="I1" s="911"/>
      <c r="J1" s="911"/>
      <c r="K1" s="911"/>
      <c r="L1" s="911"/>
      <c r="M1" s="911"/>
      <c r="N1" s="911"/>
      <c r="O1" s="911"/>
      <c r="P1" s="911"/>
    </row>
    <row r="2" spans="1:23" x14ac:dyDescent="0.25">
      <c r="F2" s="285">
        <v>0</v>
      </c>
      <c r="G2" s="285">
        <f>Inputs!K14</f>
        <v>0.01</v>
      </c>
      <c r="H2" s="285">
        <f>G2</f>
        <v>0.01</v>
      </c>
      <c r="I2" s="285">
        <f t="shared" ref="I2:P2" si="0">H2</f>
        <v>0.01</v>
      </c>
      <c r="J2" s="285">
        <f t="shared" si="0"/>
        <v>0.01</v>
      </c>
      <c r="K2" s="285">
        <f t="shared" si="0"/>
        <v>0.01</v>
      </c>
      <c r="L2" s="285">
        <f t="shared" si="0"/>
        <v>0.01</v>
      </c>
      <c r="M2" s="285">
        <f t="shared" si="0"/>
        <v>0.01</v>
      </c>
      <c r="N2" s="285">
        <f t="shared" si="0"/>
        <v>0.01</v>
      </c>
      <c r="O2" s="285">
        <f t="shared" si="0"/>
        <v>0.01</v>
      </c>
      <c r="P2" s="285">
        <f t="shared" si="0"/>
        <v>0.01</v>
      </c>
    </row>
    <row r="3" spans="1:23" ht="51.75" x14ac:dyDescent="0.25">
      <c r="A3" s="134" t="s">
        <v>909</v>
      </c>
      <c r="B3" s="138" t="s">
        <v>287</v>
      </c>
      <c r="C3" s="223" t="s">
        <v>288</v>
      </c>
      <c r="D3" s="223" t="s">
        <v>890</v>
      </c>
      <c r="E3" s="223" t="s">
        <v>891</v>
      </c>
      <c r="F3" s="224" t="s">
        <v>469</v>
      </c>
      <c r="G3" s="224" t="s">
        <v>470</v>
      </c>
      <c r="H3" s="766">
        <f>'Data Sources'!C1</f>
        <v>2026</v>
      </c>
      <c r="I3" s="225">
        <f>SUM(H3+1)</f>
        <v>2027</v>
      </c>
      <c r="J3" s="225">
        <f t="shared" ref="J3:R3" si="1">SUM(I3+1)</f>
        <v>2028</v>
      </c>
      <c r="K3" s="225">
        <f t="shared" si="1"/>
        <v>2029</v>
      </c>
      <c r="L3" s="225">
        <f t="shared" si="1"/>
        <v>2030</v>
      </c>
      <c r="M3" s="225">
        <f t="shared" si="1"/>
        <v>2031</v>
      </c>
      <c r="N3" s="225">
        <f t="shared" si="1"/>
        <v>2032</v>
      </c>
      <c r="O3" s="225">
        <f t="shared" si="1"/>
        <v>2033</v>
      </c>
      <c r="P3" s="225">
        <f t="shared" si="1"/>
        <v>2034</v>
      </c>
      <c r="Q3" s="225">
        <f t="shared" si="1"/>
        <v>2035</v>
      </c>
      <c r="R3" s="225">
        <f t="shared" si="1"/>
        <v>2036</v>
      </c>
      <c r="S3" s="661" t="s">
        <v>471</v>
      </c>
      <c r="T3" s="142" t="s">
        <v>896</v>
      </c>
      <c r="U3" s="142" t="s">
        <v>897</v>
      </c>
      <c r="V3" s="142" t="s">
        <v>905</v>
      </c>
      <c r="W3" s="142" t="s">
        <v>906</v>
      </c>
    </row>
    <row r="4" spans="1:23" x14ac:dyDescent="0.25">
      <c r="A4" s="226">
        <f>SUM(F4/2080)</f>
        <v>79.32692307692308</v>
      </c>
      <c r="B4" s="227">
        <v>1</v>
      </c>
      <c r="C4" s="287" t="s">
        <v>293</v>
      </c>
      <c r="D4" s="657" t="s">
        <v>266</v>
      </c>
      <c r="E4" s="657" t="s">
        <v>892</v>
      </c>
      <c r="F4" s="288">
        <v>165000</v>
      </c>
      <c r="G4" s="228">
        <f>F4</f>
        <v>165000</v>
      </c>
      <c r="H4" s="229">
        <f>(G4+(G4*$F$2))</f>
        <v>165000</v>
      </c>
      <c r="I4" s="229">
        <f>(H4+(H4*$G$2))</f>
        <v>166650</v>
      </c>
      <c r="J4" s="229">
        <f>(I4+(I4*$H$2))</f>
        <v>168316.5</v>
      </c>
      <c r="K4" s="229">
        <f>(J4+(J4*$I$2))</f>
        <v>169999.66500000001</v>
      </c>
      <c r="L4" s="229">
        <f>(K4+(K4*$J$2))</f>
        <v>171699.66164999999</v>
      </c>
      <c r="M4" s="229">
        <f>L4+(L4*$J$2)</f>
        <v>173416.65826649999</v>
      </c>
      <c r="N4" s="229">
        <f>M4+(M4*$L$2)</f>
        <v>175150.82484916499</v>
      </c>
      <c r="O4" s="229">
        <f>N4+(N4*$M$2)</f>
        <v>176902.33309765664</v>
      </c>
      <c r="P4" s="229">
        <f>O4+(O4*$N$2)</f>
        <v>178671.35642863321</v>
      </c>
      <c r="Q4" s="229">
        <f>P4+(P4*$O$2)</f>
        <v>180458.06999291954</v>
      </c>
      <c r="R4" s="229">
        <f>Q4+(Q4*$P$2)</f>
        <v>182262.65069284872</v>
      </c>
      <c r="S4" s="170">
        <f>IF($F4=0, 0, 1)</f>
        <v>1</v>
      </c>
      <c r="T4" s="170">
        <f>IF($D4="F", 1, 0)</f>
        <v>0</v>
      </c>
      <c r="U4" s="170">
        <f>IF($E4="DJB", 1, 0)</f>
        <v>0</v>
      </c>
      <c r="V4" s="666">
        <f>IF(D4="F", F4,0)</f>
        <v>0</v>
      </c>
      <c r="W4" s="666">
        <f>IF(E4="DJB", F4,0)</f>
        <v>0</v>
      </c>
    </row>
    <row r="5" spans="1:23" x14ac:dyDescent="0.25">
      <c r="A5" s="226">
        <f t="shared" ref="A5:A73" si="2">SUM(F5/2080)</f>
        <v>9.615384615384615</v>
      </c>
      <c r="B5" s="227">
        <f t="shared" ref="B5:B21" si="3">SUM(B4+1)</f>
        <v>2</v>
      </c>
      <c r="C5" s="287" t="s">
        <v>532</v>
      </c>
      <c r="D5" s="657" t="s">
        <v>894</v>
      </c>
      <c r="E5" s="657" t="s">
        <v>895</v>
      </c>
      <c r="F5" s="288">
        <v>20000</v>
      </c>
      <c r="G5" s="228">
        <f>F5</f>
        <v>20000</v>
      </c>
      <c r="H5" s="229">
        <f t="shared" ref="H5:H74" si="4">(G5+(G5*$F$2))</f>
        <v>20000</v>
      </c>
      <c r="I5" s="229">
        <f t="shared" ref="I5:I74" si="5">(H5+(H5*$G$2))</f>
        <v>20200</v>
      </c>
      <c r="J5" s="229">
        <f t="shared" ref="J5:J74" si="6">(I5+(I5*$H$2))</f>
        <v>20402</v>
      </c>
      <c r="K5" s="229">
        <f t="shared" ref="K5:K74" si="7">(J5+(J5*$I$2))</f>
        <v>20606.02</v>
      </c>
      <c r="L5" s="229">
        <f t="shared" ref="L5:L74" si="8">(K5+(K5*$J$2))</f>
        <v>20812.0802</v>
      </c>
      <c r="M5" s="229">
        <f t="shared" ref="M5:M74" si="9">L5+(L5*$J$2)</f>
        <v>21020.201002000002</v>
      </c>
      <c r="N5" s="229">
        <f t="shared" ref="N5:N74" si="10">M5+(M5*$L$2)</f>
        <v>21230.40301202</v>
      </c>
      <c r="O5" s="229">
        <f t="shared" ref="O5:O74" si="11">N5+(N5*$M$2)</f>
        <v>21442.707042140202</v>
      </c>
      <c r="P5" s="229">
        <f t="shared" ref="P5:P74" si="12">O5+(O5*$N$2)</f>
        <v>21657.134112561605</v>
      </c>
      <c r="Q5" s="229">
        <f t="shared" ref="Q5:Q74" si="13">P5+(P5*$O$2)</f>
        <v>21873.70545368722</v>
      </c>
      <c r="R5" s="229">
        <f t="shared" ref="R5:R74" si="14">Q5+(Q5*$P$2)</f>
        <v>22092.442508224092</v>
      </c>
      <c r="S5" s="170">
        <f t="shared" ref="S5:S74" si="15">IF($F5=0, 0, 1)</f>
        <v>1</v>
      </c>
      <c r="T5" s="170">
        <f t="shared" ref="T5:T73" si="16">IF($D5="F", 1, 0)</f>
        <v>1</v>
      </c>
      <c r="U5" s="170">
        <f t="shared" ref="U5:U73" si="17">IF($E5="DJB", 1, 0)</f>
        <v>1</v>
      </c>
      <c r="V5" s="666">
        <f>IF(D5="F", F5,0)</f>
        <v>20000</v>
      </c>
      <c r="W5" s="666">
        <f>IF(E5="DJB", F5,0)</f>
        <v>20000</v>
      </c>
    </row>
    <row r="6" spans="1:23" x14ac:dyDescent="0.25">
      <c r="A6" s="226">
        <f t="shared" si="2"/>
        <v>14.423076923076923</v>
      </c>
      <c r="B6" s="140">
        <f t="shared" si="3"/>
        <v>3</v>
      </c>
      <c r="C6" s="289" t="s">
        <v>531</v>
      </c>
      <c r="D6" s="657" t="s">
        <v>894</v>
      </c>
      <c r="E6" s="657" t="s">
        <v>895</v>
      </c>
      <c r="F6" s="288">
        <v>30000</v>
      </c>
      <c r="G6" s="228">
        <f>F6</f>
        <v>30000</v>
      </c>
      <c r="H6" s="229">
        <f t="shared" si="4"/>
        <v>30000</v>
      </c>
      <c r="I6" s="229">
        <f>(H6+(H6*$G$2))</f>
        <v>30300</v>
      </c>
      <c r="J6" s="229">
        <f>(I6+(I6*$H$2))</f>
        <v>30603</v>
      </c>
      <c r="K6" s="229">
        <f>(J6+(J6*$I$2))</f>
        <v>30909.03</v>
      </c>
      <c r="L6" s="229">
        <f>(K6+(K6*$J$2))</f>
        <v>31218.120299999999</v>
      </c>
      <c r="M6" s="229">
        <f>L6+(L6*$J$2)</f>
        <v>31530.301502999999</v>
      </c>
      <c r="N6" s="229">
        <f>M6+(M6*$L$2)</f>
        <v>31845.604518029999</v>
      </c>
      <c r="O6" s="229">
        <f>N6+(N6*$M$2)</f>
        <v>32164.0605632103</v>
      </c>
      <c r="P6" s="229">
        <f>O6+(O6*$N$2)</f>
        <v>32485.701168842403</v>
      </c>
      <c r="Q6" s="229">
        <f>P6+(P6*$O$2)</f>
        <v>32810.558180530825</v>
      </c>
      <c r="R6" s="229">
        <f>Q6+(Q6*$P$2)</f>
        <v>33138.663762336131</v>
      </c>
      <c r="S6" s="170">
        <f t="shared" si="15"/>
        <v>1</v>
      </c>
      <c r="T6" s="170">
        <f t="shared" si="16"/>
        <v>1</v>
      </c>
      <c r="U6" s="170">
        <f t="shared" si="17"/>
        <v>1</v>
      </c>
      <c r="V6" s="666">
        <f t="shared" ref="V6:V69" si="18">IF(D6="F", F6,0)</f>
        <v>30000</v>
      </c>
      <c r="W6" s="666">
        <f t="shared" ref="W6:W69" si="19">IF(E6="DJB", F6,0)</f>
        <v>30000</v>
      </c>
    </row>
    <row r="7" spans="1:23" x14ac:dyDescent="0.25">
      <c r="A7" s="226">
        <f t="shared" si="2"/>
        <v>14.423076923076923</v>
      </c>
      <c r="B7" s="140">
        <f>SUM(B6+1)</f>
        <v>4</v>
      </c>
      <c r="C7" s="289" t="s">
        <v>533</v>
      </c>
      <c r="D7" s="657" t="s">
        <v>894</v>
      </c>
      <c r="E7" s="657" t="s">
        <v>895</v>
      </c>
      <c r="F7" s="288">
        <v>30000</v>
      </c>
      <c r="G7" s="228">
        <f>F7</f>
        <v>30000</v>
      </c>
      <c r="H7" s="229">
        <f t="shared" si="4"/>
        <v>30000</v>
      </c>
      <c r="I7" s="229">
        <f t="shared" si="5"/>
        <v>30300</v>
      </c>
      <c r="J7" s="229">
        <f t="shared" si="6"/>
        <v>30603</v>
      </c>
      <c r="K7" s="229">
        <f t="shared" si="7"/>
        <v>30909.03</v>
      </c>
      <c r="L7" s="229">
        <f t="shared" si="8"/>
        <v>31218.120299999999</v>
      </c>
      <c r="M7" s="229">
        <f t="shared" si="9"/>
        <v>31530.301502999999</v>
      </c>
      <c r="N7" s="229">
        <f t="shared" si="10"/>
        <v>31845.604518029999</v>
      </c>
      <c r="O7" s="229">
        <f t="shared" si="11"/>
        <v>32164.0605632103</v>
      </c>
      <c r="P7" s="229">
        <f t="shared" si="12"/>
        <v>32485.701168842403</v>
      </c>
      <c r="Q7" s="229">
        <f t="shared" si="13"/>
        <v>32810.558180530825</v>
      </c>
      <c r="R7" s="229">
        <f t="shared" si="14"/>
        <v>33138.663762336131</v>
      </c>
      <c r="S7" s="170">
        <f t="shared" si="15"/>
        <v>1</v>
      </c>
      <c r="T7" s="170">
        <f t="shared" si="16"/>
        <v>1</v>
      </c>
      <c r="U7" s="170">
        <f t="shared" si="17"/>
        <v>1</v>
      </c>
      <c r="V7" s="666">
        <f t="shared" si="18"/>
        <v>30000</v>
      </c>
      <c r="W7" s="666">
        <f t="shared" si="19"/>
        <v>30000</v>
      </c>
    </row>
    <row r="8" spans="1:23" x14ac:dyDescent="0.25">
      <c r="A8" s="226">
        <f t="shared" si="2"/>
        <v>24.03846153846154</v>
      </c>
      <c r="B8" s="140">
        <f t="shared" si="3"/>
        <v>5</v>
      </c>
      <c r="C8" s="289" t="s">
        <v>903</v>
      </c>
      <c r="D8" s="657" t="s">
        <v>894</v>
      </c>
      <c r="E8" s="657" t="s">
        <v>895</v>
      </c>
      <c r="F8" s="288">
        <v>50000</v>
      </c>
      <c r="G8" s="228">
        <f>F8</f>
        <v>50000</v>
      </c>
      <c r="H8" s="229">
        <f t="shared" si="4"/>
        <v>50000</v>
      </c>
      <c r="I8" s="229">
        <f t="shared" si="5"/>
        <v>50500</v>
      </c>
      <c r="J8" s="229">
        <f t="shared" si="6"/>
        <v>51005</v>
      </c>
      <c r="K8" s="229">
        <f t="shared" si="7"/>
        <v>51515.05</v>
      </c>
      <c r="L8" s="229">
        <f t="shared" si="8"/>
        <v>52030.200500000006</v>
      </c>
      <c r="M8" s="229">
        <f t="shared" si="9"/>
        <v>52550.502505000004</v>
      </c>
      <c r="N8" s="229">
        <f t="shared" si="10"/>
        <v>53076.007530050003</v>
      </c>
      <c r="O8" s="229">
        <f t="shared" si="11"/>
        <v>53606.767605350506</v>
      </c>
      <c r="P8" s="229">
        <f t="shared" si="12"/>
        <v>54142.835281404012</v>
      </c>
      <c r="Q8" s="229">
        <f t="shared" si="13"/>
        <v>54684.263634218049</v>
      </c>
      <c r="R8" s="229">
        <f t="shared" si="14"/>
        <v>55231.106270560231</v>
      </c>
      <c r="S8" s="170">
        <f t="shared" si="15"/>
        <v>1</v>
      </c>
      <c r="T8" s="170">
        <f t="shared" si="16"/>
        <v>1</v>
      </c>
      <c r="U8" s="170">
        <f t="shared" si="17"/>
        <v>1</v>
      </c>
      <c r="V8" s="666">
        <f t="shared" si="18"/>
        <v>50000</v>
      </c>
      <c r="W8" s="666">
        <f t="shared" si="19"/>
        <v>50000</v>
      </c>
    </row>
    <row r="9" spans="1:23" x14ac:dyDescent="0.25">
      <c r="A9" s="226">
        <f t="shared" si="2"/>
        <v>24.03846153846154</v>
      </c>
      <c r="B9" s="140">
        <f t="shared" si="3"/>
        <v>6</v>
      </c>
      <c r="C9" s="289" t="s">
        <v>903</v>
      </c>
      <c r="D9" s="657" t="s">
        <v>894</v>
      </c>
      <c r="E9" s="657" t="s">
        <v>895</v>
      </c>
      <c r="F9" s="288">
        <v>50000</v>
      </c>
      <c r="G9" s="228">
        <f>SUM(F9*$E$1) + F9</f>
        <v>51250</v>
      </c>
      <c r="H9" s="229">
        <f t="shared" si="4"/>
        <v>51250</v>
      </c>
      <c r="I9" s="229">
        <f t="shared" si="5"/>
        <v>51762.5</v>
      </c>
      <c r="J9" s="229">
        <f t="shared" si="6"/>
        <v>52280.125</v>
      </c>
      <c r="K9" s="229">
        <f t="shared" si="7"/>
        <v>52802.926249999997</v>
      </c>
      <c r="L9" s="229">
        <f t="shared" si="8"/>
        <v>53330.955512499997</v>
      </c>
      <c r="M9" s="229">
        <f t="shared" si="9"/>
        <v>53864.265067624998</v>
      </c>
      <c r="N9" s="229">
        <f t="shared" si="10"/>
        <v>54402.907718301249</v>
      </c>
      <c r="O9" s="229">
        <f t="shared" si="11"/>
        <v>54946.93679548426</v>
      </c>
      <c r="P9" s="229">
        <f t="shared" si="12"/>
        <v>55496.406163439104</v>
      </c>
      <c r="Q9" s="229">
        <f t="shared" si="13"/>
        <v>56051.370225073493</v>
      </c>
      <c r="R9" s="229">
        <f t="shared" si="14"/>
        <v>56611.883927324227</v>
      </c>
      <c r="S9" s="170">
        <f t="shared" si="15"/>
        <v>1</v>
      </c>
      <c r="T9" s="170">
        <f t="shared" si="16"/>
        <v>1</v>
      </c>
      <c r="U9" s="170">
        <f t="shared" si="17"/>
        <v>1</v>
      </c>
      <c r="V9" s="666">
        <f t="shared" si="18"/>
        <v>50000</v>
      </c>
      <c r="W9" s="666">
        <f t="shared" si="19"/>
        <v>50000</v>
      </c>
    </row>
    <row r="10" spans="1:23" x14ac:dyDescent="0.25">
      <c r="A10" s="226">
        <f t="shared" ref="A10:A11" si="20">SUM(F10/2080)</f>
        <v>24.03846153846154</v>
      </c>
      <c r="B10" s="140">
        <f t="shared" si="3"/>
        <v>7</v>
      </c>
      <c r="C10" s="289" t="s">
        <v>903</v>
      </c>
      <c r="D10" s="657" t="s">
        <v>894</v>
      </c>
      <c r="E10" s="657" t="s">
        <v>895</v>
      </c>
      <c r="F10" s="288">
        <v>50000</v>
      </c>
      <c r="G10" s="228">
        <f t="shared" ref="G10:G11" si="21">SUM(F10*$E$1) + F10</f>
        <v>51250</v>
      </c>
      <c r="H10" s="229">
        <f t="shared" ref="H10:H11" si="22">(G10+(G10*$F$2))</f>
        <v>51250</v>
      </c>
      <c r="I10" s="229">
        <f t="shared" ref="I10:I11" si="23">(H10+(H10*$G$2))</f>
        <v>51762.5</v>
      </c>
      <c r="J10" s="229">
        <f t="shared" ref="J10:J11" si="24">(I10+(I10*$H$2))</f>
        <v>52280.125</v>
      </c>
      <c r="K10" s="229">
        <f t="shared" ref="K10:K11" si="25">(J10+(J10*$I$2))</f>
        <v>52802.926249999997</v>
      </c>
      <c r="L10" s="229">
        <f t="shared" ref="L10:L11" si="26">(K10+(K10*$J$2))</f>
        <v>53330.955512499997</v>
      </c>
      <c r="M10" s="229">
        <f t="shared" ref="M10:M11" si="27">L10+(L10*$J$2)</f>
        <v>53864.265067624998</v>
      </c>
      <c r="N10" s="229">
        <f t="shared" ref="N10:N11" si="28">M10+(M10*$L$2)</f>
        <v>54402.907718301249</v>
      </c>
      <c r="O10" s="229">
        <f t="shared" ref="O10:O11" si="29">N10+(N10*$M$2)</f>
        <v>54946.93679548426</v>
      </c>
      <c r="P10" s="229">
        <f t="shared" ref="P10:P11" si="30">O10+(O10*$N$2)</f>
        <v>55496.406163439104</v>
      </c>
      <c r="Q10" s="229">
        <f t="shared" ref="Q10:Q11" si="31">P10+(P10*$O$2)</f>
        <v>56051.370225073493</v>
      </c>
      <c r="R10" s="229">
        <f t="shared" ref="R10:R11" si="32">Q10+(Q10*$P$2)</f>
        <v>56611.883927324227</v>
      </c>
      <c r="S10" s="170">
        <f t="shared" si="15"/>
        <v>1</v>
      </c>
      <c r="T10" s="170">
        <f t="shared" si="16"/>
        <v>1</v>
      </c>
      <c r="U10" s="170">
        <f t="shared" si="17"/>
        <v>1</v>
      </c>
      <c r="V10" s="666">
        <f t="shared" si="18"/>
        <v>50000</v>
      </c>
      <c r="W10" s="666">
        <f t="shared" si="19"/>
        <v>50000</v>
      </c>
    </row>
    <row r="11" spans="1:23" x14ac:dyDescent="0.25">
      <c r="A11" s="226">
        <f t="shared" si="20"/>
        <v>24.03846153846154</v>
      </c>
      <c r="B11" s="140">
        <f t="shared" si="3"/>
        <v>8</v>
      </c>
      <c r="C11" s="289" t="s">
        <v>903</v>
      </c>
      <c r="D11" s="657" t="s">
        <v>893</v>
      </c>
      <c r="E11" s="657" t="s">
        <v>895</v>
      </c>
      <c r="F11" s="288">
        <v>50000</v>
      </c>
      <c r="G11" s="228">
        <f t="shared" si="21"/>
        <v>51250</v>
      </c>
      <c r="H11" s="229">
        <f t="shared" si="22"/>
        <v>51250</v>
      </c>
      <c r="I11" s="229">
        <f t="shared" si="23"/>
        <v>51762.5</v>
      </c>
      <c r="J11" s="229">
        <f t="shared" si="24"/>
        <v>52280.125</v>
      </c>
      <c r="K11" s="229">
        <f t="shared" si="25"/>
        <v>52802.926249999997</v>
      </c>
      <c r="L11" s="229">
        <f t="shared" si="26"/>
        <v>53330.955512499997</v>
      </c>
      <c r="M11" s="229">
        <f t="shared" si="27"/>
        <v>53864.265067624998</v>
      </c>
      <c r="N11" s="229">
        <f t="shared" si="28"/>
        <v>54402.907718301249</v>
      </c>
      <c r="O11" s="229">
        <f t="shared" si="29"/>
        <v>54946.93679548426</v>
      </c>
      <c r="P11" s="229">
        <f t="shared" si="30"/>
        <v>55496.406163439104</v>
      </c>
      <c r="Q11" s="229">
        <f t="shared" si="31"/>
        <v>56051.370225073493</v>
      </c>
      <c r="R11" s="229">
        <f t="shared" si="32"/>
        <v>56611.883927324227</v>
      </c>
      <c r="S11" s="170">
        <f t="shared" si="15"/>
        <v>1</v>
      </c>
      <c r="T11" s="170">
        <f t="shared" si="16"/>
        <v>0</v>
      </c>
      <c r="U11" s="170">
        <f t="shared" si="17"/>
        <v>1</v>
      </c>
      <c r="V11" s="666">
        <f t="shared" si="18"/>
        <v>0</v>
      </c>
      <c r="W11" s="666">
        <f t="shared" si="19"/>
        <v>50000</v>
      </c>
    </row>
    <row r="12" spans="1:23" x14ac:dyDescent="0.25">
      <c r="A12" s="226">
        <f t="shared" si="2"/>
        <v>0</v>
      </c>
      <c r="B12" s="140">
        <f t="shared" si="3"/>
        <v>9</v>
      </c>
      <c r="C12" s="289" t="s">
        <v>472</v>
      </c>
      <c r="D12" s="658"/>
      <c r="E12" s="657" t="s">
        <v>266</v>
      </c>
      <c r="F12" s="288">
        <v>0</v>
      </c>
      <c r="G12" s="228">
        <f>F12</f>
        <v>0</v>
      </c>
      <c r="H12" s="229">
        <f t="shared" si="4"/>
        <v>0</v>
      </c>
      <c r="I12" s="229">
        <f t="shared" si="5"/>
        <v>0</v>
      </c>
      <c r="J12" s="229">
        <f t="shared" si="6"/>
        <v>0</v>
      </c>
      <c r="K12" s="229">
        <f t="shared" si="7"/>
        <v>0</v>
      </c>
      <c r="L12" s="229">
        <f t="shared" si="8"/>
        <v>0</v>
      </c>
      <c r="M12" s="229">
        <f t="shared" si="9"/>
        <v>0</v>
      </c>
      <c r="N12" s="229">
        <f t="shared" si="10"/>
        <v>0</v>
      </c>
      <c r="O12" s="229">
        <f t="shared" si="11"/>
        <v>0</v>
      </c>
      <c r="P12" s="229">
        <f t="shared" si="12"/>
        <v>0</v>
      </c>
      <c r="Q12" s="229">
        <f t="shared" si="13"/>
        <v>0</v>
      </c>
      <c r="R12" s="229">
        <f t="shared" si="14"/>
        <v>0</v>
      </c>
      <c r="S12" s="170">
        <f t="shared" si="15"/>
        <v>0</v>
      </c>
      <c r="T12" s="170">
        <f t="shared" si="16"/>
        <v>0</v>
      </c>
      <c r="U12" s="170">
        <f t="shared" si="17"/>
        <v>0</v>
      </c>
      <c r="V12" s="666">
        <f t="shared" si="18"/>
        <v>0</v>
      </c>
      <c r="W12" s="666">
        <f t="shared" si="19"/>
        <v>0</v>
      </c>
    </row>
    <row r="13" spans="1:23" x14ac:dyDescent="0.25">
      <c r="A13" s="226">
        <f t="shared" si="2"/>
        <v>38.46153846153846</v>
      </c>
      <c r="B13" s="140">
        <f t="shared" si="3"/>
        <v>10</v>
      </c>
      <c r="C13" s="289" t="s">
        <v>473</v>
      </c>
      <c r="D13" s="657" t="s">
        <v>266</v>
      </c>
      <c r="E13" s="657" t="s">
        <v>892</v>
      </c>
      <c r="F13" s="288">
        <v>80000</v>
      </c>
      <c r="G13" s="228">
        <f>SUM(F13*$E$1) + F13</f>
        <v>82000</v>
      </c>
      <c r="H13" s="229">
        <f t="shared" si="4"/>
        <v>82000</v>
      </c>
      <c r="I13" s="229">
        <f t="shared" si="5"/>
        <v>82820</v>
      </c>
      <c r="J13" s="229">
        <f t="shared" si="6"/>
        <v>83648.2</v>
      </c>
      <c r="K13" s="229">
        <f t="shared" si="7"/>
        <v>84484.682000000001</v>
      </c>
      <c r="L13" s="229">
        <f t="shared" si="8"/>
        <v>85329.528820000007</v>
      </c>
      <c r="M13" s="229">
        <f t="shared" si="9"/>
        <v>86182.824108200002</v>
      </c>
      <c r="N13" s="229">
        <f t="shared" si="10"/>
        <v>87044.652349281998</v>
      </c>
      <c r="O13" s="229">
        <f t="shared" si="11"/>
        <v>87915.098872774819</v>
      </c>
      <c r="P13" s="229">
        <f t="shared" si="12"/>
        <v>88794.249861502569</v>
      </c>
      <c r="Q13" s="229">
        <f t="shared" si="13"/>
        <v>89682.192360117595</v>
      </c>
      <c r="R13" s="229">
        <f t="shared" si="14"/>
        <v>90579.014283718774</v>
      </c>
      <c r="S13" s="170">
        <f t="shared" si="15"/>
        <v>1</v>
      </c>
      <c r="T13" s="170">
        <f t="shared" si="16"/>
        <v>0</v>
      </c>
      <c r="U13" s="170">
        <f t="shared" si="17"/>
        <v>0</v>
      </c>
      <c r="V13" s="666">
        <f t="shared" si="18"/>
        <v>0</v>
      </c>
      <c r="W13" s="666">
        <f t="shared" si="19"/>
        <v>0</v>
      </c>
    </row>
    <row r="14" spans="1:23" x14ac:dyDescent="0.25">
      <c r="A14" s="226">
        <f t="shared" si="2"/>
        <v>45.67307692307692</v>
      </c>
      <c r="B14" s="230">
        <f t="shared" si="3"/>
        <v>11</v>
      </c>
      <c r="C14" s="289" t="s">
        <v>480</v>
      </c>
      <c r="D14" s="657" t="s">
        <v>266</v>
      </c>
      <c r="E14" s="657" t="s">
        <v>892</v>
      </c>
      <c r="F14" s="288">
        <v>95000</v>
      </c>
      <c r="G14" s="228">
        <f>SUM(F14*$E$1) + F14</f>
        <v>97375</v>
      </c>
      <c r="H14" s="229">
        <f t="shared" si="4"/>
        <v>97375</v>
      </c>
      <c r="I14" s="229">
        <f t="shared" si="5"/>
        <v>98348.75</v>
      </c>
      <c r="J14" s="229">
        <f t="shared" si="6"/>
        <v>99332.237500000003</v>
      </c>
      <c r="K14" s="229">
        <f t="shared" si="7"/>
        <v>100325.55987500001</v>
      </c>
      <c r="L14" s="229">
        <f t="shared" si="8"/>
        <v>101328.81547375</v>
      </c>
      <c r="M14" s="229">
        <f t="shared" si="9"/>
        <v>102342.1036284875</v>
      </c>
      <c r="N14" s="229">
        <f t="shared" si="10"/>
        <v>103365.52466477237</v>
      </c>
      <c r="O14" s="229">
        <f t="shared" si="11"/>
        <v>104399.1799114201</v>
      </c>
      <c r="P14" s="229">
        <f t="shared" si="12"/>
        <v>105443.1717105343</v>
      </c>
      <c r="Q14" s="229">
        <f t="shared" si="13"/>
        <v>106497.60342763964</v>
      </c>
      <c r="R14" s="229">
        <f t="shared" si="14"/>
        <v>107562.57946191603</v>
      </c>
      <c r="S14" s="170">
        <f t="shared" si="15"/>
        <v>1</v>
      </c>
      <c r="T14" s="170">
        <f t="shared" si="16"/>
        <v>0</v>
      </c>
      <c r="U14" s="170">
        <f t="shared" si="17"/>
        <v>0</v>
      </c>
      <c r="V14" s="666">
        <f t="shared" si="18"/>
        <v>0</v>
      </c>
      <c r="W14" s="666">
        <f t="shared" si="19"/>
        <v>0</v>
      </c>
    </row>
    <row r="15" spans="1:23" ht="14.65" customHeight="1" x14ac:dyDescent="0.25">
      <c r="A15" s="226">
        <f t="shared" si="2"/>
        <v>26.442307692307693</v>
      </c>
      <c r="B15" s="230">
        <f t="shared" si="3"/>
        <v>12</v>
      </c>
      <c r="C15" s="289" t="s">
        <v>441</v>
      </c>
      <c r="D15" s="657" t="s">
        <v>266</v>
      </c>
      <c r="E15" s="657" t="s">
        <v>892</v>
      </c>
      <c r="F15" s="288">
        <v>55000</v>
      </c>
      <c r="G15" s="228">
        <f t="shared" ref="G15:G20" si="33">F15</f>
        <v>55000</v>
      </c>
      <c r="H15" s="229">
        <f t="shared" si="4"/>
        <v>55000</v>
      </c>
      <c r="I15" s="229">
        <f t="shared" si="5"/>
        <v>55550</v>
      </c>
      <c r="J15" s="229">
        <f t="shared" si="6"/>
        <v>56105.5</v>
      </c>
      <c r="K15" s="229">
        <f t="shared" si="7"/>
        <v>56666.555</v>
      </c>
      <c r="L15" s="229">
        <f t="shared" si="8"/>
        <v>57233.220549999998</v>
      </c>
      <c r="M15" s="229">
        <f t="shared" si="9"/>
        <v>57805.552755500001</v>
      </c>
      <c r="N15" s="229">
        <f t="shared" si="10"/>
        <v>58383.608283055</v>
      </c>
      <c r="O15" s="229">
        <f t="shared" si="11"/>
        <v>58967.444365885553</v>
      </c>
      <c r="P15" s="229">
        <f t="shared" si="12"/>
        <v>59557.118809544409</v>
      </c>
      <c r="Q15" s="229">
        <f t="shared" si="13"/>
        <v>60152.689997639856</v>
      </c>
      <c r="R15" s="229">
        <f t="shared" si="14"/>
        <v>60754.216897616257</v>
      </c>
      <c r="S15" s="170">
        <f t="shared" si="15"/>
        <v>1</v>
      </c>
      <c r="T15" s="170">
        <f t="shared" si="16"/>
        <v>0</v>
      </c>
      <c r="U15" s="170">
        <f t="shared" si="17"/>
        <v>0</v>
      </c>
      <c r="V15" s="666">
        <f t="shared" si="18"/>
        <v>0</v>
      </c>
      <c r="W15" s="666">
        <f t="shared" si="19"/>
        <v>0</v>
      </c>
    </row>
    <row r="16" spans="1:23" x14ac:dyDescent="0.25">
      <c r="A16" s="226">
        <f t="shared" si="2"/>
        <v>19.23076923076923</v>
      </c>
      <c r="B16" s="230">
        <f t="shared" si="3"/>
        <v>13</v>
      </c>
      <c r="C16" s="289" t="s">
        <v>441</v>
      </c>
      <c r="D16" s="658" t="s">
        <v>893</v>
      </c>
      <c r="E16" s="657" t="s">
        <v>895</v>
      </c>
      <c r="F16" s="288">
        <v>40000</v>
      </c>
      <c r="G16" s="228">
        <f t="shared" si="33"/>
        <v>40000</v>
      </c>
      <c r="H16" s="229">
        <f t="shared" si="4"/>
        <v>40000</v>
      </c>
      <c r="I16" s="229">
        <f t="shared" si="5"/>
        <v>40400</v>
      </c>
      <c r="J16" s="229">
        <f t="shared" si="6"/>
        <v>40804</v>
      </c>
      <c r="K16" s="229">
        <f t="shared" si="7"/>
        <v>41212.04</v>
      </c>
      <c r="L16" s="229">
        <f t="shared" si="8"/>
        <v>41624.160400000001</v>
      </c>
      <c r="M16" s="229">
        <f t="shared" si="9"/>
        <v>42040.402004000003</v>
      </c>
      <c r="N16" s="229">
        <f t="shared" si="10"/>
        <v>42460.806024040001</v>
      </c>
      <c r="O16" s="229">
        <f t="shared" si="11"/>
        <v>42885.414084280404</v>
      </c>
      <c r="P16" s="229">
        <f t="shared" si="12"/>
        <v>43314.268225123211</v>
      </c>
      <c r="Q16" s="229">
        <f t="shared" si="13"/>
        <v>43747.41090737444</v>
      </c>
      <c r="R16" s="229">
        <f t="shared" si="14"/>
        <v>44184.885016448185</v>
      </c>
      <c r="S16" s="170">
        <f t="shared" si="15"/>
        <v>1</v>
      </c>
      <c r="T16" s="170">
        <f t="shared" si="16"/>
        <v>0</v>
      </c>
      <c r="U16" s="170">
        <f t="shared" si="17"/>
        <v>1</v>
      </c>
      <c r="V16" s="666">
        <f t="shared" si="18"/>
        <v>0</v>
      </c>
      <c r="W16" s="666">
        <f t="shared" si="19"/>
        <v>40000</v>
      </c>
    </row>
    <row r="17" spans="1:23" x14ac:dyDescent="0.25">
      <c r="A17" s="226">
        <f t="shared" si="2"/>
        <v>19.23076923076923</v>
      </c>
      <c r="B17" s="230">
        <f t="shared" si="3"/>
        <v>14</v>
      </c>
      <c r="C17" s="289" t="s">
        <v>441</v>
      </c>
      <c r="D17" s="658" t="s">
        <v>893</v>
      </c>
      <c r="E17" s="657" t="s">
        <v>895</v>
      </c>
      <c r="F17" s="288">
        <v>40000</v>
      </c>
      <c r="G17" s="228">
        <f t="shared" si="33"/>
        <v>40000</v>
      </c>
      <c r="H17" s="229">
        <f t="shared" si="4"/>
        <v>40000</v>
      </c>
      <c r="I17" s="229">
        <f t="shared" si="5"/>
        <v>40400</v>
      </c>
      <c r="J17" s="229">
        <f t="shared" si="6"/>
        <v>40804</v>
      </c>
      <c r="K17" s="229">
        <f t="shared" si="7"/>
        <v>41212.04</v>
      </c>
      <c r="L17" s="229">
        <f t="shared" si="8"/>
        <v>41624.160400000001</v>
      </c>
      <c r="M17" s="229">
        <f t="shared" si="9"/>
        <v>42040.402004000003</v>
      </c>
      <c r="N17" s="229">
        <f t="shared" si="10"/>
        <v>42460.806024040001</v>
      </c>
      <c r="O17" s="229">
        <f t="shared" si="11"/>
        <v>42885.414084280404</v>
      </c>
      <c r="P17" s="229">
        <f t="shared" si="12"/>
        <v>43314.268225123211</v>
      </c>
      <c r="Q17" s="229">
        <f t="shared" si="13"/>
        <v>43747.41090737444</v>
      </c>
      <c r="R17" s="229">
        <f t="shared" si="14"/>
        <v>44184.885016448185</v>
      </c>
      <c r="S17" s="170">
        <f t="shared" si="15"/>
        <v>1</v>
      </c>
      <c r="T17" s="170">
        <f t="shared" si="16"/>
        <v>0</v>
      </c>
      <c r="U17" s="170">
        <f t="shared" si="17"/>
        <v>1</v>
      </c>
      <c r="V17" s="666">
        <f t="shared" si="18"/>
        <v>0</v>
      </c>
      <c r="W17" s="666">
        <f t="shared" si="19"/>
        <v>40000</v>
      </c>
    </row>
    <row r="18" spans="1:23" x14ac:dyDescent="0.25">
      <c r="A18" s="226">
        <f t="shared" si="2"/>
        <v>16.826923076923077</v>
      </c>
      <c r="B18" s="230">
        <f t="shared" si="3"/>
        <v>15</v>
      </c>
      <c r="C18" s="289" t="s">
        <v>441</v>
      </c>
      <c r="D18" s="658" t="s">
        <v>893</v>
      </c>
      <c r="E18" s="657" t="s">
        <v>895</v>
      </c>
      <c r="F18" s="288">
        <v>35000</v>
      </c>
      <c r="G18" s="228">
        <f t="shared" si="33"/>
        <v>35000</v>
      </c>
      <c r="H18" s="229">
        <f t="shared" si="4"/>
        <v>35000</v>
      </c>
      <c r="I18" s="229">
        <f t="shared" si="5"/>
        <v>35350</v>
      </c>
      <c r="J18" s="229">
        <f t="shared" si="6"/>
        <v>35703.5</v>
      </c>
      <c r="K18" s="229">
        <f t="shared" si="7"/>
        <v>36060.535000000003</v>
      </c>
      <c r="L18" s="229">
        <f t="shared" si="8"/>
        <v>36421.140350000001</v>
      </c>
      <c r="M18" s="229">
        <f t="shared" si="9"/>
        <v>36785.351753499999</v>
      </c>
      <c r="N18" s="229">
        <f t="shared" si="10"/>
        <v>37153.205271034996</v>
      </c>
      <c r="O18" s="229">
        <f t="shared" si="11"/>
        <v>37524.737323745343</v>
      </c>
      <c r="P18" s="229">
        <f t="shared" si="12"/>
        <v>37899.9846969828</v>
      </c>
      <c r="Q18" s="229">
        <f t="shared" si="13"/>
        <v>38278.984543952625</v>
      </c>
      <c r="R18" s="229">
        <f t="shared" si="14"/>
        <v>38661.774389392151</v>
      </c>
      <c r="S18" s="170">
        <f t="shared" si="15"/>
        <v>1</v>
      </c>
      <c r="T18" s="170">
        <f t="shared" si="16"/>
        <v>0</v>
      </c>
      <c r="U18" s="170">
        <f t="shared" si="17"/>
        <v>1</v>
      </c>
      <c r="V18" s="666">
        <f t="shared" si="18"/>
        <v>0</v>
      </c>
      <c r="W18" s="666">
        <f t="shared" si="19"/>
        <v>35000</v>
      </c>
    </row>
    <row r="19" spans="1:23" x14ac:dyDescent="0.25">
      <c r="A19" s="226">
        <f t="shared" si="2"/>
        <v>16.826923076923077</v>
      </c>
      <c r="B19" s="230">
        <f t="shared" si="3"/>
        <v>16</v>
      </c>
      <c r="C19" s="289" t="s">
        <v>441</v>
      </c>
      <c r="D19" s="658" t="s">
        <v>893</v>
      </c>
      <c r="E19" s="657" t="s">
        <v>895</v>
      </c>
      <c r="F19" s="288">
        <v>35000</v>
      </c>
      <c r="G19" s="228">
        <f t="shared" si="33"/>
        <v>35000</v>
      </c>
      <c r="H19" s="229">
        <f t="shared" si="4"/>
        <v>35000</v>
      </c>
      <c r="I19" s="229">
        <f t="shared" si="5"/>
        <v>35350</v>
      </c>
      <c r="J19" s="229">
        <f t="shared" si="6"/>
        <v>35703.5</v>
      </c>
      <c r="K19" s="229">
        <f t="shared" si="7"/>
        <v>36060.535000000003</v>
      </c>
      <c r="L19" s="229">
        <f t="shared" si="8"/>
        <v>36421.140350000001</v>
      </c>
      <c r="M19" s="229">
        <f t="shared" si="9"/>
        <v>36785.351753499999</v>
      </c>
      <c r="N19" s="229">
        <f t="shared" si="10"/>
        <v>37153.205271034996</v>
      </c>
      <c r="O19" s="229">
        <f t="shared" si="11"/>
        <v>37524.737323745343</v>
      </c>
      <c r="P19" s="229">
        <f t="shared" si="12"/>
        <v>37899.9846969828</v>
      </c>
      <c r="Q19" s="229">
        <f t="shared" si="13"/>
        <v>38278.984543952625</v>
      </c>
      <c r="R19" s="229">
        <f t="shared" si="14"/>
        <v>38661.774389392151</v>
      </c>
      <c r="S19" s="170">
        <f t="shared" si="15"/>
        <v>1</v>
      </c>
      <c r="T19" s="170">
        <f t="shared" si="16"/>
        <v>0</v>
      </c>
      <c r="U19" s="170">
        <f t="shared" si="17"/>
        <v>1</v>
      </c>
      <c r="V19" s="666">
        <f t="shared" si="18"/>
        <v>0</v>
      </c>
      <c r="W19" s="666">
        <f t="shared" si="19"/>
        <v>35000</v>
      </c>
    </row>
    <row r="20" spans="1:23" x14ac:dyDescent="0.25">
      <c r="A20" s="226">
        <f t="shared" si="2"/>
        <v>16.826923076923077</v>
      </c>
      <c r="B20" s="230">
        <f t="shared" si="3"/>
        <v>17</v>
      </c>
      <c r="C20" s="289" t="s">
        <v>441</v>
      </c>
      <c r="D20" s="658" t="s">
        <v>894</v>
      </c>
      <c r="E20" s="657" t="s">
        <v>895</v>
      </c>
      <c r="F20" s="288">
        <v>35000</v>
      </c>
      <c r="G20" s="228">
        <f t="shared" si="33"/>
        <v>35000</v>
      </c>
      <c r="H20" s="229">
        <f t="shared" si="4"/>
        <v>35000</v>
      </c>
      <c r="I20" s="229">
        <f t="shared" si="5"/>
        <v>35350</v>
      </c>
      <c r="J20" s="229">
        <f t="shared" si="6"/>
        <v>35703.5</v>
      </c>
      <c r="K20" s="229">
        <f t="shared" si="7"/>
        <v>36060.535000000003</v>
      </c>
      <c r="L20" s="229">
        <f t="shared" si="8"/>
        <v>36421.140350000001</v>
      </c>
      <c r="M20" s="229">
        <f t="shared" si="9"/>
        <v>36785.351753499999</v>
      </c>
      <c r="N20" s="229">
        <f t="shared" si="10"/>
        <v>37153.205271034996</v>
      </c>
      <c r="O20" s="229">
        <f t="shared" si="11"/>
        <v>37524.737323745343</v>
      </c>
      <c r="P20" s="229">
        <f t="shared" si="12"/>
        <v>37899.9846969828</v>
      </c>
      <c r="Q20" s="229">
        <f t="shared" si="13"/>
        <v>38278.984543952625</v>
      </c>
      <c r="R20" s="229">
        <f t="shared" si="14"/>
        <v>38661.774389392151</v>
      </c>
      <c r="S20" s="170">
        <f t="shared" si="15"/>
        <v>1</v>
      </c>
      <c r="T20" s="170">
        <f t="shared" si="16"/>
        <v>1</v>
      </c>
      <c r="U20" s="170">
        <f t="shared" si="17"/>
        <v>1</v>
      </c>
      <c r="V20" s="666">
        <f t="shared" si="18"/>
        <v>35000</v>
      </c>
      <c r="W20" s="666">
        <f t="shared" si="19"/>
        <v>35000</v>
      </c>
    </row>
    <row r="21" spans="1:23" ht="18" customHeight="1" x14ac:dyDescent="0.25">
      <c r="A21" s="226">
        <f t="shared" si="2"/>
        <v>16.826923076923077</v>
      </c>
      <c r="B21" s="230">
        <f t="shared" si="3"/>
        <v>18</v>
      </c>
      <c r="C21" s="289" t="s">
        <v>441</v>
      </c>
      <c r="D21" s="658" t="s">
        <v>894</v>
      </c>
      <c r="E21" s="657" t="s">
        <v>895</v>
      </c>
      <c r="F21" s="288">
        <v>35000</v>
      </c>
      <c r="G21" s="228">
        <f t="shared" ref="G21" si="34">SUM(F21*$E$1) + F21</f>
        <v>35875</v>
      </c>
      <c r="H21" s="229">
        <f t="shared" si="4"/>
        <v>35875</v>
      </c>
      <c r="I21" s="229">
        <f t="shared" si="5"/>
        <v>36233.75</v>
      </c>
      <c r="J21" s="229">
        <f t="shared" si="6"/>
        <v>36596.087500000001</v>
      </c>
      <c r="K21" s="229">
        <f t="shared" si="7"/>
        <v>36962.048374999998</v>
      </c>
      <c r="L21" s="229">
        <f t="shared" si="8"/>
        <v>37331.668858749996</v>
      </c>
      <c r="M21" s="229">
        <f t="shared" si="9"/>
        <v>37704.985547337499</v>
      </c>
      <c r="N21" s="229">
        <f t="shared" si="10"/>
        <v>38082.035402810878</v>
      </c>
      <c r="O21" s="229">
        <f t="shared" si="11"/>
        <v>38462.855756838988</v>
      </c>
      <c r="P21" s="229">
        <f t="shared" si="12"/>
        <v>38847.484314407375</v>
      </c>
      <c r="Q21" s="229">
        <f t="shared" si="13"/>
        <v>39235.95915755145</v>
      </c>
      <c r="R21" s="229">
        <f t="shared" si="14"/>
        <v>39628.318749126964</v>
      </c>
      <c r="S21" s="170">
        <f t="shared" si="15"/>
        <v>1</v>
      </c>
      <c r="T21" s="170">
        <f t="shared" si="16"/>
        <v>1</v>
      </c>
      <c r="U21" s="170">
        <f t="shared" si="17"/>
        <v>1</v>
      </c>
      <c r="V21" s="666">
        <f t="shared" si="18"/>
        <v>35000</v>
      </c>
      <c r="W21" s="666">
        <f t="shared" si="19"/>
        <v>35000</v>
      </c>
    </row>
    <row r="22" spans="1:23" x14ac:dyDescent="0.25">
      <c r="A22" s="226">
        <f t="shared" ref="A22:A58" si="35">SUM(F22/2080)</f>
        <v>40.865384615384613</v>
      </c>
      <c r="B22" s="231">
        <f t="shared" ref="B22:B47" si="36">SUM(B21+1)</f>
        <v>19</v>
      </c>
      <c r="C22" s="289" t="s">
        <v>295</v>
      </c>
      <c r="D22" s="657" t="s">
        <v>266</v>
      </c>
      <c r="E22" s="657" t="s">
        <v>892</v>
      </c>
      <c r="F22" s="288">
        <v>85000</v>
      </c>
      <c r="G22" s="228">
        <f t="shared" ref="G22:G37" si="37">SUM(F22*$E$1) + F22</f>
        <v>87125</v>
      </c>
      <c r="H22" s="229">
        <f t="shared" si="4"/>
        <v>87125</v>
      </c>
      <c r="I22" s="229">
        <f t="shared" si="5"/>
        <v>87996.25</v>
      </c>
      <c r="J22" s="229">
        <f t="shared" si="6"/>
        <v>88876.212499999994</v>
      </c>
      <c r="K22" s="229">
        <f t="shared" si="7"/>
        <v>89764.974624999988</v>
      </c>
      <c r="L22" s="229">
        <f t="shared" si="8"/>
        <v>90662.624371249985</v>
      </c>
      <c r="M22" s="229">
        <f t="shared" si="9"/>
        <v>91569.250614962482</v>
      </c>
      <c r="N22" s="229">
        <f t="shared" si="10"/>
        <v>92484.943121112112</v>
      </c>
      <c r="O22" s="229">
        <f t="shared" si="11"/>
        <v>93409.792552323226</v>
      </c>
      <c r="P22" s="229">
        <f t="shared" si="12"/>
        <v>94343.890477846464</v>
      </c>
      <c r="Q22" s="229">
        <f t="shared" si="13"/>
        <v>95287.329382624928</v>
      </c>
      <c r="R22" s="229">
        <f t="shared" si="14"/>
        <v>96240.202676451183</v>
      </c>
      <c r="S22" s="170">
        <f t="shared" ref="S22:S58" si="38">IF($F22=0, 0, 1)</f>
        <v>1</v>
      </c>
      <c r="T22" s="170">
        <f t="shared" si="16"/>
        <v>0</v>
      </c>
      <c r="U22" s="170">
        <f t="shared" si="17"/>
        <v>0</v>
      </c>
      <c r="V22" s="666">
        <f t="shared" si="18"/>
        <v>0</v>
      </c>
      <c r="W22" s="666">
        <f t="shared" si="19"/>
        <v>0</v>
      </c>
    </row>
    <row r="23" spans="1:23" x14ac:dyDescent="0.25">
      <c r="A23" s="226">
        <f t="shared" si="35"/>
        <v>16.826923076923077</v>
      </c>
      <c r="B23" s="231">
        <f t="shared" si="36"/>
        <v>20</v>
      </c>
      <c r="C23" s="289" t="s">
        <v>448</v>
      </c>
      <c r="D23" s="657" t="s">
        <v>893</v>
      </c>
      <c r="E23" s="657" t="s">
        <v>895</v>
      </c>
      <c r="F23" s="288">
        <v>35000</v>
      </c>
      <c r="G23" s="228">
        <f t="shared" si="37"/>
        <v>35875</v>
      </c>
      <c r="H23" s="229">
        <f t="shared" si="4"/>
        <v>35875</v>
      </c>
      <c r="I23" s="229">
        <f t="shared" si="5"/>
        <v>36233.75</v>
      </c>
      <c r="J23" s="229">
        <f t="shared" si="6"/>
        <v>36596.087500000001</v>
      </c>
      <c r="K23" s="229">
        <f t="shared" si="7"/>
        <v>36962.048374999998</v>
      </c>
      <c r="L23" s="229">
        <f t="shared" si="8"/>
        <v>37331.668858749996</v>
      </c>
      <c r="M23" s="229">
        <f t="shared" si="9"/>
        <v>37704.985547337499</v>
      </c>
      <c r="N23" s="229">
        <f t="shared" si="10"/>
        <v>38082.035402810878</v>
      </c>
      <c r="O23" s="229">
        <f t="shared" si="11"/>
        <v>38462.855756838988</v>
      </c>
      <c r="P23" s="229">
        <f t="shared" si="12"/>
        <v>38847.484314407375</v>
      </c>
      <c r="Q23" s="229">
        <f t="shared" si="13"/>
        <v>39235.95915755145</v>
      </c>
      <c r="R23" s="229">
        <f t="shared" si="14"/>
        <v>39628.318749126964</v>
      </c>
      <c r="S23" s="170">
        <f t="shared" si="38"/>
        <v>1</v>
      </c>
      <c r="T23" s="170">
        <f t="shared" si="16"/>
        <v>0</v>
      </c>
      <c r="U23" s="170">
        <f t="shared" si="17"/>
        <v>1</v>
      </c>
      <c r="V23" s="666">
        <f t="shared" si="18"/>
        <v>0</v>
      </c>
      <c r="W23" s="666">
        <f t="shared" si="19"/>
        <v>35000</v>
      </c>
    </row>
    <row r="24" spans="1:23" x14ac:dyDescent="0.25">
      <c r="A24" s="226">
        <f t="shared" si="35"/>
        <v>16.826923076923077</v>
      </c>
      <c r="B24" s="231">
        <f t="shared" si="36"/>
        <v>21</v>
      </c>
      <c r="C24" s="289" t="s">
        <v>448</v>
      </c>
      <c r="D24" s="657" t="s">
        <v>893</v>
      </c>
      <c r="E24" s="657" t="s">
        <v>895</v>
      </c>
      <c r="F24" s="288">
        <v>35000</v>
      </c>
      <c r="G24" s="228">
        <f t="shared" si="37"/>
        <v>35875</v>
      </c>
      <c r="H24" s="229">
        <f t="shared" si="4"/>
        <v>35875</v>
      </c>
      <c r="I24" s="229">
        <f t="shared" si="5"/>
        <v>36233.75</v>
      </c>
      <c r="J24" s="229">
        <f t="shared" si="6"/>
        <v>36596.087500000001</v>
      </c>
      <c r="K24" s="229">
        <f t="shared" si="7"/>
        <v>36962.048374999998</v>
      </c>
      <c r="L24" s="229">
        <f t="shared" si="8"/>
        <v>37331.668858749996</v>
      </c>
      <c r="M24" s="229">
        <f t="shared" si="9"/>
        <v>37704.985547337499</v>
      </c>
      <c r="N24" s="229">
        <f t="shared" si="10"/>
        <v>38082.035402810878</v>
      </c>
      <c r="O24" s="229">
        <f t="shared" si="11"/>
        <v>38462.855756838988</v>
      </c>
      <c r="P24" s="229">
        <f t="shared" si="12"/>
        <v>38847.484314407375</v>
      </c>
      <c r="Q24" s="229">
        <f t="shared" si="13"/>
        <v>39235.95915755145</v>
      </c>
      <c r="R24" s="229">
        <f t="shared" si="14"/>
        <v>39628.318749126964</v>
      </c>
      <c r="S24" s="170">
        <f t="shared" si="38"/>
        <v>1</v>
      </c>
      <c r="T24" s="170">
        <f t="shared" si="16"/>
        <v>0</v>
      </c>
      <c r="U24" s="170">
        <f t="shared" si="17"/>
        <v>1</v>
      </c>
      <c r="V24" s="666">
        <f t="shared" si="18"/>
        <v>0</v>
      </c>
      <c r="W24" s="666">
        <f t="shared" si="19"/>
        <v>35000</v>
      </c>
    </row>
    <row r="25" spans="1:23" x14ac:dyDescent="0.25">
      <c r="A25" s="226">
        <f t="shared" si="35"/>
        <v>16.826923076923077</v>
      </c>
      <c r="B25" s="231">
        <f t="shared" si="36"/>
        <v>22</v>
      </c>
      <c r="C25" s="289" t="s">
        <v>448</v>
      </c>
      <c r="D25" s="657" t="s">
        <v>893</v>
      </c>
      <c r="E25" s="657" t="s">
        <v>895</v>
      </c>
      <c r="F25" s="288">
        <v>35000</v>
      </c>
      <c r="G25" s="228">
        <f t="shared" si="37"/>
        <v>35875</v>
      </c>
      <c r="H25" s="229">
        <f t="shared" si="4"/>
        <v>35875</v>
      </c>
      <c r="I25" s="229">
        <f t="shared" si="5"/>
        <v>36233.75</v>
      </c>
      <c r="J25" s="229">
        <f t="shared" si="6"/>
        <v>36596.087500000001</v>
      </c>
      <c r="K25" s="229">
        <f t="shared" si="7"/>
        <v>36962.048374999998</v>
      </c>
      <c r="L25" s="229">
        <f t="shared" si="8"/>
        <v>37331.668858749996</v>
      </c>
      <c r="M25" s="229">
        <f t="shared" si="9"/>
        <v>37704.985547337499</v>
      </c>
      <c r="N25" s="229">
        <f t="shared" si="10"/>
        <v>38082.035402810878</v>
      </c>
      <c r="O25" s="229">
        <f t="shared" si="11"/>
        <v>38462.855756838988</v>
      </c>
      <c r="P25" s="229">
        <f t="shared" si="12"/>
        <v>38847.484314407375</v>
      </c>
      <c r="Q25" s="229">
        <f t="shared" si="13"/>
        <v>39235.95915755145</v>
      </c>
      <c r="R25" s="229">
        <f t="shared" si="14"/>
        <v>39628.318749126964</v>
      </c>
      <c r="S25" s="170">
        <f t="shared" si="38"/>
        <v>1</v>
      </c>
      <c r="T25" s="170">
        <f t="shared" si="16"/>
        <v>0</v>
      </c>
      <c r="U25" s="170">
        <f t="shared" si="17"/>
        <v>1</v>
      </c>
      <c r="V25" s="666">
        <f t="shared" si="18"/>
        <v>0</v>
      </c>
      <c r="W25" s="666">
        <f t="shared" si="19"/>
        <v>35000</v>
      </c>
    </row>
    <row r="26" spans="1:23" x14ac:dyDescent="0.25">
      <c r="A26" s="226">
        <f t="shared" si="35"/>
        <v>16.826923076923077</v>
      </c>
      <c r="B26" s="231">
        <f t="shared" si="36"/>
        <v>23</v>
      </c>
      <c r="C26" s="289" t="s">
        <v>448</v>
      </c>
      <c r="D26" s="657" t="s">
        <v>893</v>
      </c>
      <c r="E26" s="657" t="s">
        <v>895</v>
      </c>
      <c r="F26" s="288">
        <v>35000</v>
      </c>
      <c r="G26" s="228">
        <f t="shared" si="37"/>
        <v>35875</v>
      </c>
      <c r="H26" s="229">
        <f t="shared" si="4"/>
        <v>35875</v>
      </c>
      <c r="I26" s="229">
        <f t="shared" si="5"/>
        <v>36233.75</v>
      </c>
      <c r="J26" s="229">
        <f t="shared" si="6"/>
        <v>36596.087500000001</v>
      </c>
      <c r="K26" s="229">
        <f t="shared" si="7"/>
        <v>36962.048374999998</v>
      </c>
      <c r="L26" s="229">
        <f t="shared" si="8"/>
        <v>37331.668858749996</v>
      </c>
      <c r="M26" s="229">
        <f t="shared" si="9"/>
        <v>37704.985547337499</v>
      </c>
      <c r="N26" s="229">
        <f t="shared" si="10"/>
        <v>38082.035402810878</v>
      </c>
      <c r="O26" s="229">
        <f t="shared" si="11"/>
        <v>38462.855756838988</v>
      </c>
      <c r="P26" s="229">
        <f t="shared" si="12"/>
        <v>38847.484314407375</v>
      </c>
      <c r="Q26" s="229">
        <f t="shared" si="13"/>
        <v>39235.95915755145</v>
      </c>
      <c r="R26" s="229">
        <f t="shared" si="14"/>
        <v>39628.318749126964</v>
      </c>
      <c r="S26" s="170">
        <f t="shared" si="38"/>
        <v>1</v>
      </c>
      <c r="T26" s="170">
        <f t="shared" si="16"/>
        <v>0</v>
      </c>
      <c r="U26" s="170">
        <f t="shared" si="17"/>
        <v>1</v>
      </c>
      <c r="V26" s="666">
        <f t="shared" si="18"/>
        <v>0</v>
      </c>
      <c r="W26" s="666">
        <f t="shared" si="19"/>
        <v>35000</v>
      </c>
    </row>
    <row r="27" spans="1:23" x14ac:dyDescent="0.25">
      <c r="A27" s="226">
        <f t="shared" si="35"/>
        <v>16.826923076923077</v>
      </c>
      <c r="B27" s="231">
        <f t="shared" si="36"/>
        <v>24</v>
      </c>
      <c r="C27" s="289" t="s">
        <v>448</v>
      </c>
      <c r="D27" s="658" t="s">
        <v>893</v>
      </c>
      <c r="E27" s="657" t="s">
        <v>895</v>
      </c>
      <c r="F27" s="288">
        <v>35000</v>
      </c>
      <c r="G27" s="228">
        <f t="shared" si="37"/>
        <v>35875</v>
      </c>
      <c r="H27" s="229">
        <f t="shared" si="4"/>
        <v>35875</v>
      </c>
      <c r="I27" s="229">
        <f t="shared" si="5"/>
        <v>36233.75</v>
      </c>
      <c r="J27" s="229">
        <f t="shared" si="6"/>
        <v>36596.087500000001</v>
      </c>
      <c r="K27" s="229">
        <f t="shared" si="7"/>
        <v>36962.048374999998</v>
      </c>
      <c r="L27" s="229">
        <f t="shared" si="8"/>
        <v>37331.668858749996</v>
      </c>
      <c r="M27" s="229">
        <f t="shared" si="9"/>
        <v>37704.985547337499</v>
      </c>
      <c r="N27" s="229">
        <f t="shared" si="10"/>
        <v>38082.035402810878</v>
      </c>
      <c r="O27" s="229">
        <f t="shared" si="11"/>
        <v>38462.855756838988</v>
      </c>
      <c r="P27" s="229">
        <f t="shared" si="12"/>
        <v>38847.484314407375</v>
      </c>
      <c r="Q27" s="229">
        <f t="shared" si="13"/>
        <v>39235.95915755145</v>
      </c>
      <c r="R27" s="229">
        <f t="shared" si="14"/>
        <v>39628.318749126964</v>
      </c>
      <c r="S27" s="170">
        <f t="shared" si="38"/>
        <v>1</v>
      </c>
      <c r="T27" s="170">
        <f t="shared" si="16"/>
        <v>0</v>
      </c>
      <c r="U27" s="170">
        <f t="shared" si="17"/>
        <v>1</v>
      </c>
      <c r="V27" s="666">
        <f t="shared" si="18"/>
        <v>0</v>
      </c>
      <c r="W27" s="666">
        <f t="shared" si="19"/>
        <v>35000</v>
      </c>
    </row>
    <row r="28" spans="1:23" x14ac:dyDescent="0.25">
      <c r="A28" s="226">
        <f t="shared" si="35"/>
        <v>16.826923076923077</v>
      </c>
      <c r="B28" s="231">
        <f t="shared" si="36"/>
        <v>25</v>
      </c>
      <c r="C28" s="289" t="s">
        <v>448</v>
      </c>
      <c r="D28" s="658" t="s">
        <v>893</v>
      </c>
      <c r="E28" s="657" t="s">
        <v>895</v>
      </c>
      <c r="F28" s="288">
        <v>35000</v>
      </c>
      <c r="G28" s="228">
        <f t="shared" si="37"/>
        <v>35875</v>
      </c>
      <c r="H28" s="229">
        <f t="shared" si="4"/>
        <v>35875</v>
      </c>
      <c r="I28" s="229">
        <f t="shared" si="5"/>
        <v>36233.75</v>
      </c>
      <c r="J28" s="229">
        <f t="shared" si="6"/>
        <v>36596.087500000001</v>
      </c>
      <c r="K28" s="229">
        <f t="shared" si="7"/>
        <v>36962.048374999998</v>
      </c>
      <c r="L28" s="229">
        <f t="shared" si="8"/>
        <v>37331.668858749996</v>
      </c>
      <c r="M28" s="229">
        <f t="shared" si="9"/>
        <v>37704.985547337499</v>
      </c>
      <c r="N28" s="229">
        <f t="shared" si="10"/>
        <v>38082.035402810878</v>
      </c>
      <c r="O28" s="229">
        <f t="shared" si="11"/>
        <v>38462.855756838988</v>
      </c>
      <c r="P28" s="229">
        <f t="shared" si="12"/>
        <v>38847.484314407375</v>
      </c>
      <c r="Q28" s="229">
        <f t="shared" si="13"/>
        <v>39235.95915755145</v>
      </c>
      <c r="R28" s="229">
        <f t="shared" si="14"/>
        <v>39628.318749126964</v>
      </c>
      <c r="S28" s="170">
        <f t="shared" si="38"/>
        <v>1</v>
      </c>
      <c r="T28" s="170">
        <f t="shared" si="16"/>
        <v>0</v>
      </c>
      <c r="U28" s="170">
        <f t="shared" si="17"/>
        <v>1</v>
      </c>
      <c r="V28" s="666">
        <f t="shared" si="18"/>
        <v>0</v>
      </c>
      <c r="W28" s="666">
        <f t="shared" si="19"/>
        <v>35000</v>
      </c>
    </row>
    <row r="29" spans="1:23" x14ac:dyDescent="0.25">
      <c r="A29" s="226">
        <f t="shared" ref="A29" si="39">SUM(F29/2080)</f>
        <v>16.826923076923077</v>
      </c>
      <c r="B29" s="231">
        <f t="shared" si="36"/>
        <v>26</v>
      </c>
      <c r="C29" s="289" t="s">
        <v>448</v>
      </c>
      <c r="D29" s="658" t="s">
        <v>894</v>
      </c>
      <c r="E29" s="657" t="s">
        <v>895</v>
      </c>
      <c r="F29" s="288">
        <v>35000</v>
      </c>
      <c r="G29" s="228">
        <f t="shared" ref="G29" si="40">SUM(F29*$E$1) + F29</f>
        <v>35875</v>
      </c>
      <c r="H29" s="229">
        <f t="shared" ref="H29" si="41">(G29+(G29*$F$2))</f>
        <v>35875</v>
      </c>
      <c r="I29" s="229">
        <f t="shared" ref="I29" si="42">(H29+(H29*$G$2))</f>
        <v>36233.75</v>
      </c>
      <c r="J29" s="229">
        <f t="shared" ref="J29" si="43">(I29+(I29*$H$2))</f>
        <v>36596.087500000001</v>
      </c>
      <c r="K29" s="229">
        <f t="shared" ref="K29" si="44">(J29+(J29*$I$2))</f>
        <v>36962.048374999998</v>
      </c>
      <c r="L29" s="229">
        <f t="shared" ref="L29" si="45">(K29+(K29*$J$2))</f>
        <v>37331.668858749996</v>
      </c>
      <c r="M29" s="229">
        <f t="shared" ref="M29" si="46">L29+(L29*$J$2)</f>
        <v>37704.985547337499</v>
      </c>
      <c r="N29" s="229">
        <f t="shared" ref="N29" si="47">M29+(M29*$L$2)</f>
        <v>38082.035402810878</v>
      </c>
      <c r="O29" s="229">
        <f t="shared" ref="O29" si="48">N29+(N29*$M$2)</f>
        <v>38462.855756838988</v>
      </c>
      <c r="P29" s="229">
        <f t="shared" ref="P29" si="49">O29+(O29*$N$2)</f>
        <v>38847.484314407375</v>
      </c>
      <c r="Q29" s="229">
        <f t="shared" ref="Q29" si="50">P29+(P29*$O$2)</f>
        <v>39235.95915755145</v>
      </c>
      <c r="R29" s="229">
        <f t="shared" ref="R29" si="51">Q29+(Q29*$P$2)</f>
        <v>39628.318749126964</v>
      </c>
      <c r="S29" s="170">
        <f t="shared" si="38"/>
        <v>1</v>
      </c>
      <c r="T29" s="170">
        <f t="shared" si="16"/>
        <v>1</v>
      </c>
      <c r="U29" s="170">
        <f t="shared" si="17"/>
        <v>1</v>
      </c>
      <c r="V29" s="666">
        <f t="shared" si="18"/>
        <v>35000</v>
      </c>
      <c r="W29" s="666">
        <f t="shared" si="19"/>
        <v>35000</v>
      </c>
    </row>
    <row r="30" spans="1:23" x14ac:dyDescent="0.25">
      <c r="A30" s="226">
        <f t="shared" si="35"/>
        <v>16.826923076923077</v>
      </c>
      <c r="B30" s="231">
        <f t="shared" si="36"/>
        <v>27</v>
      </c>
      <c r="C30" s="289" t="s">
        <v>448</v>
      </c>
      <c r="D30" s="658" t="s">
        <v>894</v>
      </c>
      <c r="E30" s="657" t="s">
        <v>895</v>
      </c>
      <c r="F30" s="288">
        <v>35000</v>
      </c>
      <c r="G30" s="228">
        <f t="shared" si="37"/>
        <v>35875</v>
      </c>
      <c r="H30" s="229">
        <f t="shared" si="4"/>
        <v>35875</v>
      </c>
      <c r="I30" s="229">
        <f t="shared" si="5"/>
        <v>36233.75</v>
      </c>
      <c r="J30" s="229">
        <f t="shared" si="6"/>
        <v>36596.087500000001</v>
      </c>
      <c r="K30" s="229">
        <f t="shared" si="7"/>
        <v>36962.048374999998</v>
      </c>
      <c r="L30" s="229">
        <f t="shared" si="8"/>
        <v>37331.668858749996</v>
      </c>
      <c r="M30" s="229">
        <f t="shared" si="9"/>
        <v>37704.985547337499</v>
      </c>
      <c r="N30" s="229">
        <f t="shared" si="10"/>
        <v>38082.035402810878</v>
      </c>
      <c r="O30" s="229">
        <f t="shared" si="11"/>
        <v>38462.855756838988</v>
      </c>
      <c r="P30" s="229">
        <f t="shared" si="12"/>
        <v>38847.484314407375</v>
      </c>
      <c r="Q30" s="229">
        <f t="shared" si="13"/>
        <v>39235.95915755145</v>
      </c>
      <c r="R30" s="229">
        <f t="shared" si="14"/>
        <v>39628.318749126964</v>
      </c>
      <c r="S30" s="170">
        <f t="shared" si="38"/>
        <v>1</v>
      </c>
      <c r="T30" s="170">
        <f t="shared" si="16"/>
        <v>1</v>
      </c>
      <c r="U30" s="170">
        <f t="shared" si="17"/>
        <v>1</v>
      </c>
      <c r="V30" s="666">
        <f t="shared" si="18"/>
        <v>35000</v>
      </c>
      <c r="W30" s="666">
        <f t="shared" si="19"/>
        <v>35000</v>
      </c>
    </row>
    <row r="31" spans="1:23" x14ac:dyDescent="0.25">
      <c r="A31" s="226">
        <f t="shared" si="35"/>
        <v>14.423076923076923</v>
      </c>
      <c r="B31" s="660">
        <f t="shared" si="36"/>
        <v>28</v>
      </c>
      <c r="C31" s="289" t="s">
        <v>452</v>
      </c>
      <c r="D31" s="658" t="s">
        <v>894</v>
      </c>
      <c r="E31" s="657" t="s">
        <v>895</v>
      </c>
      <c r="F31" s="288">
        <v>30000</v>
      </c>
      <c r="G31" s="228">
        <f t="shared" si="37"/>
        <v>30750</v>
      </c>
      <c r="H31" s="229">
        <f t="shared" si="4"/>
        <v>30750</v>
      </c>
      <c r="I31" s="229">
        <f t="shared" si="5"/>
        <v>31057.5</v>
      </c>
      <c r="J31" s="229">
        <f t="shared" si="6"/>
        <v>31368.075000000001</v>
      </c>
      <c r="K31" s="229">
        <f t="shared" si="7"/>
        <v>31681.75575</v>
      </c>
      <c r="L31" s="229">
        <f t="shared" si="8"/>
        <v>31998.573307499999</v>
      </c>
      <c r="M31" s="229">
        <f t="shared" si="9"/>
        <v>32318.559040574997</v>
      </c>
      <c r="N31" s="229">
        <f t="shared" si="10"/>
        <v>32641.744630980746</v>
      </c>
      <c r="O31" s="229">
        <f t="shared" si="11"/>
        <v>32968.162077290552</v>
      </c>
      <c r="P31" s="229">
        <f t="shared" si="12"/>
        <v>33297.843698063458</v>
      </c>
      <c r="Q31" s="229">
        <f t="shared" si="13"/>
        <v>33630.822135044094</v>
      </c>
      <c r="R31" s="229">
        <f t="shared" si="14"/>
        <v>33967.130356394533</v>
      </c>
      <c r="S31" s="170">
        <f t="shared" si="38"/>
        <v>1</v>
      </c>
      <c r="T31" s="170">
        <f t="shared" si="16"/>
        <v>1</v>
      </c>
      <c r="U31" s="170">
        <f t="shared" si="17"/>
        <v>1</v>
      </c>
      <c r="V31" s="666">
        <f t="shared" si="18"/>
        <v>30000</v>
      </c>
      <c r="W31" s="666">
        <f t="shared" si="19"/>
        <v>30000</v>
      </c>
    </row>
    <row r="32" spans="1:23" x14ac:dyDescent="0.25">
      <c r="A32" s="226">
        <f t="shared" si="35"/>
        <v>14.423076923076923</v>
      </c>
      <c r="B32" s="660">
        <f t="shared" si="36"/>
        <v>29</v>
      </c>
      <c r="C32" s="289" t="s">
        <v>452</v>
      </c>
      <c r="D32" s="658" t="s">
        <v>894</v>
      </c>
      <c r="E32" s="657" t="s">
        <v>895</v>
      </c>
      <c r="F32" s="288">
        <v>30000</v>
      </c>
      <c r="G32" s="228">
        <f t="shared" si="37"/>
        <v>30750</v>
      </c>
      <c r="H32" s="229">
        <f t="shared" si="4"/>
        <v>30750</v>
      </c>
      <c r="I32" s="229">
        <f t="shared" si="5"/>
        <v>31057.5</v>
      </c>
      <c r="J32" s="229">
        <f t="shared" si="6"/>
        <v>31368.075000000001</v>
      </c>
      <c r="K32" s="229">
        <f t="shared" si="7"/>
        <v>31681.75575</v>
      </c>
      <c r="L32" s="229">
        <f t="shared" si="8"/>
        <v>31998.573307499999</v>
      </c>
      <c r="M32" s="229">
        <f t="shared" si="9"/>
        <v>32318.559040574997</v>
      </c>
      <c r="N32" s="229">
        <f t="shared" si="10"/>
        <v>32641.744630980746</v>
      </c>
      <c r="O32" s="229">
        <f t="shared" si="11"/>
        <v>32968.162077290552</v>
      </c>
      <c r="P32" s="229">
        <f t="shared" si="12"/>
        <v>33297.843698063458</v>
      </c>
      <c r="Q32" s="229">
        <f t="shared" si="13"/>
        <v>33630.822135044094</v>
      </c>
      <c r="R32" s="229">
        <f t="shared" si="14"/>
        <v>33967.130356394533</v>
      </c>
      <c r="S32" s="170">
        <f t="shared" si="38"/>
        <v>1</v>
      </c>
      <c r="T32" s="170">
        <f t="shared" si="16"/>
        <v>1</v>
      </c>
      <c r="U32" s="170">
        <f t="shared" si="17"/>
        <v>1</v>
      </c>
      <c r="V32" s="666">
        <f t="shared" si="18"/>
        <v>30000</v>
      </c>
      <c r="W32" s="666">
        <f t="shared" si="19"/>
        <v>30000</v>
      </c>
    </row>
    <row r="33" spans="1:23" x14ac:dyDescent="0.25">
      <c r="A33" s="226">
        <f t="shared" si="35"/>
        <v>14.423076923076923</v>
      </c>
      <c r="B33" s="232">
        <f t="shared" si="36"/>
        <v>30</v>
      </c>
      <c r="C33" s="289" t="s">
        <v>452</v>
      </c>
      <c r="D33" s="658" t="s">
        <v>894</v>
      </c>
      <c r="E33" s="657" t="s">
        <v>895</v>
      </c>
      <c r="F33" s="288">
        <v>30000</v>
      </c>
      <c r="G33" s="228">
        <f t="shared" si="37"/>
        <v>30750</v>
      </c>
      <c r="H33" s="229">
        <f t="shared" si="4"/>
        <v>30750</v>
      </c>
      <c r="I33" s="229">
        <f t="shared" si="5"/>
        <v>31057.5</v>
      </c>
      <c r="J33" s="229">
        <f t="shared" si="6"/>
        <v>31368.075000000001</v>
      </c>
      <c r="K33" s="229">
        <f t="shared" si="7"/>
        <v>31681.75575</v>
      </c>
      <c r="L33" s="229">
        <f t="shared" si="8"/>
        <v>31998.573307499999</v>
      </c>
      <c r="M33" s="229">
        <f t="shared" si="9"/>
        <v>32318.559040574997</v>
      </c>
      <c r="N33" s="229">
        <f t="shared" si="10"/>
        <v>32641.744630980746</v>
      </c>
      <c r="O33" s="229">
        <f t="shared" si="11"/>
        <v>32968.162077290552</v>
      </c>
      <c r="P33" s="229">
        <f t="shared" si="12"/>
        <v>33297.843698063458</v>
      </c>
      <c r="Q33" s="229">
        <f t="shared" si="13"/>
        <v>33630.822135044094</v>
      </c>
      <c r="R33" s="229">
        <f t="shared" si="14"/>
        <v>33967.130356394533</v>
      </c>
      <c r="S33" s="170">
        <f t="shared" si="38"/>
        <v>1</v>
      </c>
      <c r="T33" s="170">
        <f t="shared" si="16"/>
        <v>1</v>
      </c>
      <c r="U33" s="170">
        <f t="shared" si="17"/>
        <v>1</v>
      </c>
      <c r="V33" s="666">
        <f t="shared" si="18"/>
        <v>30000</v>
      </c>
      <c r="W33" s="666">
        <f t="shared" si="19"/>
        <v>30000</v>
      </c>
    </row>
    <row r="34" spans="1:23" x14ac:dyDescent="0.25">
      <c r="A34" s="226">
        <f t="shared" ref="A34" si="52">SUM(F34/2080)</f>
        <v>14.423076923076923</v>
      </c>
      <c r="B34" s="232">
        <f t="shared" si="36"/>
        <v>31</v>
      </c>
      <c r="C34" s="289" t="s">
        <v>452</v>
      </c>
      <c r="D34" s="658" t="s">
        <v>894</v>
      </c>
      <c r="E34" s="657" t="s">
        <v>895</v>
      </c>
      <c r="F34" s="288">
        <v>30000</v>
      </c>
      <c r="G34" s="228">
        <f t="shared" ref="G34" si="53">SUM(F34*$E$1) + F34</f>
        <v>30750</v>
      </c>
      <c r="H34" s="229">
        <f t="shared" ref="H34" si="54">(G34+(G34*$F$2))</f>
        <v>30750</v>
      </c>
      <c r="I34" s="229">
        <f t="shared" ref="I34" si="55">(H34+(H34*$G$2))</f>
        <v>31057.5</v>
      </c>
      <c r="J34" s="229">
        <f t="shared" ref="J34" si="56">(I34+(I34*$H$2))</f>
        <v>31368.075000000001</v>
      </c>
      <c r="K34" s="229">
        <f t="shared" ref="K34" si="57">(J34+(J34*$I$2))</f>
        <v>31681.75575</v>
      </c>
      <c r="L34" s="229">
        <f t="shared" ref="L34" si="58">(K34+(K34*$J$2))</f>
        <v>31998.573307499999</v>
      </c>
      <c r="M34" s="229">
        <f t="shared" ref="M34" si="59">L34+(L34*$J$2)</f>
        <v>32318.559040574997</v>
      </c>
      <c r="N34" s="229">
        <f t="shared" ref="N34" si="60">M34+(M34*$L$2)</f>
        <v>32641.744630980746</v>
      </c>
      <c r="O34" s="229">
        <f t="shared" ref="O34" si="61">N34+(N34*$M$2)</f>
        <v>32968.162077290552</v>
      </c>
      <c r="P34" s="229">
        <f t="shared" ref="P34" si="62">O34+(O34*$N$2)</f>
        <v>33297.843698063458</v>
      </c>
      <c r="Q34" s="229">
        <f t="shared" ref="Q34" si="63">P34+(P34*$O$2)</f>
        <v>33630.822135044094</v>
      </c>
      <c r="R34" s="229">
        <f t="shared" ref="R34" si="64">Q34+(Q34*$P$2)</f>
        <v>33967.130356394533</v>
      </c>
      <c r="S34" s="170">
        <f t="shared" si="38"/>
        <v>1</v>
      </c>
      <c r="T34" s="170">
        <f t="shared" si="16"/>
        <v>1</v>
      </c>
      <c r="U34" s="170">
        <f t="shared" si="17"/>
        <v>1</v>
      </c>
      <c r="V34" s="666">
        <f t="shared" si="18"/>
        <v>30000</v>
      </c>
      <c r="W34" s="666">
        <f t="shared" si="19"/>
        <v>30000</v>
      </c>
    </row>
    <row r="35" spans="1:23" x14ac:dyDescent="0.25">
      <c r="A35" s="226">
        <f t="shared" si="35"/>
        <v>14.423076923076923</v>
      </c>
      <c r="B35" s="232">
        <f>SUM(B34+1)</f>
        <v>32</v>
      </c>
      <c r="C35" s="289" t="s">
        <v>452</v>
      </c>
      <c r="D35" s="658" t="s">
        <v>894</v>
      </c>
      <c r="E35" s="657" t="s">
        <v>895</v>
      </c>
      <c r="F35" s="288">
        <v>30000</v>
      </c>
      <c r="G35" s="228">
        <f t="shared" si="37"/>
        <v>30750</v>
      </c>
      <c r="H35" s="229">
        <f t="shared" si="4"/>
        <v>30750</v>
      </c>
      <c r="I35" s="229">
        <f t="shared" si="5"/>
        <v>31057.5</v>
      </c>
      <c r="J35" s="229">
        <f t="shared" si="6"/>
        <v>31368.075000000001</v>
      </c>
      <c r="K35" s="229">
        <f t="shared" si="7"/>
        <v>31681.75575</v>
      </c>
      <c r="L35" s="229">
        <f t="shared" si="8"/>
        <v>31998.573307499999</v>
      </c>
      <c r="M35" s="229">
        <f t="shared" si="9"/>
        <v>32318.559040574997</v>
      </c>
      <c r="N35" s="229">
        <f t="shared" si="10"/>
        <v>32641.744630980746</v>
      </c>
      <c r="O35" s="229">
        <f t="shared" si="11"/>
        <v>32968.162077290552</v>
      </c>
      <c r="P35" s="229">
        <f t="shared" si="12"/>
        <v>33297.843698063458</v>
      </c>
      <c r="Q35" s="229">
        <f t="shared" si="13"/>
        <v>33630.822135044094</v>
      </c>
      <c r="R35" s="229">
        <f t="shared" si="14"/>
        <v>33967.130356394533</v>
      </c>
      <c r="S35" s="170">
        <f t="shared" si="38"/>
        <v>1</v>
      </c>
      <c r="T35" s="170">
        <f t="shared" si="16"/>
        <v>1</v>
      </c>
      <c r="U35" s="170">
        <f t="shared" si="17"/>
        <v>1</v>
      </c>
      <c r="V35" s="666">
        <f t="shared" si="18"/>
        <v>30000</v>
      </c>
      <c r="W35" s="666">
        <f t="shared" si="19"/>
        <v>30000</v>
      </c>
    </row>
    <row r="36" spans="1:23" x14ac:dyDescent="0.25">
      <c r="A36" s="226">
        <f t="shared" si="35"/>
        <v>22.115384615384617</v>
      </c>
      <c r="B36" s="233">
        <f t="shared" si="36"/>
        <v>33</v>
      </c>
      <c r="C36" s="289" t="s">
        <v>296</v>
      </c>
      <c r="D36" s="657" t="s">
        <v>266</v>
      </c>
      <c r="E36" s="657" t="s">
        <v>892</v>
      </c>
      <c r="F36" s="288">
        <v>46000</v>
      </c>
      <c r="G36" s="228">
        <f t="shared" si="37"/>
        <v>47150</v>
      </c>
      <c r="H36" s="229">
        <f t="shared" si="4"/>
        <v>47150</v>
      </c>
      <c r="I36" s="229">
        <f t="shared" si="5"/>
        <v>47621.5</v>
      </c>
      <c r="J36" s="229">
        <f t="shared" si="6"/>
        <v>48097.714999999997</v>
      </c>
      <c r="K36" s="229">
        <f t="shared" si="7"/>
        <v>48578.692149999995</v>
      </c>
      <c r="L36" s="229">
        <f t="shared" si="8"/>
        <v>49064.479071499998</v>
      </c>
      <c r="M36" s="229">
        <f t="shared" si="9"/>
        <v>49555.123862214998</v>
      </c>
      <c r="N36" s="229">
        <f t="shared" si="10"/>
        <v>50050.67510083715</v>
      </c>
      <c r="O36" s="229">
        <f t="shared" si="11"/>
        <v>50551.181851845518</v>
      </c>
      <c r="P36" s="229">
        <f t="shared" si="12"/>
        <v>51056.693670363973</v>
      </c>
      <c r="Q36" s="229">
        <f t="shared" si="13"/>
        <v>51567.260607067612</v>
      </c>
      <c r="R36" s="229">
        <f t="shared" si="14"/>
        <v>52082.933213138291</v>
      </c>
      <c r="S36" s="170">
        <f t="shared" si="38"/>
        <v>1</v>
      </c>
      <c r="T36" s="170">
        <f t="shared" si="16"/>
        <v>0</v>
      </c>
      <c r="U36" s="170">
        <f t="shared" si="17"/>
        <v>0</v>
      </c>
      <c r="V36" s="666">
        <f t="shared" si="18"/>
        <v>0</v>
      </c>
      <c r="W36" s="666">
        <f t="shared" si="19"/>
        <v>0</v>
      </c>
    </row>
    <row r="37" spans="1:23" x14ac:dyDescent="0.25">
      <c r="A37" s="226">
        <f t="shared" si="35"/>
        <v>22.115384615384617</v>
      </c>
      <c r="B37" s="233">
        <f t="shared" si="36"/>
        <v>34</v>
      </c>
      <c r="C37" s="289" t="s">
        <v>296</v>
      </c>
      <c r="D37" s="657" t="s">
        <v>266</v>
      </c>
      <c r="E37" s="657" t="s">
        <v>892</v>
      </c>
      <c r="F37" s="288">
        <v>46000</v>
      </c>
      <c r="G37" s="228">
        <f t="shared" si="37"/>
        <v>47150</v>
      </c>
      <c r="H37" s="229">
        <f t="shared" si="4"/>
        <v>47150</v>
      </c>
      <c r="I37" s="229">
        <f t="shared" si="5"/>
        <v>47621.5</v>
      </c>
      <c r="J37" s="229">
        <f t="shared" si="6"/>
        <v>48097.714999999997</v>
      </c>
      <c r="K37" s="229">
        <f t="shared" si="7"/>
        <v>48578.692149999995</v>
      </c>
      <c r="L37" s="229">
        <f t="shared" si="8"/>
        <v>49064.479071499998</v>
      </c>
      <c r="M37" s="229">
        <f t="shared" si="9"/>
        <v>49555.123862214998</v>
      </c>
      <c r="N37" s="229">
        <f t="shared" si="10"/>
        <v>50050.67510083715</v>
      </c>
      <c r="O37" s="229">
        <f t="shared" si="11"/>
        <v>50551.181851845518</v>
      </c>
      <c r="P37" s="229">
        <f t="shared" si="12"/>
        <v>51056.693670363973</v>
      </c>
      <c r="Q37" s="229">
        <f t="shared" si="13"/>
        <v>51567.260607067612</v>
      </c>
      <c r="R37" s="229">
        <f t="shared" si="14"/>
        <v>52082.933213138291</v>
      </c>
      <c r="S37" s="170">
        <f t="shared" si="38"/>
        <v>1</v>
      </c>
      <c r="T37" s="170">
        <f t="shared" si="16"/>
        <v>0</v>
      </c>
      <c r="U37" s="170">
        <f t="shared" si="17"/>
        <v>0</v>
      </c>
      <c r="V37" s="666">
        <f t="shared" si="18"/>
        <v>0</v>
      </c>
      <c r="W37" s="666">
        <f t="shared" si="19"/>
        <v>0</v>
      </c>
    </row>
    <row r="38" spans="1:23" x14ac:dyDescent="0.25">
      <c r="A38" s="226">
        <f t="shared" si="35"/>
        <v>22.115384615384617</v>
      </c>
      <c r="B38" s="233">
        <f t="shared" si="36"/>
        <v>35</v>
      </c>
      <c r="C38" s="289" t="s">
        <v>296</v>
      </c>
      <c r="D38" s="657" t="s">
        <v>266</v>
      </c>
      <c r="E38" s="657" t="s">
        <v>892</v>
      </c>
      <c r="F38" s="288">
        <v>46000</v>
      </c>
      <c r="G38" s="228">
        <f t="shared" ref="G38:G48" si="65">F38</f>
        <v>46000</v>
      </c>
      <c r="H38" s="229">
        <f t="shared" si="4"/>
        <v>46000</v>
      </c>
      <c r="I38" s="229">
        <f t="shared" si="5"/>
        <v>46460</v>
      </c>
      <c r="J38" s="229">
        <f t="shared" si="6"/>
        <v>46924.6</v>
      </c>
      <c r="K38" s="229">
        <f t="shared" si="7"/>
        <v>47393.845999999998</v>
      </c>
      <c r="L38" s="229">
        <f t="shared" si="8"/>
        <v>47867.784459999995</v>
      </c>
      <c r="M38" s="229">
        <f t="shared" si="9"/>
        <v>48346.462304599998</v>
      </c>
      <c r="N38" s="229">
        <f t="shared" si="10"/>
        <v>48829.926927645996</v>
      </c>
      <c r="O38" s="229">
        <f t="shared" si="11"/>
        <v>49318.226196922456</v>
      </c>
      <c r="P38" s="229">
        <f t="shared" si="12"/>
        <v>49811.408458891681</v>
      </c>
      <c r="Q38" s="229">
        <f t="shared" si="13"/>
        <v>50309.522543480598</v>
      </c>
      <c r="R38" s="229">
        <f t="shared" si="14"/>
        <v>50812.617768915406</v>
      </c>
      <c r="S38" s="170">
        <f t="shared" si="38"/>
        <v>1</v>
      </c>
      <c r="T38" s="170">
        <f t="shared" si="16"/>
        <v>0</v>
      </c>
      <c r="U38" s="170">
        <f t="shared" si="17"/>
        <v>0</v>
      </c>
      <c r="V38" s="666">
        <f t="shared" si="18"/>
        <v>0</v>
      </c>
      <c r="W38" s="666">
        <f t="shared" si="19"/>
        <v>0</v>
      </c>
    </row>
    <row r="39" spans="1:23" x14ac:dyDescent="0.25">
      <c r="A39" s="226">
        <f t="shared" si="35"/>
        <v>22.115384615384617</v>
      </c>
      <c r="B39" s="233">
        <f t="shared" si="36"/>
        <v>36</v>
      </c>
      <c r="C39" s="289" t="s">
        <v>296</v>
      </c>
      <c r="D39" s="657" t="s">
        <v>266</v>
      </c>
      <c r="E39" s="657" t="s">
        <v>892</v>
      </c>
      <c r="F39" s="288">
        <v>46000</v>
      </c>
      <c r="G39" s="228">
        <f t="shared" si="65"/>
        <v>46000</v>
      </c>
      <c r="H39" s="229">
        <f t="shared" si="4"/>
        <v>46000</v>
      </c>
      <c r="I39" s="229">
        <f t="shared" si="5"/>
        <v>46460</v>
      </c>
      <c r="J39" s="229">
        <f t="shared" si="6"/>
        <v>46924.6</v>
      </c>
      <c r="K39" s="229">
        <f t="shared" si="7"/>
        <v>47393.845999999998</v>
      </c>
      <c r="L39" s="229">
        <f t="shared" si="8"/>
        <v>47867.784459999995</v>
      </c>
      <c r="M39" s="229">
        <f t="shared" si="9"/>
        <v>48346.462304599998</v>
      </c>
      <c r="N39" s="229">
        <f t="shared" si="10"/>
        <v>48829.926927645996</v>
      </c>
      <c r="O39" s="229">
        <f t="shared" si="11"/>
        <v>49318.226196922456</v>
      </c>
      <c r="P39" s="229">
        <f t="shared" si="12"/>
        <v>49811.408458891681</v>
      </c>
      <c r="Q39" s="229">
        <f t="shared" si="13"/>
        <v>50309.522543480598</v>
      </c>
      <c r="R39" s="229">
        <f t="shared" si="14"/>
        <v>50812.617768915406</v>
      </c>
      <c r="S39" s="170">
        <f t="shared" si="38"/>
        <v>1</v>
      </c>
      <c r="T39" s="170">
        <f t="shared" si="16"/>
        <v>0</v>
      </c>
      <c r="U39" s="170">
        <f t="shared" si="17"/>
        <v>0</v>
      </c>
      <c r="V39" s="666">
        <f t="shared" si="18"/>
        <v>0</v>
      </c>
      <c r="W39" s="666">
        <f t="shared" si="19"/>
        <v>0</v>
      </c>
    </row>
    <row r="40" spans="1:23" x14ac:dyDescent="0.25">
      <c r="A40" s="226">
        <f t="shared" si="35"/>
        <v>16.826923076923077</v>
      </c>
      <c r="B40" s="233">
        <f t="shared" si="36"/>
        <v>37</v>
      </c>
      <c r="C40" s="289" t="s">
        <v>296</v>
      </c>
      <c r="D40" s="657" t="s">
        <v>893</v>
      </c>
      <c r="E40" s="657" t="s">
        <v>895</v>
      </c>
      <c r="F40" s="288">
        <v>35000</v>
      </c>
      <c r="G40" s="228">
        <f t="shared" si="65"/>
        <v>35000</v>
      </c>
      <c r="H40" s="229">
        <f t="shared" si="4"/>
        <v>35000</v>
      </c>
      <c r="I40" s="229">
        <f t="shared" si="5"/>
        <v>35350</v>
      </c>
      <c r="J40" s="229">
        <f t="shared" si="6"/>
        <v>35703.5</v>
      </c>
      <c r="K40" s="229">
        <f t="shared" si="7"/>
        <v>36060.535000000003</v>
      </c>
      <c r="L40" s="229">
        <f t="shared" si="8"/>
        <v>36421.140350000001</v>
      </c>
      <c r="M40" s="229">
        <f t="shared" si="9"/>
        <v>36785.351753499999</v>
      </c>
      <c r="N40" s="229">
        <f t="shared" si="10"/>
        <v>37153.205271034996</v>
      </c>
      <c r="O40" s="229">
        <f t="shared" si="11"/>
        <v>37524.737323745343</v>
      </c>
      <c r="P40" s="229">
        <f t="shared" si="12"/>
        <v>37899.9846969828</v>
      </c>
      <c r="Q40" s="229">
        <f t="shared" si="13"/>
        <v>38278.984543952625</v>
      </c>
      <c r="R40" s="229">
        <f t="shared" si="14"/>
        <v>38661.774389392151</v>
      </c>
      <c r="S40" s="170">
        <f t="shared" si="38"/>
        <v>1</v>
      </c>
      <c r="T40" s="170">
        <f t="shared" si="16"/>
        <v>0</v>
      </c>
      <c r="U40" s="170">
        <f t="shared" si="17"/>
        <v>1</v>
      </c>
      <c r="V40" s="666">
        <f t="shared" si="18"/>
        <v>0</v>
      </c>
      <c r="W40" s="666">
        <f t="shared" si="19"/>
        <v>35000</v>
      </c>
    </row>
    <row r="41" spans="1:23" x14ac:dyDescent="0.25">
      <c r="A41" s="226">
        <f t="shared" si="35"/>
        <v>16.826923076923077</v>
      </c>
      <c r="B41" s="233">
        <f t="shared" si="36"/>
        <v>38</v>
      </c>
      <c r="C41" s="289" t="s">
        <v>296</v>
      </c>
      <c r="D41" s="657" t="s">
        <v>893</v>
      </c>
      <c r="E41" s="657" t="s">
        <v>895</v>
      </c>
      <c r="F41" s="288">
        <v>35000</v>
      </c>
      <c r="G41" s="228">
        <f t="shared" si="65"/>
        <v>35000</v>
      </c>
      <c r="H41" s="229">
        <f t="shared" si="4"/>
        <v>35000</v>
      </c>
      <c r="I41" s="229">
        <f t="shared" si="5"/>
        <v>35350</v>
      </c>
      <c r="J41" s="229">
        <f t="shared" si="6"/>
        <v>35703.5</v>
      </c>
      <c r="K41" s="229">
        <f t="shared" si="7"/>
        <v>36060.535000000003</v>
      </c>
      <c r="L41" s="229">
        <f t="shared" si="8"/>
        <v>36421.140350000001</v>
      </c>
      <c r="M41" s="229">
        <f t="shared" si="9"/>
        <v>36785.351753499999</v>
      </c>
      <c r="N41" s="229">
        <f t="shared" si="10"/>
        <v>37153.205271034996</v>
      </c>
      <c r="O41" s="229">
        <f t="shared" si="11"/>
        <v>37524.737323745343</v>
      </c>
      <c r="P41" s="229">
        <f t="shared" si="12"/>
        <v>37899.9846969828</v>
      </c>
      <c r="Q41" s="229">
        <f t="shared" si="13"/>
        <v>38278.984543952625</v>
      </c>
      <c r="R41" s="229">
        <f t="shared" si="14"/>
        <v>38661.774389392151</v>
      </c>
      <c r="S41" s="170">
        <f t="shared" si="38"/>
        <v>1</v>
      </c>
      <c r="T41" s="170">
        <f t="shared" si="16"/>
        <v>0</v>
      </c>
      <c r="U41" s="170">
        <f t="shared" si="17"/>
        <v>1</v>
      </c>
      <c r="V41" s="666">
        <f t="shared" si="18"/>
        <v>0</v>
      </c>
      <c r="W41" s="666">
        <f t="shared" si="19"/>
        <v>35000</v>
      </c>
    </row>
    <row r="42" spans="1:23" x14ac:dyDescent="0.25">
      <c r="A42" s="226">
        <f t="shared" si="35"/>
        <v>16.826923076923077</v>
      </c>
      <c r="B42" s="233">
        <f t="shared" si="36"/>
        <v>39</v>
      </c>
      <c r="C42" s="289" t="s">
        <v>296</v>
      </c>
      <c r="D42" s="657" t="s">
        <v>893</v>
      </c>
      <c r="E42" s="657" t="s">
        <v>895</v>
      </c>
      <c r="F42" s="288">
        <v>35000</v>
      </c>
      <c r="G42" s="228">
        <f t="shared" si="65"/>
        <v>35000</v>
      </c>
      <c r="H42" s="229">
        <f t="shared" si="4"/>
        <v>35000</v>
      </c>
      <c r="I42" s="229">
        <f t="shared" si="5"/>
        <v>35350</v>
      </c>
      <c r="J42" s="229">
        <f t="shared" si="6"/>
        <v>35703.5</v>
      </c>
      <c r="K42" s="229">
        <f t="shared" si="7"/>
        <v>36060.535000000003</v>
      </c>
      <c r="L42" s="229">
        <f t="shared" si="8"/>
        <v>36421.140350000001</v>
      </c>
      <c r="M42" s="229">
        <f t="shared" si="9"/>
        <v>36785.351753499999</v>
      </c>
      <c r="N42" s="229">
        <f t="shared" si="10"/>
        <v>37153.205271034996</v>
      </c>
      <c r="O42" s="229">
        <f t="shared" si="11"/>
        <v>37524.737323745343</v>
      </c>
      <c r="P42" s="229">
        <f t="shared" si="12"/>
        <v>37899.9846969828</v>
      </c>
      <c r="Q42" s="229">
        <f t="shared" si="13"/>
        <v>38278.984543952625</v>
      </c>
      <c r="R42" s="229">
        <f t="shared" si="14"/>
        <v>38661.774389392151</v>
      </c>
      <c r="S42" s="170">
        <f t="shared" si="38"/>
        <v>1</v>
      </c>
      <c r="T42" s="170">
        <f t="shared" si="16"/>
        <v>0</v>
      </c>
      <c r="U42" s="170">
        <f t="shared" si="17"/>
        <v>1</v>
      </c>
      <c r="V42" s="666">
        <f t="shared" si="18"/>
        <v>0</v>
      </c>
      <c r="W42" s="666">
        <f t="shared" si="19"/>
        <v>35000</v>
      </c>
    </row>
    <row r="43" spans="1:23" x14ac:dyDescent="0.25">
      <c r="A43" s="226">
        <f t="shared" si="35"/>
        <v>16.826923076923077</v>
      </c>
      <c r="B43" s="233">
        <f t="shared" si="36"/>
        <v>40</v>
      </c>
      <c r="C43" s="289" t="s">
        <v>296</v>
      </c>
      <c r="D43" s="657" t="s">
        <v>893</v>
      </c>
      <c r="E43" s="657" t="s">
        <v>895</v>
      </c>
      <c r="F43" s="288">
        <v>35000</v>
      </c>
      <c r="G43" s="228">
        <f t="shared" si="65"/>
        <v>35000</v>
      </c>
      <c r="H43" s="229">
        <f t="shared" si="4"/>
        <v>35000</v>
      </c>
      <c r="I43" s="229">
        <f t="shared" si="5"/>
        <v>35350</v>
      </c>
      <c r="J43" s="229">
        <f t="shared" si="6"/>
        <v>35703.5</v>
      </c>
      <c r="K43" s="229">
        <f t="shared" si="7"/>
        <v>36060.535000000003</v>
      </c>
      <c r="L43" s="229">
        <f t="shared" si="8"/>
        <v>36421.140350000001</v>
      </c>
      <c r="M43" s="229">
        <f t="shared" si="9"/>
        <v>36785.351753499999</v>
      </c>
      <c r="N43" s="229">
        <f t="shared" si="10"/>
        <v>37153.205271034996</v>
      </c>
      <c r="O43" s="229">
        <f t="shared" si="11"/>
        <v>37524.737323745343</v>
      </c>
      <c r="P43" s="229">
        <f t="shared" si="12"/>
        <v>37899.9846969828</v>
      </c>
      <c r="Q43" s="229">
        <f t="shared" si="13"/>
        <v>38278.984543952625</v>
      </c>
      <c r="R43" s="229">
        <f t="shared" si="14"/>
        <v>38661.774389392151</v>
      </c>
      <c r="S43" s="170">
        <f t="shared" si="38"/>
        <v>1</v>
      </c>
      <c r="T43" s="170">
        <f t="shared" si="16"/>
        <v>0</v>
      </c>
      <c r="U43" s="170">
        <f t="shared" si="17"/>
        <v>1</v>
      </c>
      <c r="V43" s="666">
        <f t="shared" si="18"/>
        <v>0</v>
      </c>
      <c r="W43" s="666">
        <f t="shared" si="19"/>
        <v>35000</v>
      </c>
    </row>
    <row r="44" spans="1:23" x14ac:dyDescent="0.25">
      <c r="A44" s="226">
        <f t="shared" si="35"/>
        <v>16.826923076923077</v>
      </c>
      <c r="B44" s="233">
        <f t="shared" si="36"/>
        <v>41</v>
      </c>
      <c r="C44" s="289" t="s">
        <v>296</v>
      </c>
      <c r="D44" s="657" t="s">
        <v>893</v>
      </c>
      <c r="E44" s="657" t="s">
        <v>895</v>
      </c>
      <c r="F44" s="288">
        <v>35000</v>
      </c>
      <c r="G44" s="228">
        <f t="shared" si="65"/>
        <v>35000</v>
      </c>
      <c r="H44" s="229">
        <f t="shared" si="4"/>
        <v>35000</v>
      </c>
      <c r="I44" s="229">
        <f t="shared" si="5"/>
        <v>35350</v>
      </c>
      <c r="J44" s="229">
        <f t="shared" si="6"/>
        <v>35703.5</v>
      </c>
      <c r="K44" s="229">
        <f t="shared" si="7"/>
        <v>36060.535000000003</v>
      </c>
      <c r="L44" s="229">
        <f t="shared" si="8"/>
        <v>36421.140350000001</v>
      </c>
      <c r="M44" s="229">
        <f t="shared" si="9"/>
        <v>36785.351753499999</v>
      </c>
      <c r="N44" s="229">
        <f t="shared" si="10"/>
        <v>37153.205271034996</v>
      </c>
      <c r="O44" s="229">
        <f t="shared" si="11"/>
        <v>37524.737323745343</v>
      </c>
      <c r="P44" s="229">
        <f t="shared" si="12"/>
        <v>37899.9846969828</v>
      </c>
      <c r="Q44" s="229">
        <f t="shared" si="13"/>
        <v>38278.984543952625</v>
      </c>
      <c r="R44" s="229">
        <f t="shared" si="14"/>
        <v>38661.774389392151</v>
      </c>
      <c r="S44" s="170">
        <f t="shared" si="38"/>
        <v>1</v>
      </c>
      <c r="T44" s="170">
        <f t="shared" si="16"/>
        <v>0</v>
      </c>
      <c r="U44" s="170">
        <f t="shared" si="17"/>
        <v>1</v>
      </c>
      <c r="V44" s="666">
        <f t="shared" si="18"/>
        <v>0</v>
      </c>
      <c r="W44" s="666">
        <f t="shared" si="19"/>
        <v>35000</v>
      </c>
    </row>
    <row r="45" spans="1:23" x14ac:dyDescent="0.25">
      <c r="A45" s="226">
        <f t="shared" si="35"/>
        <v>16.826923076923077</v>
      </c>
      <c r="B45" s="233">
        <f t="shared" si="36"/>
        <v>42</v>
      </c>
      <c r="C45" s="289" t="s">
        <v>296</v>
      </c>
      <c r="D45" s="657" t="s">
        <v>893</v>
      </c>
      <c r="E45" s="657" t="s">
        <v>895</v>
      </c>
      <c r="F45" s="288">
        <v>35000</v>
      </c>
      <c r="G45" s="228">
        <f t="shared" si="65"/>
        <v>35000</v>
      </c>
      <c r="H45" s="229">
        <f t="shared" si="4"/>
        <v>35000</v>
      </c>
      <c r="I45" s="229">
        <f t="shared" si="5"/>
        <v>35350</v>
      </c>
      <c r="J45" s="229">
        <f t="shared" si="6"/>
        <v>35703.5</v>
      </c>
      <c r="K45" s="229">
        <f t="shared" si="7"/>
        <v>36060.535000000003</v>
      </c>
      <c r="L45" s="229">
        <f t="shared" si="8"/>
        <v>36421.140350000001</v>
      </c>
      <c r="M45" s="229">
        <f t="shared" si="9"/>
        <v>36785.351753499999</v>
      </c>
      <c r="N45" s="229">
        <f t="shared" si="10"/>
        <v>37153.205271034996</v>
      </c>
      <c r="O45" s="229">
        <f t="shared" si="11"/>
        <v>37524.737323745343</v>
      </c>
      <c r="P45" s="229">
        <f t="shared" si="12"/>
        <v>37899.9846969828</v>
      </c>
      <c r="Q45" s="229">
        <f t="shared" si="13"/>
        <v>38278.984543952625</v>
      </c>
      <c r="R45" s="229">
        <f t="shared" si="14"/>
        <v>38661.774389392151</v>
      </c>
      <c r="S45" s="170">
        <f t="shared" si="38"/>
        <v>1</v>
      </c>
      <c r="T45" s="170">
        <f t="shared" si="16"/>
        <v>0</v>
      </c>
      <c r="U45" s="170">
        <f t="shared" si="17"/>
        <v>1</v>
      </c>
      <c r="V45" s="666">
        <f t="shared" si="18"/>
        <v>0</v>
      </c>
      <c r="W45" s="666">
        <f t="shared" si="19"/>
        <v>35000</v>
      </c>
    </row>
    <row r="46" spans="1:23" x14ac:dyDescent="0.25">
      <c r="A46" s="226">
        <f t="shared" si="35"/>
        <v>16.826923076923077</v>
      </c>
      <c r="B46" s="233">
        <f t="shared" si="36"/>
        <v>43</v>
      </c>
      <c r="C46" s="289" t="s">
        <v>296</v>
      </c>
      <c r="D46" s="657" t="s">
        <v>893</v>
      </c>
      <c r="E46" s="657" t="s">
        <v>895</v>
      </c>
      <c r="F46" s="288">
        <v>35000</v>
      </c>
      <c r="G46" s="228">
        <f t="shared" si="65"/>
        <v>35000</v>
      </c>
      <c r="H46" s="229">
        <f t="shared" si="4"/>
        <v>35000</v>
      </c>
      <c r="I46" s="229">
        <f t="shared" si="5"/>
        <v>35350</v>
      </c>
      <c r="J46" s="229">
        <f t="shared" si="6"/>
        <v>35703.5</v>
      </c>
      <c r="K46" s="229">
        <f t="shared" si="7"/>
        <v>36060.535000000003</v>
      </c>
      <c r="L46" s="229">
        <f t="shared" si="8"/>
        <v>36421.140350000001</v>
      </c>
      <c r="M46" s="229">
        <f t="shared" si="9"/>
        <v>36785.351753499999</v>
      </c>
      <c r="N46" s="229">
        <f t="shared" si="10"/>
        <v>37153.205271034996</v>
      </c>
      <c r="O46" s="229">
        <f t="shared" si="11"/>
        <v>37524.737323745343</v>
      </c>
      <c r="P46" s="229">
        <f t="shared" si="12"/>
        <v>37899.9846969828</v>
      </c>
      <c r="Q46" s="229">
        <f t="shared" si="13"/>
        <v>38278.984543952625</v>
      </c>
      <c r="R46" s="229">
        <f t="shared" si="14"/>
        <v>38661.774389392151</v>
      </c>
      <c r="S46" s="170">
        <f t="shared" si="38"/>
        <v>1</v>
      </c>
      <c r="T46" s="170">
        <f t="shared" si="16"/>
        <v>0</v>
      </c>
      <c r="U46" s="170">
        <f t="shared" si="17"/>
        <v>1</v>
      </c>
      <c r="V46" s="666">
        <f t="shared" si="18"/>
        <v>0</v>
      </c>
      <c r="W46" s="666">
        <f t="shared" si="19"/>
        <v>35000</v>
      </c>
    </row>
    <row r="47" spans="1:23" x14ac:dyDescent="0.25">
      <c r="A47" s="226">
        <f t="shared" si="35"/>
        <v>16.826923076923077</v>
      </c>
      <c r="B47" s="233">
        <f t="shared" si="36"/>
        <v>44</v>
      </c>
      <c r="C47" s="289" t="s">
        <v>296</v>
      </c>
      <c r="D47" s="657" t="s">
        <v>893</v>
      </c>
      <c r="E47" s="657" t="s">
        <v>895</v>
      </c>
      <c r="F47" s="288">
        <v>35000</v>
      </c>
      <c r="G47" s="228">
        <f t="shared" si="65"/>
        <v>35000</v>
      </c>
      <c r="H47" s="229">
        <f t="shared" si="4"/>
        <v>35000</v>
      </c>
      <c r="I47" s="229">
        <f t="shared" si="5"/>
        <v>35350</v>
      </c>
      <c r="J47" s="229">
        <f t="shared" si="6"/>
        <v>35703.5</v>
      </c>
      <c r="K47" s="229">
        <f t="shared" si="7"/>
        <v>36060.535000000003</v>
      </c>
      <c r="L47" s="229">
        <f t="shared" si="8"/>
        <v>36421.140350000001</v>
      </c>
      <c r="M47" s="229">
        <f t="shared" si="9"/>
        <v>36785.351753499999</v>
      </c>
      <c r="N47" s="229">
        <f t="shared" si="10"/>
        <v>37153.205271034996</v>
      </c>
      <c r="O47" s="229">
        <f t="shared" si="11"/>
        <v>37524.737323745343</v>
      </c>
      <c r="P47" s="229">
        <f t="shared" si="12"/>
        <v>37899.9846969828</v>
      </c>
      <c r="Q47" s="229">
        <f t="shared" si="13"/>
        <v>38278.984543952625</v>
      </c>
      <c r="R47" s="229">
        <f t="shared" si="14"/>
        <v>38661.774389392151</v>
      </c>
      <c r="S47" s="170">
        <f t="shared" si="38"/>
        <v>1</v>
      </c>
      <c r="T47" s="170">
        <f t="shared" si="16"/>
        <v>0</v>
      </c>
      <c r="U47" s="170">
        <f t="shared" si="17"/>
        <v>1</v>
      </c>
      <c r="V47" s="666">
        <f t="shared" si="18"/>
        <v>0</v>
      </c>
      <c r="W47" s="666">
        <f t="shared" si="19"/>
        <v>35000</v>
      </c>
    </row>
    <row r="48" spans="1:23" x14ac:dyDescent="0.25">
      <c r="A48" s="226">
        <f t="shared" si="35"/>
        <v>16.826923076923077</v>
      </c>
      <c r="B48" s="233">
        <f t="shared" ref="B48:B51" si="66">SUM(B47+1)</f>
        <v>45</v>
      </c>
      <c r="C48" s="289" t="s">
        <v>296</v>
      </c>
      <c r="D48" s="658" t="s">
        <v>894</v>
      </c>
      <c r="E48" s="657" t="s">
        <v>895</v>
      </c>
      <c r="F48" s="288">
        <v>35000</v>
      </c>
      <c r="G48" s="228">
        <f t="shared" si="65"/>
        <v>35000</v>
      </c>
      <c r="H48" s="229">
        <f t="shared" si="4"/>
        <v>35000</v>
      </c>
      <c r="I48" s="229">
        <f t="shared" si="5"/>
        <v>35350</v>
      </c>
      <c r="J48" s="229">
        <f t="shared" si="6"/>
        <v>35703.5</v>
      </c>
      <c r="K48" s="229">
        <f t="shared" si="7"/>
        <v>36060.535000000003</v>
      </c>
      <c r="L48" s="229">
        <f t="shared" si="8"/>
        <v>36421.140350000001</v>
      </c>
      <c r="M48" s="229">
        <f t="shared" si="9"/>
        <v>36785.351753499999</v>
      </c>
      <c r="N48" s="229">
        <f t="shared" si="10"/>
        <v>37153.205271034996</v>
      </c>
      <c r="O48" s="229">
        <f t="shared" si="11"/>
        <v>37524.737323745343</v>
      </c>
      <c r="P48" s="229">
        <f t="shared" si="12"/>
        <v>37899.9846969828</v>
      </c>
      <c r="Q48" s="229">
        <f t="shared" si="13"/>
        <v>38278.984543952625</v>
      </c>
      <c r="R48" s="229">
        <f t="shared" si="14"/>
        <v>38661.774389392151</v>
      </c>
      <c r="S48" s="170">
        <f t="shared" si="38"/>
        <v>1</v>
      </c>
      <c r="T48" s="170">
        <f t="shared" si="16"/>
        <v>1</v>
      </c>
      <c r="U48" s="170">
        <f t="shared" si="17"/>
        <v>1</v>
      </c>
      <c r="V48" s="666">
        <f t="shared" si="18"/>
        <v>35000</v>
      </c>
      <c r="W48" s="666">
        <f t="shared" si="19"/>
        <v>35000</v>
      </c>
    </row>
    <row r="49" spans="1:23" x14ac:dyDescent="0.25">
      <c r="A49" s="226">
        <f t="shared" si="35"/>
        <v>16.826923076923077</v>
      </c>
      <c r="B49" s="233">
        <f t="shared" si="66"/>
        <v>46</v>
      </c>
      <c r="C49" s="289" t="s">
        <v>296</v>
      </c>
      <c r="D49" s="658" t="s">
        <v>894</v>
      </c>
      <c r="E49" s="657" t="s">
        <v>895</v>
      </c>
      <c r="F49" s="288">
        <v>35000</v>
      </c>
      <c r="G49" s="228">
        <f t="shared" ref="G49:G58" si="67">SUM(F49*$E$1) + F49</f>
        <v>35875</v>
      </c>
      <c r="H49" s="229">
        <f t="shared" si="4"/>
        <v>35875</v>
      </c>
      <c r="I49" s="229">
        <f t="shared" si="5"/>
        <v>36233.75</v>
      </c>
      <c r="J49" s="229">
        <f t="shared" si="6"/>
        <v>36596.087500000001</v>
      </c>
      <c r="K49" s="229">
        <f t="shared" si="7"/>
        <v>36962.048374999998</v>
      </c>
      <c r="L49" s="229">
        <f t="shared" si="8"/>
        <v>37331.668858749996</v>
      </c>
      <c r="M49" s="229">
        <f t="shared" si="9"/>
        <v>37704.985547337499</v>
      </c>
      <c r="N49" s="229">
        <f t="shared" si="10"/>
        <v>38082.035402810878</v>
      </c>
      <c r="O49" s="229">
        <f t="shared" si="11"/>
        <v>38462.855756838988</v>
      </c>
      <c r="P49" s="229">
        <f t="shared" si="12"/>
        <v>38847.484314407375</v>
      </c>
      <c r="Q49" s="229">
        <f t="shared" si="13"/>
        <v>39235.95915755145</v>
      </c>
      <c r="R49" s="229">
        <f t="shared" si="14"/>
        <v>39628.318749126964</v>
      </c>
      <c r="S49" s="170">
        <f t="shared" si="38"/>
        <v>1</v>
      </c>
      <c r="T49" s="170">
        <f t="shared" si="16"/>
        <v>1</v>
      </c>
      <c r="U49" s="170">
        <f t="shared" si="17"/>
        <v>1</v>
      </c>
      <c r="V49" s="666">
        <f t="shared" si="18"/>
        <v>35000</v>
      </c>
      <c r="W49" s="666">
        <f t="shared" si="19"/>
        <v>35000</v>
      </c>
    </row>
    <row r="50" spans="1:23" x14ac:dyDescent="0.25">
      <c r="A50" s="226">
        <f t="shared" si="35"/>
        <v>16.826923076923077</v>
      </c>
      <c r="B50" s="233">
        <f t="shared" si="66"/>
        <v>47</v>
      </c>
      <c r="C50" s="289" t="s">
        <v>296</v>
      </c>
      <c r="D50" s="658" t="s">
        <v>894</v>
      </c>
      <c r="E50" s="657" t="s">
        <v>895</v>
      </c>
      <c r="F50" s="288">
        <v>35000</v>
      </c>
      <c r="G50" s="228">
        <f t="shared" si="67"/>
        <v>35875</v>
      </c>
      <c r="H50" s="229">
        <f t="shared" si="4"/>
        <v>35875</v>
      </c>
      <c r="I50" s="229">
        <f t="shared" si="5"/>
        <v>36233.75</v>
      </c>
      <c r="J50" s="229">
        <f t="shared" si="6"/>
        <v>36596.087500000001</v>
      </c>
      <c r="K50" s="229">
        <f t="shared" si="7"/>
        <v>36962.048374999998</v>
      </c>
      <c r="L50" s="229">
        <f t="shared" si="8"/>
        <v>37331.668858749996</v>
      </c>
      <c r="M50" s="229">
        <f t="shared" si="9"/>
        <v>37704.985547337499</v>
      </c>
      <c r="N50" s="229">
        <f t="shared" si="10"/>
        <v>38082.035402810878</v>
      </c>
      <c r="O50" s="229">
        <f t="shared" si="11"/>
        <v>38462.855756838988</v>
      </c>
      <c r="P50" s="229">
        <f t="shared" si="12"/>
        <v>38847.484314407375</v>
      </c>
      <c r="Q50" s="229">
        <f t="shared" si="13"/>
        <v>39235.95915755145</v>
      </c>
      <c r="R50" s="229">
        <f t="shared" si="14"/>
        <v>39628.318749126964</v>
      </c>
      <c r="S50" s="170">
        <f t="shared" si="38"/>
        <v>1</v>
      </c>
      <c r="T50" s="170">
        <f t="shared" si="16"/>
        <v>1</v>
      </c>
      <c r="U50" s="170">
        <f t="shared" si="17"/>
        <v>1</v>
      </c>
      <c r="V50" s="666">
        <f t="shared" si="18"/>
        <v>35000</v>
      </c>
      <c r="W50" s="666">
        <f t="shared" si="19"/>
        <v>35000</v>
      </c>
    </row>
    <row r="51" spans="1:23" x14ac:dyDescent="0.25">
      <c r="A51" s="226">
        <f t="shared" ref="A51" si="68">SUM(F51/2080)</f>
        <v>16.826923076923077</v>
      </c>
      <c r="B51" s="233">
        <f t="shared" si="66"/>
        <v>48</v>
      </c>
      <c r="C51" s="289" t="s">
        <v>296</v>
      </c>
      <c r="D51" s="658" t="s">
        <v>894</v>
      </c>
      <c r="E51" s="657" t="s">
        <v>895</v>
      </c>
      <c r="F51" s="288">
        <v>35000</v>
      </c>
      <c r="G51" s="228">
        <f t="shared" ref="G51" si="69">SUM(F51*$E$1) + F51</f>
        <v>35875</v>
      </c>
      <c r="H51" s="229">
        <f t="shared" ref="H51" si="70">(G51+(G51*$F$2))</f>
        <v>35875</v>
      </c>
      <c r="I51" s="229">
        <f t="shared" ref="I51" si="71">(H51+(H51*$G$2))</f>
        <v>36233.75</v>
      </c>
      <c r="J51" s="229">
        <f t="shared" ref="J51" si="72">(I51+(I51*$H$2))</f>
        <v>36596.087500000001</v>
      </c>
      <c r="K51" s="229">
        <f t="shared" ref="K51" si="73">(J51+(J51*$I$2))</f>
        <v>36962.048374999998</v>
      </c>
      <c r="L51" s="229">
        <f t="shared" ref="L51" si="74">(K51+(K51*$J$2))</f>
        <v>37331.668858749996</v>
      </c>
      <c r="M51" s="229">
        <f t="shared" ref="M51" si="75">L51+(L51*$J$2)</f>
        <v>37704.985547337499</v>
      </c>
      <c r="N51" s="229">
        <f t="shared" ref="N51" si="76">M51+(M51*$L$2)</f>
        <v>38082.035402810878</v>
      </c>
      <c r="O51" s="229">
        <f t="shared" ref="O51" si="77">N51+(N51*$M$2)</f>
        <v>38462.855756838988</v>
      </c>
      <c r="P51" s="229">
        <f t="shared" ref="P51" si="78">O51+(O51*$N$2)</f>
        <v>38847.484314407375</v>
      </c>
      <c r="Q51" s="229">
        <f t="shared" ref="Q51" si="79">P51+(P51*$O$2)</f>
        <v>39235.95915755145</v>
      </c>
      <c r="R51" s="229">
        <f t="shared" ref="R51" si="80">Q51+(Q51*$P$2)</f>
        <v>39628.318749126964</v>
      </c>
      <c r="S51" s="170">
        <f t="shared" si="38"/>
        <v>1</v>
      </c>
      <c r="T51" s="170">
        <f t="shared" si="16"/>
        <v>1</v>
      </c>
      <c r="U51" s="170">
        <f t="shared" si="17"/>
        <v>1</v>
      </c>
      <c r="V51" s="666">
        <f t="shared" si="18"/>
        <v>35000</v>
      </c>
      <c r="W51" s="666">
        <f t="shared" si="19"/>
        <v>35000</v>
      </c>
    </row>
    <row r="52" spans="1:23" x14ac:dyDescent="0.25">
      <c r="A52" s="226">
        <f t="shared" si="35"/>
        <v>19.23076923076923</v>
      </c>
      <c r="B52" s="215">
        <f>SUM(B51+1)</f>
        <v>49</v>
      </c>
      <c r="C52" s="289" t="s">
        <v>387</v>
      </c>
      <c r="D52" s="657" t="s">
        <v>266</v>
      </c>
      <c r="E52" s="657" t="s">
        <v>892</v>
      </c>
      <c r="F52" s="288">
        <v>40000</v>
      </c>
      <c r="G52" s="228">
        <f t="shared" si="67"/>
        <v>41000</v>
      </c>
      <c r="H52" s="229">
        <f t="shared" si="4"/>
        <v>41000</v>
      </c>
      <c r="I52" s="229">
        <f t="shared" si="5"/>
        <v>41410</v>
      </c>
      <c r="J52" s="229">
        <f t="shared" si="6"/>
        <v>41824.1</v>
      </c>
      <c r="K52" s="229">
        <f t="shared" si="7"/>
        <v>42242.341</v>
      </c>
      <c r="L52" s="229">
        <f t="shared" si="8"/>
        <v>42664.764410000003</v>
      </c>
      <c r="M52" s="229">
        <f t="shared" si="9"/>
        <v>43091.412054100001</v>
      </c>
      <c r="N52" s="229">
        <f t="shared" si="10"/>
        <v>43522.326174640999</v>
      </c>
      <c r="O52" s="229">
        <f t="shared" si="11"/>
        <v>43957.54943638741</v>
      </c>
      <c r="P52" s="229">
        <f t="shared" si="12"/>
        <v>44397.124930751284</v>
      </c>
      <c r="Q52" s="229">
        <f t="shared" si="13"/>
        <v>44841.096180058797</v>
      </c>
      <c r="R52" s="229">
        <f t="shared" si="14"/>
        <v>45289.507141859387</v>
      </c>
      <c r="S52" s="170">
        <f t="shared" si="38"/>
        <v>1</v>
      </c>
      <c r="T52" s="170">
        <f t="shared" si="16"/>
        <v>0</v>
      </c>
      <c r="U52" s="170">
        <f t="shared" si="17"/>
        <v>0</v>
      </c>
      <c r="V52" s="666">
        <f t="shared" si="18"/>
        <v>0</v>
      </c>
      <c r="W52" s="666">
        <f t="shared" si="19"/>
        <v>0</v>
      </c>
    </row>
    <row r="53" spans="1:23" x14ac:dyDescent="0.25">
      <c r="A53" s="226">
        <f t="shared" si="35"/>
        <v>19.23076923076923</v>
      </c>
      <c r="B53" s="215">
        <f t="shared" ref="B53:B57" si="81">SUM(B52+1)</f>
        <v>50</v>
      </c>
      <c r="C53" s="289" t="s">
        <v>387</v>
      </c>
      <c r="D53" s="657" t="s">
        <v>266</v>
      </c>
      <c r="E53" s="657" t="s">
        <v>892</v>
      </c>
      <c r="F53" s="288">
        <v>40000</v>
      </c>
      <c r="G53" s="228">
        <f t="shared" si="67"/>
        <v>41000</v>
      </c>
      <c r="H53" s="229">
        <f t="shared" si="4"/>
        <v>41000</v>
      </c>
      <c r="I53" s="229">
        <f t="shared" si="5"/>
        <v>41410</v>
      </c>
      <c r="J53" s="229">
        <f t="shared" si="6"/>
        <v>41824.1</v>
      </c>
      <c r="K53" s="229">
        <f t="shared" si="7"/>
        <v>42242.341</v>
      </c>
      <c r="L53" s="229">
        <f t="shared" si="8"/>
        <v>42664.764410000003</v>
      </c>
      <c r="M53" s="229">
        <f t="shared" si="9"/>
        <v>43091.412054100001</v>
      </c>
      <c r="N53" s="229">
        <f t="shared" si="10"/>
        <v>43522.326174640999</v>
      </c>
      <c r="O53" s="229">
        <f t="shared" si="11"/>
        <v>43957.54943638741</v>
      </c>
      <c r="P53" s="229">
        <f t="shared" si="12"/>
        <v>44397.124930751284</v>
      </c>
      <c r="Q53" s="229">
        <f t="shared" si="13"/>
        <v>44841.096180058797</v>
      </c>
      <c r="R53" s="229">
        <f t="shared" si="14"/>
        <v>45289.507141859387</v>
      </c>
      <c r="S53" s="170">
        <f t="shared" si="38"/>
        <v>1</v>
      </c>
      <c r="T53" s="170">
        <f t="shared" si="16"/>
        <v>0</v>
      </c>
      <c r="U53" s="170">
        <f t="shared" si="17"/>
        <v>0</v>
      </c>
      <c r="V53" s="666">
        <f t="shared" si="18"/>
        <v>0</v>
      </c>
      <c r="W53" s="666">
        <f t="shared" si="19"/>
        <v>0</v>
      </c>
    </row>
    <row r="54" spans="1:23" x14ac:dyDescent="0.25">
      <c r="A54" s="226">
        <f t="shared" si="35"/>
        <v>12.01923076923077</v>
      </c>
      <c r="B54" s="215">
        <f t="shared" si="81"/>
        <v>51</v>
      </c>
      <c r="C54" s="289" t="s">
        <v>387</v>
      </c>
      <c r="D54" s="658" t="s">
        <v>893</v>
      </c>
      <c r="E54" s="657" t="s">
        <v>895</v>
      </c>
      <c r="F54" s="288">
        <v>25000</v>
      </c>
      <c r="G54" s="228">
        <f t="shared" si="67"/>
        <v>25625</v>
      </c>
      <c r="H54" s="229">
        <f t="shared" si="4"/>
        <v>25625</v>
      </c>
      <c r="I54" s="229">
        <f t="shared" si="5"/>
        <v>25881.25</v>
      </c>
      <c r="J54" s="229">
        <f t="shared" si="6"/>
        <v>26140.0625</v>
      </c>
      <c r="K54" s="229">
        <f t="shared" si="7"/>
        <v>26401.463124999998</v>
      </c>
      <c r="L54" s="229">
        <f t="shared" si="8"/>
        <v>26665.477756249998</v>
      </c>
      <c r="M54" s="229">
        <f t="shared" si="9"/>
        <v>26932.132533812499</v>
      </c>
      <c r="N54" s="229">
        <f t="shared" si="10"/>
        <v>27201.453859150624</v>
      </c>
      <c r="O54" s="229">
        <f t="shared" si="11"/>
        <v>27473.46839774213</v>
      </c>
      <c r="P54" s="229">
        <f t="shared" si="12"/>
        <v>27748.203081719552</v>
      </c>
      <c r="Q54" s="229">
        <f t="shared" si="13"/>
        <v>28025.685112536747</v>
      </c>
      <c r="R54" s="229">
        <f t="shared" si="14"/>
        <v>28305.941963662113</v>
      </c>
      <c r="S54" s="170">
        <f t="shared" si="38"/>
        <v>1</v>
      </c>
      <c r="T54" s="170">
        <f t="shared" si="16"/>
        <v>0</v>
      </c>
      <c r="U54" s="170">
        <f t="shared" si="17"/>
        <v>1</v>
      </c>
      <c r="V54" s="666">
        <f t="shared" si="18"/>
        <v>0</v>
      </c>
      <c r="W54" s="666">
        <f t="shared" si="19"/>
        <v>25000</v>
      </c>
    </row>
    <row r="55" spans="1:23" x14ac:dyDescent="0.25">
      <c r="A55" s="226">
        <f t="shared" si="35"/>
        <v>12.01923076923077</v>
      </c>
      <c r="B55" s="215">
        <f t="shared" si="81"/>
        <v>52</v>
      </c>
      <c r="C55" s="289" t="s">
        <v>387</v>
      </c>
      <c r="D55" s="658" t="s">
        <v>893</v>
      </c>
      <c r="E55" s="657" t="s">
        <v>895</v>
      </c>
      <c r="F55" s="288">
        <v>25000</v>
      </c>
      <c r="G55" s="228">
        <f t="shared" si="67"/>
        <v>25625</v>
      </c>
      <c r="H55" s="229">
        <f t="shared" si="4"/>
        <v>25625</v>
      </c>
      <c r="I55" s="229">
        <f t="shared" si="5"/>
        <v>25881.25</v>
      </c>
      <c r="J55" s="229">
        <f t="shared" si="6"/>
        <v>26140.0625</v>
      </c>
      <c r="K55" s="229">
        <f t="shared" si="7"/>
        <v>26401.463124999998</v>
      </c>
      <c r="L55" s="229">
        <f t="shared" si="8"/>
        <v>26665.477756249998</v>
      </c>
      <c r="M55" s="229">
        <f t="shared" si="9"/>
        <v>26932.132533812499</v>
      </c>
      <c r="N55" s="229">
        <f t="shared" si="10"/>
        <v>27201.453859150624</v>
      </c>
      <c r="O55" s="229">
        <f t="shared" si="11"/>
        <v>27473.46839774213</v>
      </c>
      <c r="P55" s="229">
        <f t="shared" si="12"/>
        <v>27748.203081719552</v>
      </c>
      <c r="Q55" s="229">
        <f t="shared" si="13"/>
        <v>28025.685112536747</v>
      </c>
      <c r="R55" s="229">
        <f t="shared" si="14"/>
        <v>28305.941963662113</v>
      </c>
      <c r="S55" s="170">
        <f t="shared" si="38"/>
        <v>1</v>
      </c>
      <c r="T55" s="170">
        <f t="shared" si="16"/>
        <v>0</v>
      </c>
      <c r="U55" s="170">
        <f t="shared" si="17"/>
        <v>1</v>
      </c>
      <c r="V55" s="666">
        <f t="shared" si="18"/>
        <v>0</v>
      </c>
      <c r="W55" s="666">
        <f t="shared" si="19"/>
        <v>25000</v>
      </c>
    </row>
    <row r="56" spans="1:23" x14ac:dyDescent="0.25">
      <c r="A56" s="226">
        <f t="shared" si="35"/>
        <v>12.01923076923077</v>
      </c>
      <c r="B56" s="215">
        <f t="shared" si="81"/>
        <v>53</v>
      </c>
      <c r="C56" s="289" t="s">
        <v>387</v>
      </c>
      <c r="D56" s="658" t="s">
        <v>893</v>
      </c>
      <c r="E56" s="657" t="s">
        <v>895</v>
      </c>
      <c r="F56" s="288">
        <v>25000</v>
      </c>
      <c r="G56" s="228">
        <f t="shared" si="67"/>
        <v>25625</v>
      </c>
      <c r="H56" s="229">
        <f t="shared" si="4"/>
        <v>25625</v>
      </c>
      <c r="I56" s="229">
        <f t="shared" si="5"/>
        <v>25881.25</v>
      </c>
      <c r="J56" s="229">
        <f t="shared" si="6"/>
        <v>26140.0625</v>
      </c>
      <c r="K56" s="229">
        <f t="shared" si="7"/>
        <v>26401.463124999998</v>
      </c>
      <c r="L56" s="229">
        <f t="shared" si="8"/>
        <v>26665.477756249998</v>
      </c>
      <c r="M56" s="229">
        <f t="shared" si="9"/>
        <v>26932.132533812499</v>
      </c>
      <c r="N56" s="229">
        <f t="shared" si="10"/>
        <v>27201.453859150624</v>
      </c>
      <c r="O56" s="229">
        <f t="shared" si="11"/>
        <v>27473.46839774213</v>
      </c>
      <c r="P56" s="229">
        <f t="shared" si="12"/>
        <v>27748.203081719552</v>
      </c>
      <c r="Q56" s="229">
        <f t="shared" si="13"/>
        <v>28025.685112536747</v>
      </c>
      <c r="R56" s="229">
        <f t="shared" si="14"/>
        <v>28305.941963662113</v>
      </c>
      <c r="S56" s="170">
        <f t="shared" si="38"/>
        <v>1</v>
      </c>
      <c r="T56" s="170">
        <f t="shared" si="16"/>
        <v>0</v>
      </c>
      <c r="U56" s="170">
        <f t="shared" si="17"/>
        <v>1</v>
      </c>
      <c r="V56" s="666">
        <f t="shared" si="18"/>
        <v>0</v>
      </c>
      <c r="W56" s="666">
        <f t="shared" si="19"/>
        <v>25000</v>
      </c>
    </row>
    <row r="57" spans="1:23" x14ac:dyDescent="0.25">
      <c r="A57" s="226">
        <f t="shared" si="35"/>
        <v>12.01923076923077</v>
      </c>
      <c r="B57" s="215">
        <f t="shared" si="81"/>
        <v>54</v>
      </c>
      <c r="C57" s="289" t="s">
        <v>387</v>
      </c>
      <c r="D57" s="658" t="s">
        <v>893</v>
      </c>
      <c r="E57" s="657" t="s">
        <v>895</v>
      </c>
      <c r="F57" s="288">
        <v>25000</v>
      </c>
      <c r="G57" s="228">
        <f t="shared" si="67"/>
        <v>25625</v>
      </c>
      <c r="H57" s="229">
        <f t="shared" si="4"/>
        <v>25625</v>
      </c>
      <c r="I57" s="229">
        <f t="shared" si="5"/>
        <v>25881.25</v>
      </c>
      <c r="J57" s="229">
        <f t="shared" si="6"/>
        <v>26140.0625</v>
      </c>
      <c r="K57" s="229">
        <f t="shared" si="7"/>
        <v>26401.463124999998</v>
      </c>
      <c r="L57" s="229">
        <f t="shared" si="8"/>
        <v>26665.477756249998</v>
      </c>
      <c r="M57" s="229">
        <f t="shared" si="9"/>
        <v>26932.132533812499</v>
      </c>
      <c r="N57" s="229">
        <f t="shared" si="10"/>
        <v>27201.453859150624</v>
      </c>
      <c r="O57" s="229">
        <f t="shared" si="11"/>
        <v>27473.46839774213</v>
      </c>
      <c r="P57" s="229">
        <f t="shared" si="12"/>
        <v>27748.203081719552</v>
      </c>
      <c r="Q57" s="229">
        <f t="shared" si="13"/>
        <v>28025.685112536747</v>
      </c>
      <c r="R57" s="229">
        <f t="shared" si="14"/>
        <v>28305.941963662113</v>
      </c>
      <c r="S57" s="170">
        <f t="shared" si="38"/>
        <v>1</v>
      </c>
      <c r="T57" s="170">
        <f t="shared" si="16"/>
        <v>0</v>
      </c>
      <c r="U57" s="170">
        <f t="shared" si="17"/>
        <v>1</v>
      </c>
      <c r="V57" s="666">
        <f t="shared" si="18"/>
        <v>0</v>
      </c>
      <c r="W57" s="666">
        <f t="shared" si="19"/>
        <v>25000</v>
      </c>
    </row>
    <row r="58" spans="1:23" x14ac:dyDescent="0.25">
      <c r="A58" s="226">
        <f t="shared" si="35"/>
        <v>12.01923076923077</v>
      </c>
      <c r="B58" s="215">
        <f t="shared" ref="B58:B63" si="82">SUM(B57+1)</f>
        <v>55</v>
      </c>
      <c r="C58" s="289" t="s">
        <v>387</v>
      </c>
      <c r="D58" s="658" t="s">
        <v>893</v>
      </c>
      <c r="E58" s="657" t="s">
        <v>895</v>
      </c>
      <c r="F58" s="288">
        <v>25000</v>
      </c>
      <c r="G58" s="228">
        <f t="shared" si="67"/>
        <v>25625</v>
      </c>
      <c r="H58" s="229">
        <f t="shared" si="4"/>
        <v>25625</v>
      </c>
      <c r="I58" s="229">
        <f t="shared" si="5"/>
        <v>25881.25</v>
      </c>
      <c r="J58" s="229">
        <f t="shared" si="6"/>
        <v>26140.0625</v>
      </c>
      <c r="K58" s="229">
        <f t="shared" si="7"/>
        <v>26401.463124999998</v>
      </c>
      <c r="L58" s="229">
        <f t="shared" si="8"/>
        <v>26665.477756249998</v>
      </c>
      <c r="M58" s="229">
        <f t="shared" si="9"/>
        <v>26932.132533812499</v>
      </c>
      <c r="N58" s="229">
        <f t="shared" si="10"/>
        <v>27201.453859150624</v>
      </c>
      <c r="O58" s="229">
        <f t="shared" si="11"/>
        <v>27473.46839774213</v>
      </c>
      <c r="P58" s="229">
        <f t="shared" si="12"/>
        <v>27748.203081719552</v>
      </c>
      <c r="Q58" s="229">
        <f t="shared" si="13"/>
        <v>28025.685112536747</v>
      </c>
      <c r="R58" s="229">
        <f t="shared" si="14"/>
        <v>28305.941963662113</v>
      </c>
      <c r="S58" s="170">
        <f t="shared" si="38"/>
        <v>1</v>
      </c>
      <c r="T58" s="170">
        <f t="shared" si="16"/>
        <v>0</v>
      </c>
      <c r="U58" s="170">
        <f t="shared" si="17"/>
        <v>1</v>
      </c>
      <c r="V58" s="666">
        <f t="shared" si="18"/>
        <v>0</v>
      </c>
      <c r="W58" s="666">
        <f t="shared" si="19"/>
        <v>25000</v>
      </c>
    </row>
    <row r="59" spans="1:23" x14ac:dyDescent="0.25">
      <c r="A59" s="226">
        <f t="shared" ref="A59" si="83">SUM(F59/2080)</f>
        <v>12.01923076923077</v>
      </c>
      <c r="B59" s="215">
        <f t="shared" si="82"/>
        <v>56</v>
      </c>
      <c r="C59" s="289" t="s">
        <v>387</v>
      </c>
      <c r="D59" s="658" t="s">
        <v>893</v>
      </c>
      <c r="E59" s="657" t="s">
        <v>895</v>
      </c>
      <c r="F59" s="288">
        <v>25000</v>
      </c>
      <c r="G59" s="228">
        <f t="shared" ref="G59" si="84">SUM(F59*$E$1) + F59</f>
        <v>25625</v>
      </c>
      <c r="H59" s="229">
        <f t="shared" si="4"/>
        <v>25625</v>
      </c>
      <c r="I59" s="229">
        <f t="shared" si="5"/>
        <v>25881.25</v>
      </c>
      <c r="J59" s="229">
        <f t="shared" si="6"/>
        <v>26140.0625</v>
      </c>
      <c r="K59" s="229">
        <f t="shared" si="7"/>
        <v>26401.463124999998</v>
      </c>
      <c r="L59" s="229">
        <f t="shared" si="8"/>
        <v>26665.477756249998</v>
      </c>
      <c r="M59" s="229">
        <f t="shared" si="9"/>
        <v>26932.132533812499</v>
      </c>
      <c r="N59" s="229">
        <f t="shared" si="10"/>
        <v>27201.453859150624</v>
      </c>
      <c r="O59" s="229">
        <f t="shared" si="11"/>
        <v>27473.46839774213</v>
      </c>
      <c r="P59" s="229">
        <f t="shared" si="12"/>
        <v>27748.203081719552</v>
      </c>
      <c r="Q59" s="229">
        <f t="shared" si="13"/>
        <v>28025.685112536747</v>
      </c>
      <c r="R59" s="229">
        <f t="shared" si="14"/>
        <v>28305.941963662113</v>
      </c>
      <c r="S59" s="170">
        <f t="shared" si="15"/>
        <v>1</v>
      </c>
      <c r="T59" s="170">
        <f t="shared" si="16"/>
        <v>0</v>
      </c>
      <c r="U59" s="170">
        <f t="shared" si="17"/>
        <v>1</v>
      </c>
      <c r="V59" s="666">
        <f t="shared" si="18"/>
        <v>0</v>
      </c>
      <c r="W59" s="666">
        <f t="shared" si="19"/>
        <v>25000</v>
      </c>
    </row>
    <row r="60" spans="1:23" x14ac:dyDescent="0.25">
      <c r="A60" s="226">
        <f t="shared" si="2"/>
        <v>12.01923076923077</v>
      </c>
      <c r="B60" s="215">
        <f t="shared" si="82"/>
        <v>57</v>
      </c>
      <c r="C60" s="289" t="s">
        <v>387</v>
      </c>
      <c r="D60" s="658" t="s">
        <v>894</v>
      </c>
      <c r="E60" s="657" t="s">
        <v>895</v>
      </c>
      <c r="F60" s="288">
        <v>25000</v>
      </c>
      <c r="G60" s="228">
        <f t="shared" ref="G60:G77" si="85">SUM(F60*$E$1) + F60</f>
        <v>25625</v>
      </c>
      <c r="H60" s="229">
        <f t="shared" si="4"/>
        <v>25625</v>
      </c>
      <c r="I60" s="229">
        <f t="shared" si="5"/>
        <v>25881.25</v>
      </c>
      <c r="J60" s="229">
        <f t="shared" si="6"/>
        <v>26140.0625</v>
      </c>
      <c r="K60" s="229">
        <f t="shared" si="7"/>
        <v>26401.463124999998</v>
      </c>
      <c r="L60" s="229">
        <f t="shared" si="8"/>
        <v>26665.477756249998</v>
      </c>
      <c r="M60" s="229">
        <f t="shared" si="9"/>
        <v>26932.132533812499</v>
      </c>
      <c r="N60" s="229">
        <f t="shared" si="10"/>
        <v>27201.453859150624</v>
      </c>
      <c r="O60" s="229">
        <f t="shared" si="11"/>
        <v>27473.46839774213</v>
      </c>
      <c r="P60" s="229">
        <f t="shared" si="12"/>
        <v>27748.203081719552</v>
      </c>
      <c r="Q60" s="229">
        <f t="shared" si="13"/>
        <v>28025.685112536747</v>
      </c>
      <c r="R60" s="229">
        <f t="shared" si="14"/>
        <v>28305.941963662113</v>
      </c>
      <c r="S60" s="170">
        <f t="shared" si="15"/>
        <v>1</v>
      </c>
      <c r="T60" s="170">
        <f t="shared" si="16"/>
        <v>1</v>
      </c>
      <c r="U60" s="170">
        <f t="shared" si="17"/>
        <v>1</v>
      </c>
      <c r="V60" s="666">
        <f t="shared" si="18"/>
        <v>25000</v>
      </c>
      <c r="W60" s="666">
        <f t="shared" si="19"/>
        <v>25000</v>
      </c>
    </row>
    <row r="61" spans="1:23" x14ac:dyDescent="0.25">
      <c r="A61" s="226">
        <f t="shared" si="2"/>
        <v>12.01923076923077</v>
      </c>
      <c r="B61" s="215">
        <f t="shared" si="82"/>
        <v>58</v>
      </c>
      <c r="C61" s="289" t="s">
        <v>387</v>
      </c>
      <c r="D61" s="658" t="s">
        <v>894</v>
      </c>
      <c r="E61" s="657" t="s">
        <v>895</v>
      </c>
      <c r="F61" s="288">
        <v>25000</v>
      </c>
      <c r="G61" s="228">
        <f t="shared" si="85"/>
        <v>25625</v>
      </c>
      <c r="H61" s="229">
        <f t="shared" si="4"/>
        <v>25625</v>
      </c>
      <c r="I61" s="229">
        <f t="shared" si="5"/>
        <v>25881.25</v>
      </c>
      <c r="J61" s="229">
        <f t="shared" si="6"/>
        <v>26140.0625</v>
      </c>
      <c r="K61" s="229">
        <f t="shared" si="7"/>
        <v>26401.463124999998</v>
      </c>
      <c r="L61" s="229">
        <f t="shared" si="8"/>
        <v>26665.477756249998</v>
      </c>
      <c r="M61" s="229">
        <f t="shared" si="9"/>
        <v>26932.132533812499</v>
      </c>
      <c r="N61" s="229">
        <f t="shared" si="10"/>
        <v>27201.453859150624</v>
      </c>
      <c r="O61" s="229">
        <f t="shared" si="11"/>
        <v>27473.46839774213</v>
      </c>
      <c r="P61" s="229">
        <f t="shared" si="12"/>
        <v>27748.203081719552</v>
      </c>
      <c r="Q61" s="229">
        <f t="shared" si="13"/>
        <v>28025.685112536747</v>
      </c>
      <c r="R61" s="229">
        <f t="shared" si="14"/>
        <v>28305.941963662113</v>
      </c>
      <c r="S61" s="170">
        <f t="shared" si="15"/>
        <v>1</v>
      </c>
      <c r="T61" s="170">
        <f t="shared" si="16"/>
        <v>1</v>
      </c>
      <c r="U61" s="170">
        <f t="shared" si="17"/>
        <v>1</v>
      </c>
      <c r="V61" s="666">
        <f t="shared" si="18"/>
        <v>25000</v>
      </c>
      <c r="W61" s="666">
        <f t="shared" si="19"/>
        <v>25000</v>
      </c>
    </row>
    <row r="62" spans="1:23" x14ac:dyDescent="0.25">
      <c r="A62" s="226">
        <f t="shared" si="2"/>
        <v>12.01923076923077</v>
      </c>
      <c r="B62" s="215">
        <f t="shared" si="82"/>
        <v>59</v>
      </c>
      <c r="C62" s="289" t="s">
        <v>387</v>
      </c>
      <c r="D62" s="658" t="s">
        <v>894</v>
      </c>
      <c r="E62" s="657" t="s">
        <v>895</v>
      </c>
      <c r="F62" s="288">
        <v>25000</v>
      </c>
      <c r="G62" s="228">
        <f t="shared" si="85"/>
        <v>25625</v>
      </c>
      <c r="H62" s="229">
        <f t="shared" si="4"/>
        <v>25625</v>
      </c>
      <c r="I62" s="229">
        <f t="shared" si="5"/>
        <v>25881.25</v>
      </c>
      <c r="J62" s="229">
        <f t="shared" si="6"/>
        <v>26140.0625</v>
      </c>
      <c r="K62" s="229">
        <f t="shared" si="7"/>
        <v>26401.463124999998</v>
      </c>
      <c r="L62" s="229">
        <f t="shared" si="8"/>
        <v>26665.477756249998</v>
      </c>
      <c r="M62" s="229">
        <f t="shared" si="9"/>
        <v>26932.132533812499</v>
      </c>
      <c r="N62" s="229">
        <f t="shared" si="10"/>
        <v>27201.453859150624</v>
      </c>
      <c r="O62" s="229">
        <f t="shared" si="11"/>
        <v>27473.46839774213</v>
      </c>
      <c r="P62" s="229">
        <f t="shared" si="12"/>
        <v>27748.203081719552</v>
      </c>
      <c r="Q62" s="229">
        <f t="shared" si="13"/>
        <v>28025.685112536747</v>
      </c>
      <c r="R62" s="229">
        <f t="shared" si="14"/>
        <v>28305.941963662113</v>
      </c>
      <c r="S62" s="170">
        <f t="shared" si="15"/>
        <v>1</v>
      </c>
      <c r="T62" s="170">
        <f t="shared" si="16"/>
        <v>1</v>
      </c>
      <c r="U62" s="170">
        <f t="shared" si="17"/>
        <v>1</v>
      </c>
      <c r="V62" s="666">
        <f t="shared" si="18"/>
        <v>25000</v>
      </c>
      <c r="W62" s="666">
        <f t="shared" si="19"/>
        <v>25000</v>
      </c>
    </row>
    <row r="63" spans="1:23" x14ac:dyDescent="0.25">
      <c r="A63" s="226">
        <f t="shared" si="2"/>
        <v>12.01923076923077</v>
      </c>
      <c r="B63" s="215">
        <f t="shared" si="82"/>
        <v>60</v>
      </c>
      <c r="C63" s="289" t="s">
        <v>387</v>
      </c>
      <c r="D63" s="658" t="s">
        <v>894</v>
      </c>
      <c r="E63" s="657" t="s">
        <v>895</v>
      </c>
      <c r="F63" s="288">
        <v>25000</v>
      </c>
      <c r="G63" s="228">
        <f t="shared" si="85"/>
        <v>25625</v>
      </c>
      <c r="H63" s="229">
        <f t="shared" si="4"/>
        <v>25625</v>
      </c>
      <c r="I63" s="229">
        <f t="shared" si="5"/>
        <v>25881.25</v>
      </c>
      <c r="J63" s="229">
        <f t="shared" si="6"/>
        <v>26140.0625</v>
      </c>
      <c r="K63" s="229">
        <f t="shared" si="7"/>
        <v>26401.463124999998</v>
      </c>
      <c r="L63" s="229">
        <f t="shared" si="8"/>
        <v>26665.477756249998</v>
      </c>
      <c r="M63" s="229">
        <f t="shared" si="9"/>
        <v>26932.132533812499</v>
      </c>
      <c r="N63" s="229">
        <f t="shared" si="10"/>
        <v>27201.453859150624</v>
      </c>
      <c r="O63" s="229">
        <f t="shared" si="11"/>
        <v>27473.46839774213</v>
      </c>
      <c r="P63" s="229">
        <f t="shared" si="12"/>
        <v>27748.203081719552</v>
      </c>
      <c r="Q63" s="229">
        <f t="shared" si="13"/>
        <v>28025.685112536747</v>
      </c>
      <c r="R63" s="229">
        <f t="shared" si="14"/>
        <v>28305.941963662113</v>
      </c>
      <c r="S63" s="170">
        <f t="shared" si="15"/>
        <v>1</v>
      </c>
      <c r="T63" s="170">
        <f t="shared" si="16"/>
        <v>1</v>
      </c>
      <c r="U63" s="170">
        <f t="shared" si="17"/>
        <v>1</v>
      </c>
      <c r="V63" s="666">
        <f t="shared" si="18"/>
        <v>25000</v>
      </c>
      <c r="W63" s="666">
        <f t="shared" si="19"/>
        <v>25000</v>
      </c>
    </row>
    <row r="64" spans="1:23" x14ac:dyDescent="0.25">
      <c r="A64" s="226">
        <f t="shared" si="2"/>
        <v>12.01923076923077</v>
      </c>
      <c r="B64" s="215">
        <f t="shared" ref="B64:B92" si="86">SUM(B63+1)</f>
        <v>61</v>
      </c>
      <c r="C64" s="289" t="s">
        <v>387</v>
      </c>
      <c r="D64" s="658" t="s">
        <v>894</v>
      </c>
      <c r="E64" s="657" t="s">
        <v>895</v>
      </c>
      <c r="F64" s="288">
        <v>25000</v>
      </c>
      <c r="G64" s="228">
        <f t="shared" si="85"/>
        <v>25625</v>
      </c>
      <c r="H64" s="229">
        <f t="shared" si="4"/>
        <v>25625</v>
      </c>
      <c r="I64" s="229">
        <f t="shared" si="5"/>
        <v>25881.25</v>
      </c>
      <c r="J64" s="229">
        <f t="shared" si="6"/>
        <v>26140.0625</v>
      </c>
      <c r="K64" s="229">
        <f t="shared" si="7"/>
        <v>26401.463124999998</v>
      </c>
      <c r="L64" s="229">
        <f t="shared" si="8"/>
        <v>26665.477756249998</v>
      </c>
      <c r="M64" s="229">
        <f t="shared" si="9"/>
        <v>26932.132533812499</v>
      </c>
      <c r="N64" s="229">
        <f t="shared" si="10"/>
        <v>27201.453859150624</v>
      </c>
      <c r="O64" s="229">
        <f t="shared" si="11"/>
        <v>27473.46839774213</v>
      </c>
      <c r="P64" s="229">
        <f t="shared" si="12"/>
        <v>27748.203081719552</v>
      </c>
      <c r="Q64" s="229">
        <f t="shared" si="13"/>
        <v>28025.685112536747</v>
      </c>
      <c r="R64" s="229">
        <f t="shared" si="14"/>
        <v>28305.941963662113</v>
      </c>
      <c r="S64" s="170">
        <f t="shared" si="15"/>
        <v>1</v>
      </c>
      <c r="T64" s="170">
        <f t="shared" si="16"/>
        <v>1</v>
      </c>
      <c r="U64" s="170">
        <f t="shared" si="17"/>
        <v>1</v>
      </c>
      <c r="V64" s="666">
        <f t="shared" si="18"/>
        <v>25000</v>
      </c>
      <c r="W64" s="666">
        <f t="shared" si="19"/>
        <v>25000</v>
      </c>
    </row>
    <row r="65" spans="1:23" x14ac:dyDescent="0.25">
      <c r="A65" s="226">
        <f t="shared" si="2"/>
        <v>12.01923076923077</v>
      </c>
      <c r="B65" s="215">
        <f t="shared" si="86"/>
        <v>62</v>
      </c>
      <c r="C65" s="289" t="s">
        <v>387</v>
      </c>
      <c r="D65" s="658" t="s">
        <v>894</v>
      </c>
      <c r="E65" s="657" t="s">
        <v>895</v>
      </c>
      <c r="F65" s="288">
        <v>25000</v>
      </c>
      <c r="G65" s="228">
        <f t="shared" si="85"/>
        <v>25625</v>
      </c>
      <c r="H65" s="229">
        <f t="shared" si="4"/>
        <v>25625</v>
      </c>
      <c r="I65" s="229">
        <f t="shared" si="5"/>
        <v>25881.25</v>
      </c>
      <c r="J65" s="229">
        <f t="shared" si="6"/>
        <v>26140.0625</v>
      </c>
      <c r="K65" s="229">
        <f t="shared" si="7"/>
        <v>26401.463124999998</v>
      </c>
      <c r="L65" s="229">
        <f t="shared" si="8"/>
        <v>26665.477756249998</v>
      </c>
      <c r="M65" s="229">
        <f t="shared" si="9"/>
        <v>26932.132533812499</v>
      </c>
      <c r="N65" s="229">
        <f t="shared" si="10"/>
        <v>27201.453859150624</v>
      </c>
      <c r="O65" s="229">
        <f t="shared" si="11"/>
        <v>27473.46839774213</v>
      </c>
      <c r="P65" s="229">
        <f t="shared" si="12"/>
        <v>27748.203081719552</v>
      </c>
      <c r="Q65" s="229">
        <f t="shared" si="13"/>
        <v>28025.685112536747</v>
      </c>
      <c r="R65" s="229">
        <f t="shared" si="14"/>
        <v>28305.941963662113</v>
      </c>
      <c r="S65" s="170">
        <f t="shared" si="15"/>
        <v>1</v>
      </c>
      <c r="T65" s="170">
        <f t="shared" si="16"/>
        <v>1</v>
      </c>
      <c r="U65" s="170">
        <f t="shared" si="17"/>
        <v>1</v>
      </c>
      <c r="V65" s="666">
        <f t="shared" si="18"/>
        <v>25000</v>
      </c>
      <c r="W65" s="666">
        <f t="shared" si="19"/>
        <v>25000</v>
      </c>
    </row>
    <row r="66" spans="1:23" x14ac:dyDescent="0.25">
      <c r="A66" s="226">
        <f t="shared" si="2"/>
        <v>12.01923076923077</v>
      </c>
      <c r="B66" s="215">
        <f t="shared" si="86"/>
        <v>63</v>
      </c>
      <c r="C66" s="289" t="s">
        <v>387</v>
      </c>
      <c r="D66" s="658" t="s">
        <v>894</v>
      </c>
      <c r="E66" s="657" t="s">
        <v>895</v>
      </c>
      <c r="F66" s="288">
        <v>25000</v>
      </c>
      <c r="G66" s="228">
        <f t="shared" si="85"/>
        <v>25625</v>
      </c>
      <c r="H66" s="229">
        <f t="shared" si="4"/>
        <v>25625</v>
      </c>
      <c r="I66" s="229">
        <f t="shared" si="5"/>
        <v>25881.25</v>
      </c>
      <c r="J66" s="229">
        <f t="shared" si="6"/>
        <v>26140.0625</v>
      </c>
      <c r="K66" s="229">
        <f t="shared" si="7"/>
        <v>26401.463124999998</v>
      </c>
      <c r="L66" s="229">
        <f t="shared" si="8"/>
        <v>26665.477756249998</v>
      </c>
      <c r="M66" s="229">
        <f t="shared" si="9"/>
        <v>26932.132533812499</v>
      </c>
      <c r="N66" s="229">
        <f t="shared" si="10"/>
        <v>27201.453859150624</v>
      </c>
      <c r="O66" s="229">
        <f t="shared" si="11"/>
        <v>27473.46839774213</v>
      </c>
      <c r="P66" s="229">
        <f t="shared" si="12"/>
        <v>27748.203081719552</v>
      </c>
      <c r="Q66" s="229">
        <f t="shared" si="13"/>
        <v>28025.685112536747</v>
      </c>
      <c r="R66" s="229">
        <f t="shared" si="14"/>
        <v>28305.941963662113</v>
      </c>
      <c r="S66" s="170">
        <f t="shared" si="15"/>
        <v>1</v>
      </c>
      <c r="T66" s="170">
        <f t="shared" si="16"/>
        <v>1</v>
      </c>
      <c r="U66" s="170">
        <f t="shared" si="17"/>
        <v>1</v>
      </c>
      <c r="V66" s="666">
        <f t="shared" si="18"/>
        <v>25000</v>
      </c>
      <c r="W66" s="666">
        <f t="shared" si="19"/>
        <v>25000</v>
      </c>
    </row>
    <row r="67" spans="1:23" x14ac:dyDescent="0.25">
      <c r="A67" s="226">
        <f t="shared" si="2"/>
        <v>12.01923076923077</v>
      </c>
      <c r="B67" s="215">
        <f>SUM(B66+1)</f>
        <v>64</v>
      </c>
      <c r="C67" s="289" t="s">
        <v>387</v>
      </c>
      <c r="D67" s="658" t="s">
        <v>894</v>
      </c>
      <c r="E67" s="657" t="s">
        <v>895</v>
      </c>
      <c r="F67" s="288">
        <v>25000</v>
      </c>
      <c r="G67" s="228">
        <f t="shared" si="85"/>
        <v>25625</v>
      </c>
      <c r="H67" s="229">
        <f t="shared" si="4"/>
        <v>25625</v>
      </c>
      <c r="I67" s="229">
        <f t="shared" si="5"/>
        <v>25881.25</v>
      </c>
      <c r="J67" s="229">
        <f t="shared" si="6"/>
        <v>26140.0625</v>
      </c>
      <c r="K67" s="229">
        <f t="shared" si="7"/>
        <v>26401.463124999998</v>
      </c>
      <c r="L67" s="229">
        <f t="shared" si="8"/>
        <v>26665.477756249998</v>
      </c>
      <c r="M67" s="229">
        <f t="shared" si="9"/>
        <v>26932.132533812499</v>
      </c>
      <c r="N67" s="229">
        <f t="shared" si="10"/>
        <v>27201.453859150624</v>
      </c>
      <c r="O67" s="229">
        <f t="shared" si="11"/>
        <v>27473.46839774213</v>
      </c>
      <c r="P67" s="229">
        <f t="shared" si="12"/>
        <v>27748.203081719552</v>
      </c>
      <c r="Q67" s="229">
        <f t="shared" si="13"/>
        <v>28025.685112536747</v>
      </c>
      <c r="R67" s="229">
        <f t="shared" si="14"/>
        <v>28305.941963662113</v>
      </c>
      <c r="S67" s="170">
        <f t="shared" si="15"/>
        <v>1</v>
      </c>
      <c r="T67" s="170">
        <f t="shared" si="16"/>
        <v>1</v>
      </c>
      <c r="U67" s="170">
        <f t="shared" si="17"/>
        <v>1</v>
      </c>
      <c r="V67" s="666">
        <f t="shared" si="18"/>
        <v>25000</v>
      </c>
      <c r="W67" s="666">
        <f t="shared" si="19"/>
        <v>25000</v>
      </c>
    </row>
    <row r="68" spans="1:23" x14ac:dyDescent="0.25">
      <c r="A68" s="226">
        <f t="shared" si="2"/>
        <v>12.01923076923077</v>
      </c>
      <c r="B68" s="215">
        <f>SUM(B67+1)</f>
        <v>65</v>
      </c>
      <c r="C68" s="289" t="s">
        <v>387</v>
      </c>
      <c r="D68" s="658" t="s">
        <v>894</v>
      </c>
      <c r="E68" s="657" t="s">
        <v>895</v>
      </c>
      <c r="F68" s="288">
        <v>25000</v>
      </c>
      <c r="G68" s="228">
        <f t="shared" si="85"/>
        <v>25625</v>
      </c>
      <c r="H68" s="229">
        <f t="shared" si="4"/>
        <v>25625</v>
      </c>
      <c r="I68" s="229">
        <f t="shared" si="5"/>
        <v>25881.25</v>
      </c>
      <c r="J68" s="229">
        <f t="shared" si="6"/>
        <v>26140.0625</v>
      </c>
      <c r="K68" s="229">
        <f t="shared" si="7"/>
        <v>26401.463124999998</v>
      </c>
      <c r="L68" s="229">
        <f t="shared" si="8"/>
        <v>26665.477756249998</v>
      </c>
      <c r="M68" s="229">
        <f t="shared" si="9"/>
        <v>26932.132533812499</v>
      </c>
      <c r="N68" s="229">
        <f t="shared" si="10"/>
        <v>27201.453859150624</v>
      </c>
      <c r="O68" s="229">
        <f t="shared" si="11"/>
        <v>27473.46839774213</v>
      </c>
      <c r="P68" s="229">
        <f t="shared" si="12"/>
        <v>27748.203081719552</v>
      </c>
      <c r="Q68" s="229">
        <f t="shared" si="13"/>
        <v>28025.685112536747</v>
      </c>
      <c r="R68" s="229">
        <f t="shared" si="14"/>
        <v>28305.941963662113</v>
      </c>
      <c r="S68" s="170">
        <f t="shared" si="15"/>
        <v>1</v>
      </c>
      <c r="T68" s="170">
        <f t="shared" si="16"/>
        <v>1</v>
      </c>
      <c r="U68" s="170">
        <f t="shared" si="17"/>
        <v>1</v>
      </c>
      <c r="V68" s="666">
        <f t="shared" si="18"/>
        <v>25000</v>
      </c>
      <c r="W68" s="666">
        <f t="shared" si="19"/>
        <v>25000</v>
      </c>
    </row>
    <row r="69" spans="1:23" x14ac:dyDescent="0.25">
      <c r="A69" s="226">
        <f t="shared" si="2"/>
        <v>12.01923076923077</v>
      </c>
      <c r="B69" s="215">
        <f>SUM(B68+1)</f>
        <v>66</v>
      </c>
      <c r="C69" s="289" t="s">
        <v>387</v>
      </c>
      <c r="D69" s="658" t="s">
        <v>894</v>
      </c>
      <c r="E69" s="657" t="s">
        <v>895</v>
      </c>
      <c r="F69" s="288">
        <v>25000</v>
      </c>
      <c r="G69" s="228">
        <f t="shared" si="85"/>
        <v>25625</v>
      </c>
      <c r="H69" s="229">
        <f t="shared" si="4"/>
        <v>25625</v>
      </c>
      <c r="I69" s="229">
        <f t="shared" si="5"/>
        <v>25881.25</v>
      </c>
      <c r="J69" s="229">
        <f t="shared" si="6"/>
        <v>26140.0625</v>
      </c>
      <c r="K69" s="229">
        <f t="shared" si="7"/>
        <v>26401.463124999998</v>
      </c>
      <c r="L69" s="229">
        <f t="shared" si="8"/>
        <v>26665.477756249998</v>
      </c>
      <c r="M69" s="229">
        <f t="shared" si="9"/>
        <v>26932.132533812499</v>
      </c>
      <c r="N69" s="229">
        <f t="shared" si="10"/>
        <v>27201.453859150624</v>
      </c>
      <c r="O69" s="229">
        <f t="shared" si="11"/>
        <v>27473.46839774213</v>
      </c>
      <c r="P69" s="229">
        <f t="shared" si="12"/>
        <v>27748.203081719552</v>
      </c>
      <c r="Q69" s="229">
        <f t="shared" si="13"/>
        <v>28025.685112536747</v>
      </c>
      <c r="R69" s="229">
        <f t="shared" si="14"/>
        <v>28305.941963662113</v>
      </c>
      <c r="S69" s="170">
        <f t="shared" si="15"/>
        <v>1</v>
      </c>
      <c r="T69" s="170">
        <f t="shared" si="16"/>
        <v>1</v>
      </c>
      <c r="U69" s="170">
        <f t="shared" si="17"/>
        <v>1</v>
      </c>
      <c r="V69" s="666">
        <f t="shared" si="18"/>
        <v>25000</v>
      </c>
      <c r="W69" s="666">
        <f t="shared" si="19"/>
        <v>25000</v>
      </c>
    </row>
    <row r="70" spans="1:23" x14ac:dyDescent="0.25">
      <c r="A70" s="226">
        <f t="shared" si="2"/>
        <v>0</v>
      </c>
      <c r="B70" s="215">
        <f>SUM(B69+1)</f>
        <v>67</v>
      </c>
      <c r="C70" s="289" t="s">
        <v>387</v>
      </c>
      <c r="D70" s="658"/>
      <c r="E70" s="657" t="s">
        <v>266</v>
      </c>
      <c r="F70" s="288">
        <v>0</v>
      </c>
      <c r="G70" s="228">
        <f t="shared" si="85"/>
        <v>0</v>
      </c>
      <c r="H70" s="229">
        <f t="shared" si="4"/>
        <v>0</v>
      </c>
      <c r="I70" s="229">
        <f t="shared" si="5"/>
        <v>0</v>
      </c>
      <c r="J70" s="229">
        <f t="shared" si="6"/>
        <v>0</v>
      </c>
      <c r="K70" s="229">
        <f t="shared" si="7"/>
        <v>0</v>
      </c>
      <c r="L70" s="229">
        <f t="shared" si="8"/>
        <v>0</v>
      </c>
      <c r="M70" s="229">
        <f t="shared" si="9"/>
        <v>0</v>
      </c>
      <c r="N70" s="229">
        <f t="shared" si="10"/>
        <v>0</v>
      </c>
      <c r="O70" s="229">
        <f t="shared" si="11"/>
        <v>0</v>
      </c>
      <c r="P70" s="229">
        <f t="shared" si="12"/>
        <v>0</v>
      </c>
      <c r="Q70" s="229">
        <f t="shared" si="13"/>
        <v>0</v>
      </c>
      <c r="R70" s="229">
        <f t="shared" si="14"/>
        <v>0</v>
      </c>
      <c r="S70" s="170">
        <f t="shared" si="15"/>
        <v>0</v>
      </c>
      <c r="T70" s="170">
        <f t="shared" si="16"/>
        <v>0</v>
      </c>
      <c r="U70" s="170">
        <f t="shared" si="17"/>
        <v>0</v>
      </c>
      <c r="V70" s="666">
        <f t="shared" ref="V70:V114" si="87">IF(D70="F", F70,0)</f>
        <v>0</v>
      </c>
      <c r="W70" s="666">
        <f t="shared" ref="W70:W114" si="88">IF(E70="DJB", F70,0)</f>
        <v>0</v>
      </c>
    </row>
    <row r="71" spans="1:23" x14ac:dyDescent="0.25">
      <c r="A71" s="226">
        <f t="shared" si="2"/>
        <v>0</v>
      </c>
      <c r="B71" s="215">
        <f>SUM(B70+1)</f>
        <v>68</v>
      </c>
      <c r="C71" s="289" t="s">
        <v>387</v>
      </c>
      <c r="D71" s="658"/>
      <c r="E71" s="657" t="s">
        <v>266</v>
      </c>
      <c r="F71" s="288">
        <v>0</v>
      </c>
      <c r="G71" s="228">
        <f t="shared" si="85"/>
        <v>0</v>
      </c>
      <c r="H71" s="229">
        <f t="shared" si="4"/>
        <v>0</v>
      </c>
      <c r="I71" s="229">
        <f t="shared" si="5"/>
        <v>0</v>
      </c>
      <c r="J71" s="229">
        <f t="shared" si="6"/>
        <v>0</v>
      </c>
      <c r="K71" s="229">
        <f t="shared" si="7"/>
        <v>0</v>
      </c>
      <c r="L71" s="229">
        <f t="shared" si="8"/>
        <v>0</v>
      </c>
      <c r="M71" s="229">
        <f t="shared" si="9"/>
        <v>0</v>
      </c>
      <c r="N71" s="229">
        <f t="shared" si="10"/>
        <v>0</v>
      </c>
      <c r="O71" s="229">
        <f t="shared" si="11"/>
        <v>0</v>
      </c>
      <c r="P71" s="229">
        <f t="shared" si="12"/>
        <v>0</v>
      </c>
      <c r="Q71" s="229">
        <f t="shared" si="13"/>
        <v>0</v>
      </c>
      <c r="R71" s="229">
        <f t="shared" si="14"/>
        <v>0</v>
      </c>
      <c r="S71" s="170">
        <f t="shared" si="15"/>
        <v>0</v>
      </c>
      <c r="T71" s="170">
        <f t="shared" si="16"/>
        <v>0</v>
      </c>
      <c r="U71" s="170">
        <f t="shared" si="17"/>
        <v>0</v>
      </c>
      <c r="V71" s="666">
        <f t="shared" si="87"/>
        <v>0</v>
      </c>
      <c r="W71" s="666">
        <f t="shared" si="88"/>
        <v>0</v>
      </c>
    </row>
    <row r="72" spans="1:23" x14ac:dyDescent="0.25">
      <c r="A72" s="226">
        <f t="shared" si="2"/>
        <v>0</v>
      </c>
      <c r="B72" s="215">
        <f t="shared" si="86"/>
        <v>69</v>
      </c>
      <c r="C72" s="289" t="s">
        <v>387</v>
      </c>
      <c r="D72" s="658"/>
      <c r="E72" s="657" t="s">
        <v>266</v>
      </c>
      <c r="F72" s="288">
        <v>0</v>
      </c>
      <c r="G72" s="228">
        <f t="shared" si="85"/>
        <v>0</v>
      </c>
      <c r="H72" s="229">
        <f t="shared" si="4"/>
        <v>0</v>
      </c>
      <c r="I72" s="229">
        <f t="shared" si="5"/>
        <v>0</v>
      </c>
      <c r="J72" s="229">
        <f t="shared" si="6"/>
        <v>0</v>
      </c>
      <c r="K72" s="229">
        <f t="shared" si="7"/>
        <v>0</v>
      </c>
      <c r="L72" s="229">
        <f t="shared" si="8"/>
        <v>0</v>
      </c>
      <c r="M72" s="229">
        <f t="shared" si="9"/>
        <v>0</v>
      </c>
      <c r="N72" s="229">
        <f t="shared" si="10"/>
        <v>0</v>
      </c>
      <c r="O72" s="229">
        <f t="shared" si="11"/>
        <v>0</v>
      </c>
      <c r="P72" s="229">
        <f t="shared" si="12"/>
        <v>0</v>
      </c>
      <c r="Q72" s="229">
        <f t="shared" si="13"/>
        <v>0</v>
      </c>
      <c r="R72" s="229">
        <f t="shared" si="14"/>
        <v>0</v>
      </c>
      <c r="S72" s="170">
        <f t="shared" si="15"/>
        <v>0</v>
      </c>
      <c r="T72" s="170">
        <f t="shared" si="16"/>
        <v>0</v>
      </c>
      <c r="U72" s="170">
        <f t="shared" si="17"/>
        <v>0</v>
      </c>
      <c r="V72" s="666">
        <f t="shared" si="87"/>
        <v>0</v>
      </c>
      <c r="W72" s="666">
        <f t="shared" si="88"/>
        <v>0</v>
      </c>
    </row>
    <row r="73" spans="1:23" x14ac:dyDescent="0.25">
      <c r="A73" s="226">
        <f t="shared" si="2"/>
        <v>31.25</v>
      </c>
      <c r="B73" s="140">
        <f t="shared" si="86"/>
        <v>70</v>
      </c>
      <c r="C73" s="289" t="s">
        <v>1070</v>
      </c>
      <c r="D73" s="657" t="s">
        <v>266</v>
      </c>
      <c r="E73" s="657" t="s">
        <v>892</v>
      </c>
      <c r="F73" s="288">
        <v>65000</v>
      </c>
      <c r="G73" s="228">
        <f t="shared" si="85"/>
        <v>66625</v>
      </c>
      <c r="H73" s="229">
        <f t="shared" si="4"/>
        <v>66625</v>
      </c>
      <c r="I73" s="229">
        <f t="shared" si="5"/>
        <v>67291.25</v>
      </c>
      <c r="J73" s="229">
        <f t="shared" si="6"/>
        <v>67964.162500000006</v>
      </c>
      <c r="K73" s="229">
        <f t="shared" si="7"/>
        <v>68643.80412500001</v>
      </c>
      <c r="L73" s="229">
        <f t="shared" si="8"/>
        <v>69330.242166250013</v>
      </c>
      <c r="M73" s="229">
        <f t="shared" si="9"/>
        <v>70023.544587912518</v>
      </c>
      <c r="N73" s="229">
        <f t="shared" si="10"/>
        <v>70723.780033791641</v>
      </c>
      <c r="O73" s="229">
        <f t="shared" si="11"/>
        <v>71431.017834129554</v>
      </c>
      <c r="P73" s="229">
        <f t="shared" si="12"/>
        <v>72145.328012470854</v>
      </c>
      <c r="Q73" s="229">
        <f t="shared" si="13"/>
        <v>72866.781292595566</v>
      </c>
      <c r="R73" s="229">
        <f t="shared" si="14"/>
        <v>73595.449105521519</v>
      </c>
      <c r="S73" s="170">
        <f t="shared" si="15"/>
        <v>1</v>
      </c>
      <c r="T73" s="170">
        <f t="shared" si="16"/>
        <v>0</v>
      </c>
      <c r="U73" s="170">
        <f t="shared" si="17"/>
        <v>0</v>
      </c>
      <c r="V73" s="666">
        <f t="shared" si="87"/>
        <v>0</v>
      </c>
      <c r="W73" s="666">
        <f t="shared" si="88"/>
        <v>0</v>
      </c>
    </row>
    <row r="74" spans="1:23" x14ac:dyDescent="0.25">
      <c r="A74" s="226">
        <f t="shared" ref="A74:A114" si="89">SUM(F74/2080)</f>
        <v>31.25</v>
      </c>
      <c r="B74" s="140">
        <f t="shared" si="86"/>
        <v>71</v>
      </c>
      <c r="C74" s="289" t="s">
        <v>1070</v>
      </c>
      <c r="D74" s="657" t="s">
        <v>266</v>
      </c>
      <c r="E74" s="657" t="s">
        <v>892</v>
      </c>
      <c r="F74" s="288">
        <v>65000</v>
      </c>
      <c r="G74" s="228">
        <f t="shared" si="85"/>
        <v>66625</v>
      </c>
      <c r="H74" s="229">
        <f t="shared" si="4"/>
        <v>66625</v>
      </c>
      <c r="I74" s="229">
        <f t="shared" si="5"/>
        <v>67291.25</v>
      </c>
      <c r="J74" s="229">
        <f t="shared" si="6"/>
        <v>67964.162500000006</v>
      </c>
      <c r="K74" s="229">
        <f t="shared" si="7"/>
        <v>68643.80412500001</v>
      </c>
      <c r="L74" s="229">
        <f t="shared" si="8"/>
        <v>69330.242166250013</v>
      </c>
      <c r="M74" s="229">
        <f t="shared" si="9"/>
        <v>70023.544587912518</v>
      </c>
      <c r="N74" s="229">
        <f t="shared" si="10"/>
        <v>70723.780033791641</v>
      </c>
      <c r="O74" s="229">
        <f t="shared" si="11"/>
        <v>71431.017834129554</v>
      </c>
      <c r="P74" s="229">
        <f t="shared" si="12"/>
        <v>72145.328012470854</v>
      </c>
      <c r="Q74" s="229">
        <f t="shared" si="13"/>
        <v>72866.781292595566</v>
      </c>
      <c r="R74" s="229">
        <f t="shared" si="14"/>
        <v>73595.449105521519</v>
      </c>
      <c r="S74" s="170">
        <f t="shared" si="15"/>
        <v>1</v>
      </c>
      <c r="T74" s="170">
        <f t="shared" ref="T74:T114" si="90">IF($D74="F", 1, 0)</f>
        <v>0</v>
      </c>
      <c r="U74" s="170">
        <f t="shared" ref="U74:U114" si="91">IF($E74="DJB", 1, 0)</f>
        <v>0</v>
      </c>
      <c r="V74" s="666">
        <f t="shared" si="87"/>
        <v>0</v>
      </c>
      <c r="W74" s="666">
        <f t="shared" si="88"/>
        <v>0</v>
      </c>
    </row>
    <row r="75" spans="1:23" x14ac:dyDescent="0.25">
      <c r="A75" s="226">
        <f t="shared" si="89"/>
        <v>19.23076923076923</v>
      </c>
      <c r="B75" s="140">
        <f t="shared" si="86"/>
        <v>72</v>
      </c>
      <c r="C75" s="289" t="s">
        <v>1070</v>
      </c>
      <c r="D75" s="658" t="s">
        <v>893</v>
      </c>
      <c r="E75" s="657" t="s">
        <v>895</v>
      </c>
      <c r="F75" s="288">
        <v>40000</v>
      </c>
      <c r="G75" s="228">
        <f t="shared" si="85"/>
        <v>41000</v>
      </c>
      <c r="H75" s="229">
        <f t="shared" ref="H75:H114" si="92">(G75+(G75*$F$2))</f>
        <v>41000</v>
      </c>
      <c r="I75" s="229">
        <f t="shared" ref="I75:I114" si="93">(H75+(H75*$G$2))</f>
        <v>41410</v>
      </c>
      <c r="J75" s="229">
        <f t="shared" ref="J75:J114" si="94">(I75+(I75*$H$2))</f>
        <v>41824.1</v>
      </c>
      <c r="K75" s="229">
        <f t="shared" ref="K75:K114" si="95">(J75+(J75*$I$2))</f>
        <v>42242.341</v>
      </c>
      <c r="L75" s="229">
        <f t="shared" ref="L75:L114" si="96">(K75+(K75*$J$2))</f>
        <v>42664.764410000003</v>
      </c>
      <c r="M75" s="229">
        <f t="shared" ref="M75:M114" si="97">L75+(L75*$J$2)</f>
        <v>43091.412054100001</v>
      </c>
      <c r="N75" s="229">
        <f t="shared" ref="N75:N114" si="98">M75+(M75*$L$2)</f>
        <v>43522.326174640999</v>
      </c>
      <c r="O75" s="229">
        <f t="shared" ref="O75:O114" si="99">N75+(N75*$M$2)</f>
        <v>43957.54943638741</v>
      </c>
      <c r="P75" s="229">
        <f t="shared" ref="P75:P114" si="100">O75+(O75*$N$2)</f>
        <v>44397.124930751284</v>
      </c>
      <c r="Q75" s="229">
        <f t="shared" ref="Q75:Q114" si="101">P75+(P75*$O$2)</f>
        <v>44841.096180058797</v>
      </c>
      <c r="R75" s="229">
        <f t="shared" ref="R75:R114" si="102">Q75+(Q75*$P$2)</f>
        <v>45289.507141859387</v>
      </c>
      <c r="S75" s="170">
        <f t="shared" ref="S75:S114" si="103">IF($F75=0, 0, 1)</f>
        <v>1</v>
      </c>
      <c r="T75" s="170">
        <f t="shared" si="90"/>
        <v>0</v>
      </c>
      <c r="U75" s="170">
        <f t="shared" si="91"/>
        <v>1</v>
      </c>
      <c r="V75" s="666">
        <f t="shared" si="87"/>
        <v>0</v>
      </c>
      <c r="W75" s="666">
        <f t="shared" si="88"/>
        <v>40000</v>
      </c>
    </row>
    <row r="76" spans="1:23" x14ac:dyDescent="0.25">
      <c r="A76" s="226">
        <f t="shared" si="89"/>
        <v>19.23076923076923</v>
      </c>
      <c r="B76" s="140">
        <f t="shared" si="86"/>
        <v>73</v>
      </c>
      <c r="C76" s="289" t="s">
        <v>1070</v>
      </c>
      <c r="D76" s="658" t="s">
        <v>893</v>
      </c>
      <c r="E76" s="657" t="s">
        <v>895</v>
      </c>
      <c r="F76" s="288">
        <v>40000</v>
      </c>
      <c r="G76" s="228">
        <f t="shared" si="85"/>
        <v>41000</v>
      </c>
      <c r="H76" s="229">
        <f t="shared" si="92"/>
        <v>41000</v>
      </c>
      <c r="I76" s="229">
        <f t="shared" si="93"/>
        <v>41410</v>
      </c>
      <c r="J76" s="229">
        <f t="shared" si="94"/>
        <v>41824.1</v>
      </c>
      <c r="K76" s="229">
        <f t="shared" si="95"/>
        <v>42242.341</v>
      </c>
      <c r="L76" s="229">
        <f t="shared" si="96"/>
        <v>42664.764410000003</v>
      </c>
      <c r="M76" s="229">
        <f t="shared" si="97"/>
        <v>43091.412054100001</v>
      </c>
      <c r="N76" s="229">
        <f t="shared" si="98"/>
        <v>43522.326174640999</v>
      </c>
      <c r="O76" s="229">
        <f t="shared" si="99"/>
        <v>43957.54943638741</v>
      </c>
      <c r="P76" s="229">
        <f t="shared" si="100"/>
        <v>44397.124930751284</v>
      </c>
      <c r="Q76" s="229">
        <f t="shared" si="101"/>
        <v>44841.096180058797</v>
      </c>
      <c r="R76" s="229">
        <f t="shared" si="102"/>
        <v>45289.507141859387</v>
      </c>
      <c r="S76" s="170">
        <f t="shared" si="103"/>
        <v>1</v>
      </c>
      <c r="T76" s="170">
        <f t="shared" si="90"/>
        <v>0</v>
      </c>
      <c r="U76" s="170">
        <f t="shared" si="91"/>
        <v>1</v>
      </c>
      <c r="V76" s="666">
        <f t="shared" si="87"/>
        <v>0</v>
      </c>
      <c r="W76" s="666">
        <f t="shared" si="88"/>
        <v>40000</v>
      </c>
    </row>
    <row r="77" spans="1:23" x14ac:dyDescent="0.25">
      <c r="A77" s="226">
        <f t="shared" si="89"/>
        <v>16.826923076923077</v>
      </c>
      <c r="B77" s="140">
        <f t="shared" si="86"/>
        <v>74</v>
      </c>
      <c r="C77" s="289" t="s">
        <v>1070</v>
      </c>
      <c r="D77" s="658" t="s">
        <v>893</v>
      </c>
      <c r="E77" s="657" t="s">
        <v>895</v>
      </c>
      <c r="F77" s="288">
        <v>35000</v>
      </c>
      <c r="G77" s="228">
        <f t="shared" si="85"/>
        <v>35875</v>
      </c>
      <c r="H77" s="229">
        <f t="shared" si="92"/>
        <v>35875</v>
      </c>
      <c r="I77" s="229">
        <f t="shared" si="93"/>
        <v>36233.75</v>
      </c>
      <c r="J77" s="229">
        <f t="shared" si="94"/>
        <v>36596.087500000001</v>
      </c>
      <c r="K77" s="229">
        <f t="shared" si="95"/>
        <v>36962.048374999998</v>
      </c>
      <c r="L77" s="229">
        <f t="shared" si="96"/>
        <v>37331.668858749996</v>
      </c>
      <c r="M77" s="229">
        <f t="shared" si="97"/>
        <v>37704.985547337499</v>
      </c>
      <c r="N77" s="229">
        <f t="shared" si="98"/>
        <v>38082.035402810878</v>
      </c>
      <c r="O77" s="229">
        <f t="shared" si="99"/>
        <v>38462.855756838988</v>
      </c>
      <c r="P77" s="229">
        <f t="shared" si="100"/>
        <v>38847.484314407375</v>
      </c>
      <c r="Q77" s="229">
        <f t="shared" si="101"/>
        <v>39235.95915755145</v>
      </c>
      <c r="R77" s="229">
        <f t="shared" si="102"/>
        <v>39628.318749126964</v>
      </c>
      <c r="S77" s="170">
        <f t="shared" si="103"/>
        <v>1</v>
      </c>
      <c r="T77" s="170">
        <f t="shared" si="90"/>
        <v>0</v>
      </c>
      <c r="U77" s="170">
        <f t="shared" si="91"/>
        <v>1</v>
      </c>
      <c r="V77" s="666">
        <f t="shared" si="87"/>
        <v>0</v>
      </c>
      <c r="W77" s="666">
        <f t="shared" si="88"/>
        <v>35000</v>
      </c>
    </row>
    <row r="78" spans="1:23" x14ac:dyDescent="0.25">
      <c r="A78" s="226">
        <f t="shared" si="89"/>
        <v>16.826923076923077</v>
      </c>
      <c r="B78" s="140">
        <f t="shared" si="86"/>
        <v>75</v>
      </c>
      <c r="C78" s="289" t="s">
        <v>1070</v>
      </c>
      <c r="D78" s="658" t="s">
        <v>893</v>
      </c>
      <c r="E78" s="657" t="s">
        <v>895</v>
      </c>
      <c r="F78" s="288">
        <v>35000</v>
      </c>
      <c r="G78" s="228">
        <f t="shared" ref="G78:G114" si="104">SUM(F78*$E$1) + F78</f>
        <v>35875</v>
      </c>
      <c r="H78" s="229">
        <f t="shared" si="92"/>
        <v>35875</v>
      </c>
      <c r="I78" s="229">
        <f t="shared" si="93"/>
        <v>36233.75</v>
      </c>
      <c r="J78" s="229">
        <f t="shared" si="94"/>
        <v>36596.087500000001</v>
      </c>
      <c r="K78" s="229">
        <f t="shared" si="95"/>
        <v>36962.048374999998</v>
      </c>
      <c r="L78" s="229">
        <f t="shared" si="96"/>
        <v>37331.668858749996</v>
      </c>
      <c r="M78" s="229">
        <f t="shared" si="97"/>
        <v>37704.985547337499</v>
      </c>
      <c r="N78" s="229">
        <f t="shared" si="98"/>
        <v>38082.035402810878</v>
      </c>
      <c r="O78" s="229">
        <f t="shared" si="99"/>
        <v>38462.855756838988</v>
      </c>
      <c r="P78" s="229">
        <f t="shared" si="100"/>
        <v>38847.484314407375</v>
      </c>
      <c r="Q78" s="229">
        <f t="shared" si="101"/>
        <v>39235.95915755145</v>
      </c>
      <c r="R78" s="229">
        <f t="shared" si="102"/>
        <v>39628.318749126964</v>
      </c>
      <c r="S78" s="170">
        <f t="shared" si="103"/>
        <v>1</v>
      </c>
      <c r="T78" s="170">
        <f t="shared" si="90"/>
        <v>0</v>
      </c>
      <c r="U78" s="170">
        <f t="shared" si="91"/>
        <v>1</v>
      </c>
      <c r="V78" s="666">
        <f t="shared" si="87"/>
        <v>0</v>
      </c>
      <c r="W78" s="666">
        <f t="shared" si="88"/>
        <v>35000</v>
      </c>
    </row>
    <row r="79" spans="1:23" x14ac:dyDescent="0.25">
      <c r="A79" s="226">
        <f t="shared" si="89"/>
        <v>16.826923076923077</v>
      </c>
      <c r="B79" s="140">
        <f>SUM(B78+1)</f>
        <v>76</v>
      </c>
      <c r="C79" s="289" t="s">
        <v>1070</v>
      </c>
      <c r="D79" s="658" t="s">
        <v>893</v>
      </c>
      <c r="E79" s="657" t="s">
        <v>895</v>
      </c>
      <c r="F79" s="288">
        <v>35000</v>
      </c>
      <c r="G79" s="228">
        <f t="shared" si="104"/>
        <v>35875</v>
      </c>
      <c r="H79" s="229">
        <f t="shared" si="92"/>
        <v>35875</v>
      </c>
      <c r="I79" s="229">
        <f t="shared" si="93"/>
        <v>36233.75</v>
      </c>
      <c r="J79" s="229">
        <f t="shared" si="94"/>
        <v>36596.087500000001</v>
      </c>
      <c r="K79" s="229">
        <f t="shared" si="95"/>
        <v>36962.048374999998</v>
      </c>
      <c r="L79" s="229">
        <f t="shared" si="96"/>
        <v>37331.668858749996</v>
      </c>
      <c r="M79" s="229">
        <f t="shared" si="97"/>
        <v>37704.985547337499</v>
      </c>
      <c r="N79" s="229">
        <f t="shared" si="98"/>
        <v>38082.035402810878</v>
      </c>
      <c r="O79" s="229">
        <f t="shared" si="99"/>
        <v>38462.855756838988</v>
      </c>
      <c r="P79" s="229">
        <f t="shared" si="100"/>
        <v>38847.484314407375</v>
      </c>
      <c r="Q79" s="229">
        <f t="shared" si="101"/>
        <v>39235.95915755145</v>
      </c>
      <c r="R79" s="229">
        <f t="shared" si="102"/>
        <v>39628.318749126964</v>
      </c>
      <c r="S79" s="170">
        <f t="shared" si="103"/>
        <v>1</v>
      </c>
      <c r="T79" s="170">
        <f t="shared" si="90"/>
        <v>0</v>
      </c>
      <c r="U79" s="170">
        <f t="shared" si="91"/>
        <v>1</v>
      </c>
      <c r="V79" s="666">
        <f t="shared" si="87"/>
        <v>0</v>
      </c>
      <c r="W79" s="666">
        <f t="shared" si="88"/>
        <v>35000</v>
      </c>
    </row>
    <row r="80" spans="1:23" x14ac:dyDescent="0.25">
      <c r="A80" s="226">
        <f t="shared" si="89"/>
        <v>16.826923076923077</v>
      </c>
      <c r="B80" s="140">
        <f>SUM(B79+1)</f>
        <v>77</v>
      </c>
      <c r="C80" s="289" t="s">
        <v>1070</v>
      </c>
      <c r="D80" s="658" t="s">
        <v>893</v>
      </c>
      <c r="E80" s="657" t="s">
        <v>895</v>
      </c>
      <c r="F80" s="288">
        <v>35000</v>
      </c>
      <c r="G80" s="228">
        <f t="shared" si="104"/>
        <v>35875</v>
      </c>
      <c r="H80" s="229">
        <f t="shared" si="92"/>
        <v>35875</v>
      </c>
      <c r="I80" s="229">
        <f t="shared" si="93"/>
        <v>36233.75</v>
      </c>
      <c r="J80" s="229">
        <f t="shared" si="94"/>
        <v>36596.087500000001</v>
      </c>
      <c r="K80" s="229">
        <f t="shared" si="95"/>
        <v>36962.048374999998</v>
      </c>
      <c r="L80" s="229">
        <f t="shared" si="96"/>
        <v>37331.668858749996</v>
      </c>
      <c r="M80" s="229">
        <f t="shared" si="97"/>
        <v>37704.985547337499</v>
      </c>
      <c r="N80" s="229">
        <f t="shared" si="98"/>
        <v>38082.035402810878</v>
      </c>
      <c r="O80" s="229">
        <f t="shared" si="99"/>
        <v>38462.855756838988</v>
      </c>
      <c r="P80" s="229">
        <f t="shared" si="100"/>
        <v>38847.484314407375</v>
      </c>
      <c r="Q80" s="229">
        <f t="shared" si="101"/>
        <v>39235.95915755145</v>
      </c>
      <c r="R80" s="229">
        <f t="shared" si="102"/>
        <v>39628.318749126964</v>
      </c>
      <c r="S80" s="170">
        <f t="shared" si="103"/>
        <v>1</v>
      </c>
      <c r="T80" s="170">
        <f t="shared" si="90"/>
        <v>0</v>
      </c>
      <c r="U80" s="170">
        <f t="shared" si="91"/>
        <v>1</v>
      </c>
      <c r="V80" s="666">
        <f t="shared" si="87"/>
        <v>0</v>
      </c>
      <c r="W80" s="666">
        <f t="shared" si="88"/>
        <v>35000</v>
      </c>
    </row>
    <row r="81" spans="1:23" x14ac:dyDescent="0.25">
      <c r="A81" s="226">
        <f t="shared" si="89"/>
        <v>16.826923076923077</v>
      </c>
      <c r="B81" s="140">
        <f>SUM(B80+1)</f>
        <v>78</v>
      </c>
      <c r="C81" s="289" t="s">
        <v>1070</v>
      </c>
      <c r="D81" s="658" t="s">
        <v>894</v>
      </c>
      <c r="E81" s="657" t="s">
        <v>895</v>
      </c>
      <c r="F81" s="288">
        <v>35000</v>
      </c>
      <c r="G81" s="228">
        <f t="shared" si="104"/>
        <v>35875</v>
      </c>
      <c r="H81" s="229">
        <f t="shared" si="92"/>
        <v>35875</v>
      </c>
      <c r="I81" s="229">
        <f t="shared" si="93"/>
        <v>36233.75</v>
      </c>
      <c r="J81" s="229">
        <f t="shared" si="94"/>
        <v>36596.087500000001</v>
      </c>
      <c r="K81" s="229">
        <f t="shared" si="95"/>
        <v>36962.048374999998</v>
      </c>
      <c r="L81" s="229">
        <f t="shared" si="96"/>
        <v>37331.668858749996</v>
      </c>
      <c r="M81" s="229">
        <f t="shared" si="97"/>
        <v>37704.985547337499</v>
      </c>
      <c r="N81" s="229">
        <f t="shared" si="98"/>
        <v>38082.035402810878</v>
      </c>
      <c r="O81" s="229">
        <f t="shared" si="99"/>
        <v>38462.855756838988</v>
      </c>
      <c r="P81" s="229">
        <f t="shared" si="100"/>
        <v>38847.484314407375</v>
      </c>
      <c r="Q81" s="229">
        <f t="shared" si="101"/>
        <v>39235.95915755145</v>
      </c>
      <c r="R81" s="229">
        <f t="shared" si="102"/>
        <v>39628.318749126964</v>
      </c>
      <c r="S81" s="170">
        <f t="shared" si="103"/>
        <v>1</v>
      </c>
      <c r="T81" s="170">
        <f t="shared" si="90"/>
        <v>1</v>
      </c>
      <c r="U81" s="170">
        <f t="shared" si="91"/>
        <v>1</v>
      </c>
      <c r="V81" s="666">
        <f t="shared" si="87"/>
        <v>35000</v>
      </c>
      <c r="W81" s="666">
        <f t="shared" si="88"/>
        <v>35000</v>
      </c>
    </row>
    <row r="82" spans="1:23" x14ac:dyDescent="0.25">
      <c r="A82" s="226">
        <f t="shared" si="89"/>
        <v>16.826923076923077</v>
      </c>
      <c r="B82" s="140">
        <f>SUM(B81+1)</f>
        <v>79</v>
      </c>
      <c r="C82" s="289" t="s">
        <v>1070</v>
      </c>
      <c r="D82" s="658" t="s">
        <v>894</v>
      </c>
      <c r="E82" s="657" t="s">
        <v>895</v>
      </c>
      <c r="F82" s="288">
        <v>35000</v>
      </c>
      <c r="G82" s="228">
        <f t="shared" si="104"/>
        <v>35875</v>
      </c>
      <c r="H82" s="229">
        <f t="shared" si="92"/>
        <v>35875</v>
      </c>
      <c r="I82" s="229">
        <f t="shared" si="93"/>
        <v>36233.75</v>
      </c>
      <c r="J82" s="229">
        <f t="shared" si="94"/>
        <v>36596.087500000001</v>
      </c>
      <c r="K82" s="229">
        <f t="shared" si="95"/>
        <v>36962.048374999998</v>
      </c>
      <c r="L82" s="229">
        <f t="shared" si="96"/>
        <v>37331.668858749996</v>
      </c>
      <c r="M82" s="229">
        <f t="shared" si="97"/>
        <v>37704.985547337499</v>
      </c>
      <c r="N82" s="229">
        <f t="shared" si="98"/>
        <v>38082.035402810878</v>
      </c>
      <c r="O82" s="229">
        <f t="shared" si="99"/>
        <v>38462.855756838988</v>
      </c>
      <c r="P82" s="229">
        <f t="shared" si="100"/>
        <v>38847.484314407375</v>
      </c>
      <c r="Q82" s="229">
        <f t="shared" si="101"/>
        <v>39235.95915755145</v>
      </c>
      <c r="R82" s="229">
        <f t="shared" si="102"/>
        <v>39628.318749126964</v>
      </c>
      <c r="S82" s="170">
        <f t="shared" si="103"/>
        <v>1</v>
      </c>
      <c r="T82" s="170">
        <f t="shared" si="90"/>
        <v>1</v>
      </c>
      <c r="U82" s="170">
        <f t="shared" si="91"/>
        <v>1</v>
      </c>
      <c r="V82" s="666">
        <f t="shared" si="87"/>
        <v>35000</v>
      </c>
      <c r="W82" s="666">
        <f t="shared" si="88"/>
        <v>35000</v>
      </c>
    </row>
    <row r="83" spans="1:23" x14ac:dyDescent="0.25">
      <c r="A83" s="226">
        <f t="shared" si="89"/>
        <v>14.423076923076923</v>
      </c>
      <c r="B83" s="140">
        <f t="shared" si="86"/>
        <v>80</v>
      </c>
      <c r="C83" s="289" t="s">
        <v>1070</v>
      </c>
      <c r="D83" s="658" t="s">
        <v>894</v>
      </c>
      <c r="E83" s="657" t="s">
        <v>895</v>
      </c>
      <c r="F83" s="288">
        <v>30000</v>
      </c>
      <c r="G83" s="228">
        <f>F83</f>
        <v>30000</v>
      </c>
      <c r="H83" s="229">
        <f t="shared" si="92"/>
        <v>30000</v>
      </c>
      <c r="I83" s="229">
        <f t="shared" si="93"/>
        <v>30300</v>
      </c>
      <c r="J83" s="229">
        <f t="shared" si="94"/>
        <v>30603</v>
      </c>
      <c r="K83" s="229">
        <f t="shared" si="95"/>
        <v>30909.03</v>
      </c>
      <c r="L83" s="229">
        <f t="shared" si="96"/>
        <v>31218.120299999999</v>
      </c>
      <c r="M83" s="229">
        <f t="shared" si="97"/>
        <v>31530.301502999999</v>
      </c>
      <c r="N83" s="229">
        <f t="shared" si="98"/>
        <v>31845.604518029999</v>
      </c>
      <c r="O83" s="229">
        <f t="shared" si="99"/>
        <v>32164.0605632103</v>
      </c>
      <c r="P83" s="229">
        <f t="shared" si="100"/>
        <v>32485.701168842403</v>
      </c>
      <c r="Q83" s="229">
        <f t="shared" si="101"/>
        <v>32810.558180530825</v>
      </c>
      <c r="R83" s="229">
        <f t="shared" si="102"/>
        <v>33138.663762336131</v>
      </c>
      <c r="S83" s="170">
        <f t="shared" si="103"/>
        <v>1</v>
      </c>
      <c r="T83" s="170">
        <f t="shared" si="90"/>
        <v>1</v>
      </c>
      <c r="U83" s="170">
        <f t="shared" si="91"/>
        <v>1</v>
      </c>
      <c r="V83" s="666">
        <f t="shared" si="87"/>
        <v>30000</v>
      </c>
      <c r="W83" s="666">
        <f t="shared" si="88"/>
        <v>30000</v>
      </c>
    </row>
    <row r="84" spans="1:23" x14ac:dyDescent="0.25">
      <c r="A84" s="226">
        <f t="shared" si="89"/>
        <v>14.423076923076923</v>
      </c>
      <c r="B84" s="140">
        <f t="shared" si="86"/>
        <v>81</v>
      </c>
      <c r="C84" s="289" t="s">
        <v>1070</v>
      </c>
      <c r="D84" s="658" t="s">
        <v>894</v>
      </c>
      <c r="E84" s="657" t="s">
        <v>895</v>
      </c>
      <c r="F84" s="288">
        <v>30000</v>
      </c>
      <c r="G84" s="228">
        <f t="shared" ref="G84" si="105">F84</f>
        <v>30000</v>
      </c>
      <c r="H84" s="229">
        <f t="shared" si="92"/>
        <v>30000</v>
      </c>
      <c r="I84" s="229">
        <f t="shared" si="93"/>
        <v>30300</v>
      </c>
      <c r="J84" s="229">
        <f t="shared" si="94"/>
        <v>30603</v>
      </c>
      <c r="K84" s="229">
        <f t="shared" si="95"/>
        <v>30909.03</v>
      </c>
      <c r="L84" s="229">
        <f t="shared" si="96"/>
        <v>31218.120299999999</v>
      </c>
      <c r="M84" s="229">
        <f t="shared" si="97"/>
        <v>31530.301502999999</v>
      </c>
      <c r="N84" s="229">
        <f t="shared" si="98"/>
        <v>31845.604518029999</v>
      </c>
      <c r="O84" s="229">
        <f t="shared" si="99"/>
        <v>32164.0605632103</v>
      </c>
      <c r="P84" s="229">
        <f t="shared" si="100"/>
        <v>32485.701168842403</v>
      </c>
      <c r="Q84" s="229">
        <f t="shared" si="101"/>
        <v>32810.558180530825</v>
      </c>
      <c r="R84" s="229">
        <f t="shared" si="102"/>
        <v>33138.663762336131</v>
      </c>
      <c r="S84" s="170">
        <f t="shared" si="103"/>
        <v>1</v>
      </c>
      <c r="T84" s="170">
        <f t="shared" si="90"/>
        <v>1</v>
      </c>
      <c r="U84" s="170">
        <f t="shared" si="91"/>
        <v>1</v>
      </c>
      <c r="V84" s="666">
        <f t="shared" si="87"/>
        <v>30000</v>
      </c>
      <c r="W84" s="666">
        <f t="shared" si="88"/>
        <v>30000</v>
      </c>
    </row>
    <row r="85" spans="1:23" x14ac:dyDescent="0.25">
      <c r="A85" s="226">
        <f t="shared" si="89"/>
        <v>8.6538461538461533</v>
      </c>
      <c r="B85" s="140">
        <f t="shared" si="86"/>
        <v>82</v>
      </c>
      <c r="C85" s="289" t="s">
        <v>462</v>
      </c>
      <c r="D85" s="658" t="s">
        <v>893</v>
      </c>
      <c r="E85" s="657" t="s">
        <v>895</v>
      </c>
      <c r="F85" s="288">
        <v>18000</v>
      </c>
      <c r="G85" s="228">
        <f t="shared" ref="G85:G94" si="106">SUM(F85*$E$1) + F85</f>
        <v>18450</v>
      </c>
      <c r="H85" s="229">
        <f t="shared" ref="H85:H94" si="107">(G85+(G85*$F$2))</f>
        <v>18450</v>
      </c>
      <c r="I85" s="229">
        <f t="shared" ref="I85:I94" si="108">(H85+(H85*$G$2))</f>
        <v>18634.5</v>
      </c>
      <c r="J85" s="229">
        <f t="shared" ref="J85:J94" si="109">(I85+(I85*$H$2))</f>
        <v>18820.845000000001</v>
      </c>
      <c r="K85" s="229">
        <f t="shared" ref="K85:K94" si="110">(J85+(J85*$I$2))</f>
        <v>19009.053449999999</v>
      </c>
      <c r="L85" s="229">
        <f t="shared" ref="L85:L94" si="111">(K85+(K85*$J$2))</f>
        <v>19199.143984499999</v>
      </c>
      <c r="M85" s="229">
        <f t="shared" ref="M85:M94" si="112">L85+(L85*$J$2)</f>
        <v>19391.135424344997</v>
      </c>
      <c r="N85" s="229">
        <f t="shared" ref="N85:N94" si="113">M85+(M85*$L$2)</f>
        <v>19585.046778588447</v>
      </c>
      <c r="O85" s="229">
        <f t="shared" ref="O85:O94" si="114">N85+(N85*$M$2)</f>
        <v>19780.89724637433</v>
      </c>
      <c r="P85" s="229">
        <f t="shared" ref="P85:P94" si="115">O85+(O85*$N$2)</f>
        <v>19978.706218838073</v>
      </c>
      <c r="Q85" s="229">
        <f t="shared" ref="Q85:Q94" si="116">P85+(P85*$O$2)</f>
        <v>20178.493281026454</v>
      </c>
      <c r="R85" s="229">
        <f t="shared" ref="R85:R94" si="117">Q85+(Q85*$P$2)</f>
        <v>20380.278213836718</v>
      </c>
      <c r="S85" s="170">
        <f t="shared" si="103"/>
        <v>1</v>
      </c>
      <c r="T85" s="170">
        <f t="shared" si="90"/>
        <v>0</v>
      </c>
      <c r="U85" s="170">
        <f t="shared" si="91"/>
        <v>1</v>
      </c>
      <c r="V85" s="666">
        <f t="shared" si="87"/>
        <v>0</v>
      </c>
      <c r="W85" s="666">
        <f t="shared" si="88"/>
        <v>18000</v>
      </c>
    </row>
    <row r="86" spans="1:23" x14ac:dyDescent="0.25">
      <c r="A86" s="226">
        <f t="shared" si="89"/>
        <v>8.6538461538461533</v>
      </c>
      <c r="B86" s="140">
        <f t="shared" si="86"/>
        <v>83</v>
      </c>
      <c r="C86" s="289" t="s">
        <v>462</v>
      </c>
      <c r="D86" s="658" t="s">
        <v>893</v>
      </c>
      <c r="E86" s="657" t="s">
        <v>895</v>
      </c>
      <c r="F86" s="288">
        <v>18000</v>
      </c>
      <c r="G86" s="228">
        <f t="shared" si="106"/>
        <v>18450</v>
      </c>
      <c r="H86" s="229">
        <f t="shared" si="107"/>
        <v>18450</v>
      </c>
      <c r="I86" s="229">
        <f t="shared" si="108"/>
        <v>18634.5</v>
      </c>
      <c r="J86" s="229">
        <f t="shared" si="109"/>
        <v>18820.845000000001</v>
      </c>
      <c r="K86" s="229">
        <f t="shared" si="110"/>
        <v>19009.053449999999</v>
      </c>
      <c r="L86" s="229">
        <f t="shared" si="111"/>
        <v>19199.143984499999</v>
      </c>
      <c r="M86" s="229">
        <f t="shared" si="112"/>
        <v>19391.135424344997</v>
      </c>
      <c r="N86" s="229">
        <f t="shared" si="113"/>
        <v>19585.046778588447</v>
      </c>
      <c r="O86" s="229">
        <f t="shared" si="114"/>
        <v>19780.89724637433</v>
      </c>
      <c r="P86" s="229">
        <f t="shared" si="115"/>
        <v>19978.706218838073</v>
      </c>
      <c r="Q86" s="229">
        <f t="shared" si="116"/>
        <v>20178.493281026454</v>
      </c>
      <c r="R86" s="229">
        <f t="shared" si="117"/>
        <v>20380.278213836718</v>
      </c>
      <c r="S86" s="170">
        <f t="shared" si="103"/>
        <v>1</v>
      </c>
      <c r="T86" s="170">
        <f t="shared" si="90"/>
        <v>0</v>
      </c>
      <c r="U86" s="170">
        <f t="shared" si="91"/>
        <v>1</v>
      </c>
      <c r="V86" s="666">
        <f t="shared" si="87"/>
        <v>0</v>
      </c>
      <c r="W86" s="666">
        <f t="shared" si="88"/>
        <v>18000</v>
      </c>
    </row>
    <row r="87" spans="1:23" x14ac:dyDescent="0.25">
      <c r="A87" s="226">
        <f t="shared" si="89"/>
        <v>8.6538461538461533</v>
      </c>
      <c r="B87" s="140">
        <f t="shared" si="86"/>
        <v>84</v>
      </c>
      <c r="C87" s="289" t="s">
        <v>462</v>
      </c>
      <c r="D87" s="658" t="s">
        <v>893</v>
      </c>
      <c r="E87" s="657" t="s">
        <v>895</v>
      </c>
      <c r="F87" s="288">
        <v>18000</v>
      </c>
      <c r="G87" s="228">
        <f t="shared" si="106"/>
        <v>18450</v>
      </c>
      <c r="H87" s="229">
        <f t="shared" si="107"/>
        <v>18450</v>
      </c>
      <c r="I87" s="229">
        <f t="shared" si="108"/>
        <v>18634.5</v>
      </c>
      <c r="J87" s="229">
        <f t="shared" si="109"/>
        <v>18820.845000000001</v>
      </c>
      <c r="K87" s="229">
        <f t="shared" si="110"/>
        <v>19009.053449999999</v>
      </c>
      <c r="L87" s="229">
        <f t="shared" si="111"/>
        <v>19199.143984499999</v>
      </c>
      <c r="M87" s="229">
        <f t="shared" si="112"/>
        <v>19391.135424344997</v>
      </c>
      <c r="N87" s="229">
        <f t="shared" si="113"/>
        <v>19585.046778588447</v>
      </c>
      <c r="O87" s="229">
        <f t="shared" si="114"/>
        <v>19780.89724637433</v>
      </c>
      <c r="P87" s="229">
        <f t="shared" si="115"/>
        <v>19978.706218838073</v>
      </c>
      <c r="Q87" s="229">
        <f t="shared" si="116"/>
        <v>20178.493281026454</v>
      </c>
      <c r="R87" s="229">
        <f t="shared" si="117"/>
        <v>20380.278213836718</v>
      </c>
      <c r="S87" s="170">
        <f t="shared" si="103"/>
        <v>1</v>
      </c>
      <c r="T87" s="170">
        <f t="shared" si="90"/>
        <v>0</v>
      </c>
      <c r="U87" s="170">
        <f t="shared" si="91"/>
        <v>1</v>
      </c>
      <c r="V87" s="666">
        <f t="shared" si="87"/>
        <v>0</v>
      </c>
      <c r="W87" s="666">
        <f t="shared" si="88"/>
        <v>18000</v>
      </c>
    </row>
    <row r="88" spans="1:23" x14ac:dyDescent="0.25">
      <c r="A88" s="226">
        <f t="shared" si="89"/>
        <v>8.6538461538461533</v>
      </c>
      <c r="B88" s="140">
        <f t="shared" si="86"/>
        <v>85</v>
      </c>
      <c r="C88" s="289" t="s">
        <v>462</v>
      </c>
      <c r="D88" s="658" t="s">
        <v>893</v>
      </c>
      <c r="E88" s="657" t="s">
        <v>895</v>
      </c>
      <c r="F88" s="288">
        <v>18000</v>
      </c>
      <c r="G88" s="228">
        <f t="shared" si="106"/>
        <v>18450</v>
      </c>
      <c r="H88" s="229">
        <f t="shared" si="107"/>
        <v>18450</v>
      </c>
      <c r="I88" s="229">
        <f t="shared" si="108"/>
        <v>18634.5</v>
      </c>
      <c r="J88" s="229">
        <f t="shared" si="109"/>
        <v>18820.845000000001</v>
      </c>
      <c r="K88" s="229">
        <f t="shared" si="110"/>
        <v>19009.053449999999</v>
      </c>
      <c r="L88" s="229">
        <f t="shared" si="111"/>
        <v>19199.143984499999</v>
      </c>
      <c r="M88" s="229">
        <f t="shared" si="112"/>
        <v>19391.135424344997</v>
      </c>
      <c r="N88" s="229">
        <f t="shared" si="113"/>
        <v>19585.046778588447</v>
      </c>
      <c r="O88" s="229">
        <f t="shared" si="114"/>
        <v>19780.89724637433</v>
      </c>
      <c r="P88" s="229">
        <f t="shared" si="115"/>
        <v>19978.706218838073</v>
      </c>
      <c r="Q88" s="229">
        <f t="shared" si="116"/>
        <v>20178.493281026454</v>
      </c>
      <c r="R88" s="229">
        <f t="shared" si="117"/>
        <v>20380.278213836718</v>
      </c>
      <c r="S88" s="170">
        <f t="shared" si="103"/>
        <v>1</v>
      </c>
      <c r="T88" s="170">
        <f t="shared" si="90"/>
        <v>0</v>
      </c>
      <c r="U88" s="170">
        <f t="shared" si="91"/>
        <v>1</v>
      </c>
      <c r="V88" s="666">
        <f t="shared" si="87"/>
        <v>0</v>
      </c>
      <c r="W88" s="666">
        <f t="shared" si="88"/>
        <v>18000</v>
      </c>
    </row>
    <row r="89" spans="1:23" x14ac:dyDescent="0.25">
      <c r="A89" s="226">
        <f t="shared" si="89"/>
        <v>8.6538461538461533</v>
      </c>
      <c r="B89" s="140">
        <f t="shared" si="86"/>
        <v>86</v>
      </c>
      <c r="C89" s="289" t="s">
        <v>462</v>
      </c>
      <c r="D89" s="658" t="s">
        <v>893</v>
      </c>
      <c r="E89" s="657" t="s">
        <v>895</v>
      </c>
      <c r="F89" s="288">
        <v>18000</v>
      </c>
      <c r="G89" s="228">
        <f t="shared" si="106"/>
        <v>18450</v>
      </c>
      <c r="H89" s="229">
        <f t="shared" si="107"/>
        <v>18450</v>
      </c>
      <c r="I89" s="229">
        <f t="shared" si="108"/>
        <v>18634.5</v>
      </c>
      <c r="J89" s="229">
        <f t="shared" si="109"/>
        <v>18820.845000000001</v>
      </c>
      <c r="K89" s="229">
        <f t="shared" si="110"/>
        <v>19009.053449999999</v>
      </c>
      <c r="L89" s="229">
        <f t="shared" si="111"/>
        <v>19199.143984499999</v>
      </c>
      <c r="M89" s="229">
        <f t="shared" si="112"/>
        <v>19391.135424344997</v>
      </c>
      <c r="N89" s="229">
        <f t="shared" si="113"/>
        <v>19585.046778588447</v>
      </c>
      <c r="O89" s="229">
        <f t="shared" si="114"/>
        <v>19780.89724637433</v>
      </c>
      <c r="P89" s="229">
        <f t="shared" si="115"/>
        <v>19978.706218838073</v>
      </c>
      <c r="Q89" s="229">
        <f t="shared" si="116"/>
        <v>20178.493281026454</v>
      </c>
      <c r="R89" s="229">
        <f t="shared" si="117"/>
        <v>20380.278213836718</v>
      </c>
      <c r="S89" s="170">
        <f t="shared" si="103"/>
        <v>1</v>
      </c>
      <c r="T89" s="170">
        <f t="shared" si="90"/>
        <v>0</v>
      </c>
      <c r="U89" s="170">
        <f t="shared" si="91"/>
        <v>1</v>
      </c>
      <c r="V89" s="666">
        <f t="shared" si="87"/>
        <v>0</v>
      </c>
      <c r="W89" s="666">
        <f t="shared" si="88"/>
        <v>18000</v>
      </c>
    </row>
    <row r="90" spans="1:23" x14ac:dyDescent="0.25">
      <c r="A90" s="226">
        <f t="shared" si="89"/>
        <v>8.6538461538461533</v>
      </c>
      <c r="B90" s="140">
        <f t="shared" si="86"/>
        <v>87</v>
      </c>
      <c r="C90" s="289" t="s">
        <v>462</v>
      </c>
      <c r="D90" s="658" t="s">
        <v>893</v>
      </c>
      <c r="E90" s="657" t="s">
        <v>895</v>
      </c>
      <c r="F90" s="288">
        <v>18000</v>
      </c>
      <c r="G90" s="228">
        <f t="shared" si="106"/>
        <v>18450</v>
      </c>
      <c r="H90" s="229">
        <f t="shared" si="107"/>
        <v>18450</v>
      </c>
      <c r="I90" s="229">
        <f t="shared" si="108"/>
        <v>18634.5</v>
      </c>
      <c r="J90" s="229">
        <f t="shared" si="109"/>
        <v>18820.845000000001</v>
      </c>
      <c r="K90" s="229">
        <f t="shared" si="110"/>
        <v>19009.053449999999</v>
      </c>
      <c r="L90" s="229">
        <f t="shared" si="111"/>
        <v>19199.143984499999</v>
      </c>
      <c r="M90" s="229">
        <f t="shared" si="112"/>
        <v>19391.135424344997</v>
      </c>
      <c r="N90" s="229">
        <f t="shared" si="113"/>
        <v>19585.046778588447</v>
      </c>
      <c r="O90" s="229">
        <f t="shared" si="114"/>
        <v>19780.89724637433</v>
      </c>
      <c r="P90" s="229">
        <f t="shared" si="115"/>
        <v>19978.706218838073</v>
      </c>
      <c r="Q90" s="229">
        <f t="shared" si="116"/>
        <v>20178.493281026454</v>
      </c>
      <c r="R90" s="229">
        <f t="shared" si="117"/>
        <v>20380.278213836718</v>
      </c>
      <c r="S90" s="170">
        <f t="shared" si="103"/>
        <v>1</v>
      </c>
      <c r="T90" s="170">
        <f t="shared" si="90"/>
        <v>0</v>
      </c>
      <c r="U90" s="170">
        <f t="shared" si="91"/>
        <v>1</v>
      </c>
      <c r="V90" s="666">
        <f t="shared" si="87"/>
        <v>0</v>
      </c>
      <c r="W90" s="666">
        <f t="shared" si="88"/>
        <v>18000</v>
      </c>
    </row>
    <row r="91" spans="1:23" x14ac:dyDescent="0.25">
      <c r="A91" s="226">
        <f t="shared" si="89"/>
        <v>8.6538461538461533</v>
      </c>
      <c r="B91" s="140">
        <f t="shared" si="86"/>
        <v>88</v>
      </c>
      <c r="C91" s="289" t="s">
        <v>462</v>
      </c>
      <c r="D91" s="658" t="s">
        <v>894</v>
      </c>
      <c r="E91" s="657" t="s">
        <v>895</v>
      </c>
      <c r="F91" s="288">
        <v>18000</v>
      </c>
      <c r="G91" s="228">
        <f t="shared" si="106"/>
        <v>18450</v>
      </c>
      <c r="H91" s="229">
        <f t="shared" si="107"/>
        <v>18450</v>
      </c>
      <c r="I91" s="229">
        <f t="shared" si="108"/>
        <v>18634.5</v>
      </c>
      <c r="J91" s="229">
        <f t="shared" si="109"/>
        <v>18820.845000000001</v>
      </c>
      <c r="K91" s="229">
        <f t="shared" si="110"/>
        <v>19009.053449999999</v>
      </c>
      <c r="L91" s="229">
        <f t="shared" si="111"/>
        <v>19199.143984499999</v>
      </c>
      <c r="M91" s="229">
        <f t="shared" si="112"/>
        <v>19391.135424344997</v>
      </c>
      <c r="N91" s="229">
        <f t="shared" si="113"/>
        <v>19585.046778588447</v>
      </c>
      <c r="O91" s="229">
        <f t="shared" si="114"/>
        <v>19780.89724637433</v>
      </c>
      <c r="P91" s="229">
        <f t="shared" si="115"/>
        <v>19978.706218838073</v>
      </c>
      <c r="Q91" s="229">
        <f t="shared" si="116"/>
        <v>20178.493281026454</v>
      </c>
      <c r="R91" s="229">
        <f t="shared" si="117"/>
        <v>20380.278213836718</v>
      </c>
      <c r="S91" s="170">
        <f t="shared" si="103"/>
        <v>1</v>
      </c>
      <c r="T91" s="170">
        <f t="shared" si="90"/>
        <v>1</v>
      </c>
      <c r="U91" s="170">
        <f t="shared" si="91"/>
        <v>1</v>
      </c>
      <c r="V91" s="666">
        <f t="shared" si="87"/>
        <v>18000</v>
      </c>
      <c r="W91" s="666">
        <f t="shared" si="88"/>
        <v>18000</v>
      </c>
    </row>
    <row r="92" spans="1:23" x14ac:dyDescent="0.25">
      <c r="A92" s="226">
        <f t="shared" si="89"/>
        <v>8.6538461538461533</v>
      </c>
      <c r="B92" s="140">
        <f t="shared" si="86"/>
        <v>89</v>
      </c>
      <c r="C92" s="289" t="s">
        <v>462</v>
      </c>
      <c r="D92" s="658" t="s">
        <v>894</v>
      </c>
      <c r="E92" s="657" t="s">
        <v>895</v>
      </c>
      <c r="F92" s="288">
        <v>18000</v>
      </c>
      <c r="G92" s="228">
        <f t="shared" si="106"/>
        <v>18450</v>
      </c>
      <c r="H92" s="229">
        <f t="shared" si="107"/>
        <v>18450</v>
      </c>
      <c r="I92" s="229">
        <f t="shared" si="108"/>
        <v>18634.5</v>
      </c>
      <c r="J92" s="229">
        <f t="shared" si="109"/>
        <v>18820.845000000001</v>
      </c>
      <c r="K92" s="229">
        <f t="shared" si="110"/>
        <v>19009.053449999999</v>
      </c>
      <c r="L92" s="229">
        <f t="shared" si="111"/>
        <v>19199.143984499999</v>
      </c>
      <c r="M92" s="229">
        <f t="shared" si="112"/>
        <v>19391.135424344997</v>
      </c>
      <c r="N92" s="229">
        <f t="shared" si="113"/>
        <v>19585.046778588447</v>
      </c>
      <c r="O92" s="229">
        <f t="shared" si="114"/>
        <v>19780.89724637433</v>
      </c>
      <c r="P92" s="229">
        <f t="shared" si="115"/>
        <v>19978.706218838073</v>
      </c>
      <c r="Q92" s="229">
        <f t="shared" si="116"/>
        <v>20178.493281026454</v>
      </c>
      <c r="R92" s="229">
        <f t="shared" si="117"/>
        <v>20380.278213836718</v>
      </c>
      <c r="S92" s="170">
        <f t="shared" si="103"/>
        <v>1</v>
      </c>
      <c r="T92" s="170">
        <f t="shared" si="90"/>
        <v>1</v>
      </c>
      <c r="U92" s="170">
        <f t="shared" si="91"/>
        <v>1</v>
      </c>
      <c r="V92" s="666">
        <f t="shared" si="87"/>
        <v>18000</v>
      </c>
      <c r="W92" s="666">
        <f t="shared" si="88"/>
        <v>18000</v>
      </c>
    </row>
    <row r="93" spans="1:23" x14ac:dyDescent="0.25">
      <c r="A93" s="226">
        <f t="shared" si="89"/>
        <v>8.6538461538461533</v>
      </c>
      <c r="B93" s="140">
        <f t="shared" ref="B93:B114" si="118">SUM(B92+1)</f>
        <v>90</v>
      </c>
      <c r="C93" s="289" t="s">
        <v>462</v>
      </c>
      <c r="D93" s="658" t="s">
        <v>894</v>
      </c>
      <c r="E93" s="657" t="s">
        <v>895</v>
      </c>
      <c r="F93" s="288">
        <v>18000</v>
      </c>
      <c r="G93" s="228">
        <f t="shared" si="106"/>
        <v>18450</v>
      </c>
      <c r="H93" s="229">
        <f t="shared" si="107"/>
        <v>18450</v>
      </c>
      <c r="I93" s="229">
        <f t="shared" si="108"/>
        <v>18634.5</v>
      </c>
      <c r="J93" s="229">
        <f t="shared" si="109"/>
        <v>18820.845000000001</v>
      </c>
      <c r="K93" s="229">
        <f t="shared" si="110"/>
        <v>19009.053449999999</v>
      </c>
      <c r="L93" s="229">
        <f t="shared" si="111"/>
        <v>19199.143984499999</v>
      </c>
      <c r="M93" s="229">
        <f t="shared" si="112"/>
        <v>19391.135424344997</v>
      </c>
      <c r="N93" s="229">
        <f t="shared" si="113"/>
        <v>19585.046778588447</v>
      </c>
      <c r="O93" s="229">
        <f t="shared" si="114"/>
        <v>19780.89724637433</v>
      </c>
      <c r="P93" s="229">
        <f t="shared" si="115"/>
        <v>19978.706218838073</v>
      </c>
      <c r="Q93" s="229">
        <f t="shared" si="116"/>
        <v>20178.493281026454</v>
      </c>
      <c r="R93" s="229">
        <f t="shared" si="117"/>
        <v>20380.278213836718</v>
      </c>
      <c r="S93" s="170">
        <f t="shared" si="103"/>
        <v>1</v>
      </c>
      <c r="T93" s="170">
        <f t="shared" si="90"/>
        <v>1</v>
      </c>
      <c r="U93" s="170">
        <f t="shared" si="91"/>
        <v>1</v>
      </c>
      <c r="V93" s="666">
        <f t="shared" si="87"/>
        <v>18000</v>
      </c>
      <c r="W93" s="666">
        <f t="shared" si="88"/>
        <v>18000</v>
      </c>
    </row>
    <row r="94" spans="1:23" x14ac:dyDescent="0.25">
      <c r="A94" s="226">
        <f t="shared" si="89"/>
        <v>8.6538461538461533</v>
      </c>
      <c r="B94" s="140">
        <f t="shared" si="118"/>
        <v>91</v>
      </c>
      <c r="C94" s="289" t="s">
        <v>462</v>
      </c>
      <c r="D94" s="658" t="s">
        <v>894</v>
      </c>
      <c r="E94" s="657" t="s">
        <v>895</v>
      </c>
      <c r="F94" s="288">
        <v>18000</v>
      </c>
      <c r="G94" s="228">
        <f t="shared" si="106"/>
        <v>18450</v>
      </c>
      <c r="H94" s="229">
        <f t="shared" si="107"/>
        <v>18450</v>
      </c>
      <c r="I94" s="229">
        <f t="shared" si="108"/>
        <v>18634.5</v>
      </c>
      <c r="J94" s="229">
        <f t="shared" si="109"/>
        <v>18820.845000000001</v>
      </c>
      <c r="K94" s="229">
        <f t="shared" si="110"/>
        <v>19009.053449999999</v>
      </c>
      <c r="L94" s="229">
        <f t="shared" si="111"/>
        <v>19199.143984499999</v>
      </c>
      <c r="M94" s="229">
        <f t="shared" si="112"/>
        <v>19391.135424344997</v>
      </c>
      <c r="N94" s="229">
        <f t="shared" si="113"/>
        <v>19585.046778588447</v>
      </c>
      <c r="O94" s="229">
        <f t="shared" si="114"/>
        <v>19780.89724637433</v>
      </c>
      <c r="P94" s="229">
        <f t="shared" si="115"/>
        <v>19978.706218838073</v>
      </c>
      <c r="Q94" s="229">
        <f t="shared" si="116"/>
        <v>20178.493281026454</v>
      </c>
      <c r="R94" s="229">
        <f t="shared" si="117"/>
        <v>20380.278213836718</v>
      </c>
      <c r="S94" s="170">
        <f t="shared" si="103"/>
        <v>1</v>
      </c>
      <c r="T94" s="170">
        <f t="shared" si="90"/>
        <v>1</v>
      </c>
      <c r="U94" s="170">
        <f t="shared" si="91"/>
        <v>1</v>
      </c>
      <c r="V94" s="666">
        <f t="shared" si="87"/>
        <v>18000</v>
      </c>
      <c r="W94" s="666">
        <f t="shared" si="88"/>
        <v>18000</v>
      </c>
    </row>
    <row r="95" spans="1:23" x14ac:dyDescent="0.25">
      <c r="A95" s="226">
        <f t="shared" si="89"/>
        <v>9.615384615384615</v>
      </c>
      <c r="B95" s="140">
        <f t="shared" si="118"/>
        <v>92</v>
      </c>
      <c r="C95" s="289" t="s">
        <v>1122</v>
      </c>
      <c r="D95" s="658" t="s">
        <v>893</v>
      </c>
      <c r="E95" s="657" t="s">
        <v>895</v>
      </c>
      <c r="F95" s="288">
        <v>20000</v>
      </c>
      <c r="G95" s="228">
        <v>20000</v>
      </c>
      <c r="H95" s="229">
        <f t="shared" si="92"/>
        <v>20000</v>
      </c>
      <c r="I95" s="229">
        <f t="shared" si="93"/>
        <v>20200</v>
      </c>
      <c r="J95" s="229">
        <f t="shared" si="94"/>
        <v>20402</v>
      </c>
      <c r="K95" s="229">
        <f t="shared" si="95"/>
        <v>20606.02</v>
      </c>
      <c r="L95" s="229">
        <f t="shared" si="96"/>
        <v>20812.0802</v>
      </c>
      <c r="M95" s="229">
        <f t="shared" si="97"/>
        <v>21020.201002000002</v>
      </c>
      <c r="N95" s="229">
        <f t="shared" si="98"/>
        <v>21230.40301202</v>
      </c>
      <c r="O95" s="229">
        <f t="shared" si="99"/>
        <v>21442.707042140202</v>
      </c>
      <c r="P95" s="229">
        <f t="shared" si="100"/>
        <v>21657.134112561605</v>
      </c>
      <c r="Q95" s="229">
        <f t="shared" si="101"/>
        <v>21873.70545368722</v>
      </c>
      <c r="R95" s="229">
        <f t="shared" si="102"/>
        <v>22092.442508224092</v>
      </c>
      <c r="S95" s="170">
        <f t="shared" si="103"/>
        <v>1</v>
      </c>
      <c r="T95" s="170">
        <f t="shared" si="90"/>
        <v>0</v>
      </c>
      <c r="U95" s="170">
        <f t="shared" si="91"/>
        <v>1</v>
      </c>
      <c r="V95" s="666">
        <f t="shared" si="87"/>
        <v>0</v>
      </c>
      <c r="W95" s="666">
        <f t="shared" si="88"/>
        <v>20000</v>
      </c>
    </row>
    <row r="96" spans="1:23" x14ac:dyDescent="0.25">
      <c r="A96" s="226">
        <f t="shared" si="89"/>
        <v>9.615384615384615</v>
      </c>
      <c r="B96" s="140">
        <f t="shared" si="118"/>
        <v>93</v>
      </c>
      <c r="C96" s="289" t="s">
        <v>1127</v>
      </c>
      <c r="D96" s="658" t="s">
        <v>894</v>
      </c>
      <c r="E96" s="657" t="s">
        <v>895</v>
      </c>
      <c r="F96" s="288">
        <v>20000</v>
      </c>
      <c r="G96" s="228">
        <v>20000</v>
      </c>
      <c r="H96" s="229">
        <f t="shared" si="92"/>
        <v>20000</v>
      </c>
      <c r="I96" s="229">
        <f t="shared" si="93"/>
        <v>20200</v>
      </c>
      <c r="J96" s="229">
        <f t="shared" si="94"/>
        <v>20402</v>
      </c>
      <c r="K96" s="229">
        <f t="shared" si="95"/>
        <v>20606.02</v>
      </c>
      <c r="L96" s="229">
        <f t="shared" si="96"/>
        <v>20812.0802</v>
      </c>
      <c r="M96" s="229">
        <f t="shared" si="97"/>
        <v>21020.201002000002</v>
      </c>
      <c r="N96" s="229">
        <f t="shared" si="98"/>
        <v>21230.40301202</v>
      </c>
      <c r="O96" s="229">
        <f t="shared" si="99"/>
        <v>21442.707042140202</v>
      </c>
      <c r="P96" s="229">
        <f t="shared" si="100"/>
        <v>21657.134112561605</v>
      </c>
      <c r="Q96" s="229">
        <f t="shared" si="101"/>
        <v>21873.70545368722</v>
      </c>
      <c r="R96" s="229">
        <f t="shared" si="102"/>
        <v>22092.442508224092</v>
      </c>
      <c r="S96" s="170">
        <f t="shared" si="103"/>
        <v>1</v>
      </c>
      <c r="T96" s="170">
        <f t="shared" si="90"/>
        <v>1</v>
      </c>
      <c r="U96" s="170">
        <f t="shared" si="91"/>
        <v>1</v>
      </c>
      <c r="V96" s="666">
        <f t="shared" si="87"/>
        <v>20000</v>
      </c>
      <c r="W96" s="666">
        <f t="shared" si="88"/>
        <v>20000</v>
      </c>
    </row>
    <row r="97" spans="1:23" x14ac:dyDescent="0.25">
      <c r="A97" s="226">
        <f t="shared" si="89"/>
        <v>9.615384615384615</v>
      </c>
      <c r="B97" s="140">
        <f t="shared" si="118"/>
        <v>94</v>
      </c>
      <c r="C97" s="289" t="s">
        <v>1124</v>
      </c>
      <c r="D97" s="658" t="s">
        <v>893</v>
      </c>
      <c r="E97" s="657" t="s">
        <v>895</v>
      </c>
      <c r="F97" s="288">
        <v>20000</v>
      </c>
      <c r="G97" s="228">
        <v>20000</v>
      </c>
      <c r="H97" s="229">
        <f t="shared" si="92"/>
        <v>20000</v>
      </c>
      <c r="I97" s="229">
        <f t="shared" si="93"/>
        <v>20200</v>
      </c>
      <c r="J97" s="229">
        <f t="shared" si="94"/>
        <v>20402</v>
      </c>
      <c r="K97" s="229">
        <f t="shared" si="95"/>
        <v>20606.02</v>
      </c>
      <c r="L97" s="229">
        <f t="shared" si="96"/>
        <v>20812.0802</v>
      </c>
      <c r="M97" s="229">
        <f t="shared" si="97"/>
        <v>21020.201002000002</v>
      </c>
      <c r="N97" s="229">
        <f t="shared" si="98"/>
        <v>21230.40301202</v>
      </c>
      <c r="O97" s="229">
        <f t="shared" si="99"/>
        <v>21442.707042140202</v>
      </c>
      <c r="P97" s="229">
        <f t="shared" si="100"/>
        <v>21657.134112561605</v>
      </c>
      <c r="Q97" s="229">
        <f t="shared" si="101"/>
        <v>21873.70545368722</v>
      </c>
      <c r="R97" s="229">
        <f t="shared" si="102"/>
        <v>22092.442508224092</v>
      </c>
      <c r="S97" s="170">
        <f t="shared" si="103"/>
        <v>1</v>
      </c>
      <c r="T97" s="170">
        <f t="shared" si="90"/>
        <v>0</v>
      </c>
      <c r="U97" s="170">
        <f t="shared" si="91"/>
        <v>1</v>
      </c>
      <c r="V97" s="666">
        <f t="shared" si="87"/>
        <v>0</v>
      </c>
      <c r="W97" s="666">
        <f t="shared" si="88"/>
        <v>20000</v>
      </c>
    </row>
    <row r="98" spans="1:23" x14ac:dyDescent="0.25">
      <c r="A98" s="226">
        <f t="shared" si="89"/>
        <v>9.615384615384615</v>
      </c>
      <c r="B98" s="140">
        <f t="shared" si="118"/>
        <v>95</v>
      </c>
      <c r="C98" s="289" t="s">
        <v>1121</v>
      </c>
      <c r="D98" s="658" t="s">
        <v>893</v>
      </c>
      <c r="E98" s="657" t="s">
        <v>895</v>
      </c>
      <c r="F98" s="288">
        <v>20000</v>
      </c>
      <c r="G98" s="228">
        <v>20000</v>
      </c>
      <c r="H98" s="229">
        <f t="shared" si="92"/>
        <v>20000</v>
      </c>
      <c r="I98" s="229">
        <f t="shared" si="93"/>
        <v>20200</v>
      </c>
      <c r="J98" s="229">
        <f t="shared" si="94"/>
        <v>20402</v>
      </c>
      <c r="K98" s="229">
        <f t="shared" si="95"/>
        <v>20606.02</v>
      </c>
      <c r="L98" s="229">
        <f t="shared" si="96"/>
        <v>20812.0802</v>
      </c>
      <c r="M98" s="229">
        <f t="shared" si="97"/>
        <v>21020.201002000002</v>
      </c>
      <c r="N98" s="229">
        <f t="shared" si="98"/>
        <v>21230.40301202</v>
      </c>
      <c r="O98" s="229">
        <f t="shared" si="99"/>
        <v>21442.707042140202</v>
      </c>
      <c r="P98" s="229">
        <f t="shared" si="100"/>
        <v>21657.134112561605</v>
      </c>
      <c r="Q98" s="229">
        <f t="shared" si="101"/>
        <v>21873.70545368722</v>
      </c>
      <c r="R98" s="229">
        <f t="shared" si="102"/>
        <v>22092.442508224092</v>
      </c>
      <c r="S98" s="170">
        <f t="shared" si="103"/>
        <v>1</v>
      </c>
      <c r="T98" s="170">
        <f t="shared" si="90"/>
        <v>0</v>
      </c>
      <c r="U98" s="170">
        <f t="shared" si="91"/>
        <v>1</v>
      </c>
      <c r="V98" s="666">
        <f t="shared" si="87"/>
        <v>0</v>
      </c>
      <c r="W98" s="666">
        <f t="shared" si="88"/>
        <v>20000</v>
      </c>
    </row>
    <row r="99" spans="1:23" x14ac:dyDescent="0.25">
      <c r="A99" s="226">
        <f t="shared" si="89"/>
        <v>9.615384615384615</v>
      </c>
      <c r="B99" s="140">
        <f t="shared" si="118"/>
        <v>96</v>
      </c>
      <c r="C99" s="289" t="s">
        <v>1123</v>
      </c>
      <c r="D99" s="658" t="s">
        <v>894</v>
      </c>
      <c r="E99" s="657" t="s">
        <v>895</v>
      </c>
      <c r="F99" s="288">
        <v>20000</v>
      </c>
      <c r="G99" s="228">
        <v>20000</v>
      </c>
      <c r="H99" s="229">
        <f t="shared" si="92"/>
        <v>20000</v>
      </c>
      <c r="I99" s="229">
        <f t="shared" si="93"/>
        <v>20200</v>
      </c>
      <c r="J99" s="229">
        <f t="shared" si="94"/>
        <v>20402</v>
      </c>
      <c r="K99" s="229">
        <f t="shared" si="95"/>
        <v>20606.02</v>
      </c>
      <c r="L99" s="229">
        <f t="shared" si="96"/>
        <v>20812.0802</v>
      </c>
      <c r="M99" s="229">
        <f t="shared" si="97"/>
        <v>21020.201002000002</v>
      </c>
      <c r="N99" s="229">
        <f t="shared" si="98"/>
        <v>21230.40301202</v>
      </c>
      <c r="O99" s="229">
        <f t="shared" si="99"/>
        <v>21442.707042140202</v>
      </c>
      <c r="P99" s="229">
        <f t="shared" si="100"/>
        <v>21657.134112561605</v>
      </c>
      <c r="Q99" s="229">
        <f t="shared" si="101"/>
        <v>21873.70545368722</v>
      </c>
      <c r="R99" s="229">
        <f t="shared" si="102"/>
        <v>22092.442508224092</v>
      </c>
      <c r="S99" s="170">
        <f t="shared" si="103"/>
        <v>1</v>
      </c>
      <c r="T99" s="170">
        <f t="shared" si="90"/>
        <v>1</v>
      </c>
      <c r="U99" s="170">
        <f t="shared" si="91"/>
        <v>1</v>
      </c>
      <c r="V99" s="666">
        <f t="shared" si="87"/>
        <v>20000</v>
      </c>
      <c r="W99" s="666">
        <f t="shared" si="88"/>
        <v>20000</v>
      </c>
    </row>
    <row r="100" spans="1:23" x14ac:dyDescent="0.25">
      <c r="A100" s="226">
        <f t="shared" si="89"/>
        <v>9.615384615384615</v>
      </c>
      <c r="B100" s="140">
        <f t="shared" si="118"/>
        <v>97</v>
      </c>
      <c r="C100" s="289" t="s">
        <v>1125</v>
      </c>
      <c r="D100" s="658" t="s">
        <v>894</v>
      </c>
      <c r="E100" s="657" t="s">
        <v>895</v>
      </c>
      <c r="F100" s="288">
        <v>20000</v>
      </c>
      <c r="G100" s="228">
        <f t="shared" si="104"/>
        <v>20500</v>
      </c>
      <c r="H100" s="229">
        <f t="shared" si="92"/>
        <v>20500</v>
      </c>
      <c r="I100" s="229">
        <f t="shared" si="93"/>
        <v>20705</v>
      </c>
      <c r="J100" s="229">
        <f t="shared" si="94"/>
        <v>20912.05</v>
      </c>
      <c r="K100" s="229">
        <f t="shared" si="95"/>
        <v>21121.1705</v>
      </c>
      <c r="L100" s="229">
        <f t="shared" si="96"/>
        <v>21332.382205000002</v>
      </c>
      <c r="M100" s="229">
        <f t="shared" si="97"/>
        <v>21545.706027050001</v>
      </c>
      <c r="N100" s="229">
        <f t="shared" si="98"/>
        <v>21761.163087320499</v>
      </c>
      <c r="O100" s="229">
        <f t="shared" si="99"/>
        <v>21978.774718193705</v>
      </c>
      <c r="P100" s="229">
        <f t="shared" si="100"/>
        <v>22198.562465375642</v>
      </c>
      <c r="Q100" s="229">
        <f t="shared" si="101"/>
        <v>22420.548090029399</v>
      </c>
      <c r="R100" s="229">
        <f t="shared" si="102"/>
        <v>22644.753570929694</v>
      </c>
      <c r="S100" s="170">
        <f t="shared" si="103"/>
        <v>1</v>
      </c>
      <c r="T100" s="170">
        <f t="shared" si="90"/>
        <v>1</v>
      </c>
      <c r="U100" s="170">
        <f t="shared" si="91"/>
        <v>1</v>
      </c>
      <c r="V100" s="666">
        <f t="shared" si="87"/>
        <v>20000</v>
      </c>
      <c r="W100" s="666">
        <f t="shared" si="88"/>
        <v>20000</v>
      </c>
    </row>
    <row r="101" spans="1:23" x14ac:dyDescent="0.25">
      <c r="A101" s="226">
        <f t="shared" si="89"/>
        <v>9.615384615384615</v>
      </c>
      <c r="B101" s="140">
        <f t="shared" si="118"/>
        <v>98</v>
      </c>
      <c r="C101" s="289" t="s">
        <v>1125</v>
      </c>
      <c r="D101" s="658" t="s">
        <v>893</v>
      </c>
      <c r="E101" s="657" t="s">
        <v>895</v>
      </c>
      <c r="F101" s="288">
        <v>20000</v>
      </c>
      <c r="G101" s="228">
        <f t="shared" si="104"/>
        <v>20500</v>
      </c>
      <c r="H101" s="229">
        <f t="shared" si="92"/>
        <v>20500</v>
      </c>
      <c r="I101" s="229">
        <f t="shared" si="93"/>
        <v>20705</v>
      </c>
      <c r="J101" s="229">
        <f t="shared" si="94"/>
        <v>20912.05</v>
      </c>
      <c r="K101" s="229">
        <f t="shared" si="95"/>
        <v>21121.1705</v>
      </c>
      <c r="L101" s="229">
        <f t="shared" si="96"/>
        <v>21332.382205000002</v>
      </c>
      <c r="M101" s="229">
        <f t="shared" si="97"/>
        <v>21545.706027050001</v>
      </c>
      <c r="N101" s="229">
        <f t="shared" si="98"/>
        <v>21761.163087320499</v>
      </c>
      <c r="O101" s="229">
        <f t="shared" si="99"/>
        <v>21978.774718193705</v>
      </c>
      <c r="P101" s="229">
        <f t="shared" si="100"/>
        <v>22198.562465375642</v>
      </c>
      <c r="Q101" s="229">
        <f t="shared" si="101"/>
        <v>22420.548090029399</v>
      </c>
      <c r="R101" s="229">
        <f t="shared" si="102"/>
        <v>22644.753570929694</v>
      </c>
      <c r="S101" s="170">
        <f t="shared" si="103"/>
        <v>1</v>
      </c>
      <c r="T101" s="170">
        <f t="shared" si="90"/>
        <v>0</v>
      </c>
      <c r="U101" s="170">
        <f t="shared" si="91"/>
        <v>1</v>
      </c>
      <c r="V101" s="666">
        <f t="shared" si="87"/>
        <v>0</v>
      </c>
      <c r="W101" s="666">
        <f t="shared" si="88"/>
        <v>20000</v>
      </c>
    </row>
    <row r="102" spans="1:23" x14ac:dyDescent="0.25">
      <c r="A102" s="226">
        <f t="shared" si="89"/>
        <v>9.615384615384615</v>
      </c>
      <c r="B102" s="140">
        <f t="shared" si="118"/>
        <v>99</v>
      </c>
      <c r="C102" s="289" t="s">
        <v>1125</v>
      </c>
      <c r="D102" s="658" t="s">
        <v>894</v>
      </c>
      <c r="E102" s="657" t="s">
        <v>895</v>
      </c>
      <c r="F102" s="288">
        <v>20000</v>
      </c>
      <c r="G102" s="228">
        <f t="shared" si="104"/>
        <v>20500</v>
      </c>
      <c r="H102" s="229">
        <f t="shared" si="92"/>
        <v>20500</v>
      </c>
      <c r="I102" s="229">
        <f t="shared" si="93"/>
        <v>20705</v>
      </c>
      <c r="J102" s="229">
        <f t="shared" si="94"/>
        <v>20912.05</v>
      </c>
      <c r="K102" s="229">
        <f t="shared" si="95"/>
        <v>21121.1705</v>
      </c>
      <c r="L102" s="229">
        <f t="shared" si="96"/>
        <v>21332.382205000002</v>
      </c>
      <c r="M102" s="229">
        <f t="shared" si="97"/>
        <v>21545.706027050001</v>
      </c>
      <c r="N102" s="229">
        <f t="shared" si="98"/>
        <v>21761.163087320499</v>
      </c>
      <c r="O102" s="229">
        <f t="shared" si="99"/>
        <v>21978.774718193705</v>
      </c>
      <c r="P102" s="229">
        <f t="shared" si="100"/>
        <v>22198.562465375642</v>
      </c>
      <c r="Q102" s="229">
        <f t="shared" si="101"/>
        <v>22420.548090029399</v>
      </c>
      <c r="R102" s="229">
        <f t="shared" si="102"/>
        <v>22644.753570929694</v>
      </c>
      <c r="S102" s="170">
        <f t="shared" si="103"/>
        <v>1</v>
      </c>
      <c r="T102" s="170">
        <f t="shared" si="90"/>
        <v>1</v>
      </c>
      <c r="U102" s="170">
        <f t="shared" si="91"/>
        <v>1</v>
      </c>
      <c r="V102" s="666">
        <f t="shared" si="87"/>
        <v>20000</v>
      </c>
      <c r="W102" s="666">
        <f t="shared" si="88"/>
        <v>20000</v>
      </c>
    </row>
    <row r="103" spans="1:23" x14ac:dyDescent="0.25">
      <c r="A103" s="226">
        <f t="shared" si="89"/>
        <v>9.615384615384615</v>
      </c>
      <c r="B103" s="140">
        <f t="shared" si="118"/>
        <v>100</v>
      </c>
      <c r="C103" s="289" t="s">
        <v>1126</v>
      </c>
      <c r="D103" s="658" t="s">
        <v>893</v>
      </c>
      <c r="E103" s="657" t="s">
        <v>895</v>
      </c>
      <c r="F103" s="288">
        <v>20000</v>
      </c>
      <c r="G103" s="228">
        <f t="shared" si="104"/>
        <v>20500</v>
      </c>
      <c r="H103" s="229">
        <f t="shared" si="92"/>
        <v>20500</v>
      </c>
      <c r="I103" s="229">
        <f t="shared" si="93"/>
        <v>20705</v>
      </c>
      <c r="J103" s="229">
        <f t="shared" si="94"/>
        <v>20912.05</v>
      </c>
      <c r="K103" s="229">
        <f t="shared" si="95"/>
        <v>21121.1705</v>
      </c>
      <c r="L103" s="229">
        <f t="shared" si="96"/>
        <v>21332.382205000002</v>
      </c>
      <c r="M103" s="229">
        <f t="shared" si="97"/>
        <v>21545.706027050001</v>
      </c>
      <c r="N103" s="229">
        <f t="shared" si="98"/>
        <v>21761.163087320499</v>
      </c>
      <c r="O103" s="229">
        <f t="shared" si="99"/>
        <v>21978.774718193705</v>
      </c>
      <c r="P103" s="229">
        <f t="shared" si="100"/>
        <v>22198.562465375642</v>
      </c>
      <c r="Q103" s="229">
        <f t="shared" si="101"/>
        <v>22420.548090029399</v>
      </c>
      <c r="R103" s="229">
        <f t="shared" si="102"/>
        <v>22644.753570929694</v>
      </c>
      <c r="S103" s="170">
        <f t="shared" si="103"/>
        <v>1</v>
      </c>
      <c r="T103" s="170">
        <f t="shared" si="90"/>
        <v>0</v>
      </c>
      <c r="U103" s="170">
        <f t="shared" si="91"/>
        <v>1</v>
      </c>
      <c r="V103" s="666">
        <f t="shared" si="87"/>
        <v>0</v>
      </c>
      <c r="W103" s="666">
        <f t="shared" si="88"/>
        <v>20000</v>
      </c>
    </row>
    <row r="104" spans="1:23" x14ac:dyDescent="0.25">
      <c r="A104" s="226">
        <f t="shared" si="89"/>
        <v>9.615384615384615</v>
      </c>
      <c r="B104" s="140">
        <f t="shared" si="118"/>
        <v>101</v>
      </c>
      <c r="C104" s="289" t="s">
        <v>1126</v>
      </c>
      <c r="D104" s="658" t="s">
        <v>894</v>
      </c>
      <c r="E104" s="657" t="s">
        <v>895</v>
      </c>
      <c r="F104" s="288">
        <v>20000</v>
      </c>
      <c r="G104" s="228">
        <f t="shared" si="104"/>
        <v>20500</v>
      </c>
      <c r="H104" s="229">
        <f t="shared" si="92"/>
        <v>20500</v>
      </c>
      <c r="I104" s="229">
        <f t="shared" si="93"/>
        <v>20705</v>
      </c>
      <c r="J104" s="229">
        <f t="shared" si="94"/>
        <v>20912.05</v>
      </c>
      <c r="K104" s="229">
        <f t="shared" si="95"/>
        <v>21121.1705</v>
      </c>
      <c r="L104" s="229">
        <f t="shared" si="96"/>
        <v>21332.382205000002</v>
      </c>
      <c r="M104" s="229">
        <f t="shared" si="97"/>
        <v>21545.706027050001</v>
      </c>
      <c r="N104" s="229">
        <f t="shared" si="98"/>
        <v>21761.163087320499</v>
      </c>
      <c r="O104" s="229">
        <f t="shared" si="99"/>
        <v>21978.774718193705</v>
      </c>
      <c r="P104" s="229">
        <f t="shared" si="100"/>
        <v>22198.562465375642</v>
      </c>
      <c r="Q104" s="229">
        <f t="shared" si="101"/>
        <v>22420.548090029399</v>
      </c>
      <c r="R104" s="229">
        <f t="shared" si="102"/>
        <v>22644.753570929694</v>
      </c>
      <c r="S104" s="170">
        <f t="shared" si="103"/>
        <v>1</v>
      </c>
      <c r="T104" s="170">
        <f t="shared" si="90"/>
        <v>1</v>
      </c>
      <c r="U104" s="170">
        <f t="shared" si="91"/>
        <v>1</v>
      </c>
      <c r="V104" s="666">
        <f t="shared" si="87"/>
        <v>20000</v>
      </c>
      <c r="W104" s="666">
        <f t="shared" si="88"/>
        <v>20000</v>
      </c>
    </row>
    <row r="105" spans="1:23" x14ac:dyDescent="0.25">
      <c r="A105" s="226">
        <f t="shared" si="89"/>
        <v>9.615384615384615</v>
      </c>
      <c r="B105" s="140">
        <f t="shared" si="118"/>
        <v>102</v>
      </c>
      <c r="C105" s="289" t="s">
        <v>1126</v>
      </c>
      <c r="D105" s="658" t="s">
        <v>893</v>
      </c>
      <c r="E105" s="657" t="s">
        <v>895</v>
      </c>
      <c r="F105" s="288">
        <v>20000</v>
      </c>
      <c r="G105" s="228">
        <f t="shared" si="104"/>
        <v>20500</v>
      </c>
      <c r="H105" s="229">
        <f t="shared" si="92"/>
        <v>20500</v>
      </c>
      <c r="I105" s="229">
        <f t="shared" si="93"/>
        <v>20705</v>
      </c>
      <c r="J105" s="229">
        <f t="shared" si="94"/>
        <v>20912.05</v>
      </c>
      <c r="K105" s="229">
        <f t="shared" si="95"/>
        <v>21121.1705</v>
      </c>
      <c r="L105" s="229">
        <f t="shared" si="96"/>
        <v>21332.382205000002</v>
      </c>
      <c r="M105" s="229">
        <f t="shared" si="97"/>
        <v>21545.706027050001</v>
      </c>
      <c r="N105" s="229">
        <f t="shared" si="98"/>
        <v>21761.163087320499</v>
      </c>
      <c r="O105" s="229">
        <f t="shared" si="99"/>
        <v>21978.774718193705</v>
      </c>
      <c r="P105" s="229">
        <f t="shared" si="100"/>
        <v>22198.562465375642</v>
      </c>
      <c r="Q105" s="229">
        <f t="shared" si="101"/>
        <v>22420.548090029399</v>
      </c>
      <c r="R105" s="229">
        <f t="shared" si="102"/>
        <v>22644.753570929694</v>
      </c>
      <c r="S105" s="170">
        <f t="shared" si="103"/>
        <v>1</v>
      </c>
      <c r="T105" s="170">
        <f t="shared" si="90"/>
        <v>0</v>
      </c>
      <c r="U105" s="170">
        <f t="shared" si="91"/>
        <v>1</v>
      </c>
      <c r="V105" s="666">
        <f t="shared" si="87"/>
        <v>0</v>
      </c>
      <c r="W105" s="666">
        <f t="shared" si="88"/>
        <v>20000</v>
      </c>
    </row>
    <row r="106" spans="1:23" x14ac:dyDescent="0.25">
      <c r="A106" s="226">
        <f t="shared" si="89"/>
        <v>9.615384615384615</v>
      </c>
      <c r="B106" s="140">
        <f t="shared" si="118"/>
        <v>103</v>
      </c>
      <c r="C106" s="289" t="s">
        <v>1128</v>
      </c>
      <c r="D106" s="658" t="s">
        <v>893</v>
      </c>
      <c r="E106" s="657" t="s">
        <v>895</v>
      </c>
      <c r="F106" s="288">
        <v>20000</v>
      </c>
      <c r="G106" s="228">
        <f t="shared" si="104"/>
        <v>20500</v>
      </c>
      <c r="H106" s="229">
        <f t="shared" si="92"/>
        <v>20500</v>
      </c>
      <c r="I106" s="229">
        <f t="shared" si="93"/>
        <v>20705</v>
      </c>
      <c r="J106" s="229">
        <f t="shared" si="94"/>
        <v>20912.05</v>
      </c>
      <c r="K106" s="229">
        <f t="shared" si="95"/>
        <v>21121.1705</v>
      </c>
      <c r="L106" s="229">
        <f t="shared" si="96"/>
        <v>21332.382205000002</v>
      </c>
      <c r="M106" s="229">
        <f t="shared" si="97"/>
        <v>21545.706027050001</v>
      </c>
      <c r="N106" s="229">
        <f t="shared" si="98"/>
        <v>21761.163087320499</v>
      </c>
      <c r="O106" s="229">
        <f t="shared" si="99"/>
        <v>21978.774718193705</v>
      </c>
      <c r="P106" s="229">
        <f t="shared" si="100"/>
        <v>22198.562465375642</v>
      </c>
      <c r="Q106" s="229">
        <f t="shared" si="101"/>
        <v>22420.548090029399</v>
      </c>
      <c r="R106" s="229">
        <f t="shared" si="102"/>
        <v>22644.753570929694</v>
      </c>
      <c r="S106" s="170">
        <f t="shared" si="103"/>
        <v>1</v>
      </c>
      <c r="T106" s="170">
        <f t="shared" si="90"/>
        <v>0</v>
      </c>
      <c r="U106" s="170">
        <f t="shared" si="91"/>
        <v>1</v>
      </c>
      <c r="V106" s="666">
        <f t="shared" si="87"/>
        <v>0</v>
      </c>
      <c r="W106" s="666">
        <f t="shared" si="88"/>
        <v>20000</v>
      </c>
    </row>
    <row r="107" spans="1:23" x14ac:dyDescent="0.25">
      <c r="A107" s="226">
        <f t="shared" si="89"/>
        <v>9.615384615384615</v>
      </c>
      <c r="B107" s="140">
        <f t="shared" si="118"/>
        <v>104</v>
      </c>
      <c r="C107" s="289" t="s">
        <v>1128</v>
      </c>
      <c r="D107" s="658" t="s">
        <v>893</v>
      </c>
      <c r="E107" s="657" t="s">
        <v>895</v>
      </c>
      <c r="F107" s="288">
        <v>20000</v>
      </c>
      <c r="G107" s="228">
        <f t="shared" si="104"/>
        <v>20500</v>
      </c>
      <c r="H107" s="229">
        <f t="shared" si="92"/>
        <v>20500</v>
      </c>
      <c r="I107" s="229">
        <f t="shared" si="93"/>
        <v>20705</v>
      </c>
      <c r="J107" s="229">
        <f t="shared" si="94"/>
        <v>20912.05</v>
      </c>
      <c r="K107" s="229">
        <f t="shared" si="95"/>
        <v>21121.1705</v>
      </c>
      <c r="L107" s="229">
        <f t="shared" si="96"/>
        <v>21332.382205000002</v>
      </c>
      <c r="M107" s="229">
        <f t="shared" si="97"/>
        <v>21545.706027050001</v>
      </c>
      <c r="N107" s="229">
        <f t="shared" si="98"/>
        <v>21761.163087320499</v>
      </c>
      <c r="O107" s="229">
        <f t="shared" si="99"/>
        <v>21978.774718193705</v>
      </c>
      <c r="P107" s="229">
        <f t="shared" si="100"/>
        <v>22198.562465375642</v>
      </c>
      <c r="Q107" s="229">
        <f t="shared" si="101"/>
        <v>22420.548090029399</v>
      </c>
      <c r="R107" s="229">
        <f t="shared" si="102"/>
        <v>22644.753570929694</v>
      </c>
      <c r="S107" s="170">
        <f t="shared" si="103"/>
        <v>1</v>
      </c>
      <c r="T107" s="170">
        <f t="shared" si="90"/>
        <v>0</v>
      </c>
      <c r="U107" s="170">
        <f t="shared" si="91"/>
        <v>1</v>
      </c>
      <c r="V107" s="666">
        <f t="shared" si="87"/>
        <v>0</v>
      </c>
      <c r="W107" s="666">
        <f t="shared" si="88"/>
        <v>20000</v>
      </c>
    </row>
    <row r="108" spans="1:23" x14ac:dyDescent="0.25">
      <c r="A108" s="226">
        <f t="shared" si="89"/>
        <v>9.615384615384615</v>
      </c>
      <c r="B108" s="140">
        <f t="shared" si="118"/>
        <v>105</v>
      </c>
      <c r="C108" s="289" t="s">
        <v>1128</v>
      </c>
      <c r="D108" s="658" t="s">
        <v>894</v>
      </c>
      <c r="E108" s="657" t="s">
        <v>895</v>
      </c>
      <c r="F108" s="288">
        <v>20000</v>
      </c>
      <c r="G108" s="228">
        <f t="shared" si="104"/>
        <v>20500</v>
      </c>
      <c r="H108" s="229">
        <f t="shared" si="92"/>
        <v>20500</v>
      </c>
      <c r="I108" s="229">
        <f t="shared" si="93"/>
        <v>20705</v>
      </c>
      <c r="J108" s="229">
        <f t="shared" si="94"/>
        <v>20912.05</v>
      </c>
      <c r="K108" s="229">
        <f t="shared" si="95"/>
        <v>21121.1705</v>
      </c>
      <c r="L108" s="229">
        <f t="shared" si="96"/>
        <v>21332.382205000002</v>
      </c>
      <c r="M108" s="229">
        <f t="shared" si="97"/>
        <v>21545.706027050001</v>
      </c>
      <c r="N108" s="229">
        <f t="shared" si="98"/>
        <v>21761.163087320499</v>
      </c>
      <c r="O108" s="229">
        <f t="shared" si="99"/>
        <v>21978.774718193705</v>
      </c>
      <c r="P108" s="229">
        <f t="shared" si="100"/>
        <v>22198.562465375642</v>
      </c>
      <c r="Q108" s="229">
        <f t="shared" si="101"/>
        <v>22420.548090029399</v>
      </c>
      <c r="R108" s="229">
        <f t="shared" si="102"/>
        <v>22644.753570929694</v>
      </c>
      <c r="S108" s="170">
        <f t="shared" si="103"/>
        <v>1</v>
      </c>
      <c r="T108" s="170">
        <f t="shared" si="90"/>
        <v>1</v>
      </c>
      <c r="U108" s="170">
        <f t="shared" si="91"/>
        <v>1</v>
      </c>
      <c r="V108" s="666">
        <f t="shared" si="87"/>
        <v>20000</v>
      </c>
      <c r="W108" s="666">
        <f t="shared" si="88"/>
        <v>20000</v>
      </c>
    </row>
    <row r="109" spans="1:23" x14ac:dyDescent="0.25">
      <c r="A109" s="226">
        <f t="shared" ref="A109:A113" si="119">SUM(F109/2080)</f>
        <v>9.615384615384615</v>
      </c>
      <c r="B109" s="140">
        <f t="shared" si="118"/>
        <v>106</v>
      </c>
      <c r="C109" s="289" t="s">
        <v>1129</v>
      </c>
      <c r="D109" s="658" t="s">
        <v>893</v>
      </c>
      <c r="E109" s="657" t="s">
        <v>895</v>
      </c>
      <c r="F109" s="288">
        <v>20000</v>
      </c>
      <c r="G109" s="228">
        <f t="shared" ref="G109:G112" si="120">SUM(F109*$E$1) + F109</f>
        <v>20500</v>
      </c>
      <c r="H109" s="229">
        <f t="shared" ref="H109:H112" si="121">(G109+(G109*$F$2))</f>
        <v>20500</v>
      </c>
      <c r="I109" s="229">
        <f t="shared" ref="I109:I112" si="122">(H109+(H109*$G$2))</f>
        <v>20705</v>
      </c>
      <c r="J109" s="229">
        <f t="shared" ref="J109:J112" si="123">(I109+(I109*$H$2))</f>
        <v>20912.05</v>
      </c>
      <c r="K109" s="229">
        <f t="shared" ref="K109:K112" si="124">(J109+(J109*$I$2))</f>
        <v>21121.1705</v>
      </c>
      <c r="L109" s="229">
        <f t="shared" ref="L109:L112" si="125">(K109+(K109*$J$2))</f>
        <v>21332.382205000002</v>
      </c>
      <c r="M109" s="229">
        <f t="shared" ref="M109:M112" si="126">L109+(L109*$J$2)</f>
        <v>21545.706027050001</v>
      </c>
      <c r="N109" s="229">
        <f t="shared" ref="N109:N112" si="127">M109+(M109*$L$2)</f>
        <v>21761.163087320499</v>
      </c>
      <c r="O109" s="229">
        <f t="shared" ref="O109:O112" si="128">N109+(N109*$M$2)</f>
        <v>21978.774718193705</v>
      </c>
      <c r="P109" s="229">
        <f t="shared" ref="P109:P112" si="129">O109+(O109*$N$2)</f>
        <v>22198.562465375642</v>
      </c>
      <c r="Q109" s="229">
        <f t="shared" ref="Q109:Q112" si="130">P109+(P109*$O$2)</f>
        <v>22420.548090029399</v>
      </c>
      <c r="R109" s="229">
        <f t="shared" ref="R109:R112" si="131">Q109+(Q109*$P$2)</f>
        <v>22644.753570929694</v>
      </c>
      <c r="S109" s="170">
        <f t="shared" si="103"/>
        <v>1</v>
      </c>
      <c r="T109" s="170">
        <f t="shared" si="90"/>
        <v>0</v>
      </c>
      <c r="U109" s="170">
        <f t="shared" si="91"/>
        <v>1</v>
      </c>
      <c r="V109" s="666">
        <f t="shared" ref="V109:V112" si="132">IF(D109="F", F109,0)</f>
        <v>0</v>
      </c>
      <c r="W109" s="666">
        <f t="shared" ref="W109:W112" si="133">IF(E109="DJB", F109,0)</f>
        <v>20000</v>
      </c>
    </row>
    <row r="110" spans="1:23" x14ac:dyDescent="0.25">
      <c r="A110" s="226">
        <f t="shared" si="119"/>
        <v>9.615384615384615</v>
      </c>
      <c r="B110" s="140">
        <f t="shared" si="118"/>
        <v>107</v>
      </c>
      <c r="C110" s="289" t="s">
        <v>1129</v>
      </c>
      <c r="D110" s="658" t="s">
        <v>893</v>
      </c>
      <c r="E110" s="657" t="s">
        <v>895</v>
      </c>
      <c r="F110" s="288">
        <v>20000</v>
      </c>
      <c r="G110" s="228">
        <f t="shared" si="120"/>
        <v>20500</v>
      </c>
      <c r="H110" s="229">
        <f t="shared" si="121"/>
        <v>20500</v>
      </c>
      <c r="I110" s="229">
        <f t="shared" si="122"/>
        <v>20705</v>
      </c>
      <c r="J110" s="229">
        <f t="shared" si="123"/>
        <v>20912.05</v>
      </c>
      <c r="K110" s="229">
        <f t="shared" si="124"/>
        <v>21121.1705</v>
      </c>
      <c r="L110" s="229">
        <f t="shared" si="125"/>
        <v>21332.382205000002</v>
      </c>
      <c r="M110" s="229">
        <f t="shared" si="126"/>
        <v>21545.706027050001</v>
      </c>
      <c r="N110" s="229">
        <f t="shared" si="127"/>
        <v>21761.163087320499</v>
      </c>
      <c r="O110" s="229">
        <f t="shared" si="128"/>
        <v>21978.774718193705</v>
      </c>
      <c r="P110" s="229">
        <f t="shared" si="129"/>
        <v>22198.562465375642</v>
      </c>
      <c r="Q110" s="229">
        <f t="shared" si="130"/>
        <v>22420.548090029399</v>
      </c>
      <c r="R110" s="229">
        <f t="shared" si="131"/>
        <v>22644.753570929694</v>
      </c>
      <c r="S110" s="170">
        <f t="shared" si="103"/>
        <v>1</v>
      </c>
      <c r="T110" s="170">
        <f t="shared" si="90"/>
        <v>0</v>
      </c>
      <c r="U110" s="170">
        <f t="shared" si="91"/>
        <v>1</v>
      </c>
      <c r="V110" s="666">
        <f t="shared" si="132"/>
        <v>0</v>
      </c>
      <c r="W110" s="666">
        <f t="shared" si="133"/>
        <v>20000</v>
      </c>
    </row>
    <row r="111" spans="1:23" x14ac:dyDescent="0.25">
      <c r="A111" s="226">
        <f t="shared" si="119"/>
        <v>9.615384615384615</v>
      </c>
      <c r="B111" s="140">
        <f t="shared" si="118"/>
        <v>108</v>
      </c>
      <c r="C111" s="289" t="s">
        <v>1129</v>
      </c>
      <c r="D111" s="658" t="s">
        <v>894</v>
      </c>
      <c r="E111" s="657" t="s">
        <v>895</v>
      </c>
      <c r="F111" s="288">
        <v>20000</v>
      </c>
      <c r="G111" s="228">
        <f t="shared" si="120"/>
        <v>20500</v>
      </c>
      <c r="H111" s="229">
        <f t="shared" si="121"/>
        <v>20500</v>
      </c>
      <c r="I111" s="229">
        <f t="shared" si="122"/>
        <v>20705</v>
      </c>
      <c r="J111" s="229">
        <f t="shared" si="123"/>
        <v>20912.05</v>
      </c>
      <c r="K111" s="229">
        <f t="shared" si="124"/>
        <v>21121.1705</v>
      </c>
      <c r="L111" s="229">
        <f t="shared" si="125"/>
        <v>21332.382205000002</v>
      </c>
      <c r="M111" s="229">
        <f t="shared" si="126"/>
        <v>21545.706027050001</v>
      </c>
      <c r="N111" s="229">
        <f t="shared" si="127"/>
        <v>21761.163087320499</v>
      </c>
      <c r="O111" s="229">
        <f t="shared" si="128"/>
        <v>21978.774718193705</v>
      </c>
      <c r="P111" s="229">
        <f t="shared" si="129"/>
        <v>22198.562465375642</v>
      </c>
      <c r="Q111" s="229">
        <f t="shared" si="130"/>
        <v>22420.548090029399</v>
      </c>
      <c r="R111" s="229">
        <f t="shared" si="131"/>
        <v>22644.753570929694</v>
      </c>
      <c r="S111" s="170">
        <f t="shared" si="103"/>
        <v>1</v>
      </c>
      <c r="T111" s="170">
        <f t="shared" si="90"/>
        <v>1</v>
      </c>
      <c r="U111" s="170">
        <f t="shared" si="91"/>
        <v>1</v>
      </c>
      <c r="V111" s="666">
        <f t="shared" si="132"/>
        <v>20000</v>
      </c>
      <c r="W111" s="666">
        <f t="shared" si="133"/>
        <v>20000</v>
      </c>
    </row>
    <row r="112" spans="1:23" x14ac:dyDescent="0.25">
      <c r="A112" s="226">
        <f t="shared" si="119"/>
        <v>9.615384615384615</v>
      </c>
      <c r="B112" s="140">
        <f t="shared" si="118"/>
        <v>109</v>
      </c>
      <c r="C112" s="289" t="s">
        <v>1130</v>
      </c>
      <c r="D112" s="658" t="s">
        <v>893</v>
      </c>
      <c r="E112" s="657" t="s">
        <v>895</v>
      </c>
      <c r="F112" s="288">
        <v>20000</v>
      </c>
      <c r="G112" s="228">
        <f t="shared" si="120"/>
        <v>20500</v>
      </c>
      <c r="H112" s="229">
        <f t="shared" si="121"/>
        <v>20500</v>
      </c>
      <c r="I112" s="229">
        <f t="shared" si="122"/>
        <v>20705</v>
      </c>
      <c r="J112" s="229">
        <f t="shared" si="123"/>
        <v>20912.05</v>
      </c>
      <c r="K112" s="229">
        <f t="shared" si="124"/>
        <v>21121.1705</v>
      </c>
      <c r="L112" s="229">
        <f t="shared" si="125"/>
        <v>21332.382205000002</v>
      </c>
      <c r="M112" s="229">
        <f t="shared" si="126"/>
        <v>21545.706027050001</v>
      </c>
      <c r="N112" s="229">
        <f t="shared" si="127"/>
        <v>21761.163087320499</v>
      </c>
      <c r="O112" s="229">
        <f t="shared" si="128"/>
        <v>21978.774718193705</v>
      </c>
      <c r="P112" s="229">
        <f t="shared" si="129"/>
        <v>22198.562465375642</v>
      </c>
      <c r="Q112" s="229">
        <f t="shared" si="130"/>
        <v>22420.548090029399</v>
      </c>
      <c r="R112" s="229">
        <f t="shared" si="131"/>
        <v>22644.753570929694</v>
      </c>
      <c r="S112" s="170">
        <f t="shared" si="103"/>
        <v>1</v>
      </c>
      <c r="T112" s="170">
        <f t="shared" si="90"/>
        <v>0</v>
      </c>
      <c r="U112" s="170">
        <f t="shared" si="91"/>
        <v>1</v>
      </c>
      <c r="V112" s="666">
        <f t="shared" si="132"/>
        <v>0</v>
      </c>
      <c r="W112" s="666">
        <f t="shared" si="133"/>
        <v>20000</v>
      </c>
    </row>
    <row r="113" spans="1:23" x14ac:dyDescent="0.25">
      <c r="A113" s="226">
        <f t="shared" si="119"/>
        <v>9.615384615384615</v>
      </c>
      <c r="B113" s="140">
        <f t="shared" si="118"/>
        <v>110</v>
      </c>
      <c r="C113" s="289" t="s">
        <v>1130</v>
      </c>
      <c r="D113" s="658" t="s">
        <v>894</v>
      </c>
      <c r="E113" s="657" t="s">
        <v>895</v>
      </c>
      <c r="F113" s="288">
        <v>20000</v>
      </c>
      <c r="G113" s="228">
        <f t="shared" si="104"/>
        <v>20500</v>
      </c>
      <c r="H113" s="229">
        <f t="shared" si="92"/>
        <v>20500</v>
      </c>
      <c r="I113" s="229">
        <f t="shared" si="93"/>
        <v>20705</v>
      </c>
      <c r="J113" s="229">
        <f t="shared" si="94"/>
        <v>20912.05</v>
      </c>
      <c r="K113" s="229">
        <f t="shared" si="95"/>
        <v>21121.1705</v>
      </c>
      <c r="L113" s="229">
        <f t="shared" si="96"/>
        <v>21332.382205000002</v>
      </c>
      <c r="M113" s="229">
        <f t="shared" si="97"/>
        <v>21545.706027050001</v>
      </c>
      <c r="N113" s="229">
        <f t="shared" si="98"/>
        <v>21761.163087320499</v>
      </c>
      <c r="O113" s="229">
        <f t="shared" si="99"/>
        <v>21978.774718193705</v>
      </c>
      <c r="P113" s="229">
        <f t="shared" si="100"/>
        <v>22198.562465375642</v>
      </c>
      <c r="Q113" s="229">
        <f t="shared" si="101"/>
        <v>22420.548090029399</v>
      </c>
      <c r="R113" s="229">
        <f t="shared" si="102"/>
        <v>22644.753570929694</v>
      </c>
      <c r="S113" s="170">
        <f t="shared" si="103"/>
        <v>1</v>
      </c>
      <c r="T113" s="170">
        <f t="shared" si="90"/>
        <v>1</v>
      </c>
      <c r="U113" s="170">
        <f t="shared" si="91"/>
        <v>1</v>
      </c>
      <c r="V113" s="666">
        <f t="shared" si="87"/>
        <v>20000</v>
      </c>
      <c r="W113" s="666">
        <f t="shared" si="88"/>
        <v>20000</v>
      </c>
    </row>
    <row r="114" spans="1:23" ht="15.75" thickBot="1" x14ac:dyDescent="0.3">
      <c r="A114" s="226">
        <f t="shared" si="89"/>
        <v>9.615384615384615</v>
      </c>
      <c r="B114" s="140">
        <f t="shared" si="118"/>
        <v>111</v>
      </c>
      <c r="C114" s="289" t="s">
        <v>1130</v>
      </c>
      <c r="D114" s="658" t="s">
        <v>894</v>
      </c>
      <c r="E114" s="657" t="s">
        <v>895</v>
      </c>
      <c r="F114" s="288">
        <v>20000</v>
      </c>
      <c r="G114" s="228">
        <f t="shared" si="104"/>
        <v>20500</v>
      </c>
      <c r="H114" s="229">
        <f t="shared" si="92"/>
        <v>20500</v>
      </c>
      <c r="I114" s="229">
        <f t="shared" si="93"/>
        <v>20705</v>
      </c>
      <c r="J114" s="229">
        <f t="shared" si="94"/>
        <v>20912.05</v>
      </c>
      <c r="K114" s="229">
        <f t="shared" si="95"/>
        <v>21121.1705</v>
      </c>
      <c r="L114" s="229">
        <f t="shared" si="96"/>
        <v>21332.382205000002</v>
      </c>
      <c r="M114" s="229">
        <f t="shared" si="97"/>
        <v>21545.706027050001</v>
      </c>
      <c r="N114" s="229">
        <f t="shared" si="98"/>
        <v>21761.163087320499</v>
      </c>
      <c r="O114" s="229">
        <f t="shared" si="99"/>
        <v>21978.774718193705</v>
      </c>
      <c r="P114" s="229">
        <f t="shared" si="100"/>
        <v>22198.562465375642</v>
      </c>
      <c r="Q114" s="229">
        <f t="shared" si="101"/>
        <v>22420.548090029399</v>
      </c>
      <c r="R114" s="229">
        <f t="shared" si="102"/>
        <v>22644.753570929694</v>
      </c>
      <c r="S114" s="170">
        <f t="shared" si="103"/>
        <v>1</v>
      </c>
      <c r="T114" s="170">
        <f t="shared" si="90"/>
        <v>1</v>
      </c>
      <c r="U114" s="170">
        <f t="shared" si="91"/>
        <v>1</v>
      </c>
      <c r="V114" s="666">
        <f t="shared" si="87"/>
        <v>20000</v>
      </c>
      <c r="W114" s="666">
        <f t="shared" si="88"/>
        <v>20000</v>
      </c>
    </row>
    <row r="115" spans="1:23" ht="15.75" thickTop="1" x14ac:dyDescent="0.25">
      <c r="A115" s="234" t="s">
        <v>474</v>
      </c>
      <c r="B115" s="235"/>
      <c r="C115" s="235"/>
      <c r="D115" s="235"/>
      <c r="E115" s="235"/>
      <c r="F115" s="236"/>
      <c r="G115" s="237"/>
      <c r="H115" s="238">
        <f>SUM(H3:H114)</f>
        <v>3617326</v>
      </c>
      <c r="I115" s="238">
        <f t="shared" ref="I115:R115" si="134">H115+(H115*0.03)</f>
        <v>3725845.78</v>
      </c>
      <c r="J115" s="238">
        <f t="shared" si="134"/>
        <v>3837621.1533999997</v>
      </c>
      <c r="K115" s="238">
        <f t="shared" si="134"/>
        <v>3952749.7880019997</v>
      </c>
      <c r="L115" s="238">
        <f t="shared" si="134"/>
        <v>4071332.2816420598</v>
      </c>
      <c r="M115" s="238">
        <f t="shared" si="134"/>
        <v>4193472.2500913218</v>
      </c>
      <c r="N115" s="238">
        <f t="shared" si="134"/>
        <v>4319276.4175940612</v>
      </c>
      <c r="O115" s="238">
        <f t="shared" si="134"/>
        <v>4448854.7101218831</v>
      </c>
      <c r="P115" s="238">
        <f t="shared" si="134"/>
        <v>4582320.3514255397</v>
      </c>
      <c r="Q115" s="238">
        <f t="shared" si="134"/>
        <v>4719789.9619683055</v>
      </c>
      <c r="R115" s="238">
        <f t="shared" si="134"/>
        <v>4861383.6608273545</v>
      </c>
      <c r="S115" s="239">
        <f>SUM(S4:S114)</f>
        <v>107</v>
      </c>
      <c r="T115" s="239">
        <f>SUM(T4:T114)</f>
        <v>46</v>
      </c>
      <c r="U115" s="239">
        <f>SUM(U4:U114)</f>
        <v>94</v>
      </c>
      <c r="V115" s="667">
        <f t="shared" ref="V115:W115" si="135">SUM(V4:V114)</f>
        <v>1292000</v>
      </c>
      <c r="W115" s="667">
        <f t="shared" si="135"/>
        <v>2680000</v>
      </c>
    </row>
    <row r="118" spans="1:23" ht="34.5" thickBot="1" x14ac:dyDescent="0.55000000000000004">
      <c r="B118" s="912" t="s">
        <v>898</v>
      </c>
      <c r="C118" s="912"/>
      <c r="D118" s="912"/>
      <c r="E118" s="912"/>
      <c r="F118" s="912"/>
      <c r="G118" s="912"/>
      <c r="H118" s="912"/>
      <c r="I118" s="912"/>
      <c r="J118" s="912"/>
      <c r="K118" s="912"/>
      <c r="L118" s="912"/>
      <c r="M118" s="912"/>
      <c r="N118" s="912"/>
      <c r="O118" s="912"/>
      <c r="P118" s="912"/>
    </row>
    <row r="119" spans="1:23" ht="31.5" thickTop="1" thickBot="1" x14ac:dyDescent="0.3">
      <c r="A119" s="184"/>
      <c r="B119" s="185" t="s">
        <v>380</v>
      </c>
      <c r="C119" s="184" t="s">
        <v>381</v>
      </c>
      <c r="D119" s="184" t="s">
        <v>475</v>
      </c>
      <c r="E119" s="184" t="s">
        <v>382</v>
      </c>
      <c r="F119" s="184" t="s">
        <v>476</v>
      </c>
      <c r="G119" s="184" t="s">
        <v>383</v>
      </c>
      <c r="H119" s="184" t="s">
        <v>384</v>
      </c>
      <c r="I119" s="184" t="s">
        <v>477</v>
      </c>
      <c r="J119" s="184" t="s">
        <v>381</v>
      </c>
      <c r="K119" s="184" t="s">
        <v>475</v>
      </c>
      <c r="L119" s="184" t="s">
        <v>382</v>
      </c>
      <c r="M119" s="184" t="s">
        <v>476</v>
      </c>
      <c r="N119" s="184" t="s">
        <v>383</v>
      </c>
      <c r="O119" s="184" t="s">
        <v>384</v>
      </c>
      <c r="P119" s="184" t="s">
        <v>477</v>
      </c>
      <c r="Q119" s="186" t="s">
        <v>333</v>
      </c>
      <c r="R119" s="198" t="s">
        <v>385</v>
      </c>
    </row>
    <row r="120" spans="1:23" ht="15.75" thickTop="1" x14ac:dyDescent="0.25">
      <c r="A120" s="187" t="str">
        <f>C4</f>
        <v>Site Manager</v>
      </c>
      <c r="B120" s="188" t="s">
        <v>386</v>
      </c>
      <c r="C120" s="189">
        <v>1</v>
      </c>
      <c r="D120" s="189">
        <v>1</v>
      </c>
      <c r="E120" s="189">
        <v>1</v>
      </c>
      <c r="F120" s="189">
        <v>1</v>
      </c>
      <c r="G120" s="189">
        <v>1</v>
      </c>
      <c r="H120" s="190"/>
      <c r="I120" s="190"/>
      <c r="J120" s="189">
        <v>1</v>
      </c>
      <c r="K120" s="189">
        <v>1</v>
      </c>
      <c r="L120" s="189">
        <v>1</v>
      </c>
      <c r="M120" s="189">
        <v>1</v>
      </c>
      <c r="N120" s="189">
        <v>1</v>
      </c>
      <c r="O120" s="240" t="s">
        <v>266</v>
      </c>
      <c r="P120" s="240" t="s">
        <v>266</v>
      </c>
      <c r="Q120" s="188">
        <v>1</v>
      </c>
      <c r="R120" s="913">
        <f>SUM(Q120:Q123)</f>
        <v>4</v>
      </c>
    </row>
    <row r="121" spans="1:23" x14ac:dyDescent="0.25">
      <c r="A121" s="318" t="str">
        <f>C5</f>
        <v xml:space="preserve">Administrator </v>
      </c>
      <c r="B121" s="191" t="s">
        <v>386</v>
      </c>
      <c r="C121">
        <v>1</v>
      </c>
      <c r="D121">
        <v>1</v>
      </c>
      <c r="E121">
        <v>1</v>
      </c>
      <c r="F121">
        <v>1</v>
      </c>
      <c r="G121">
        <v>1</v>
      </c>
      <c r="H121" s="192"/>
      <c r="I121" s="192"/>
      <c r="J121">
        <v>1</v>
      </c>
      <c r="K121">
        <v>1</v>
      </c>
      <c r="L121">
        <v>1</v>
      </c>
      <c r="M121">
        <v>1</v>
      </c>
      <c r="N121">
        <v>1</v>
      </c>
      <c r="O121" s="319"/>
      <c r="P121" s="319"/>
      <c r="Q121" s="191">
        <v>1</v>
      </c>
      <c r="R121" s="913"/>
    </row>
    <row r="122" spans="1:23" x14ac:dyDescent="0.25">
      <c r="A122" s="320" t="str">
        <f>C6</f>
        <v>HR</v>
      </c>
      <c r="B122" s="191" t="s">
        <v>386</v>
      </c>
      <c r="C122">
        <v>1</v>
      </c>
      <c r="D122">
        <v>1</v>
      </c>
      <c r="E122">
        <v>1</v>
      </c>
      <c r="F122">
        <v>1</v>
      </c>
      <c r="G122">
        <v>1</v>
      </c>
      <c r="H122" s="192"/>
      <c r="I122" s="192"/>
      <c r="J122">
        <v>1</v>
      </c>
      <c r="K122">
        <v>1</v>
      </c>
      <c r="L122">
        <v>1</v>
      </c>
      <c r="M122">
        <v>1</v>
      </c>
      <c r="N122">
        <v>1</v>
      </c>
      <c r="O122" s="319"/>
      <c r="P122" s="319"/>
      <c r="Q122" s="191">
        <v>1</v>
      </c>
      <c r="R122" s="913"/>
    </row>
    <row r="123" spans="1:23" ht="15.75" thickBot="1" x14ac:dyDescent="0.3">
      <c r="A123" s="318" t="str">
        <f>C7</f>
        <v>Sales</v>
      </c>
      <c r="B123" s="193" t="s">
        <v>386</v>
      </c>
      <c r="C123" s="194">
        <v>1</v>
      </c>
      <c r="D123" s="194">
        <v>1</v>
      </c>
      <c r="E123" s="194">
        <v>1</v>
      </c>
      <c r="F123" s="194">
        <v>1</v>
      </c>
      <c r="G123" s="194">
        <v>1</v>
      </c>
      <c r="H123" s="195"/>
      <c r="I123" s="195"/>
      <c r="J123" s="194">
        <v>1</v>
      </c>
      <c r="K123" s="194">
        <v>1</v>
      </c>
      <c r="L123" s="194">
        <v>1</v>
      </c>
      <c r="M123" s="194">
        <v>1</v>
      </c>
      <c r="N123" s="194">
        <v>1</v>
      </c>
      <c r="O123" s="241" t="s">
        <v>266</v>
      </c>
      <c r="P123" s="241" t="s">
        <v>266</v>
      </c>
      <c r="Q123" s="193">
        <v>1</v>
      </c>
      <c r="R123" s="913"/>
    </row>
    <row r="124" spans="1:23" ht="15.75" thickTop="1" x14ac:dyDescent="0.25">
      <c r="A124" s="915" t="str">
        <f>C15</f>
        <v>Electrical technician</v>
      </c>
      <c r="B124" s="196" t="s">
        <v>478</v>
      </c>
      <c r="C124">
        <v>2</v>
      </c>
      <c r="D124">
        <v>2</v>
      </c>
      <c r="E124">
        <v>2</v>
      </c>
      <c r="F124">
        <v>2</v>
      </c>
      <c r="G124" s="192"/>
      <c r="H124" s="192"/>
      <c r="I124" s="192"/>
      <c r="J124">
        <v>2</v>
      </c>
      <c r="K124">
        <v>2</v>
      </c>
      <c r="L124">
        <v>2</v>
      </c>
      <c r="M124" s="192" t="s">
        <v>266</v>
      </c>
      <c r="N124" s="192"/>
      <c r="O124" s="192"/>
      <c r="P124" s="192"/>
      <c r="Q124" s="242">
        <v>2</v>
      </c>
      <c r="R124" s="914">
        <f>SUM(Q124:Q127)</f>
        <v>8</v>
      </c>
    </row>
    <row r="125" spans="1:23" x14ac:dyDescent="0.25">
      <c r="A125" s="915"/>
      <c r="B125" s="196" t="s">
        <v>479</v>
      </c>
      <c r="C125">
        <v>2</v>
      </c>
      <c r="D125">
        <v>2</v>
      </c>
      <c r="E125">
        <v>2</v>
      </c>
      <c r="F125">
        <v>2</v>
      </c>
      <c r="G125" s="192"/>
      <c r="H125" s="192"/>
      <c r="I125" s="192"/>
      <c r="J125">
        <v>2</v>
      </c>
      <c r="K125">
        <v>2</v>
      </c>
      <c r="L125">
        <v>2</v>
      </c>
      <c r="M125" s="192" t="s">
        <v>266</v>
      </c>
      <c r="N125" s="192"/>
      <c r="O125" s="192"/>
      <c r="P125" s="192"/>
      <c r="Q125" s="242">
        <v>2</v>
      </c>
      <c r="R125" s="914"/>
    </row>
    <row r="126" spans="1:23" x14ac:dyDescent="0.25">
      <c r="A126" s="915"/>
      <c r="B126" s="196" t="s">
        <v>478</v>
      </c>
      <c r="C126" s="192"/>
      <c r="D126" s="192"/>
      <c r="E126" s="192"/>
      <c r="F126" s="192"/>
      <c r="G126">
        <v>2</v>
      </c>
      <c r="H126">
        <v>2</v>
      </c>
      <c r="I126">
        <v>2</v>
      </c>
      <c r="J126" s="192"/>
      <c r="K126" s="192"/>
      <c r="L126" s="192"/>
      <c r="M126">
        <v>2</v>
      </c>
      <c r="N126">
        <v>2</v>
      </c>
      <c r="O126">
        <v>2</v>
      </c>
      <c r="P126">
        <v>2</v>
      </c>
      <c r="Q126" s="242">
        <v>2</v>
      </c>
      <c r="R126" s="914"/>
    </row>
    <row r="127" spans="1:23" ht="15.75" thickBot="1" x14ac:dyDescent="0.3">
      <c r="A127" s="915"/>
      <c r="B127" s="196" t="s">
        <v>479</v>
      </c>
      <c r="C127" s="192"/>
      <c r="D127" s="192"/>
      <c r="E127" s="192"/>
      <c r="F127" s="192"/>
      <c r="G127">
        <v>2</v>
      </c>
      <c r="H127">
        <v>2</v>
      </c>
      <c r="I127">
        <v>2</v>
      </c>
      <c r="J127" s="192"/>
      <c r="K127" s="192"/>
      <c r="L127" s="192"/>
      <c r="M127">
        <v>2</v>
      </c>
      <c r="N127">
        <v>2</v>
      </c>
      <c r="O127">
        <v>2</v>
      </c>
      <c r="P127">
        <v>2</v>
      </c>
      <c r="Q127" s="242">
        <v>2</v>
      </c>
      <c r="R127" s="914"/>
    </row>
    <row r="128" spans="1:23" ht="15.75" thickTop="1" x14ac:dyDescent="0.25">
      <c r="A128" s="920" t="str">
        <f>C23</f>
        <v>Industrial  Maintenance Mechanic</v>
      </c>
      <c r="B128" s="197" t="s">
        <v>478</v>
      </c>
      <c r="C128" s="189">
        <v>2</v>
      </c>
      <c r="D128" s="189">
        <v>2</v>
      </c>
      <c r="E128" s="189">
        <v>2</v>
      </c>
      <c r="F128" s="189">
        <v>2</v>
      </c>
      <c r="G128" s="190"/>
      <c r="H128" s="190"/>
      <c r="I128" s="190"/>
      <c r="J128" s="189">
        <v>2</v>
      </c>
      <c r="K128" s="189">
        <v>2</v>
      </c>
      <c r="L128" s="189">
        <v>2</v>
      </c>
      <c r="M128" s="190" t="s">
        <v>266</v>
      </c>
      <c r="N128" s="190"/>
      <c r="O128" s="190"/>
      <c r="P128" s="190"/>
      <c r="Q128" s="188">
        <v>2</v>
      </c>
      <c r="R128" s="913">
        <f>SUM(Q128:Q131)</f>
        <v>8</v>
      </c>
    </row>
    <row r="129" spans="1:18" x14ac:dyDescent="0.25">
      <c r="A129" s="921"/>
      <c r="B129" s="196" t="s">
        <v>479</v>
      </c>
      <c r="C129">
        <v>2</v>
      </c>
      <c r="D129">
        <v>2</v>
      </c>
      <c r="E129">
        <v>2</v>
      </c>
      <c r="F129">
        <v>2</v>
      </c>
      <c r="G129" s="192"/>
      <c r="H129" s="192"/>
      <c r="I129" s="192"/>
      <c r="J129">
        <v>2</v>
      </c>
      <c r="K129">
        <v>2</v>
      </c>
      <c r="L129">
        <v>2</v>
      </c>
      <c r="M129" s="192" t="s">
        <v>266</v>
      </c>
      <c r="N129" s="192"/>
      <c r="O129" s="192"/>
      <c r="P129" s="192"/>
      <c r="Q129" s="191">
        <v>2</v>
      </c>
      <c r="R129" s="913"/>
    </row>
    <row r="130" spans="1:18" x14ac:dyDescent="0.25">
      <c r="A130" s="921"/>
      <c r="B130" s="196" t="s">
        <v>478</v>
      </c>
      <c r="C130" s="192"/>
      <c r="D130" s="192"/>
      <c r="E130" s="192"/>
      <c r="F130" s="192"/>
      <c r="G130">
        <v>2</v>
      </c>
      <c r="H130">
        <v>2</v>
      </c>
      <c r="I130">
        <v>2</v>
      </c>
      <c r="J130" s="192"/>
      <c r="K130" s="192"/>
      <c r="L130" s="192"/>
      <c r="M130">
        <v>2</v>
      </c>
      <c r="N130">
        <v>2</v>
      </c>
      <c r="O130">
        <v>2</v>
      </c>
      <c r="P130">
        <v>2</v>
      </c>
      <c r="Q130" s="191">
        <v>2</v>
      </c>
      <c r="R130" s="913"/>
    </row>
    <row r="131" spans="1:18" ht="15.75" thickBot="1" x14ac:dyDescent="0.3">
      <c r="A131" s="922"/>
      <c r="B131" s="243" t="s">
        <v>479</v>
      </c>
      <c r="C131" s="195"/>
      <c r="D131" s="195"/>
      <c r="E131" s="195"/>
      <c r="F131" s="195"/>
      <c r="G131" s="194">
        <v>2</v>
      </c>
      <c r="H131" s="194">
        <v>2</v>
      </c>
      <c r="I131" s="194">
        <v>2</v>
      </c>
      <c r="J131" s="195"/>
      <c r="K131" s="195"/>
      <c r="L131" s="195"/>
      <c r="M131" s="194">
        <v>2</v>
      </c>
      <c r="N131" s="194">
        <v>2</v>
      </c>
      <c r="O131" s="194">
        <v>2</v>
      </c>
      <c r="P131" s="194">
        <v>2</v>
      </c>
      <c r="Q131" s="193">
        <v>2</v>
      </c>
      <c r="R131" s="913"/>
    </row>
    <row r="132" spans="1:18" ht="15.75" thickTop="1" x14ac:dyDescent="0.25">
      <c r="A132" s="923" t="str">
        <f>C31</f>
        <v>Environmental technician</v>
      </c>
      <c r="B132" s="196" t="s">
        <v>478</v>
      </c>
      <c r="C132">
        <v>2</v>
      </c>
      <c r="D132">
        <v>2</v>
      </c>
      <c r="E132">
        <v>2</v>
      </c>
      <c r="F132">
        <v>2</v>
      </c>
      <c r="G132" s="192"/>
      <c r="H132" s="192"/>
      <c r="I132" s="192"/>
      <c r="J132">
        <v>2</v>
      </c>
      <c r="K132">
        <v>2</v>
      </c>
      <c r="L132">
        <v>2</v>
      </c>
      <c r="M132" s="192" t="s">
        <v>266</v>
      </c>
      <c r="N132" s="192"/>
      <c r="O132" s="192"/>
      <c r="P132" s="192"/>
      <c r="Q132" s="242">
        <v>2</v>
      </c>
      <c r="R132" s="914">
        <f>SUM(Q132:Q135)</f>
        <v>5</v>
      </c>
    </row>
    <row r="133" spans="1:18" x14ac:dyDescent="0.25">
      <c r="A133" s="923"/>
      <c r="B133" s="196" t="s">
        <v>479</v>
      </c>
      <c r="C133">
        <v>1</v>
      </c>
      <c r="D133">
        <v>1</v>
      </c>
      <c r="E133">
        <v>1</v>
      </c>
      <c r="F133">
        <v>1</v>
      </c>
      <c r="G133" s="192"/>
      <c r="H133" s="192"/>
      <c r="I133" s="192"/>
      <c r="J133">
        <v>1</v>
      </c>
      <c r="K133">
        <v>1</v>
      </c>
      <c r="L133">
        <v>1</v>
      </c>
      <c r="M133" s="192" t="s">
        <v>266</v>
      </c>
      <c r="N133" s="192"/>
      <c r="O133" s="192"/>
      <c r="P133" s="192"/>
      <c r="Q133" s="242">
        <v>1</v>
      </c>
      <c r="R133" s="914"/>
    </row>
    <row r="134" spans="1:18" x14ac:dyDescent="0.25">
      <c r="A134" s="923"/>
      <c r="B134" s="196" t="s">
        <v>478</v>
      </c>
      <c r="C134" s="192"/>
      <c r="D134" s="192"/>
      <c r="E134" s="192"/>
      <c r="F134" s="192"/>
      <c r="G134">
        <v>1</v>
      </c>
      <c r="H134">
        <v>1</v>
      </c>
      <c r="I134">
        <v>1</v>
      </c>
      <c r="J134" s="192"/>
      <c r="K134" s="192"/>
      <c r="L134" s="192"/>
      <c r="M134">
        <v>1</v>
      </c>
      <c r="N134">
        <v>1</v>
      </c>
      <c r="O134">
        <v>1</v>
      </c>
      <c r="P134">
        <v>1</v>
      </c>
      <c r="Q134" s="242">
        <v>1</v>
      </c>
      <c r="R134" s="914"/>
    </row>
    <row r="135" spans="1:18" ht="15.75" thickBot="1" x14ac:dyDescent="0.3">
      <c r="A135" s="923"/>
      <c r="B135" s="196" t="s">
        <v>479</v>
      </c>
      <c r="C135" s="192"/>
      <c r="D135" s="192"/>
      <c r="E135" s="192"/>
      <c r="F135" s="192"/>
      <c r="G135">
        <v>1</v>
      </c>
      <c r="H135">
        <v>1</v>
      </c>
      <c r="I135">
        <v>1</v>
      </c>
      <c r="J135" s="192"/>
      <c r="K135" s="192"/>
      <c r="L135" s="192"/>
      <c r="M135">
        <v>1</v>
      </c>
      <c r="N135">
        <v>1</v>
      </c>
      <c r="O135">
        <v>1</v>
      </c>
      <c r="P135">
        <v>1</v>
      </c>
      <c r="Q135" s="242">
        <v>1</v>
      </c>
      <c r="R135" s="914"/>
    </row>
    <row r="136" spans="1:18" ht="15.75" thickTop="1" x14ac:dyDescent="0.25">
      <c r="A136" s="924" t="str">
        <f>C36</f>
        <v xml:space="preserve">Line Mechanic </v>
      </c>
      <c r="B136" s="197" t="s">
        <v>478</v>
      </c>
      <c r="C136" s="189">
        <v>4</v>
      </c>
      <c r="D136" s="189">
        <v>4</v>
      </c>
      <c r="E136" s="189">
        <v>4</v>
      </c>
      <c r="F136" s="189">
        <v>4</v>
      </c>
      <c r="G136" s="190"/>
      <c r="H136" s="190"/>
      <c r="I136" s="190"/>
      <c r="J136" s="189">
        <v>4</v>
      </c>
      <c r="K136" s="189">
        <v>4</v>
      </c>
      <c r="L136" s="189">
        <v>4</v>
      </c>
      <c r="M136" s="190" t="s">
        <v>266</v>
      </c>
      <c r="N136" s="190"/>
      <c r="O136" s="190"/>
      <c r="P136" s="190"/>
      <c r="Q136" s="213">
        <v>4</v>
      </c>
      <c r="R136" s="913">
        <f>SUM(Q136:Q139)</f>
        <v>17</v>
      </c>
    </row>
    <row r="137" spans="1:18" x14ac:dyDescent="0.25">
      <c r="A137" s="925"/>
      <c r="B137" s="196" t="s">
        <v>479</v>
      </c>
      <c r="C137">
        <v>4</v>
      </c>
      <c r="D137">
        <v>4</v>
      </c>
      <c r="E137">
        <v>4</v>
      </c>
      <c r="F137">
        <v>4</v>
      </c>
      <c r="G137" s="192"/>
      <c r="H137" s="192"/>
      <c r="I137" s="192"/>
      <c r="J137">
        <v>4</v>
      </c>
      <c r="K137">
        <v>4</v>
      </c>
      <c r="L137">
        <v>4</v>
      </c>
      <c r="M137" s="192" t="s">
        <v>266</v>
      </c>
      <c r="N137" s="192"/>
      <c r="O137" s="192"/>
      <c r="P137" s="192"/>
      <c r="Q137" s="191">
        <v>4</v>
      </c>
      <c r="R137" s="913"/>
    </row>
    <row r="138" spans="1:18" x14ac:dyDescent="0.25">
      <c r="A138" s="925"/>
      <c r="B138" s="196" t="s">
        <v>478</v>
      </c>
      <c r="C138" s="192"/>
      <c r="D138" s="192"/>
      <c r="E138" s="192"/>
      <c r="F138" s="192"/>
      <c r="G138">
        <v>4</v>
      </c>
      <c r="H138">
        <v>4</v>
      </c>
      <c r="I138">
        <v>4</v>
      </c>
      <c r="J138" s="192"/>
      <c r="K138" s="192"/>
      <c r="L138" s="192"/>
      <c r="M138">
        <v>4</v>
      </c>
      <c r="N138">
        <v>4</v>
      </c>
      <c r="O138">
        <v>3</v>
      </c>
      <c r="P138">
        <v>4</v>
      </c>
      <c r="Q138" s="191">
        <v>4</v>
      </c>
      <c r="R138" s="913"/>
    </row>
    <row r="139" spans="1:18" ht="15.75" thickBot="1" x14ac:dyDescent="0.3">
      <c r="A139" s="926"/>
      <c r="B139" s="243" t="s">
        <v>479</v>
      </c>
      <c r="C139" s="195"/>
      <c r="D139" s="195"/>
      <c r="E139" s="195"/>
      <c r="F139" s="195"/>
      <c r="G139" s="194">
        <v>4</v>
      </c>
      <c r="H139" s="194">
        <v>4</v>
      </c>
      <c r="I139" s="194">
        <v>4</v>
      </c>
      <c r="J139" s="195"/>
      <c r="K139" s="195"/>
      <c r="L139" s="195"/>
      <c r="M139" s="194">
        <v>4</v>
      </c>
      <c r="N139" s="194">
        <v>4</v>
      </c>
      <c r="O139" s="194">
        <v>4</v>
      </c>
      <c r="P139" s="194">
        <v>4</v>
      </c>
      <c r="Q139" s="193">
        <v>5</v>
      </c>
      <c r="R139" s="913"/>
    </row>
    <row r="140" spans="1:18" ht="15.75" thickTop="1" x14ac:dyDescent="0.25">
      <c r="A140" s="919" t="s">
        <v>387</v>
      </c>
      <c r="B140" s="196" t="s">
        <v>478</v>
      </c>
      <c r="C140">
        <v>5</v>
      </c>
      <c r="D140">
        <v>5</v>
      </c>
      <c r="E140">
        <v>5</v>
      </c>
      <c r="F140">
        <v>5</v>
      </c>
      <c r="G140" s="192"/>
      <c r="H140" s="192"/>
      <c r="I140" s="192"/>
      <c r="J140">
        <v>5</v>
      </c>
      <c r="K140">
        <v>5</v>
      </c>
      <c r="L140">
        <v>5</v>
      </c>
      <c r="M140" s="192" t="s">
        <v>266</v>
      </c>
      <c r="N140" s="192"/>
      <c r="O140" s="192"/>
      <c r="P140" s="192"/>
      <c r="Q140" s="242">
        <v>5</v>
      </c>
      <c r="R140" s="914">
        <f>SUM(Q140:Q143)</f>
        <v>18</v>
      </c>
    </row>
    <row r="141" spans="1:18" x14ac:dyDescent="0.25">
      <c r="A141" s="919"/>
      <c r="B141" s="196" t="s">
        <v>479</v>
      </c>
      <c r="C141">
        <v>4</v>
      </c>
      <c r="D141">
        <v>4</v>
      </c>
      <c r="E141">
        <v>4</v>
      </c>
      <c r="F141">
        <v>4</v>
      </c>
      <c r="G141" s="192"/>
      <c r="H141" s="192"/>
      <c r="I141" s="192"/>
      <c r="J141">
        <v>4</v>
      </c>
      <c r="K141">
        <v>4</v>
      </c>
      <c r="L141">
        <v>4</v>
      </c>
      <c r="M141" s="192" t="s">
        <v>266</v>
      </c>
      <c r="N141" s="192"/>
      <c r="O141" s="192"/>
      <c r="P141" s="192"/>
      <c r="Q141" s="242">
        <v>4</v>
      </c>
      <c r="R141" s="914"/>
    </row>
    <row r="142" spans="1:18" x14ac:dyDescent="0.25">
      <c r="A142" s="919"/>
      <c r="B142" s="196" t="s">
        <v>478</v>
      </c>
      <c r="C142" s="192"/>
      <c r="D142" s="192"/>
      <c r="E142" s="192"/>
      <c r="F142" s="192"/>
      <c r="G142">
        <v>5</v>
      </c>
      <c r="H142">
        <v>5</v>
      </c>
      <c r="I142">
        <v>5</v>
      </c>
      <c r="J142" s="192"/>
      <c r="K142" s="192"/>
      <c r="L142" s="192"/>
      <c r="M142">
        <v>5</v>
      </c>
      <c r="N142">
        <v>5</v>
      </c>
      <c r="O142">
        <v>5</v>
      </c>
      <c r="P142">
        <v>5</v>
      </c>
      <c r="Q142" s="242">
        <v>5</v>
      </c>
      <c r="R142" s="914"/>
    </row>
    <row r="143" spans="1:18" ht="15.75" thickBot="1" x14ac:dyDescent="0.3">
      <c r="A143" s="919"/>
      <c r="B143" s="196" t="s">
        <v>479</v>
      </c>
      <c r="C143" s="192"/>
      <c r="D143" s="192"/>
      <c r="E143" s="192"/>
      <c r="F143" s="192"/>
      <c r="G143">
        <v>4</v>
      </c>
      <c r="H143">
        <v>4</v>
      </c>
      <c r="I143">
        <v>4</v>
      </c>
      <c r="J143" s="192"/>
      <c r="K143" s="192"/>
      <c r="L143" s="192"/>
      <c r="M143">
        <v>4</v>
      </c>
      <c r="N143">
        <v>4</v>
      </c>
      <c r="O143">
        <v>4</v>
      </c>
      <c r="P143">
        <v>4</v>
      </c>
      <c r="Q143" s="242">
        <v>4</v>
      </c>
      <c r="R143" s="914"/>
    </row>
    <row r="144" spans="1:18" ht="15.75" thickTop="1" x14ac:dyDescent="0.25">
      <c r="A144" s="664" t="str">
        <f>C79</f>
        <v>Byproduct production crew</v>
      </c>
      <c r="B144" s="197" t="s">
        <v>478</v>
      </c>
      <c r="C144" s="189">
        <v>3</v>
      </c>
      <c r="D144" s="189">
        <v>3</v>
      </c>
      <c r="E144" s="189">
        <v>3</v>
      </c>
      <c r="F144" s="189">
        <v>3</v>
      </c>
      <c r="G144" s="190"/>
      <c r="H144" s="190"/>
      <c r="I144" s="190"/>
      <c r="J144" s="189">
        <v>3</v>
      </c>
      <c r="K144" s="189">
        <v>3</v>
      </c>
      <c r="L144" s="189">
        <v>3</v>
      </c>
      <c r="M144" s="190" t="s">
        <v>266</v>
      </c>
      <c r="N144" s="190"/>
      <c r="O144" s="190"/>
      <c r="P144" s="665"/>
      <c r="Q144" s="662">
        <v>3</v>
      </c>
      <c r="R144" s="914">
        <f>SUM(Q144:Q147)</f>
        <v>12</v>
      </c>
    </row>
    <row r="145" spans="1:18" x14ac:dyDescent="0.25">
      <c r="A145" s="525" t="str">
        <f t="shared" ref="A145:A147" si="136">C80</f>
        <v>Byproduct production crew</v>
      </c>
      <c r="B145" s="196" t="s">
        <v>479</v>
      </c>
      <c r="C145">
        <v>3</v>
      </c>
      <c r="D145">
        <v>3</v>
      </c>
      <c r="E145">
        <v>3</v>
      </c>
      <c r="F145">
        <v>3</v>
      </c>
      <c r="G145" s="192"/>
      <c r="H145" s="192"/>
      <c r="I145" s="192"/>
      <c r="J145">
        <v>3</v>
      </c>
      <c r="K145">
        <v>3</v>
      </c>
      <c r="L145">
        <v>3</v>
      </c>
      <c r="M145" s="192" t="s">
        <v>266</v>
      </c>
      <c r="N145" s="192"/>
      <c r="O145" s="192"/>
      <c r="P145" s="192"/>
      <c r="Q145" s="242">
        <v>3</v>
      </c>
      <c r="R145" s="914"/>
    </row>
    <row r="146" spans="1:18" x14ac:dyDescent="0.25">
      <c r="A146" s="525" t="str">
        <f t="shared" si="136"/>
        <v>Byproduct production crew</v>
      </c>
      <c r="B146" s="196" t="s">
        <v>478</v>
      </c>
      <c r="C146" s="192"/>
      <c r="D146" s="192"/>
      <c r="E146" s="192"/>
      <c r="F146" s="192"/>
      <c r="G146">
        <v>3</v>
      </c>
      <c r="H146">
        <v>3</v>
      </c>
      <c r="I146">
        <v>3</v>
      </c>
      <c r="J146" s="192"/>
      <c r="K146" s="192"/>
      <c r="L146" s="192"/>
      <c r="M146">
        <v>3</v>
      </c>
      <c r="N146">
        <v>3</v>
      </c>
      <c r="O146">
        <v>3</v>
      </c>
      <c r="P146">
        <v>3</v>
      </c>
      <c r="Q146" s="242">
        <v>3</v>
      </c>
      <c r="R146" s="914"/>
    </row>
    <row r="147" spans="1:18" ht="15.75" thickBot="1" x14ac:dyDescent="0.3">
      <c r="A147" s="525" t="str">
        <f t="shared" si="136"/>
        <v>Byproduct production crew</v>
      </c>
      <c r="B147" s="196" t="s">
        <v>479</v>
      </c>
      <c r="C147" s="192"/>
      <c r="D147" s="192"/>
      <c r="E147" s="192"/>
      <c r="F147" s="192"/>
      <c r="G147">
        <v>3</v>
      </c>
      <c r="H147">
        <v>3</v>
      </c>
      <c r="I147">
        <v>3</v>
      </c>
      <c r="J147" s="192"/>
      <c r="K147" s="192"/>
      <c r="L147" s="192"/>
      <c r="M147">
        <v>3</v>
      </c>
      <c r="N147">
        <v>3</v>
      </c>
      <c r="O147">
        <v>3</v>
      </c>
      <c r="P147">
        <v>3</v>
      </c>
      <c r="Q147" s="663">
        <v>3</v>
      </c>
      <c r="R147" s="914"/>
    </row>
    <row r="148" spans="1:18" ht="15.75" thickTop="1" x14ac:dyDescent="0.25">
      <c r="A148" s="916" t="s">
        <v>529</v>
      </c>
      <c r="B148" s="197" t="s">
        <v>478</v>
      </c>
      <c r="C148" s="189">
        <v>3</v>
      </c>
      <c r="D148" s="189">
        <v>3</v>
      </c>
      <c r="E148" s="189">
        <v>3</v>
      </c>
      <c r="F148" s="189">
        <v>3</v>
      </c>
      <c r="G148" s="190"/>
      <c r="H148" s="190"/>
      <c r="I148" s="190"/>
      <c r="J148" s="189">
        <v>3</v>
      </c>
      <c r="K148" s="189">
        <v>3</v>
      </c>
      <c r="L148" s="189">
        <v>3</v>
      </c>
      <c r="M148" s="190" t="s">
        <v>266</v>
      </c>
      <c r="N148" s="190"/>
      <c r="O148" s="190"/>
      <c r="P148" s="190"/>
      <c r="Q148" s="213">
        <v>3</v>
      </c>
      <c r="R148" s="913">
        <f>SUM(Q148:Q151)</f>
        <v>10</v>
      </c>
    </row>
    <row r="149" spans="1:18" x14ac:dyDescent="0.25">
      <c r="A149" s="917"/>
      <c r="B149" s="196" t="s">
        <v>479</v>
      </c>
      <c r="C149">
        <v>2</v>
      </c>
      <c r="D149">
        <v>2</v>
      </c>
      <c r="E149">
        <v>2</v>
      </c>
      <c r="F149">
        <v>2</v>
      </c>
      <c r="G149" s="192"/>
      <c r="H149" s="192"/>
      <c r="I149" s="192"/>
      <c r="J149">
        <v>2</v>
      </c>
      <c r="K149">
        <v>2</v>
      </c>
      <c r="L149">
        <v>2</v>
      </c>
      <c r="M149" s="192" t="s">
        <v>266</v>
      </c>
      <c r="N149" s="192"/>
      <c r="O149" s="192"/>
      <c r="P149" s="192"/>
      <c r="Q149" s="191">
        <v>2</v>
      </c>
      <c r="R149" s="913"/>
    </row>
    <row r="150" spans="1:18" x14ac:dyDescent="0.25">
      <c r="A150" s="917"/>
      <c r="B150" s="196" t="s">
        <v>478</v>
      </c>
      <c r="C150" s="192"/>
      <c r="D150" s="192"/>
      <c r="E150" s="192"/>
      <c r="F150" s="192"/>
      <c r="G150">
        <v>3</v>
      </c>
      <c r="H150">
        <v>3</v>
      </c>
      <c r="I150">
        <v>3</v>
      </c>
      <c r="J150" s="192"/>
      <c r="K150" s="192"/>
      <c r="L150" s="192"/>
      <c r="M150">
        <v>3</v>
      </c>
      <c r="N150">
        <v>3</v>
      </c>
      <c r="O150">
        <v>3</v>
      </c>
      <c r="P150">
        <v>3</v>
      </c>
      <c r="Q150" s="191">
        <v>3</v>
      </c>
      <c r="R150" s="913"/>
    </row>
    <row r="151" spans="1:18" ht="15.75" thickBot="1" x14ac:dyDescent="0.3">
      <c r="A151" s="918"/>
      <c r="B151" s="243" t="s">
        <v>479</v>
      </c>
      <c r="C151" s="195"/>
      <c r="D151" s="195"/>
      <c r="E151" s="195"/>
      <c r="F151" s="195"/>
      <c r="G151">
        <v>2</v>
      </c>
      <c r="H151">
        <v>2</v>
      </c>
      <c r="I151">
        <v>2</v>
      </c>
      <c r="J151" s="195"/>
      <c r="K151" s="195"/>
      <c r="L151" s="195"/>
      <c r="M151" s="194">
        <v>2</v>
      </c>
      <c r="N151" s="194">
        <v>2</v>
      </c>
      <c r="O151" s="194">
        <v>2</v>
      </c>
      <c r="P151" s="194">
        <v>2</v>
      </c>
      <c r="Q151" s="193">
        <v>2</v>
      </c>
      <c r="R151" s="913"/>
    </row>
    <row r="152" spans="1:18" ht="15.75" thickTop="1" x14ac:dyDescent="0.25">
      <c r="A152" s="244" t="s">
        <v>388</v>
      </c>
      <c r="B152" s="245"/>
      <c r="C152" s="245"/>
      <c r="D152" s="245"/>
      <c r="E152" s="245"/>
      <c r="F152" s="245"/>
      <c r="G152" s="245"/>
      <c r="H152" s="245"/>
      <c r="I152" s="245"/>
      <c r="J152" s="245"/>
      <c r="K152" s="245"/>
      <c r="L152" s="245"/>
      <c r="M152" s="245"/>
      <c r="N152" s="245"/>
      <c r="O152" s="245"/>
      <c r="P152" s="245"/>
      <c r="Q152" s="246">
        <f>SUM(Q120:Q151)</f>
        <v>82</v>
      </c>
      <c r="R152" s="246">
        <f>SUM(R120:R151)</f>
        <v>82</v>
      </c>
    </row>
    <row r="155" spans="1:18" ht="34.5" thickBot="1" x14ac:dyDescent="0.55000000000000004">
      <c r="B155" s="912" t="s">
        <v>899</v>
      </c>
      <c r="C155" s="912"/>
      <c r="D155" s="912"/>
      <c r="E155" s="912"/>
      <c r="F155" s="912"/>
      <c r="G155" s="912"/>
      <c r="H155" s="912"/>
      <c r="I155" s="912"/>
      <c r="J155" s="912"/>
      <c r="K155" s="912"/>
      <c r="L155" s="912"/>
      <c r="M155" s="912"/>
      <c r="N155" s="912"/>
      <c r="O155" s="912"/>
      <c r="P155" s="912"/>
    </row>
    <row r="156" spans="1:18" ht="30.75" customHeight="1" thickTop="1" x14ac:dyDescent="0.25">
      <c r="A156" s="184"/>
      <c r="B156" s="185" t="s">
        <v>380</v>
      </c>
      <c r="C156" s="184" t="s">
        <v>381</v>
      </c>
      <c r="D156" s="184" t="s">
        <v>475</v>
      </c>
      <c r="E156" s="184" t="s">
        <v>382</v>
      </c>
      <c r="F156" s="184" t="s">
        <v>476</v>
      </c>
      <c r="G156" s="184" t="s">
        <v>383</v>
      </c>
      <c r="H156" s="184" t="s">
        <v>384</v>
      </c>
      <c r="I156" s="184" t="s">
        <v>477</v>
      </c>
      <c r="J156" s="184" t="s">
        <v>381</v>
      </c>
      <c r="K156" s="184" t="s">
        <v>475</v>
      </c>
      <c r="L156" s="184" t="s">
        <v>382</v>
      </c>
      <c r="M156" s="184" t="s">
        <v>476</v>
      </c>
      <c r="N156" s="184" t="s">
        <v>383</v>
      </c>
      <c r="O156" s="184" t="s">
        <v>384</v>
      </c>
      <c r="P156" s="184" t="s">
        <v>477</v>
      </c>
      <c r="Q156" s="186" t="s">
        <v>333</v>
      </c>
      <c r="R156" s="198" t="s">
        <v>385</v>
      </c>
    </row>
    <row r="157" spans="1:18" x14ac:dyDescent="0.25">
      <c r="A157" s="915" t="str">
        <f>C23</f>
        <v>Industrial  Maintenance Mechanic</v>
      </c>
      <c r="B157" s="196" t="s">
        <v>478</v>
      </c>
      <c r="C157">
        <v>4</v>
      </c>
      <c r="D157">
        <v>4</v>
      </c>
      <c r="E157">
        <v>4</v>
      </c>
      <c r="F157">
        <v>4</v>
      </c>
      <c r="G157" s="659"/>
      <c r="H157" s="659"/>
      <c r="I157" s="659"/>
      <c r="J157">
        <v>4</v>
      </c>
      <c r="K157">
        <v>4</v>
      </c>
      <c r="L157">
        <v>4</v>
      </c>
      <c r="M157" s="659" t="s">
        <v>266</v>
      </c>
      <c r="N157" s="659"/>
      <c r="O157" s="659"/>
      <c r="P157" s="659"/>
      <c r="Q157" s="242">
        <v>4</v>
      </c>
      <c r="R157" s="914">
        <f>SUM(Q157:Q160)</f>
        <v>8</v>
      </c>
    </row>
    <row r="158" spans="1:18" x14ac:dyDescent="0.25">
      <c r="A158" s="915"/>
      <c r="B158" s="196" t="s">
        <v>479</v>
      </c>
      <c r="C158" s="659" t="s">
        <v>266</v>
      </c>
      <c r="D158" s="659" t="s">
        <v>266</v>
      </c>
      <c r="E158" s="659" t="s">
        <v>266</v>
      </c>
      <c r="F158" s="659" t="s">
        <v>266</v>
      </c>
      <c r="G158" s="659"/>
      <c r="H158" s="659"/>
      <c r="I158" s="659"/>
      <c r="J158" s="659" t="s">
        <v>266</v>
      </c>
      <c r="K158" s="659" t="s">
        <v>266</v>
      </c>
      <c r="L158" s="659" t="s">
        <v>266</v>
      </c>
      <c r="M158" s="659" t="s">
        <v>266</v>
      </c>
      <c r="N158" s="659"/>
      <c r="O158" s="659"/>
      <c r="P158" s="659"/>
      <c r="Q158" s="242" t="s">
        <v>266</v>
      </c>
      <c r="R158" s="914"/>
    </row>
    <row r="159" spans="1:18" x14ac:dyDescent="0.25">
      <c r="A159" s="915"/>
      <c r="B159" s="196" t="s">
        <v>478</v>
      </c>
      <c r="C159" s="659"/>
      <c r="D159" s="659"/>
      <c r="E159" s="659"/>
      <c r="F159" s="659"/>
      <c r="G159">
        <v>4</v>
      </c>
      <c r="H159">
        <v>4</v>
      </c>
      <c r="I159">
        <v>4</v>
      </c>
      <c r="J159" s="659"/>
      <c r="K159" s="659"/>
      <c r="L159" s="659"/>
      <c r="M159">
        <v>4</v>
      </c>
      <c r="N159">
        <v>4</v>
      </c>
      <c r="O159">
        <v>4</v>
      </c>
      <c r="P159">
        <v>4</v>
      </c>
      <c r="Q159" s="242">
        <v>4</v>
      </c>
      <c r="R159" s="914"/>
    </row>
    <row r="160" spans="1:18" x14ac:dyDescent="0.25">
      <c r="A160" s="915"/>
      <c r="B160" s="196" t="s">
        <v>479</v>
      </c>
      <c r="C160" s="659"/>
      <c r="D160" s="659"/>
      <c r="E160" s="659"/>
      <c r="F160" s="659"/>
      <c r="G160" s="659" t="s">
        <v>266</v>
      </c>
      <c r="H160" s="659" t="s">
        <v>266</v>
      </c>
      <c r="I160" s="659" t="s">
        <v>266</v>
      </c>
      <c r="J160" s="659"/>
      <c r="K160" s="659"/>
      <c r="L160" s="659"/>
      <c r="M160" s="659" t="s">
        <v>266</v>
      </c>
      <c r="N160" s="659" t="s">
        <v>266</v>
      </c>
      <c r="O160" s="659" t="s">
        <v>266</v>
      </c>
      <c r="P160" s="659" t="s">
        <v>266</v>
      </c>
      <c r="Q160" s="242" t="s">
        <v>266</v>
      </c>
      <c r="R160" s="914"/>
    </row>
  </sheetData>
  <mergeCells count="21">
    <mergeCell ref="R157:R160"/>
    <mergeCell ref="R144:R147"/>
    <mergeCell ref="B155:P155"/>
    <mergeCell ref="R136:R139"/>
    <mergeCell ref="A124:A127"/>
    <mergeCell ref="R124:R127"/>
    <mergeCell ref="A148:A151"/>
    <mergeCell ref="R148:R151"/>
    <mergeCell ref="A140:A143"/>
    <mergeCell ref="R140:R143"/>
    <mergeCell ref="A128:A131"/>
    <mergeCell ref="R128:R131"/>
    <mergeCell ref="A132:A135"/>
    <mergeCell ref="R132:R135"/>
    <mergeCell ref="A136:A139"/>
    <mergeCell ref="A157:A160"/>
    <mergeCell ref="A1:B1"/>
    <mergeCell ref="C1:D1"/>
    <mergeCell ref="F1:P1"/>
    <mergeCell ref="B118:P118"/>
    <mergeCell ref="R120:R123"/>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AB08F-FF4D-4300-B2B0-A51791553081}">
  <sheetPr>
    <pageSetUpPr fitToPage="1"/>
  </sheetPr>
  <dimension ref="A1:Z117"/>
  <sheetViews>
    <sheetView topLeftCell="A84" workbookViewId="0">
      <selection activeCell="D7" sqref="D7"/>
    </sheetView>
  </sheetViews>
  <sheetFormatPr defaultRowHeight="15" x14ac:dyDescent="0.25"/>
  <cols>
    <col min="1" max="1" width="9.28515625" customWidth="1"/>
    <col min="3" max="3" width="31" style="143" customWidth="1"/>
    <col min="4" max="4" width="14.5703125" customWidth="1"/>
    <col min="5" max="5" width="10.85546875" customWidth="1"/>
    <col min="7" max="7" width="11" customWidth="1"/>
    <col min="8" max="8" width="10.5703125" customWidth="1"/>
    <col min="13" max="13" width="10.42578125" customWidth="1"/>
    <col min="14" max="14" width="10.85546875" customWidth="1"/>
    <col min="15" max="15" width="11.140625" customWidth="1"/>
    <col min="16" max="16" width="11" customWidth="1"/>
    <col min="18" max="18" width="11.7109375" customWidth="1"/>
    <col min="19" max="19" width="11.42578125" customWidth="1"/>
    <col min="20" max="20" width="11.140625" customWidth="1"/>
    <col min="21" max="21" width="12.7109375" customWidth="1"/>
    <col min="26" max="26" width="13.85546875" customWidth="1"/>
  </cols>
  <sheetData>
    <row r="1" spans="1:26" x14ac:dyDescent="0.25">
      <c r="A1" s="934" t="s">
        <v>266</v>
      </c>
      <c r="B1" s="934"/>
      <c r="C1" t="s">
        <v>266</v>
      </c>
      <c r="E1" s="935" t="s">
        <v>282</v>
      </c>
      <c r="F1" s="936"/>
      <c r="G1" s="274">
        <v>2080</v>
      </c>
    </row>
    <row r="2" spans="1:26" x14ac:dyDescent="0.25">
      <c r="A2" s="275"/>
      <c r="B2" s="275"/>
      <c r="C2" s="252" t="s">
        <v>283</v>
      </c>
      <c r="E2" s="935" t="s">
        <v>284</v>
      </c>
      <c r="F2" s="936"/>
      <c r="G2" s="290">
        <v>80</v>
      </c>
      <c r="L2" s="276" t="s">
        <v>481</v>
      </c>
      <c r="M2" s="791">
        <v>0</v>
      </c>
      <c r="N2" s="791">
        <v>0.21</v>
      </c>
      <c r="O2" s="277"/>
      <c r="P2" s="277"/>
      <c r="Q2" s="277"/>
      <c r="R2" s="277"/>
      <c r="S2" s="294">
        <v>0</v>
      </c>
      <c r="T2" s="294">
        <v>0</v>
      </c>
      <c r="Z2" s="278"/>
    </row>
    <row r="3" spans="1:26" x14ac:dyDescent="0.25">
      <c r="A3" s="275"/>
      <c r="B3" s="275"/>
      <c r="C3" s="252"/>
      <c r="E3" s="935" t="s">
        <v>285</v>
      </c>
      <c r="F3" s="936"/>
      <c r="G3" s="290">
        <v>132</v>
      </c>
      <c r="L3" s="279"/>
      <c r="M3" s="291"/>
      <c r="N3" s="292"/>
      <c r="O3" s="277"/>
      <c r="P3" s="277"/>
      <c r="Q3" s="277"/>
      <c r="R3" s="277"/>
      <c r="S3" s="294"/>
      <c r="T3" s="294"/>
      <c r="Z3" s="278"/>
    </row>
    <row r="4" spans="1:26" x14ac:dyDescent="0.25">
      <c r="A4" s="275"/>
      <c r="B4" s="275"/>
      <c r="C4" s="253"/>
      <c r="D4" s="280" t="s">
        <v>266</v>
      </c>
      <c r="E4" s="935" t="s">
        <v>286</v>
      </c>
      <c r="F4" s="936"/>
      <c r="G4" s="274">
        <f>SUM(G1-G2-G3)</f>
        <v>1868</v>
      </c>
      <c r="L4" s="279" t="s">
        <v>482</v>
      </c>
      <c r="M4" s="276" t="s">
        <v>483</v>
      </c>
      <c r="N4" s="293">
        <v>300000</v>
      </c>
      <c r="O4" s="281"/>
      <c r="P4" s="281"/>
      <c r="Q4" s="281"/>
      <c r="R4" s="281"/>
      <c r="S4" s="295">
        <v>0</v>
      </c>
      <c r="T4" s="295">
        <v>0</v>
      </c>
      <c r="Z4" s="282"/>
    </row>
    <row r="5" spans="1:26" ht="64.5" x14ac:dyDescent="0.25">
      <c r="A5" s="138" t="s">
        <v>484</v>
      </c>
      <c r="B5" s="138" t="s">
        <v>287</v>
      </c>
      <c r="C5" s="139" t="s">
        <v>288</v>
      </c>
      <c r="D5" s="247" t="s">
        <v>469</v>
      </c>
      <c r="E5" s="139" t="s">
        <v>485</v>
      </c>
      <c r="F5" s="298" t="s">
        <v>486</v>
      </c>
      <c r="G5" s="149" t="s">
        <v>289</v>
      </c>
      <c r="H5" s="149" t="s">
        <v>487</v>
      </c>
      <c r="I5" s="149" t="s">
        <v>488</v>
      </c>
      <c r="J5" s="149" t="s">
        <v>489</v>
      </c>
      <c r="K5" s="149" t="s">
        <v>290</v>
      </c>
      <c r="L5" s="149" t="s">
        <v>490</v>
      </c>
      <c r="M5" s="149" t="s">
        <v>1133</v>
      </c>
      <c r="N5" s="149" t="s">
        <v>1134</v>
      </c>
      <c r="O5" s="139" t="s">
        <v>491</v>
      </c>
      <c r="P5" s="139" t="s">
        <v>492</v>
      </c>
      <c r="Q5" s="139" t="s">
        <v>493</v>
      </c>
      <c r="R5" s="139" t="s">
        <v>494</v>
      </c>
      <c r="S5" s="149" t="s">
        <v>495</v>
      </c>
      <c r="T5" s="149" t="s">
        <v>496</v>
      </c>
      <c r="U5" s="149" t="s">
        <v>497</v>
      </c>
      <c r="V5" s="150" t="s">
        <v>498</v>
      </c>
      <c r="W5" s="150" t="s">
        <v>499</v>
      </c>
      <c r="X5" s="150" t="s">
        <v>500</v>
      </c>
      <c r="Y5" s="150" t="s">
        <v>291</v>
      </c>
      <c r="Z5" s="149" t="s">
        <v>292</v>
      </c>
    </row>
    <row r="6" spans="1:26" x14ac:dyDescent="0.25">
      <c r="A6" s="937" t="s">
        <v>501</v>
      </c>
      <c r="B6" s="140">
        <f>'Plant Salaries'!B4</f>
        <v>1</v>
      </c>
      <c r="C6" s="141" t="str">
        <f>'Plant Salaries'!C4</f>
        <v>Site Manager</v>
      </c>
      <c r="D6" s="248">
        <f>'Plant Salaries'!F4</f>
        <v>165000</v>
      </c>
      <c r="E6" s="296" t="s">
        <v>502</v>
      </c>
      <c r="F6" s="297">
        <v>0.03</v>
      </c>
      <c r="G6" s="283">
        <f>D6/12</f>
        <v>13750</v>
      </c>
      <c r="H6" s="229">
        <f>IF($D6=0,('Benefits Cost'!$C$11),IF($E6="E",('Benefits Cost'!$C$7),IF($E6="E1",('Benefits Cost'!$C$8),IF($E6="E2",('Benefits Cost'!$C$9),IF($E6="E3",('Benefits Cost'!$C$10),0)))))</f>
        <v>0</v>
      </c>
      <c r="I6" s="229">
        <f>IF($D6=0,('Benefits Cost'!$C$11),IF($E6="E",('Benefits Cost'!$C$13),IF($E6="E1",('Benefits Cost'!$C$14),IF($E6="E2",('Benefits Cost'!$C$15),IF($E6="E3",('Benefits Cost'!$C$16),0)))))</f>
        <v>0</v>
      </c>
      <c r="J6" s="229">
        <f>IF($D6=0,('Benefits Cost'!$C$11),IF($E6="E",('Benefits Cost'!$C$19),IF($E6="E1",('Benefits Cost'!$C$20),IF($E6="E2",('Benefits Cost'!$C$21),IF($E6="E3",('Benefits Cost'!$C$22),0)))))</f>
        <v>0</v>
      </c>
      <c r="K6" s="229">
        <f>SUM(G6 * 'Benefits Cost'!$E$30 * 'Benefits Cost'!$C$30)</f>
        <v>0</v>
      </c>
      <c r="L6" s="283">
        <f t="shared" ref="L6:L69" si="0">ROUND(G6*$M$2,0)</f>
        <v>0</v>
      </c>
      <c r="M6" s="283">
        <f t="shared" ref="M6:M69" si="1">ROUND(IF((G6*12)&gt;$N$4,($N$4*$N$2)/12,G6*$N$2),0)</f>
        <v>2888</v>
      </c>
      <c r="N6" s="283">
        <f>SUM(L6:M6)</f>
        <v>2888</v>
      </c>
      <c r="O6" s="283">
        <f>H6*12</f>
        <v>0</v>
      </c>
      <c r="P6" s="283">
        <f>I6*12</f>
        <v>0</v>
      </c>
      <c r="Q6" s="283">
        <f>J6*12</f>
        <v>0</v>
      </c>
      <c r="R6" s="283">
        <f>SUM(K6*12)</f>
        <v>0</v>
      </c>
      <c r="S6" s="229">
        <f>IF($D6=0,  0, ($S$4*$S$2))</f>
        <v>0</v>
      </c>
      <c r="T6" s="229">
        <f t="shared" ref="T6:T69" si="2">IF($D6=0,  0, ($T$4*$T$2))</f>
        <v>0</v>
      </c>
      <c r="U6" s="229">
        <f>SUM(S6:T6)</f>
        <v>0</v>
      </c>
      <c r="V6" s="284">
        <f t="shared" ref="V6:V69" si="3">SUM(D6/$G$4)</f>
        <v>88.329764453961459</v>
      </c>
      <c r="W6" s="229">
        <f t="shared" ref="W6:W69" si="4">(O6+P6+Q6+R6)/$G$4</f>
        <v>0</v>
      </c>
      <c r="X6" s="229">
        <f t="shared" ref="X6:X69" si="5">((N6*12)+U6)/$G$4</f>
        <v>18.552462526766597</v>
      </c>
      <c r="Y6" s="229">
        <f>SUM(V6:X6)</f>
        <v>106.88222698072806</v>
      </c>
      <c r="Z6" s="229">
        <f t="shared" ref="Z6:Z69" si="6">SUM(V6:X6)*$G$1</f>
        <v>222315.03211991437</v>
      </c>
    </row>
    <row r="7" spans="1:26" x14ac:dyDescent="0.25">
      <c r="A7" s="937"/>
      <c r="B7" s="140">
        <f>'Plant Salaries'!B5</f>
        <v>2</v>
      </c>
      <c r="C7" s="141" t="str">
        <f>'Plant Salaries'!C5</f>
        <v xml:space="preserve">Administrator </v>
      </c>
      <c r="D7" s="248">
        <f>'Plant Salaries'!F5</f>
        <v>20000</v>
      </c>
      <c r="E7" s="296" t="s">
        <v>502</v>
      </c>
      <c r="F7" s="297">
        <v>0</v>
      </c>
      <c r="G7" s="283">
        <f t="shared" ref="G7:G71" si="7">D7/12</f>
        <v>1666.6666666666667</v>
      </c>
      <c r="H7" s="229">
        <f>IF($D7=0,('Benefits Cost'!$C$11),IF($E7="E",('Benefits Cost'!$C$7),IF($E7="E1",('Benefits Cost'!$C$8),IF($E7="E2",('Benefits Cost'!$C$9),IF($E7="E3",('Benefits Cost'!$C$10),0)))))</f>
        <v>0</v>
      </c>
      <c r="I7" s="229">
        <f>IF($D7=0,('Benefits Cost'!$C$11),IF($E7="E",('Benefits Cost'!$C$13),IF($E7="E1",('Benefits Cost'!$C$14),IF($E7="E2",('Benefits Cost'!$C$15),IF($E7="E3",('Benefits Cost'!$C$16),0)))))</f>
        <v>0</v>
      </c>
      <c r="J7" s="229">
        <f>IF($D7=0,('Benefits Cost'!$C$11),IF($E7="E",('Benefits Cost'!$C$19),IF($E7="E1",('Benefits Cost'!$C$20),IF($E7="E2",('Benefits Cost'!$C$21),IF($E7="E3",('Benefits Cost'!$C$22),0)))))</f>
        <v>0</v>
      </c>
      <c r="K7" s="229">
        <f>SUM(G7 * 'Benefits Cost'!$E$30 * 'Benefits Cost'!$C$30)</f>
        <v>0</v>
      </c>
      <c r="L7" s="283">
        <f t="shared" si="0"/>
        <v>0</v>
      </c>
      <c r="M7" s="283">
        <f t="shared" si="1"/>
        <v>350</v>
      </c>
      <c r="N7" s="283">
        <f t="shared" ref="N7:N71" si="8">SUM(L7:M7)</f>
        <v>350</v>
      </c>
      <c r="O7" s="283">
        <f t="shared" ref="O7:Q71" si="9">H7*12</f>
        <v>0</v>
      </c>
      <c r="P7" s="283">
        <f t="shared" si="9"/>
        <v>0</v>
      </c>
      <c r="Q7" s="283">
        <f t="shared" si="9"/>
        <v>0</v>
      </c>
      <c r="R7" s="283">
        <f t="shared" ref="R7:R70" si="10">SUM(K7*12)</f>
        <v>0</v>
      </c>
      <c r="S7" s="229">
        <f t="shared" ref="S7:S69" si="11">IF($D7=0,  0, ($S$4*$S$2))</f>
        <v>0</v>
      </c>
      <c r="T7" s="229">
        <f t="shared" si="2"/>
        <v>0</v>
      </c>
      <c r="U7" s="229">
        <f t="shared" ref="U7:U71" si="12">SUM(S7:T7)</f>
        <v>0</v>
      </c>
      <c r="V7" s="284">
        <f t="shared" si="3"/>
        <v>10.706638115631691</v>
      </c>
      <c r="W7" s="229">
        <f t="shared" si="4"/>
        <v>0</v>
      </c>
      <c r="X7" s="229">
        <f t="shared" si="5"/>
        <v>2.2483940042826553</v>
      </c>
      <c r="Y7" s="229">
        <f t="shared" ref="Y7:Y71" si="13">SUM(V7:X7)</f>
        <v>12.955032119914346</v>
      </c>
      <c r="Z7" s="229">
        <f t="shared" si="6"/>
        <v>26946.46680942184</v>
      </c>
    </row>
    <row r="8" spans="1:26" x14ac:dyDescent="0.25">
      <c r="A8" s="937"/>
      <c r="B8" s="140">
        <f>'Plant Salaries'!B6</f>
        <v>3</v>
      </c>
      <c r="C8" s="141" t="str">
        <f>'Plant Salaries'!C6</f>
        <v>HR</v>
      </c>
      <c r="D8" s="248">
        <f>'Plant Salaries'!F6</f>
        <v>30000</v>
      </c>
      <c r="E8" s="296" t="s">
        <v>503</v>
      </c>
      <c r="F8" s="297">
        <v>0</v>
      </c>
      <c r="G8" s="283">
        <f>D8/12</f>
        <v>2500</v>
      </c>
      <c r="H8" s="229">
        <f>IF($D8=0,('Benefits Cost'!$C$11),IF($E8="E",('Benefits Cost'!$C$7),IF($E8="E1",('Benefits Cost'!$C$8),IF($E8="E2",('Benefits Cost'!$C$9),IF($E8="E3",('Benefits Cost'!$C$10),0)))))</f>
        <v>0</v>
      </c>
      <c r="I8" s="229">
        <f>IF($D8=0,('Benefits Cost'!$C$11),IF($E8="E",('Benefits Cost'!$C$13),IF($E8="E1",('Benefits Cost'!$C$14),IF($E8="E2",('Benefits Cost'!$C$15),IF($E8="E3",('Benefits Cost'!$C$16),0)))))</f>
        <v>0</v>
      </c>
      <c r="J8" s="229">
        <f>IF($D8=0,('Benefits Cost'!$C$11),IF($E8="E",('Benefits Cost'!$C$19),IF($E8="E1",('Benefits Cost'!$C$20),IF($E8="E2",('Benefits Cost'!$C$21),IF($E8="E3",('Benefits Cost'!$C$22),0)))))</f>
        <v>0</v>
      </c>
      <c r="K8" s="229">
        <f>SUM(G8 * 'Benefits Cost'!$E$30 * 'Benefits Cost'!$C$30)</f>
        <v>0</v>
      </c>
      <c r="L8" s="283">
        <f>ROUND(G8*$M$2,0)</f>
        <v>0</v>
      </c>
      <c r="M8" s="283">
        <f t="shared" si="1"/>
        <v>525</v>
      </c>
      <c r="N8" s="283">
        <f>SUM(L8:M8)</f>
        <v>525</v>
      </c>
      <c r="O8" s="283">
        <f>H8*12</f>
        <v>0</v>
      </c>
      <c r="P8" s="283">
        <f>I8*12</f>
        <v>0</v>
      </c>
      <c r="Q8" s="283">
        <f>J8*12</f>
        <v>0</v>
      </c>
      <c r="R8" s="283">
        <f t="shared" si="10"/>
        <v>0</v>
      </c>
      <c r="S8" s="229">
        <f t="shared" si="11"/>
        <v>0</v>
      </c>
      <c r="T8" s="229">
        <f t="shared" si="2"/>
        <v>0</v>
      </c>
      <c r="U8" s="229">
        <f>SUM(S8:T8)</f>
        <v>0</v>
      </c>
      <c r="V8" s="284">
        <f t="shared" si="3"/>
        <v>16.059957173447536</v>
      </c>
      <c r="W8" s="229">
        <f t="shared" si="4"/>
        <v>0</v>
      </c>
      <c r="X8" s="229">
        <f t="shared" si="5"/>
        <v>3.372591006423983</v>
      </c>
      <c r="Y8" s="229">
        <f>SUM(V8:X8)</f>
        <v>19.432548179871517</v>
      </c>
      <c r="Z8" s="229">
        <f t="shared" si="6"/>
        <v>40419.700214132754</v>
      </c>
    </row>
    <row r="9" spans="1:26" x14ac:dyDescent="0.25">
      <c r="A9" s="937"/>
      <c r="B9" s="140">
        <f>'Plant Salaries'!B7</f>
        <v>4</v>
      </c>
      <c r="C9" s="141" t="str">
        <f>'Plant Salaries'!C7</f>
        <v>Sales</v>
      </c>
      <c r="D9" s="248">
        <f>'Plant Salaries'!F7</f>
        <v>30000</v>
      </c>
      <c r="E9" s="296" t="s">
        <v>502</v>
      </c>
      <c r="F9" s="297">
        <v>0</v>
      </c>
      <c r="G9" s="283">
        <f t="shared" si="7"/>
        <v>2500</v>
      </c>
      <c r="H9" s="229">
        <f>IF($D9=0,('Benefits Cost'!$C$11),IF($E9="E",('Benefits Cost'!$C$7),IF($E9="E1",('Benefits Cost'!$C$8),IF($E9="E2",('Benefits Cost'!$C$9),IF($E9="E3",('Benefits Cost'!$C$10),0)))))</f>
        <v>0</v>
      </c>
      <c r="I9" s="229">
        <f>IF($D9=0,('Benefits Cost'!$C$11),IF($E9="E",('Benefits Cost'!$C$13),IF($E9="E1",('Benefits Cost'!$C$14),IF($E9="E2",('Benefits Cost'!$C$15),IF($E9="E3",('Benefits Cost'!$C$16),0)))))</f>
        <v>0</v>
      </c>
      <c r="J9" s="229">
        <f>IF($D9=0,('Benefits Cost'!$C$11),IF($E9="E",('Benefits Cost'!$C$19),IF($E9="E1",('Benefits Cost'!$C$20),IF($E9="E2",('Benefits Cost'!$C$21),IF($E9="E3",('Benefits Cost'!$C$22),0)))))</f>
        <v>0</v>
      </c>
      <c r="K9" s="229">
        <f>SUM(G9 * 'Benefits Cost'!$E$30 * 'Benefits Cost'!$C$30)</f>
        <v>0</v>
      </c>
      <c r="L9" s="283">
        <f t="shared" si="0"/>
        <v>0</v>
      </c>
      <c r="M9" s="283">
        <f t="shared" si="1"/>
        <v>525</v>
      </c>
      <c r="N9" s="283">
        <f t="shared" si="8"/>
        <v>525</v>
      </c>
      <c r="O9" s="283">
        <f t="shared" si="9"/>
        <v>0</v>
      </c>
      <c r="P9" s="283">
        <f t="shared" si="9"/>
        <v>0</v>
      </c>
      <c r="Q9" s="283">
        <f t="shared" si="9"/>
        <v>0</v>
      </c>
      <c r="R9" s="283">
        <f t="shared" si="10"/>
        <v>0</v>
      </c>
      <c r="S9" s="229">
        <f t="shared" si="11"/>
        <v>0</v>
      </c>
      <c r="T9" s="229">
        <f t="shared" si="2"/>
        <v>0</v>
      </c>
      <c r="U9" s="229">
        <f t="shared" si="12"/>
        <v>0</v>
      </c>
      <c r="V9" s="284">
        <f t="shared" si="3"/>
        <v>16.059957173447536</v>
      </c>
      <c r="W9" s="229">
        <f t="shared" si="4"/>
        <v>0</v>
      </c>
      <c r="X9" s="229">
        <f t="shared" si="5"/>
        <v>3.372591006423983</v>
      </c>
      <c r="Y9" s="229">
        <f t="shared" si="13"/>
        <v>19.432548179871517</v>
      </c>
      <c r="Z9" s="229">
        <f t="shared" si="6"/>
        <v>40419.700214132754</v>
      </c>
    </row>
    <row r="10" spans="1:26" x14ac:dyDescent="0.25">
      <c r="A10" s="937"/>
      <c r="B10" s="140">
        <f>'Plant Salaries'!B8</f>
        <v>5</v>
      </c>
      <c r="C10" s="141" t="str">
        <f>'Plant Salaries'!C8</f>
        <v>Onsite PA</v>
      </c>
      <c r="D10" s="248">
        <f>'Plant Salaries'!F8</f>
        <v>50000</v>
      </c>
      <c r="E10" s="296" t="s">
        <v>504</v>
      </c>
      <c r="F10" s="297">
        <v>0</v>
      </c>
      <c r="G10" s="283">
        <f t="shared" si="7"/>
        <v>4166.666666666667</v>
      </c>
      <c r="H10" s="229">
        <f>IF($D10=0,('Benefits Cost'!$C$11),IF($E10="E",('Benefits Cost'!$C$7),IF($E10="E1",('Benefits Cost'!$C$8),IF($E10="E2",('Benefits Cost'!$C$9),IF($E10="E3",('Benefits Cost'!$C$10),0)))))</f>
        <v>0</v>
      </c>
      <c r="I10" s="229">
        <f>IF($D10=0,('Benefits Cost'!$C$11),IF($E10="E",('Benefits Cost'!$C$13),IF($E10="E1",('Benefits Cost'!$C$14),IF($E10="E2",('Benefits Cost'!$C$15),IF($E10="E3",('Benefits Cost'!$C$16),0)))))</f>
        <v>0</v>
      </c>
      <c r="J10" s="229">
        <f>IF($D10=0,('Benefits Cost'!$C$11),IF($E10="E",('Benefits Cost'!$C$19),IF($E10="E1",('Benefits Cost'!$C$20),IF($E10="E2",('Benefits Cost'!$C$21),IF($E10="E3",('Benefits Cost'!$C$22),0)))))</f>
        <v>0</v>
      </c>
      <c r="K10" s="229">
        <f>SUM(G10 * 'Benefits Cost'!$E$30 * 'Benefits Cost'!$C$30)</f>
        <v>0</v>
      </c>
      <c r="L10" s="283">
        <f t="shared" si="0"/>
        <v>0</v>
      </c>
      <c r="M10" s="283">
        <f t="shared" si="1"/>
        <v>875</v>
      </c>
      <c r="N10" s="283">
        <f t="shared" si="8"/>
        <v>875</v>
      </c>
      <c r="O10" s="283">
        <f t="shared" si="9"/>
        <v>0</v>
      </c>
      <c r="P10" s="283">
        <f t="shared" si="9"/>
        <v>0</v>
      </c>
      <c r="Q10" s="283">
        <f t="shared" si="9"/>
        <v>0</v>
      </c>
      <c r="R10" s="283">
        <f t="shared" si="10"/>
        <v>0</v>
      </c>
      <c r="S10" s="229">
        <f t="shared" si="11"/>
        <v>0</v>
      </c>
      <c r="T10" s="229">
        <f t="shared" si="2"/>
        <v>0</v>
      </c>
      <c r="U10" s="229">
        <f t="shared" si="12"/>
        <v>0</v>
      </c>
      <c r="V10" s="284">
        <f t="shared" si="3"/>
        <v>26.76659528907923</v>
      </c>
      <c r="W10" s="229">
        <f t="shared" si="4"/>
        <v>0</v>
      </c>
      <c r="X10" s="229">
        <f t="shared" si="5"/>
        <v>5.6209850107066384</v>
      </c>
      <c r="Y10" s="229">
        <f t="shared" si="13"/>
        <v>32.387580299785867</v>
      </c>
      <c r="Z10" s="229">
        <f t="shared" si="6"/>
        <v>67366.167023554604</v>
      </c>
    </row>
    <row r="11" spans="1:26" x14ac:dyDescent="0.25">
      <c r="A11" s="937"/>
      <c r="B11" s="140">
        <f>'Plant Salaries'!B9</f>
        <v>6</v>
      </c>
      <c r="C11" s="141" t="str">
        <f>'Plant Salaries'!C9</f>
        <v>Onsite PA</v>
      </c>
      <c r="D11" s="248">
        <f>'Plant Salaries'!F9</f>
        <v>50000</v>
      </c>
      <c r="E11" s="296" t="s">
        <v>505</v>
      </c>
      <c r="F11" s="297">
        <v>0</v>
      </c>
      <c r="G11" s="283">
        <f t="shared" si="7"/>
        <v>4166.666666666667</v>
      </c>
      <c r="H11" s="229">
        <f>IF($D11=0,('Benefits Cost'!$C$11),IF($E11="E",('Benefits Cost'!$C$7),IF($E11="E1",('Benefits Cost'!$C$8),IF($E11="E2",('Benefits Cost'!$C$9),IF($E11="E3",('Benefits Cost'!$C$10),0)))))</f>
        <v>0</v>
      </c>
      <c r="I11" s="229">
        <f>IF($D11=0,('Benefits Cost'!$C$11),IF($E11="E",('Benefits Cost'!$C$13),IF($E11="E1",('Benefits Cost'!$C$14),IF($E11="E2",('Benefits Cost'!$C$15),IF($E11="E3",('Benefits Cost'!$C$16),0)))))</f>
        <v>0</v>
      </c>
      <c r="J11" s="229">
        <f>IF($D11=0,('Benefits Cost'!$C$11),IF($E11="E",('Benefits Cost'!$C$19),IF($E11="E1",('Benefits Cost'!$C$20),IF($E11="E2",('Benefits Cost'!$C$21),IF($E11="E3",('Benefits Cost'!$C$22),0)))))</f>
        <v>0</v>
      </c>
      <c r="K11" s="229">
        <f>SUM(G11 * 'Benefits Cost'!$E$30 * 'Benefits Cost'!$C$30)</f>
        <v>0</v>
      </c>
      <c r="L11" s="283">
        <f t="shared" si="0"/>
        <v>0</v>
      </c>
      <c r="M11" s="283">
        <f t="shared" si="1"/>
        <v>875</v>
      </c>
      <c r="N11" s="283">
        <f t="shared" si="8"/>
        <v>875</v>
      </c>
      <c r="O11" s="283">
        <f t="shared" si="9"/>
        <v>0</v>
      </c>
      <c r="P11" s="283">
        <f t="shared" si="9"/>
        <v>0</v>
      </c>
      <c r="Q11" s="283">
        <f t="shared" si="9"/>
        <v>0</v>
      </c>
      <c r="R11" s="283">
        <f t="shared" si="10"/>
        <v>0</v>
      </c>
      <c r="S11" s="229">
        <f t="shared" si="11"/>
        <v>0</v>
      </c>
      <c r="T11" s="229">
        <f t="shared" si="2"/>
        <v>0</v>
      </c>
      <c r="U11" s="229">
        <f t="shared" si="12"/>
        <v>0</v>
      </c>
      <c r="V11" s="284">
        <f t="shared" si="3"/>
        <v>26.76659528907923</v>
      </c>
      <c r="W11" s="229">
        <f t="shared" si="4"/>
        <v>0</v>
      </c>
      <c r="X11" s="229">
        <f t="shared" si="5"/>
        <v>5.6209850107066384</v>
      </c>
      <c r="Y11" s="229">
        <f t="shared" si="13"/>
        <v>32.387580299785867</v>
      </c>
      <c r="Z11" s="229">
        <f t="shared" si="6"/>
        <v>67366.167023554604</v>
      </c>
    </row>
    <row r="12" spans="1:26" x14ac:dyDescent="0.25">
      <c r="A12" s="937"/>
      <c r="B12" s="140">
        <f>'Plant Salaries'!B10</f>
        <v>7</v>
      </c>
      <c r="C12" s="141" t="str">
        <f>'Plant Salaries'!C10</f>
        <v>Onsite PA</v>
      </c>
      <c r="D12" s="248">
        <f>'Plant Salaries'!F10</f>
        <v>50000</v>
      </c>
      <c r="E12" s="296" t="s">
        <v>503</v>
      </c>
      <c r="F12" s="297">
        <v>0</v>
      </c>
      <c r="G12" s="283">
        <f t="shared" si="7"/>
        <v>4166.666666666667</v>
      </c>
      <c r="H12" s="229">
        <f>IF($D12=0,('Benefits Cost'!$C$11),IF($E12="E",('Benefits Cost'!$C$7),IF($E12="E1",('Benefits Cost'!$C$8),IF($E12="E2",('Benefits Cost'!$C$9),IF($E12="E3",('Benefits Cost'!$C$10),0)))))</f>
        <v>0</v>
      </c>
      <c r="I12" s="229">
        <f>IF($D12=0,('Benefits Cost'!$C$11),IF($E12="E",('Benefits Cost'!$C$13),IF($E12="E1",('Benefits Cost'!$C$14),IF($E12="E2",('Benefits Cost'!$C$15),IF($E12="E3",('Benefits Cost'!$C$16),0)))))</f>
        <v>0</v>
      </c>
      <c r="J12" s="229">
        <f>IF($D12=0,('Benefits Cost'!$C$11),IF($E12="E",('Benefits Cost'!$C$19),IF($E12="E1",('Benefits Cost'!$C$20),IF($E12="E2",('Benefits Cost'!$C$21),IF($E12="E3",('Benefits Cost'!$C$22),0)))))</f>
        <v>0</v>
      </c>
      <c r="K12" s="229">
        <f>SUM(G12 * 'Benefits Cost'!$E$30 * 'Benefits Cost'!$C$30)</f>
        <v>0</v>
      </c>
      <c r="L12" s="283">
        <f t="shared" si="0"/>
        <v>0</v>
      </c>
      <c r="M12" s="283">
        <f t="shared" si="1"/>
        <v>875</v>
      </c>
      <c r="N12" s="283">
        <f t="shared" si="8"/>
        <v>875</v>
      </c>
      <c r="O12" s="283">
        <f t="shared" si="9"/>
        <v>0</v>
      </c>
      <c r="P12" s="283">
        <f t="shared" si="9"/>
        <v>0</v>
      </c>
      <c r="Q12" s="283">
        <f t="shared" si="9"/>
        <v>0</v>
      </c>
      <c r="R12" s="283">
        <f t="shared" si="10"/>
        <v>0</v>
      </c>
      <c r="S12" s="229">
        <f t="shared" si="11"/>
        <v>0</v>
      </c>
      <c r="T12" s="229">
        <f t="shared" si="2"/>
        <v>0</v>
      </c>
      <c r="U12" s="229">
        <f t="shared" si="12"/>
        <v>0</v>
      </c>
      <c r="V12" s="284">
        <f t="shared" si="3"/>
        <v>26.76659528907923</v>
      </c>
      <c r="W12" s="229">
        <f t="shared" si="4"/>
        <v>0</v>
      </c>
      <c r="X12" s="229">
        <f t="shared" si="5"/>
        <v>5.6209850107066384</v>
      </c>
      <c r="Y12" s="229">
        <f t="shared" si="13"/>
        <v>32.387580299785867</v>
      </c>
      <c r="Z12" s="229">
        <f t="shared" si="6"/>
        <v>67366.167023554604</v>
      </c>
    </row>
    <row r="13" spans="1:26" x14ac:dyDescent="0.25">
      <c r="A13" s="937"/>
      <c r="B13" s="140">
        <f>'Plant Salaries'!B11</f>
        <v>8</v>
      </c>
      <c r="C13" s="141" t="str">
        <f>'Plant Salaries'!C11</f>
        <v>Onsite PA</v>
      </c>
      <c r="D13" s="248">
        <f>'Plant Salaries'!F11</f>
        <v>50000</v>
      </c>
      <c r="E13" s="296" t="s">
        <v>502</v>
      </c>
      <c r="F13" s="297">
        <v>0</v>
      </c>
      <c r="G13" s="283">
        <f t="shared" si="7"/>
        <v>4166.666666666667</v>
      </c>
      <c r="H13" s="229">
        <f>IF($D13=0,('Benefits Cost'!$C$11),IF($E13="E",('Benefits Cost'!$C$7),IF($E13="E1",('Benefits Cost'!$C$8),IF($E13="E2",('Benefits Cost'!$C$9),IF($E13="E3",('Benefits Cost'!$C$10),0)))))</f>
        <v>0</v>
      </c>
      <c r="I13" s="229">
        <f>IF($D13=0,('Benefits Cost'!$C$11),IF($E13="E",('Benefits Cost'!$C$13),IF($E13="E1",('Benefits Cost'!$C$14),IF($E13="E2",('Benefits Cost'!$C$15),IF($E13="E3",('Benefits Cost'!$C$16),0)))))</f>
        <v>0</v>
      </c>
      <c r="J13" s="229">
        <f>IF($D13=0,('Benefits Cost'!$C$11),IF($E13="E",('Benefits Cost'!$C$19),IF($E13="E1",('Benefits Cost'!$C$20),IF($E13="E2",('Benefits Cost'!$C$21),IF($E13="E3",('Benefits Cost'!$C$22),0)))))</f>
        <v>0</v>
      </c>
      <c r="K13" s="229">
        <f>SUM(G13 * 'Benefits Cost'!$E$30 * 'Benefits Cost'!$C$30)</f>
        <v>0</v>
      </c>
      <c r="L13" s="283">
        <f t="shared" si="0"/>
        <v>0</v>
      </c>
      <c r="M13" s="283">
        <f t="shared" si="1"/>
        <v>875</v>
      </c>
      <c r="N13" s="283">
        <f t="shared" si="8"/>
        <v>875</v>
      </c>
      <c r="O13" s="283">
        <f t="shared" si="9"/>
        <v>0</v>
      </c>
      <c r="P13" s="283">
        <f t="shared" si="9"/>
        <v>0</v>
      </c>
      <c r="Q13" s="283">
        <f t="shared" si="9"/>
        <v>0</v>
      </c>
      <c r="R13" s="283">
        <f t="shared" si="10"/>
        <v>0</v>
      </c>
      <c r="S13" s="229">
        <f t="shared" si="11"/>
        <v>0</v>
      </c>
      <c r="T13" s="229">
        <f t="shared" si="2"/>
        <v>0</v>
      </c>
      <c r="U13" s="229">
        <f t="shared" si="12"/>
        <v>0</v>
      </c>
      <c r="V13" s="284">
        <f t="shared" si="3"/>
        <v>26.76659528907923</v>
      </c>
      <c r="W13" s="229">
        <f t="shared" si="4"/>
        <v>0</v>
      </c>
      <c r="X13" s="229">
        <f t="shared" si="5"/>
        <v>5.6209850107066384</v>
      </c>
      <c r="Y13" s="229">
        <f t="shared" si="13"/>
        <v>32.387580299785867</v>
      </c>
      <c r="Z13" s="229">
        <f t="shared" si="6"/>
        <v>67366.167023554604</v>
      </c>
    </row>
    <row r="14" spans="1:26" x14ac:dyDescent="0.25">
      <c r="A14" s="937"/>
      <c r="B14" s="140">
        <f>'Plant Salaries'!B12</f>
        <v>9</v>
      </c>
      <c r="C14" s="141" t="str">
        <f>'Plant Salaries'!C12</f>
        <v>Empty office slots</v>
      </c>
      <c r="D14" s="248">
        <f>'Plant Salaries'!F12</f>
        <v>0</v>
      </c>
      <c r="E14" s="296" t="s">
        <v>504</v>
      </c>
      <c r="F14" s="297">
        <v>0</v>
      </c>
      <c r="G14" s="283">
        <f t="shared" si="7"/>
        <v>0</v>
      </c>
      <c r="H14" s="229">
        <f>IF($D14=0,('Benefits Cost'!$C$11),IF($E14="E",('Benefits Cost'!$C$7),IF($E14="E1",('Benefits Cost'!$C$8),IF($E14="E2",('Benefits Cost'!$C$9),IF($E14="E3",('Benefits Cost'!$C$10),0)))))</f>
        <v>0</v>
      </c>
      <c r="I14" s="229">
        <f>IF($D14=0,('Benefits Cost'!$C$11),IF($E14="E",('Benefits Cost'!$C$13),IF($E14="E1",('Benefits Cost'!$C$14),IF($E14="E2",('Benefits Cost'!$C$15),IF($E14="E3",('Benefits Cost'!$C$16),0)))))</f>
        <v>0</v>
      </c>
      <c r="J14" s="229">
        <f>IF($D14=0,('Benefits Cost'!$C$11),IF($E14="E",('Benefits Cost'!$C$19),IF($E14="E1",('Benefits Cost'!$C$20),IF($E14="E2",('Benefits Cost'!$C$21),IF($E14="E3",('Benefits Cost'!$C$22),0)))))</f>
        <v>0</v>
      </c>
      <c r="K14" s="229">
        <f>SUM(G14 * 'Benefits Cost'!$E$30 * 'Benefits Cost'!$C$30)</f>
        <v>0</v>
      </c>
      <c r="L14" s="283">
        <f t="shared" si="0"/>
        <v>0</v>
      </c>
      <c r="M14" s="283">
        <f t="shared" si="1"/>
        <v>0</v>
      </c>
      <c r="N14" s="283">
        <f t="shared" si="8"/>
        <v>0</v>
      </c>
      <c r="O14" s="283">
        <f t="shared" si="9"/>
        <v>0</v>
      </c>
      <c r="P14" s="283">
        <f t="shared" si="9"/>
        <v>0</v>
      </c>
      <c r="Q14" s="283">
        <f t="shared" si="9"/>
        <v>0</v>
      </c>
      <c r="R14" s="283">
        <f t="shared" si="10"/>
        <v>0</v>
      </c>
      <c r="S14" s="229">
        <f t="shared" si="11"/>
        <v>0</v>
      </c>
      <c r="T14" s="229">
        <f t="shared" si="2"/>
        <v>0</v>
      </c>
      <c r="U14" s="229">
        <f t="shared" si="12"/>
        <v>0</v>
      </c>
      <c r="V14" s="284">
        <f t="shared" si="3"/>
        <v>0</v>
      </c>
      <c r="W14" s="229">
        <f t="shared" si="4"/>
        <v>0</v>
      </c>
      <c r="X14" s="229">
        <f t="shared" si="5"/>
        <v>0</v>
      </c>
      <c r="Y14" s="229">
        <f t="shared" si="13"/>
        <v>0</v>
      </c>
      <c r="Z14" s="229">
        <f t="shared" si="6"/>
        <v>0</v>
      </c>
    </row>
    <row r="15" spans="1:26" x14ac:dyDescent="0.25">
      <c r="A15" s="937"/>
      <c r="B15" s="140">
        <f>'Plant Salaries'!B13</f>
        <v>10</v>
      </c>
      <c r="C15" s="141" t="str">
        <f>'Plant Salaries'!C13</f>
        <v>Shift Manager (Flex)</v>
      </c>
      <c r="D15" s="248">
        <f>'Plant Salaries'!F13</f>
        <v>80000</v>
      </c>
      <c r="E15" s="296" t="s">
        <v>505</v>
      </c>
      <c r="F15" s="297">
        <v>0</v>
      </c>
      <c r="G15" s="283">
        <f t="shared" si="7"/>
        <v>6666.666666666667</v>
      </c>
      <c r="H15" s="229">
        <f>IF($D15=0,('Benefits Cost'!$C$11),IF($E15="E",('Benefits Cost'!$C$7),IF($E15="E1",('Benefits Cost'!$C$8),IF($E15="E2",('Benefits Cost'!$C$9),IF($E15="E3",('Benefits Cost'!$C$10),0)))))</f>
        <v>0</v>
      </c>
      <c r="I15" s="229">
        <f>IF($D15=0,('Benefits Cost'!$C$11),IF($E15="E",('Benefits Cost'!$C$13),IF($E15="E1",('Benefits Cost'!$C$14),IF($E15="E2",('Benefits Cost'!$C$15),IF($E15="E3",('Benefits Cost'!$C$16),0)))))</f>
        <v>0</v>
      </c>
      <c r="J15" s="229">
        <f>IF($D15=0,('Benefits Cost'!$C$11),IF($E15="E",('Benefits Cost'!$C$19),IF($E15="E1",('Benefits Cost'!$C$20),IF($E15="E2",('Benefits Cost'!$C$21),IF($E15="E3",('Benefits Cost'!$C$22),0)))))</f>
        <v>0</v>
      </c>
      <c r="K15" s="229">
        <f>SUM(G15 * 'Benefits Cost'!$E$30 * 'Benefits Cost'!$C$30)</f>
        <v>0</v>
      </c>
      <c r="L15" s="283">
        <f t="shared" si="0"/>
        <v>0</v>
      </c>
      <c r="M15" s="283">
        <f t="shared" si="1"/>
        <v>1400</v>
      </c>
      <c r="N15" s="283">
        <f t="shared" si="8"/>
        <v>1400</v>
      </c>
      <c r="O15" s="283">
        <f t="shared" si="9"/>
        <v>0</v>
      </c>
      <c r="P15" s="283">
        <f t="shared" si="9"/>
        <v>0</v>
      </c>
      <c r="Q15" s="283">
        <f t="shared" si="9"/>
        <v>0</v>
      </c>
      <c r="R15" s="283">
        <f t="shared" si="10"/>
        <v>0</v>
      </c>
      <c r="S15" s="229">
        <f t="shared" si="11"/>
        <v>0</v>
      </c>
      <c r="T15" s="229">
        <f t="shared" si="2"/>
        <v>0</v>
      </c>
      <c r="U15" s="229">
        <f t="shared" si="12"/>
        <v>0</v>
      </c>
      <c r="V15" s="284">
        <f t="shared" si="3"/>
        <v>42.826552462526763</v>
      </c>
      <c r="W15" s="229">
        <f t="shared" si="4"/>
        <v>0</v>
      </c>
      <c r="X15" s="229">
        <f t="shared" si="5"/>
        <v>8.9935760171306214</v>
      </c>
      <c r="Y15" s="229">
        <f t="shared" si="13"/>
        <v>51.820128479657384</v>
      </c>
      <c r="Z15" s="229">
        <f t="shared" si="6"/>
        <v>107785.86723768736</v>
      </c>
    </row>
    <row r="16" spans="1:26" x14ac:dyDescent="0.25">
      <c r="A16" s="927" t="s">
        <v>506</v>
      </c>
      <c r="B16" s="140">
        <f>'Plant Salaries'!B14</f>
        <v>11</v>
      </c>
      <c r="C16" s="141" t="str">
        <f>'Plant Salaries'!C14</f>
        <v>Electrical Techician   MGR</v>
      </c>
      <c r="D16" s="248">
        <f>'Plant Salaries'!F14</f>
        <v>95000</v>
      </c>
      <c r="E16" s="296" t="s">
        <v>503</v>
      </c>
      <c r="F16" s="297">
        <v>0</v>
      </c>
      <c r="G16" s="283">
        <f t="shared" si="7"/>
        <v>7916.666666666667</v>
      </c>
      <c r="H16" s="229">
        <f>IF($D16=0,('Benefits Cost'!$C$11),IF($E16="E",('Benefits Cost'!$C$7),IF($E16="E1",('Benefits Cost'!$C$8),IF($E16="E2",('Benefits Cost'!$C$9),IF($E16="E3",('Benefits Cost'!$C$10),0)))))</f>
        <v>0</v>
      </c>
      <c r="I16" s="229">
        <f>IF($D16=0,('Benefits Cost'!$C$11),IF($E16="E",('Benefits Cost'!$C$13),IF($E16="E1",('Benefits Cost'!$C$14),IF($E16="E2",('Benefits Cost'!$C$15),IF($E16="E3",('Benefits Cost'!$C$16),0)))))</f>
        <v>0</v>
      </c>
      <c r="J16" s="229">
        <f>IF($D16=0,('Benefits Cost'!$C$11),IF($E16="E",('Benefits Cost'!$C$19),IF($E16="E1",('Benefits Cost'!$C$20),IF($E16="E2",('Benefits Cost'!$C$21),IF($E16="E3",('Benefits Cost'!$C$22),0)))))</f>
        <v>0</v>
      </c>
      <c r="K16" s="229">
        <f>SUM(G16 * 'Benefits Cost'!$E$30 * 'Benefits Cost'!$C$30)</f>
        <v>0</v>
      </c>
      <c r="L16" s="283">
        <f t="shared" si="0"/>
        <v>0</v>
      </c>
      <c r="M16" s="283">
        <f t="shared" si="1"/>
        <v>1663</v>
      </c>
      <c r="N16" s="283">
        <f t="shared" si="8"/>
        <v>1663</v>
      </c>
      <c r="O16" s="283">
        <f t="shared" si="9"/>
        <v>0</v>
      </c>
      <c r="P16" s="283">
        <f t="shared" si="9"/>
        <v>0</v>
      </c>
      <c r="Q16" s="283">
        <f t="shared" si="9"/>
        <v>0</v>
      </c>
      <c r="R16" s="283">
        <f t="shared" si="10"/>
        <v>0</v>
      </c>
      <c r="S16" s="229">
        <f t="shared" si="11"/>
        <v>0</v>
      </c>
      <c r="T16" s="229">
        <f t="shared" si="2"/>
        <v>0</v>
      </c>
      <c r="U16" s="229">
        <f t="shared" si="12"/>
        <v>0</v>
      </c>
      <c r="V16" s="284">
        <f t="shared" si="3"/>
        <v>50.856531049250535</v>
      </c>
      <c r="W16" s="229">
        <f t="shared" si="4"/>
        <v>0</v>
      </c>
      <c r="X16" s="229">
        <f t="shared" si="5"/>
        <v>10.683083511777301</v>
      </c>
      <c r="Y16" s="229">
        <f t="shared" si="13"/>
        <v>61.539614561027832</v>
      </c>
      <c r="Z16" s="229">
        <f t="shared" si="6"/>
        <v>128002.3982869379</v>
      </c>
    </row>
    <row r="17" spans="1:26" x14ac:dyDescent="0.25">
      <c r="A17" s="927"/>
      <c r="B17" s="140">
        <f>'Plant Salaries'!B15</f>
        <v>12</v>
      </c>
      <c r="C17" s="141" t="str">
        <f>'Plant Salaries'!C15</f>
        <v>Electrical technician</v>
      </c>
      <c r="D17" s="248">
        <f>'Plant Salaries'!F15</f>
        <v>55000</v>
      </c>
      <c r="E17" s="296" t="s">
        <v>502</v>
      </c>
      <c r="F17" s="297">
        <v>0</v>
      </c>
      <c r="G17" s="283">
        <f t="shared" si="7"/>
        <v>4583.333333333333</v>
      </c>
      <c r="H17" s="229">
        <f>IF($D17=0,('Benefits Cost'!$C$11),IF($E17="E",('Benefits Cost'!$C$7),IF($E17="E1",('Benefits Cost'!$C$8),IF($E17="E2",('Benefits Cost'!$C$9),IF($E17="E3",('Benefits Cost'!$C$10),0)))))</f>
        <v>0</v>
      </c>
      <c r="I17" s="229">
        <f>IF($D17=0,('Benefits Cost'!$C$11),IF($E17="E",('Benefits Cost'!$C$13),IF($E17="E1",('Benefits Cost'!$C$14),IF($E17="E2",('Benefits Cost'!$C$15),IF($E17="E3",('Benefits Cost'!$C$16),0)))))</f>
        <v>0</v>
      </c>
      <c r="J17" s="229">
        <f>IF($D17=0,('Benefits Cost'!$C$11),IF($E17="E",('Benefits Cost'!$C$19),IF($E17="E1",('Benefits Cost'!$C$20),IF($E17="E2",('Benefits Cost'!$C$21),IF($E17="E3",('Benefits Cost'!$C$22),0)))))</f>
        <v>0</v>
      </c>
      <c r="K17" s="229">
        <f>SUM(G17 * 'Benefits Cost'!$E$30 * 'Benefits Cost'!$C$30)</f>
        <v>0</v>
      </c>
      <c r="L17" s="283">
        <f t="shared" si="0"/>
        <v>0</v>
      </c>
      <c r="M17" s="283">
        <f t="shared" si="1"/>
        <v>963</v>
      </c>
      <c r="N17" s="283">
        <f t="shared" si="8"/>
        <v>963</v>
      </c>
      <c r="O17" s="283">
        <f t="shared" si="9"/>
        <v>0</v>
      </c>
      <c r="P17" s="283">
        <f t="shared" si="9"/>
        <v>0</v>
      </c>
      <c r="Q17" s="283">
        <f t="shared" si="9"/>
        <v>0</v>
      </c>
      <c r="R17" s="283">
        <f t="shared" si="10"/>
        <v>0</v>
      </c>
      <c r="S17" s="229">
        <f t="shared" si="11"/>
        <v>0</v>
      </c>
      <c r="T17" s="229">
        <f t="shared" si="2"/>
        <v>0</v>
      </c>
      <c r="U17" s="229">
        <f t="shared" si="12"/>
        <v>0</v>
      </c>
      <c r="V17" s="284">
        <f t="shared" si="3"/>
        <v>29.443254817987153</v>
      </c>
      <c r="W17" s="229">
        <f t="shared" si="4"/>
        <v>0</v>
      </c>
      <c r="X17" s="229">
        <f t="shared" si="5"/>
        <v>6.1862955032119915</v>
      </c>
      <c r="Y17" s="229">
        <f t="shared" si="13"/>
        <v>35.629550321199147</v>
      </c>
      <c r="Z17" s="229">
        <f t="shared" si="6"/>
        <v>74109.464668094224</v>
      </c>
    </row>
    <row r="18" spans="1:26" x14ac:dyDescent="0.25">
      <c r="A18" s="927"/>
      <c r="B18" s="140">
        <f>'Plant Salaries'!B16</f>
        <v>13</v>
      </c>
      <c r="C18" s="141" t="str">
        <f>'Plant Salaries'!C16</f>
        <v>Electrical technician</v>
      </c>
      <c r="D18" s="248">
        <f>'Plant Salaries'!F16</f>
        <v>40000</v>
      </c>
      <c r="E18" s="296" t="s">
        <v>504</v>
      </c>
      <c r="F18" s="297">
        <v>0</v>
      </c>
      <c r="G18" s="283">
        <f t="shared" si="7"/>
        <v>3333.3333333333335</v>
      </c>
      <c r="H18" s="229">
        <f>IF($D18=0,('Benefits Cost'!$C$11),IF($E18="E",('Benefits Cost'!$C$7),IF($E18="E1",('Benefits Cost'!$C$8),IF($E18="E2",('Benefits Cost'!$C$9),IF($E18="E3",('Benefits Cost'!$C$10),0)))))</f>
        <v>0</v>
      </c>
      <c r="I18" s="229">
        <f>IF($D18=0,('Benefits Cost'!$C$11),IF($E18="E",('Benefits Cost'!$C$13),IF($E18="E1",('Benefits Cost'!$C$14),IF($E18="E2",('Benefits Cost'!$C$15),IF($E18="E3",('Benefits Cost'!$C$16),0)))))</f>
        <v>0</v>
      </c>
      <c r="J18" s="229">
        <f>IF($D18=0,('Benefits Cost'!$C$11),IF($E18="E",('Benefits Cost'!$C$19),IF($E18="E1",('Benefits Cost'!$C$20),IF($E18="E2",('Benefits Cost'!$C$21),IF($E18="E3",('Benefits Cost'!$C$22),0)))))</f>
        <v>0</v>
      </c>
      <c r="K18" s="229">
        <f>SUM(G18 * 'Benefits Cost'!$E$30 * 'Benefits Cost'!$C$30)</f>
        <v>0</v>
      </c>
      <c r="L18" s="283">
        <f t="shared" si="0"/>
        <v>0</v>
      </c>
      <c r="M18" s="283">
        <f t="shared" si="1"/>
        <v>700</v>
      </c>
      <c r="N18" s="283">
        <f t="shared" si="8"/>
        <v>700</v>
      </c>
      <c r="O18" s="283">
        <f t="shared" si="9"/>
        <v>0</v>
      </c>
      <c r="P18" s="283">
        <f t="shared" si="9"/>
        <v>0</v>
      </c>
      <c r="Q18" s="283">
        <f t="shared" si="9"/>
        <v>0</v>
      </c>
      <c r="R18" s="283">
        <f t="shared" si="10"/>
        <v>0</v>
      </c>
      <c r="S18" s="229">
        <f t="shared" si="11"/>
        <v>0</v>
      </c>
      <c r="T18" s="229">
        <f t="shared" si="2"/>
        <v>0</v>
      </c>
      <c r="U18" s="229">
        <f t="shared" si="12"/>
        <v>0</v>
      </c>
      <c r="V18" s="284">
        <f t="shared" si="3"/>
        <v>21.413276231263382</v>
      </c>
      <c r="W18" s="229">
        <f t="shared" si="4"/>
        <v>0</v>
      </c>
      <c r="X18" s="229">
        <f t="shared" si="5"/>
        <v>4.4967880085653107</v>
      </c>
      <c r="Y18" s="229">
        <f t="shared" si="13"/>
        <v>25.910064239828692</v>
      </c>
      <c r="Z18" s="229">
        <f t="shared" si="6"/>
        <v>53892.933618843679</v>
      </c>
    </row>
    <row r="19" spans="1:26" x14ac:dyDescent="0.25">
      <c r="A19" s="927"/>
      <c r="B19" s="140">
        <f>'Plant Salaries'!B17</f>
        <v>14</v>
      </c>
      <c r="C19" s="141" t="str">
        <f>'Plant Salaries'!C17</f>
        <v>Electrical technician</v>
      </c>
      <c r="D19" s="248">
        <f>'Plant Salaries'!F17</f>
        <v>40000</v>
      </c>
      <c r="E19" s="296" t="s">
        <v>505</v>
      </c>
      <c r="F19" s="297">
        <v>0</v>
      </c>
      <c r="G19" s="283">
        <f t="shared" si="7"/>
        <v>3333.3333333333335</v>
      </c>
      <c r="H19" s="229">
        <f>IF($D19=0,('Benefits Cost'!$C$11),IF($E19="E",('Benefits Cost'!$C$7),IF($E19="E1",('Benefits Cost'!$C$8),IF($E19="E2",('Benefits Cost'!$C$9),IF($E19="E3",('Benefits Cost'!$C$10),0)))))</f>
        <v>0</v>
      </c>
      <c r="I19" s="229">
        <f>IF($D19=0,('Benefits Cost'!$C$11),IF($E19="E",('Benefits Cost'!$C$13),IF($E19="E1",('Benefits Cost'!$C$14),IF($E19="E2",('Benefits Cost'!$C$15),IF($E19="E3",('Benefits Cost'!$C$16),0)))))</f>
        <v>0</v>
      </c>
      <c r="J19" s="229">
        <f>IF($D19=0,('Benefits Cost'!$C$11),IF($E19="E",('Benefits Cost'!$C$19),IF($E19="E1",('Benefits Cost'!$C$20),IF($E19="E2",('Benefits Cost'!$C$21),IF($E19="E3",('Benefits Cost'!$C$22),0)))))</f>
        <v>0</v>
      </c>
      <c r="K19" s="229">
        <f>SUM(G19 * 'Benefits Cost'!$E$30 * 'Benefits Cost'!$C$30)</f>
        <v>0</v>
      </c>
      <c r="L19" s="283">
        <f t="shared" si="0"/>
        <v>0</v>
      </c>
      <c r="M19" s="283">
        <f t="shared" si="1"/>
        <v>700</v>
      </c>
      <c r="N19" s="283">
        <f t="shared" si="8"/>
        <v>700</v>
      </c>
      <c r="O19" s="283">
        <f t="shared" si="9"/>
        <v>0</v>
      </c>
      <c r="P19" s="283">
        <f t="shared" si="9"/>
        <v>0</v>
      </c>
      <c r="Q19" s="283">
        <f t="shared" si="9"/>
        <v>0</v>
      </c>
      <c r="R19" s="283">
        <f t="shared" si="10"/>
        <v>0</v>
      </c>
      <c r="S19" s="229">
        <f t="shared" si="11"/>
        <v>0</v>
      </c>
      <c r="T19" s="229">
        <f t="shared" si="2"/>
        <v>0</v>
      </c>
      <c r="U19" s="229">
        <f t="shared" si="12"/>
        <v>0</v>
      </c>
      <c r="V19" s="284">
        <f t="shared" si="3"/>
        <v>21.413276231263382</v>
      </c>
      <c r="W19" s="229">
        <f t="shared" si="4"/>
        <v>0</v>
      </c>
      <c r="X19" s="229">
        <f t="shared" si="5"/>
        <v>4.4967880085653107</v>
      </c>
      <c r="Y19" s="229">
        <f t="shared" si="13"/>
        <v>25.910064239828692</v>
      </c>
      <c r="Z19" s="229">
        <f t="shared" si="6"/>
        <v>53892.933618843679</v>
      </c>
    </row>
    <row r="20" spans="1:26" x14ac:dyDescent="0.25">
      <c r="A20" s="927"/>
      <c r="B20" s="140">
        <f>'Plant Salaries'!B18</f>
        <v>15</v>
      </c>
      <c r="C20" s="141" t="str">
        <f>'Plant Salaries'!C18</f>
        <v>Electrical technician</v>
      </c>
      <c r="D20" s="248">
        <f>'Plant Salaries'!F18</f>
        <v>35000</v>
      </c>
      <c r="E20" s="296" t="s">
        <v>503</v>
      </c>
      <c r="F20" s="297">
        <v>0</v>
      </c>
      <c r="G20" s="283">
        <f t="shared" si="7"/>
        <v>2916.6666666666665</v>
      </c>
      <c r="H20" s="229">
        <f>IF($D20=0,('Benefits Cost'!$C$11),IF($E20="E",('Benefits Cost'!$C$7),IF($E20="E1",('Benefits Cost'!$C$8),IF($E20="E2",('Benefits Cost'!$C$9),IF($E20="E3",('Benefits Cost'!$C$10),0)))))</f>
        <v>0</v>
      </c>
      <c r="I20" s="229">
        <f>IF($D20=0,('Benefits Cost'!$C$11),IF($E20="E",('Benefits Cost'!$C$13),IF($E20="E1",('Benefits Cost'!$C$14),IF($E20="E2",('Benefits Cost'!$C$15),IF($E20="E3",('Benefits Cost'!$C$16),0)))))</f>
        <v>0</v>
      </c>
      <c r="J20" s="229">
        <f>IF($D20=0,('Benefits Cost'!$C$11),IF($E20="E",('Benefits Cost'!$C$19),IF($E20="E1",('Benefits Cost'!$C$20),IF($E20="E2",('Benefits Cost'!$C$21),IF($E20="E3",('Benefits Cost'!$C$22),0)))))</f>
        <v>0</v>
      </c>
      <c r="K20" s="229">
        <f>SUM(G20 * 'Benefits Cost'!$E$30 * 'Benefits Cost'!$C$30)</f>
        <v>0</v>
      </c>
      <c r="L20" s="283">
        <f t="shared" si="0"/>
        <v>0</v>
      </c>
      <c r="M20" s="283">
        <f t="shared" si="1"/>
        <v>613</v>
      </c>
      <c r="N20" s="283">
        <f t="shared" si="8"/>
        <v>613</v>
      </c>
      <c r="O20" s="283">
        <f t="shared" si="9"/>
        <v>0</v>
      </c>
      <c r="P20" s="283">
        <f t="shared" si="9"/>
        <v>0</v>
      </c>
      <c r="Q20" s="283">
        <f t="shared" si="9"/>
        <v>0</v>
      </c>
      <c r="R20" s="283">
        <f t="shared" si="10"/>
        <v>0</v>
      </c>
      <c r="S20" s="229">
        <f t="shared" si="11"/>
        <v>0</v>
      </c>
      <c r="T20" s="229">
        <f t="shared" si="2"/>
        <v>0</v>
      </c>
      <c r="U20" s="229">
        <f t="shared" si="12"/>
        <v>0</v>
      </c>
      <c r="V20" s="284">
        <f t="shared" si="3"/>
        <v>18.736616702355459</v>
      </c>
      <c r="W20" s="229">
        <f t="shared" si="4"/>
        <v>0</v>
      </c>
      <c r="X20" s="229">
        <f t="shared" si="5"/>
        <v>3.9379014989293362</v>
      </c>
      <c r="Y20" s="229">
        <f t="shared" si="13"/>
        <v>22.674518201284794</v>
      </c>
      <c r="Z20" s="229">
        <f t="shared" si="6"/>
        <v>47162.997858672374</v>
      </c>
    </row>
    <row r="21" spans="1:26" x14ac:dyDescent="0.25">
      <c r="A21" s="927"/>
      <c r="B21" s="140">
        <f>'Plant Salaries'!B19</f>
        <v>16</v>
      </c>
      <c r="C21" s="141" t="str">
        <f>'Plant Salaries'!C19</f>
        <v>Electrical technician</v>
      </c>
      <c r="D21" s="248">
        <f>'Plant Salaries'!F19</f>
        <v>35000</v>
      </c>
      <c r="E21" s="296" t="s">
        <v>502</v>
      </c>
      <c r="F21" s="297">
        <v>0</v>
      </c>
      <c r="G21" s="283">
        <f t="shared" si="7"/>
        <v>2916.6666666666665</v>
      </c>
      <c r="H21" s="229">
        <f>IF($D21=0,('Benefits Cost'!$C$11),IF($E21="E",('Benefits Cost'!$C$7),IF($E21="E1",('Benefits Cost'!$C$8),IF($E21="E2",('Benefits Cost'!$C$9),IF($E21="E3",('Benefits Cost'!$C$10),0)))))</f>
        <v>0</v>
      </c>
      <c r="I21" s="229">
        <f>IF($D21=0,('Benefits Cost'!$C$11),IF($E21="E",('Benefits Cost'!$C$13),IF($E21="E1",('Benefits Cost'!$C$14),IF($E21="E2",('Benefits Cost'!$C$15),IF($E21="E3",('Benefits Cost'!$C$16),0)))))</f>
        <v>0</v>
      </c>
      <c r="J21" s="229">
        <f>IF($D21=0,('Benefits Cost'!$C$11),IF($E21="E",('Benefits Cost'!$C$19),IF($E21="E1",('Benefits Cost'!$C$20),IF($E21="E2",('Benefits Cost'!$C$21),IF($E21="E3",('Benefits Cost'!$C$22),0)))))</f>
        <v>0</v>
      </c>
      <c r="K21" s="229">
        <f>SUM(G21 * 'Benefits Cost'!$E$30 * 'Benefits Cost'!$C$30)</f>
        <v>0</v>
      </c>
      <c r="L21" s="283">
        <f t="shared" si="0"/>
        <v>0</v>
      </c>
      <c r="M21" s="283">
        <f t="shared" si="1"/>
        <v>613</v>
      </c>
      <c r="N21" s="283">
        <f t="shared" si="8"/>
        <v>613</v>
      </c>
      <c r="O21" s="283">
        <f t="shared" si="9"/>
        <v>0</v>
      </c>
      <c r="P21" s="283">
        <f t="shared" si="9"/>
        <v>0</v>
      </c>
      <c r="Q21" s="283">
        <f t="shared" si="9"/>
        <v>0</v>
      </c>
      <c r="R21" s="283">
        <f t="shared" si="10"/>
        <v>0</v>
      </c>
      <c r="S21" s="229">
        <f t="shared" si="11"/>
        <v>0</v>
      </c>
      <c r="T21" s="229">
        <f t="shared" si="2"/>
        <v>0</v>
      </c>
      <c r="U21" s="229">
        <f t="shared" si="12"/>
        <v>0</v>
      </c>
      <c r="V21" s="284">
        <f t="shared" si="3"/>
        <v>18.736616702355459</v>
      </c>
      <c r="W21" s="229">
        <f t="shared" si="4"/>
        <v>0</v>
      </c>
      <c r="X21" s="229">
        <f t="shared" si="5"/>
        <v>3.9379014989293362</v>
      </c>
      <c r="Y21" s="229">
        <f t="shared" si="13"/>
        <v>22.674518201284794</v>
      </c>
      <c r="Z21" s="229">
        <f t="shared" si="6"/>
        <v>47162.997858672374</v>
      </c>
    </row>
    <row r="22" spans="1:26" x14ac:dyDescent="0.25">
      <c r="A22" s="927"/>
      <c r="B22" s="140">
        <f>'Plant Salaries'!B20</f>
        <v>17</v>
      </c>
      <c r="C22" s="141" t="str">
        <f>'Plant Salaries'!C20</f>
        <v>Electrical technician</v>
      </c>
      <c r="D22" s="248">
        <f>'Plant Salaries'!F20</f>
        <v>35000</v>
      </c>
      <c r="E22" s="296" t="s">
        <v>504</v>
      </c>
      <c r="F22" s="297">
        <v>0</v>
      </c>
      <c r="G22" s="283">
        <f t="shared" si="7"/>
        <v>2916.6666666666665</v>
      </c>
      <c r="H22" s="229">
        <f>IF($D22=0,('Benefits Cost'!$C$11),IF($E22="E",('Benefits Cost'!$C$7),IF($E22="E1",('Benefits Cost'!$C$8),IF($E22="E2",('Benefits Cost'!$C$9),IF($E22="E3",('Benefits Cost'!$C$10),0)))))</f>
        <v>0</v>
      </c>
      <c r="I22" s="229">
        <f>IF($D22=0,('Benefits Cost'!$C$11),IF($E22="E",('Benefits Cost'!$C$13),IF($E22="E1",('Benefits Cost'!$C$14),IF($E22="E2",('Benefits Cost'!$C$15),IF($E22="E3",('Benefits Cost'!$C$16),0)))))</f>
        <v>0</v>
      </c>
      <c r="J22" s="229">
        <f>IF($D22=0,('Benefits Cost'!$C$11),IF($E22="E",('Benefits Cost'!$C$19),IF($E22="E1",('Benefits Cost'!$C$20),IF($E22="E2",('Benefits Cost'!$C$21),IF($E22="E3",('Benefits Cost'!$C$22),0)))))</f>
        <v>0</v>
      </c>
      <c r="K22" s="229">
        <f>SUM(G22 * 'Benefits Cost'!$E$30 * 'Benefits Cost'!$C$30)</f>
        <v>0</v>
      </c>
      <c r="L22" s="283">
        <f t="shared" si="0"/>
        <v>0</v>
      </c>
      <c r="M22" s="283">
        <f t="shared" si="1"/>
        <v>613</v>
      </c>
      <c r="N22" s="283">
        <f t="shared" si="8"/>
        <v>613</v>
      </c>
      <c r="O22" s="283">
        <f t="shared" si="9"/>
        <v>0</v>
      </c>
      <c r="P22" s="283">
        <f t="shared" si="9"/>
        <v>0</v>
      </c>
      <c r="Q22" s="283">
        <f t="shared" si="9"/>
        <v>0</v>
      </c>
      <c r="R22" s="283">
        <f t="shared" si="10"/>
        <v>0</v>
      </c>
      <c r="S22" s="229">
        <f t="shared" si="11"/>
        <v>0</v>
      </c>
      <c r="T22" s="229">
        <f t="shared" si="2"/>
        <v>0</v>
      </c>
      <c r="U22" s="229">
        <f t="shared" si="12"/>
        <v>0</v>
      </c>
      <c r="V22" s="284">
        <f t="shared" si="3"/>
        <v>18.736616702355459</v>
      </c>
      <c r="W22" s="229">
        <f t="shared" si="4"/>
        <v>0</v>
      </c>
      <c r="X22" s="229">
        <f t="shared" si="5"/>
        <v>3.9379014989293362</v>
      </c>
      <c r="Y22" s="229">
        <f t="shared" si="13"/>
        <v>22.674518201284794</v>
      </c>
      <c r="Z22" s="229">
        <f t="shared" si="6"/>
        <v>47162.997858672374</v>
      </c>
    </row>
    <row r="23" spans="1:26" x14ac:dyDescent="0.25">
      <c r="A23" s="927"/>
      <c r="B23" s="140">
        <f>'Plant Salaries'!B21</f>
        <v>18</v>
      </c>
      <c r="C23" s="141" t="str">
        <f>'Plant Salaries'!C21</f>
        <v>Electrical technician</v>
      </c>
      <c r="D23" s="248">
        <f>'Plant Salaries'!F21</f>
        <v>35000</v>
      </c>
      <c r="E23" s="296" t="s">
        <v>505</v>
      </c>
      <c r="F23" s="297">
        <v>0</v>
      </c>
      <c r="G23" s="283">
        <f t="shared" si="7"/>
        <v>2916.6666666666665</v>
      </c>
      <c r="H23" s="229">
        <f>IF($D23=0,('Benefits Cost'!$C$11),IF($E23="E",('Benefits Cost'!$C$7),IF($E23="E1",('Benefits Cost'!$C$8),IF($E23="E2",('Benefits Cost'!$C$9),IF($E23="E3",('Benefits Cost'!$C$10),0)))))</f>
        <v>0</v>
      </c>
      <c r="I23" s="229">
        <f>IF($D23=0,('Benefits Cost'!$C$11),IF($E23="E",('Benefits Cost'!$C$13),IF($E23="E1",('Benefits Cost'!$C$14),IF($E23="E2",('Benefits Cost'!$C$15),IF($E23="E3",('Benefits Cost'!$C$16),0)))))</f>
        <v>0</v>
      </c>
      <c r="J23" s="229">
        <f>IF($D23=0,('Benefits Cost'!$C$11),IF($E23="E",('Benefits Cost'!$C$19),IF($E23="E1",('Benefits Cost'!$C$20),IF($E23="E2",('Benefits Cost'!$C$21),IF($E23="E3",('Benefits Cost'!$C$22),0)))))</f>
        <v>0</v>
      </c>
      <c r="K23" s="229">
        <f>SUM(G23 * 'Benefits Cost'!$E$30 * 'Benefits Cost'!$C$30)</f>
        <v>0</v>
      </c>
      <c r="L23" s="283">
        <f t="shared" si="0"/>
        <v>0</v>
      </c>
      <c r="M23" s="283">
        <f t="shared" si="1"/>
        <v>613</v>
      </c>
      <c r="N23" s="283">
        <f t="shared" si="8"/>
        <v>613</v>
      </c>
      <c r="O23" s="283">
        <f t="shared" si="9"/>
        <v>0</v>
      </c>
      <c r="P23" s="283">
        <f t="shared" si="9"/>
        <v>0</v>
      </c>
      <c r="Q23" s="283">
        <f t="shared" si="9"/>
        <v>0</v>
      </c>
      <c r="R23" s="283">
        <f t="shared" si="10"/>
        <v>0</v>
      </c>
      <c r="S23" s="229">
        <f t="shared" si="11"/>
        <v>0</v>
      </c>
      <c r="T23" s="229">
        <f t="shared" si="2"/>
        <v>0</v>
      </c>
      <c r="U23" s="229">
        <f t="shared" si="12"/>
        <v>0</v>
      </c>
      <c r="V23" s="284">
        <f t="shared" si="3"/>
        <v>18.736616702355459</v>
      </c>
      <c r="W23" s="229">
        <f t="shared" si="4"/>
        <v>0</v>
      </c>
      <c r="X23" s="229">
        <f t="shared" si="5"/>
        <v>3.9379014989293362</v>
      </c>
      <c r="Y23" s="229">
        <f t="shared" si="13"/>
        <v>22.674518201284794</v>
      </c>
      <c r="Z23" s="229">
        <f t="shared" si="6"/>
        <v>47162.997858672374</v>
      </c>
    </row>
    <row r="24" spans="1:26" x14ac:dyDescent="0.25">
      <c r="A24" s="927"/>
      <c r="B24" s="140">
        <f>'Plant Salaries'!B22</f>
        <v>19</v>
      </c>
      <c r="C24" s="141" t="str">
        <f>'Plant Salaries'!C22</f>
        <v xml:space="preserve">Mechanical Technician  </v>
      </c>
      <c r="D24" s="248">
        <f>'Plant Salaries'!F22</f>
        <v>85000</v>
      </c>
      <c r="E24" s="296" t="s">
        <v>503</v>
      </c>
      <c r="F24" s="297">
        <v>0</v>
      </c>
      <c r="G24" s="283">
        <f t="shared" si="7"/>
        <v>7083.333333333333</v>
      </c>
      <c r="H24" s="229">
        <f>IF($D24=0,('Benefits Cost'!$C$11),IF($E24="E",('Benefits Cost'!$C$7),IF($E24="E1",('Benefits Cost'!$C$8),IF($E24="E2",('Benefits Cost'!$C$9),IF($E24="E3",('Benefits Cost'!$C$10),0)))))</f>
        <v>0</v>
      </c>
      <c r="I24" s="229">
        <f>IF($D24=0,('Benefits Cost'!$C$11),IF($E24="E",('Benefits Cost'!$C$13),IF($E24="E1",('Benefits Cost'!$C$14),IF($E24="E2",('Benefits Cost'!$C$15),IF($E24="E3",('Benefits Cost'!$C$16),0)))))</f>
        <v>0</v>
      </c>
      <c r="J24" s="229">
        <f>IF($D24=0,('Benefits Cost'!$C$11),IF($E24="E",('Benefits Cost'!$C$19),IF($E24="E1",('Benefits Cost'!$C$20),IF($E24="E2",('Benefits Cost'!$C$21),IF($E24="E3",('Benefits Cost'!$C$22),0)))))</f>
        <v>0</v>
      </c>
      <c r="K24" s="229">
        <f>SUM(G24 * 'Benefits Cost'!$E$30 * 'Benefits Cost'!$C$30)</f>
        <v>0</v>
      </c>
      <c r="L24" s="283">
        <f t="shared" si="0"/>
        <v>0</v>
      </c>
      <c r="M24" s="283">
        <f t="shared" si="1"/>
        <v>1488</v>
      </c>
      <c r="N24" s="283">
        <f t="shared" si="8"/>
        <v>1488</v>
      </c>
      <c r="O24" s="283">
        <f t="shared" si="9"/>
        <v>0</v>
      </c>
      <c r="P24" s="283">
        <f t="shared" si="9"/>
        <v>0</v>
      </c>
      <c r="Q24" s="283">
        <f t="shared" si="9"/>
        <v>0</v>
      </c>
      <c r="R24" s="283">
        <f t="shared" si="10"/>
        <v>0</v>
      </c>
      <c r="S24" s="229">
        <f t="shared" si="11"/>
        <v>0</v>
      </c>
      <c r="T24" s="229">
        <f t="shared" si="2"/>
        <v>0</v>
      </c>
      <c r="U24" s="229">
        <f t="shared" si="12"/>
        <v>0</v>
      </c>
      <c r="V24" s="284">
        <f t="shared" si="3"/>
        <v>45.503211991434689</v>
      </c>
      <c r="W24" s="229">
        <f t="shared" si="4"/>
        <v>0</v>
      </c>
      <c r="X24" s="229">
        <f t="shared" si="5"/>
        <v>9.5588865096359736</v>
      </c>
      <c r="Y24" s="229">
        <f t="shared" si="13"/>
        <v>55.062098501070665</v>
      </c>
      <c r="Z24" s="229">
        <f t="shared" si="6"/>
        <v>114529.16488222698</v>
      </c>
    </row>
    <row r="25" spans="1:26" x14ac:dyDescent="0.25">
      <c r="A25" s="927"/>
      <c r="B25" s="140">
        <f>'Plant Salaries'!B23</f>
        <v>20</v>
      </c>
      <c r="C25" s="141" t="str">
        <f>'Plant Salaries'!C23</f>
        <v>Industrial  Maintenance Mechanic</v>
      </c>
      <c r="D25" s="248">
        <f>'Plant Salaries'!F23</f>
        <v>35000</v>
      </c>
      <c r="E25" s="296" t="s">
        <v>502</v>
      </c>
      <c r="F25" s="297">
        <v>0</v>
      </c>
      <c r="G25" s="283">
        <f t="shared" si="7"/>
        <v>2916.6666666666665</v>
      </c>
      <c r="H25" s="229">
        <f>IF($D25=0,('Benefits Cost'!$C$11),IF($E25="E",('Benefits Cost'!$C$7),IF($E25="E1",('Benefits Cost'!$C$8),IF($E25="E2",('Benefits Cost'!$C$9),IF($E25="E3",('Benefits Cost'!$C$10),0)))))</f>
        <v>0</v>
      </c>
      <c r="I25" s="229">
        <f>IF($D25=0,('Benefits Cost'!$C$11),IF($E25="E",('Benefits Cost'!$C$13),IF($E25="E1",('Benefits Cost'!$C$14),IF($E25="E2",('Benefits Cost'!$C$15),IF($E25="E3",('Benefits Cost'!$C$16),0)))))</f>
        <v>0</v>
      </c>
      <c r="J25" s="229">
        <f>IF($D25=0,('Benefits Cost'!$C$11),IF($E25="E",('Benefits Cost'!$C$19),IF($E25="E1",('Benefits Cost'!$C$20),IF($E25="E2",('Benefits Cost'!$C$21),IF($E25="E3",('Benefits Cost'!$C$22),0)))))</f>
        <v>0</v>
      </c>
      <c r="K25" s="229">
        <f>SUM(G25 * 'Benefits Cost'!$E$30 * 'Benefits Cost'!$C$30)</f>
        <v>0</v>
      </c>
      <c r="L25" s="283">
        <f t="shared" si="0"/>
        <v>0</v>
      </c>
      <c r="M25" s="283">
        <f t="shared" si="1"/>
        <v>613</v>
      </c>
      <c r="N25" s="283">
        <f t="shared" si="8"/>
        <v>613</v>
      </c>
      <c r="O25" s="283">
        <f t="shared" si="9"/>
        <v>0</v>
      </c>
      <c r="P25" s="283">
        <f t="shared" si="9"/>
        <v>0</v>
      </c>
      <c r="Q25" s="283">
        <f t="shared" si="9"/>
        <v>0</v>
      </c>
      <c r="R25" s="283">
        <f t="shared" si="10"/>
        <v>0</v>
      </c>
      <c r="S25" s="229">
        <f t="shared" si="11"/>
        <v>0</v>
      </c>
      <c r="T25" s="229">
        <f t="shared" si="2"/>
        <v>0</v>
      </c>
      <c r="U25" s="229">
        <f t="shared" si="12"/>
        <v>0</v>
      </c>
      <c r="V25" s="284">
        <f t="shared" si="3"/>
        <v>18.736616702355459</v>
      </c>
      <c r="W25" s="229">
        <f t="shared" si="4"/>
        <v>0</v>
      </c>
      <c r="X25" s="229">
        <f t="shared" si="5"/>
        <v>3.9379014989293362</v>
      </c>
      <c r="Y25" s="229">
        <f t="shared" si="13"/>
        <v>22.674518201284794</v>
      </c>
      <c r="Z25" s="229">
        <f t="shared" si="6"/>
        <v>47162.997858672374</v>
      </c>
    </row>
    <row r="26" spans="1:26" x14ac:dyDescent="0.25">
      <c r="A26" s="927"/>
      <c r="B26" s="140">
        <f>'Plant Salaries'!B24</f>
        <v>21</v>
      </c>
      <c r="C26" s="141" t="str">
        <f>'Plant Salaries'!C24</f>
        <v>Industrial  Maintenance Mechanic</v>
      </c>
      <c r="D26" s="248">
        <f>'Plant Salaries'!F24</f>
        <v>35000</v>
      </c>
      <c r="E26" s="296" t="s">
        <v>504</v>
      </c>
      <c r="F26" s="297">
        <v>0</v>
      </c>
      <c r="G26" s="283">
        <f t="shared" si="7"/>
        <v>2916.6666666666665</v>
      </c>
      <c r="H26" s="229">
        <f>IF($D26=0,('Benefits Cost'!$C$11),IF($E26="E",('Benefits Cost'!$C$7),IF($E26="E1",('Benefits Cost'!$C$8),IF($E26="E2",('Benefits Cost'!$C$9),IF($E26="E3",('Benefits Cost'!$C$10),0)))))</f>
        <v>0</v>
      </c>
      <c r="I26" s="229">
        <f>IF($D26=0,('Benefits Cost'!$C$11),IF($E26="E",('Benefits Cost'!$C$13),IF($E26="E1",('Benefits Cost'!$C$14),IF($E26="E2",('Benefits Cost'!$C$15),IF($E26="E3",('Benefits Cost'!$C$16),0)))))</f>
        <v>0</v>
      </c>
      <c r="J26" s="229">
        <f>IF($D26=0,('Benefits Cost'!$C$11),IF($E26="E",('Benefits Cost'!$C$19),IF($E26="E1",('Benefits Cost'!$C$20),IF($E26="E2",('Benefits Cost'!$C$21),IF($E26="E3",('Benefits Cost'!$C$22),0)))))</f>
        <v>0</v>
      </c>
      <c r="K26" s="229">
        <f>SUM(G26 * 'Benefits Cost'!$E$30 * 'Benefits Cost'!$C$30)</f>
        <v>0</v>
      </c>
      <c r="L26" s="283">
        <f t="shared" si="0"/>
        <v>0</v>
      </c>
      <c r="M26" s="283">
        <f t="shared" si="1"/>
        <v>613</v>
      </c>
      <c r="N26" s="283">
        <f t="shared" si="8"/>
        <v>613</v>
      </c>
      <c r="O26" s="283">
        <f t="shared" si="9"/>
        <v>0</v>
      </c>
      <c r="P26" s="283">
        <f t="shared" si="9"/>
        <v>0</v>
      </c>
      <c r="Q26" s="283">
        <f t="shared" si="9"/>
        <v>0</v>
      </c>
      <c r="R26" s="283">
        <f t="shared" si="10"/>
        <v>0</v>
      </c>
      <c r="S26" s="229">
        <f t="shared" si="11"/>
        <v>0</v>
      </c>
      <c r="T26" s="229">
        <f t="shared" si="2"/>
        <v>0</v>
      </c>
      <c r="U26" s="229">
        <f t="shared" si="12"/>
        <v>0</v>
      </c>
      <c r="V26" s="284">
        <f t="shared" si="3"/>
        <v>18.736616702355459</v>
      </c>
      <c r="W26" s="229">
        <f t="shared" si="4"/>
        <v>0</v>
      </c>
      <c r="X26" s="229">
        <f t="shared" si="5"/>
        <v>3.9379014989293362</v>
      </c>
      <c r="Y26" s="229">
        <f t="shared" si="13"/>
        <v>22.674518201284794</v>
      </c>
      <c r="Z26" s="229">
        <f t="shared" si="6"/>
        <v>47162.997858672374</v>
      </c>
    </row>
    <row r="27" spans="1:26" x14ac:dyDescent="0.25">
      <c r="A27" s="927"/>
      <c r="B27" s="140">
        <f>'Plant Salaries'!B25</f>
        <v>22</v>
      </c>
      <c r="C27" s="141" t="str">
        <f>'Plant Salaries'!C25</f>
        <v>Industrial  Maintenance Mechanic</v>
      </c>
      <c r="D27" s="248">
        <f>'Plant Salaries'!F25</f>
        <v>35000</v>
      </c>
      <c r="E27" s="296" t="s">
        <v>505</v>
      </c>
      <c r="F27" s="297">
        <v>0</v>
      </c>
      <c r="G27" s="283">
        <f t="shared" si="7"/>
        <v>2916.6666666666665</v>
      </c>
      <c r="H27" s="229">
        <f>IF($D27=0,('Benefits Cost'!$C$11),IF($E27="E",('Benefits Cost'!$C$7),IF($E27="E1",('Benefits Cost'!$C$8),IF($E27="E2",('Benefits Cost'!$C$9),IF($E27="E3",('Benefits Cost'!$C$10),0)))))</f>
        <v>0</v>
      </c>
      <c r="I27" s="229">
        <f>IF($D27=0,('Benefits Cost'!$C$11),IF($E27="E",('Benefits Cost'!$C$13),IF($E27="E1",('Benefits Cost'!$C$14),IF($E27="E2",('Benefits Cost'!$C$15),IF($E27="E3",('Benefits Cost'!$C$16),0)))))</f>
        <v>0</v>
      </c>
      <c r="J27" s="229">
        <f>IF($D27=0,('Benefits Cost'!$C$11),IF($E27="E",('Benefits Cost'!$C$19),IF($E27="E1",('Benefits Cost'!$C$20),IF($E27="E2",('Benefits Cost'!$C$21),IF($E27="E3",('Benefits Cost'!$C$22),0)))))</f>
        <v>0</v>
      </c>
      <c r="K27" s="229">
        <f>SUM(G27 * 'Benefits Cost'!$E$30 * 'Benefits Cost'!$C$30)</f>
        <v>0</v>
      </c>
      <c r="L27" s="283">
        <f t="shared" si="0"/>
        <v>0</v>
      </c>
      <c r="M27" s="283">
        <f t="shared" si="1"/>
        <v>613</v>
      </c>
      <c r="N27" s="283">
        <f t="shared" si="8"/>
        <v>613</v>
      </c>
      <c r="O27" s="283">
        <f t="shared" si="9"/>
        <v>0</v>
      </c>
      <c r="P27" s="283">
        <f t="shared" si="9"/>
        <v>0</v>
      </c>
      <c r="Q27" s="283">
        <f t="shared" si="9"/>
        <v>0</v>
      </c>
      <c r="R27" s="283">
        <f t="shared" si="10"/>
        <v>0</v>
      </c>
      <c r="S27" s="229">
        <f t="shared" si="11"/>
        <v>0</v>
      </c>
      <c r="T27" s="229">
        <f t="shared" si="2"/>
        <v>0</v>
      </c>
      <c r="U27" s="229">
        <f t="shared" si="12"/>
        <v>0</v>
      </c>
      <c r="V27" s="284">
        <f t="shared" si="3"/>
        <v>18.736616702355459</v>
      </c>
      <c r="W27" s="229">
        <f t="shared" si="4"/>
        <v>0</v>
      </c>
      <c r="X27" s="229">
        <f t="shared" si="5"/>
        <v>3.9379014989293362</v>
      </c>
      <c r="Y27" s="229">
        <f t="shared" si="13"/>
        <v>22.674518201284794</v>
      </c>
      <c r="Z27" s="229">
        <f t="shared" si="6"/>
        <v>47162.997858672374</v>
      </c>
    </row>
    <row r="28" spans="1:26" x14ac:dyDescent="0.25">
      <c r="A28" s="927"/>
      <c r="B28" s="140">
        <f>'Plant Salaries'!B26</f>
        <v>23</v>
      </c>
      <c r="C28" s="141" t="str">
        <f>'Plant Salaries'!C26</f>
        <v>Industrial  Maintenance Mechanic</v>
      </c>
      <c r="D28" s="248">
        <f>'Plant Salaries'!F26</f>
        <v>35000</v>
      </c>
      <c r="E28" s="296" t="s">
        <v>503</v>
      </c>
      <c r="F28" s="297">
        <v>0</v>
      </c>
      <c r="G28" s="283">
        <f t="shared" si="7"/>
        <v>2916.6666666666665</v>
      </c>
      <c r="H28" s="229">
        <f>IF($D28=0,('Benefits Cost'!$C$11),IF($E28="E",('Benefits Cost'!$C$7),IF($E28="E1",('Benefits Cost'!$C$8),IF($E28="E2",('Benefits Cost'!$C$9),IF($E28="E3",('Benefits Cost'!$C$10),0)))))</f>
        <v>0</v>
      </c>
      <c r="I28" s="229">
        <f>IF($D28=0,('Benefits Cost'!$C$11),IF($E28="E",('Benefits Cost'!$C$13),IF($E28="E1",('Benefits Cost'!$C$14),IF($E28="E2",('Benefits Cost'!$C$15),IF($E28="E3",('Benefits Cost'!$C$16),0)))))</f>
        <v>0</v>
      </c>
      <c r="J28" s="229">
        <f>IF($D28=0,('Benefits Cost'!$C$11),IF($E28="E",('Benefits Cost'!$C$19),IF($E28="E1",('Benefits Cost'!$C$20),IF($E28="E2",('Benefits Cost'!$C$21),IF($E28="E3",('Benefits Cost'!$C$22),0)))))</f>
        <v>0</v>
      </c>
      <c r="K28" s="229">
        <f>SUM(G28 * 'Benefits Cost'!$E$30 * 'Benefits Cost'!$C$30)</f>
        <v>0</v>
      </c>
      <c r="L28" s="283">
        <f t="shared" si="0"/>
        <v>0</v>
      </c>
      <c r="M28" s="283">
        <f t="shared" si="1"/>
        <v>613</v>
      </c>
      <c r="N28" s="283">
        <f t="shared" si="8"/>
        <v>613</v>
      </c>
      <c r="O28" s="283">
        <f t="shared" si="9"/>
        <v>0</v>
      </c>
      <c r="P28" s="283">
        <f t="shared" si="9"/>
        <v>0</v>
      </c>
      <c r="Q28" s="283">
        <f t="shared" si="9"/>
        <v>0</v>
      </c>
      <c r="R28" s="283">
        <f t="shared" si="10"/>
        <v>0</v>
      </c>
      <c r="S28" s="229">
        <f t="shared" si="11"/>
        <v>0</v>
      </c>
      <c r="T28" s="229">
        <f t="shared" si="2"/>
        <v>0</v>
      </c>
      <c r="U28" s="229">
        <f t="shared" si="12"/>
        <v>0</v>
      </c>
      <c r="V28" s="284">
        <f t="shared" si="3"/>
        <v>18.736616702355459</v>
      </c>
      <c r="W28" s="229">
        <f t="shared" si="4"/>
        <v>0</v>
      </c>
      <c r="X28" s="229">
        <f t="shared" si="5"/>
        <v>3.9379014989293362</v>
      </c>
      <c r="Y28" s="229">
        <f t="shared" si="13"/>
        <v>22.674518201284794</v>
      </c>
      <c r="Z28" s="229">
        <f t="shared" si="6"/>
        <v>47162.997858672374</v>
      </c>
    </row>
    <row r="29" spans="1:26" x14ac:dyDescent="0.25">
      <c r="A29" s="927"/>
      <c r="B29" s="140">
        <f>'Plant Salaries'!B27</f>
        <v>24</v>
      </c>
      <c r="C29" s="141" t="str">
        <f>'Plant Salaries'!C27</f>
        <v>Industrial  Maintenance Mechanic</v>
      </c>
      <c r="D29" s="248">
        <f>'Plant Salaries'!F27</f>
        <v>35000</v>
      </c>
      <c r="E29" s="296" t="s">
        <v>502</v>
      </c>
      <c r="F29" s="297">
        <v>0</v>
      </c>
      <c r="G29" s="283">
        <f t="shared" si="7"/>
        <v>2916.6666666666665</v>
      </c>
      <c r="H29" s="229">
        <f>IF($D29=0,('Benefits Cost'!$C$11),IF($E29="E",('Benefits Cost'!$C$7),IF($E29="E1",('Benefits Cost'!$C$8),IF($E29="E2",('Benefits Cost'!$C$9),IF($E29="E3",('Benefits Cost'!$C$10),0)))))</f>
        <v>0</v>
      </c>
      <c r="I29" s="229">
        <f>IF($D29=0,('Benefits Cost'!$C$11),IF($E29="E",('Benefits Cost'!$C$13),IF($E29="E1",('Benefits Cost'!$C$14),IF($E29="E2",('Benefits Cost'!$C$15),IF($E29="E3",('Benefits Cost'!$C$16),0)))))</f>
        <v>0</v>
      </c>
      <c r="J29" s="229">
        <f>IF($D29=0,('Benefits Cost'!$C$11),IF($E29="E",('Benefits Cost'!$C$19),IF($E29="E1",('Benefits Cost'!$C$20),IF($E29="E2",('Benefits Cost'!$C$21),IF($E29="E3",('Benefits Cost'!$C$22),0)))))</f>
        <v>0</v>
      </c>
      <c r="K29" s="229">
        <f>SUM(G29 * 'Benefits Cost'!$E$30 * 'Benefits Cost'!$C$30)</f>
        <v>0</v>
      </c>
      <c r="L29" s="283">
        <f t="shared" si="0"/>
        <v>0</v>
      </c>
      <c r="M29" s="283">
        <f t="shared" si="1"/>
        <v>613</v>
      </c>
      <c r="N29" s="283">
        <f t="shared" si="8"/>
        <v>613</v>
      </c>
      <c r="O29" s="283">
        <f t="shared" si="9"/>
        <v>0</v>
      </c>
      <c r="P29" s="283">
        <f t="shared" si="9"/>
        <v>0</v>
      </c>
      <c r="Q29" s="283">
        <f t="shared" si="9"/>
        <v>0</v>
      </c>
      <c r="R29" s="283">
        <f t="shared" si="10"/>
        <v>0</v>
      </c>
      <c r="S29" s="229">
        <f t="shared" si="11"/>
        <v>0</v>
      </c>
      <c r="T29" s="229">
        <f t="shared" si="2"/>
        <v>0</v>
      </c>
      <c r="U29" s="229">
        <f t="shared" si="12"/>
        <v>0</v>
      </c>
      <c r="V29" s="284">
        <f t="shared" si="3"/>
        <v>18.736616702355459</v>
      </c>
      <c r="W29" s="229">
        <f t="shared" si="4"/>
        <v>0</v>
      </c>
      <c r="X29" s="229">
        <f t="shared" si="5"/>
        <v>3.9379014989293362</v>
      </c>
      <c r="Y29" s="229">
        <f t="shared" si="13"/>
        <v>22.674518201284794</v>
      </c>
      <c r="Z29" s="229">
        <f t="shared" si="6"/>
        <v>47162.997858672374</v>
      </c>
    </row>
    <row r="30" spans="1:26" x14ac:dyDescent="0.25">
      <c r="A30" s="927"/>
      <c r="B30" s="140">
        <f>'Plant Salaries'!B28</f>
        <v>25</v>
      </c>
      <c r="C30" s="141" t="str">
        <f>'Plant Salaries'!C28</f>
        <v>Industrial  Maintenance Mechanic</v>
      </c>
      <c r="D30" s="248">
        <f>'Plant Salaries'!F28</f>
        <v>35000</v>
      </c>
      <c r="E30" s="296" t="s">
        <v>504</v>
      </c>
      <c r="F30" s="297">
        <v>0</v>
      </c>
      <c r="G30" s="283">
        <f t="shared" si="7"/>
        <v>2916.6666666666665</v>
      </c>
      <c r="H30" s="229">
        <f>IF($D30=0,('Benefits Cost'!$C$11),IF($E30="E",('Benefits Cost'!$C$7),IF($E30="E1",('Benefits Cost'!$C$8),IF($E30="E2",('Benefits Cost'!$C$9),IF($E30="E3",('Benefits Cost'!$C$10),0)))))</f>
        <v>0</v>
      </c>
      <c r="I30" s="229">
        <f>IF($D30=0,('Benefits Cost'!$C$11),IF($E30="E",('Benefits Cost'!$C$13),IF($E30="E1",('Benefits Cost'!$C$14),IF($E30="E2",('Benefits Cost'!$C$15),IF($E30="E3",('Benefits Cost'!$C$16),0)))))</f>
        <v>0</v>
      </c>
      <c r="J30" s="229">
        <f>IF($D30=0,('Benefits Cost'!$C$11),IF($E30="E",('Benefits Cost'!$C$19),IF($E30="E1",('Benefits Cost'!$C$20),IF($E30="E2",('Benefits Cost'!$C$21),IF($E30="E3",('Benefits Cost'!$C$22),0)))))</f>
        <v>0</v>
      </c>
      <c r="K30" s="229">
        <f>SUM(G30 * 'Benefits Cost'!$E$30 * 'Benefits Cost'!$C$30)</f>
        <v>0</v>
      </c>
      <c r="L30" s="283">
        <f t="shared" si="0"/>
        <v>0</v>
      </c>
      <c r="M30" s="283">
        <f t="shared" si="1"/>
        <v>613</v>
      </c>
      <c r="N30" s="283">
        <f t="shared" si="8"/>
        <v>613</v>
      </c>
      <c r="O30" s="283">
        <f t="shared" si="9"/>
        <v>0</v>
      </c>
      <c r="P30" s="283">
        <f t="shared" si="9"/>
        <v>0</v>
      </c>
      <c r="Q30" s="283">
        <f t="shared" si="9"/>
        <v>0</v>
      </c>
      <c r="R30" s="283">
        <f t="shared" si="10"/>
        <v>0</v>
      </c>
      <c r="S30" s="229">
        <f t="shared" si="11"/>
        <v>0</v>
      </c>
      <c r="T30" s="229">
        <f t="shared" si="2"/>
        <v>0</v>
      </c>
      <c r="U30" s="229">
        <f t="shared" si="12"/>
        <v>0</v>
      </c>
      <c r="V30" s="284">
        <f t="shared" si="3"/>
        <v>18.736616702355459</v>
      </c>
      <c r="W30" s="229">
        <f t="shared" si="4"/>
        <v>0</v>
      </c>
      <c r="X30" s="229">
        <f t="shared" si="5"/>
        <v>3.9379014989293362</v>
      </c>
      <c r="Y30" s="229">
        <f t="shared" si="13"/>
        <v>22.674518201284794</v>
      </c>
      <c r="Z30" s="229">
        <f t="shared" si="6"/>
        <v>47162.997858672374</v>
      </c>
    </row>
    <row r="31" spans="1:26" x14ac:dyDescent="0.25">
      <c r="A31" s="927"/>
      <c r="B31" s="140">
        <f>'Plant Salaries'!B29</f>
        <v>26</v>
      </c>
      <c r="C31" s="141" t="str">
        <f>'Plant Salaries'!C29</f>
        <v>Industrial  Maintenance Mechanic</v>
      </c>
      <c r="D31" s="248">
        <f>'Plant Salaries'!F29</f>
        <v>35000</v>
      </c>
      <c r="E31" s="296" t="s">
        <v>505</v>
      </c>
      <c r="F31" s="297">
        <v>0</v>
      </c>
      <c r="G31" s="283">
        <f t="shared" si="7"/>
        <v>2916.6666666666665</v>
      </c>
      <c r="H31" s="229">
        <f>IF($D31=0,('Benefits Cost'!$C$11),IF($E31="E",('Benefits Cost'!$C$7),IF($E31="E1",('Benefits Cost'!$C$8),IF($E31="E2",('Benefits Cost'!$C$9),IF($E31="E3",('Benefits Cost'!$C$10),0)))))</f>
        <v>0</v>
      </c>
      <c r="I31" s="229">
        <f>IF($D31=0,('Benefits Cost'!$C$11),IF($E31="E",('Benefits Cost'!$C$13),IF($E31="E1",('Benefits Cost'!$C$14),IF($E31="E2",('Benefits Cost'!$C$15),IF($E31="E3",('Benefits Cost'!$C$16),0)))))</f>
        <v>0</v>
      </c>
      <c r="J31" s="229">
        <f>IF($D31=0,('Benefits Cost'!$C$11),IF($E31="E",('Benefits Cost'!$C$19),IF($E31="E1",('Benefits Cost'!$C$20),IF($E31="E2",('Benefits Cost'!$C$21),IF($E31="E3",('Benefits Cost'!$C$22),0)))))</f>
        <v>0</v>
      </c>
      <c r="K31" s="229">
        <f>SUM(G31 * 'Benefits Cost'!$E$30 * 'Benefits Cost'!$C$30)</f>
        <v>0</v>
      </c>
      <c r="L31" s="283">
        <f t="shared" si="0"/>
        <v>0</v>
      </c>
      <c r="M31" s="283">
        <f t="shared" si="1"/>
        <v>613</v>
      </c>
      <c r="N31" s="283">
        <f t="shared" si="8"/>
        <v>613</v>
      </c>
      <c r="O31" s="283">
        <f t="shared" si="9"/>
        <v>0</v>
      </c>
      <c r="P31" s="283">
        <f t="shared" si="9"/>
        <v>0</v>
      </c>
      <c r="Q31" s="283">
        <f t="shared" si="9"/>
        <v>0</v>
      </c>
      <c r="R31" s="283">
        <f t="shared" si="10"/>
        <v>0</v>
      </c>
      <c r="S31" s="229">
        <f t="shared" si="11"/>
        <v>0</v>
      </c>
      <c r="T31" s="229">
        <f t="shared" si="2"/>
        <v>0</v>
      </c>
      <c r="U31" s="229">
        <f t="shared" si="12"/>
        <v>0</v>
      </c>
      <c r="V31" s="284">
        <f t="shared" si="3"/>
        <v>18.736616702355459</v>
      </c>
      <c r="W31" s="229">
        <f t="shared" si="4"/>
        <v>0</v>
      </c>
      <c r="X31" s="229">
        <f t="shared" si="5"/>
        <v>3.9379014989293362</v>
      </c>
      <c r="Y31" s="229">
        <f t="shared" si="13"/>
        <v>22.674518201284794</v>
      </c>
      <c r="Z31" s="229">
        <f t="shared" si="6"/>
        <v>47162.997858672374</v>
      </c>
    </row>
    <row r="32" spans="1:26" x14ac:dyDescent="0.25">
      <c r="A32" s="927"/>
      <c r="B32" s="140">
        <f>'Plant Salaries'!B30</f>
        <v>27</v>
      </c>
      <c r="C32" s="141" t="str">
        <f>'Plant Salaries'!C30</f>
        <v>Industrial  Maintenance Mechanic</v>
      </c>
      <c r="D32" s="248">
        <f>'Plant Salaries'!F30</f>
        <v>35000</v>
      </c>
      <c r="E32" s="296" t="s">
        <v>503</v>
      </c>
      <c r="F32" s="297">
        <v>0</v>
      </c>
      <c r="G32" s="283">
        <f t="shared" si="7"/>
        <v>2916.6666666666665</v>
      </c>
      <c r="H32" s="229">
        <f>IF($D32=0,('Benefits Cost'!$C$11),IF($E32="E",('Benefits Cost'!$C$7),IF($E32="E1",('Benefits Cost'!$C$8),IF($E32="E2",('Benefits Cost'!$C$9),IF($E32="E3",('Benefits Cost'!$C$10),0)))))</f>
        <v>0</v>
      </c>
      <c r="I32" s="229">
        <f>IF($D32=0,('Benefits Cost'!$C$11),IF($E32="E",('Benefits Cost'!$C$13),IF($E32="E1",('Benefits Cost'!$C$14),IF($E32="E2",('Benefits Cost'!$C$15),IF($E32="E3",('Benefits Cost'!$C$16),0)))))</f>
        <v>0</v>
      </c>
      <c r="J32" s="229">
        <f>IF($D32=0,('Benefits Cost'!$C$11),IF($E32="E",('Benefits Cost'!$C$19),IF($E32="E1",('Benefits Cost'!$C$20),IF($E32="E2",('Benefits Cost'!$C$21),IF($E32="E3",('Benefits Cost'!$C$22),0)))))</f>
        <v>0</v>
      </c>
      <c r="K32" s="229">
        <f>SUM(G32 * 'Benefits Cost'!$E$30 * 'Benefits Cost'!$C$30)</f>
        <v>0</v>
      </c>
      <c r="L32" s="283">
        <f t="shared" si="0"/>
        <v>0</v>
      </c>
      <c r="M32" s="283">
        <f t="shared" si="1"/>
        <v>613</v>
      </c>
      <c r="N32" s="283">
        <f t="shared" si="8"/>
        <v>613</v>
      </c>
      <c r="O32" s="283">
        <f t="shared" si="9"/>
        <v>0</v>
      </c>
      <c r="P32" s="283">
        <f t="shared" si="9"/>
        <v>0</v>
      </c>
      <c r="Q32" s="283">
        <f t="shared" si="9"/>
        <v>0</v>
      </c>
      <c r="R32" s="283">
        <f t="shared" si="10"/>
        <v>0</v>
      </c>
      <c r="S32" s="229">
        <f t="shared" si="11"/>
        <v>0</v>
      </c>
      <c r="T32" s="229">
        <f t="shared" si="2"/>
        <v>0</v>
      </c>
      <c r="U32" s="229">
        <f t="shared" si="12"/>
        <v>0</v>
      </c>
      <c r="V32" s="284">
        <f t="shared" si="3"/>
        <v>18.736616702355459</v>
      </c>
      <c r="W32" s="229">
        <f t="shared" si="4"/>
        <v>0</v>
      </c>
      <c r="X32" s="229">
        <f t="shared" si="5"/>
        <v>3.9379014989293362</v>
      </c>
      <c r="Y32" s="229">
        <f t="shared" si="13"/>
        <v>22.674518201284794</v>
      </c>
      <c r="Z32" s="229">
        <f t="shared" si="6"/>
        <v>47162.997858672374</v>
      </c>
    </row>
    <row r="33" spans="1:26" x14ac:dyDescent="0.25">
      <c r="A33" s="927"/>
      <c r="B33" s="140">
        <f>'Plant Salaries'!B31</f>
        <v>28</v>
      </c>
      <c r="C33" s="141" t="str">
        <f>'Plant Salaries'!C31</f>
        <v>Environmental technician</v>
      </c>
      <c r="D33" s="248">
        <f>'Plant Salaries'!F31</f>
        <v>30000</v>
      </c>
      <c r="E33" s="296" t="s">
        <v>502</v>
      </c>
      <c r="F33" s="297">
        <v>0</v>
      </c>
      <c r="G33" s="283">
        <f t="shared" si="7"/>
        <v>2500</v>
      </c>
      <c r="H33" s="229">
        <f>IF($D33=0,('Benefits Cost'!$C$11),IF($E33="E",('Benefits Cost'!$C$7),IF($E33="E1",('Benefits Cost'!$C$8),IF($E33="E2",('Benefits Cost'!$C$9),IF($E33="E3",('Benefits Cost'!$C$10),0)))))</f>
        <v>0</v>
      </c>
      <c r="I33" s="229">
        <f>IF($D33=0,('Benefits Cost'!$C$11),IF($E33="E",('Benefits Cost'!$C$13),IF($E33="E1",('Benefits Cost'!$C$14),IF($E33="E2",('Benefits Cost'!$C$15),IF($E33="E3",('Benefits Cost'!$C$16),0)))))</f>
        <v>0</v>
      </c>
      <c r="J33" s="229">
        <f>IF($D33=0,('Benefits Cost'!$C$11),IF($E33="E",('Benefits Cost'!$C$19),IF($E33="E1",('Benefits Cost'!$C$20),IF($E33="E2",('Benefits Cost'!$C$21),IF($E33="E3",('Benefits Cost'!$C$22),0)))))</f>
        <v>0</v>
      </c>
      <c r="K33" s="229">
        <f>SUM(G33 * 'Benefits Cost'!$E$30 * 'Benefits Cost'!$C$30)</f>
        <v>0</v>
      </c>
      <c r="L33" s="283">
        <f t="shared" si="0"/>
        <v>0</v>
      </c>
      <c r="M33" s="283">
        <f t="shared" si="1"/>
        <v>525</v>
      </c>
      <c r="N33" s="283">
        <f t="shared" si="8"/>
        <v>525</v>
      </c>
      <c r="O33" s="283">
        <f t="shared" si="9"/>
        <v>0</v>
      </c>
      <c r="P33" s="283">
        <f t="shared" si="9"/>
        <v>0</v>
      </c>
      <c r="Q33" s="283">
        <f t="shared" si="9"/>
        <v>0</v>
      </c>
      <c r="R33" s="283">
        <f t="shared" si="10"/>
        <v>0</v>
      </c>
      <c r="S33" s="229">
        <f t="shared" si="11"/>
        <v>0</v>
      </c>
      <c r="T33" s="229">
        <f t="shared" si="2"/>
        <v>0</v>
      </c>
      <c r="U33" s="229">
        <f t="shared" si="12"/>
        <v>0</v>
      </c>
      <c r="V33" s="284">
        <f t="shared" si="3"/>
        <v>16.059957173447536</v>
      </c>
      <c r="W33" s="229">
        <f t="shared" si="4"/>
        <v>0</v>
      </c>
      <c r="X33" s="229">
        <f t="shared" si="5"/>
        <v>3.372591006423983</v>
      </c>
      <c r="Y33" s="229">
        <f t="shared" si="13"/>
        <v>19.432548179871517</v>
      </c>
      <c r="Z33" s="229">
        <f t="shared" si="6"/>
        <v>40419.700214132754</v>
      </c>
    </row>
    <row r="34" spans="1:26" x14ac:dyDescent="0.25">
      <c r="A34" s="927"/>
      <c r="B34" s="140">
        <f>'Plant Salaries'!B32</f>
        <v>29</v>
      </c>
      <c r="C34" s="141" t="str">
        <f>'Plant Salaries'!C32</f>
        <v>Environmental technician</v>
      </c>
      <c r="D34" s="248">
        <f>'Plant Salaries'!F32</f>
        <v>30000</v>
      </c>
      <c r="E34" s="296" t="s">
        <v>504</v>
      </c>
      <c r="F34" s="297">
        <v>0</v>
      </c>
      <c r="G34" s="283">
        <f t="shared" si="7"/>
        <v>2500</v>
      </c>
      <c r="H34" s="229">
        <f>IF($D34=0,('Benefits Cost'!$C$11),IF($E34="E",('Benefits Cost'!$C$7),IF($E34="E1",('Benefits Cost'!$C$8),IF($E34="E2",('Benefits Cost'!$C$9),IF($E34="E3",('Benefits Cost'!$C$10),0)))))</f>
        <v>0</v>
      </c>
      <c r="I34" s="229">
        <f>IF($D34=0,('Benefits Cost'!$C$11),IF($E34="E",('Benefits Cost'!$C$13),IF($E34="E1",('Benefits Cost'!$C$14),IF($E34="E2",('Benefits Cost'!$C$15),IF($E34="E3",('Benefits Cost'!$C$16),0)))))</f>
        <v>0</v>
      </c>
      <c r="J34" s="229">
        <f>IF($D34=0,('Benefits Cost'!$C$11),IF($E34="E",('Benefits Cost'!$C$19),IF($E34="E1",('Benefits Cost'!$C$20),IF($E34="E2",('Benefits Cost'!$C$21),IF($E34="E3",('Benefits Cost'!$C$22),0)))))</f>
        <v>0</v>
      </c>
      <c r="K34" s="229">
        <f>SUM(G34 * 'Benefits Cost'!$E$30 * 'Benefits Cost'!$C$30)</f>
        <v>0</v>
      </c>
      <c r="L34" s="283">
        <f t="shared" si="0"/>
        <v>0</v>
      </c>
      <c r="M34" s="283">
        <f t="shared" si="1"/>
        <v>525</v>
      </c>
      <c r="N34" s="283">
        <f t="shared" si="8"/>
        <v>525</v>
      </c>
      <c r="O34" s="283">
        <f t="shared" si="9"/>
        <v>0</v>
      </c>
      <c r="P34" s="283">
        <f t="shared" si="9"/>
        <v>0</v>
      </c>
      <c r="Q34" s="283">
        <f t="shared" si="9"/>
        <v>0</v>
      </c>
      <c r="R34" s="283">
        <f t="shared" si="10"/>
        <v>0</v>
      </c>
      <c r="S34" s="229">
        <f t="shared" si="11"/>
        <v>0</v>
      </c>
      <c r="T34" s="229">
        <f t="shared" si="2"/>
        <v>0</v>
      </c>
      <c r="U34" s="229">
        <f t="shared" si="12"/>
        <v>0</v>
      </c>
      <c r="V34" s="284">
        <f t="shared" si="3"/>
        <v>16.059957173447536</v>
      </c>
      <c r="W34" s="229">
        <f t="shared" si="4"/>
        <v>0</v>
      </c>
      <c r="X34" s="229">
        <f t="shared" si="5"/>
        <v>3.372591006423983</v>
      </c>
      <c r="Y34" s="229">
        <f t="shared" si="13"/>
        <v>19.432548179871517</v>
      </c>
      <c r="Z34" s="229">
        <f t="shared" si="6"/>
        <v>40419.700214132754</v>
      </c>
    </row>
    <row r="35" spans="1:26" x14ac:dyDescent="0.25">
      <c r="A35" s="927"/>
      <c r="B35" s="140">
        <f>'Plant Salaries'!B33</f>
        <v>30</v>
      </c>
      <c r="C35" s="141" t="str">
        <f>'Plant Salaries'!C33</f>
        <v>Environmental technician</v>
      </c>
      <c r="D35" s="248">
        <f>'Plant Salaries'!F33</f>
        <v>30000</v>
      </c>
      <c r="E35" s="296" t="s">
        <v>505</v>
      </c>
      <c r="F35" s="297">
        <v>0</v>
      </c>
      <c r="G35" s="283">
        <f t="shared" si="7"/>
        <v>2500</v>
      </c>
      <c r="H35" s="229">
        <f>IF($D35=0,('Benefits Cost'!$C$11),IF($E35="E",('Benefits Cost'!$C$7),IF($E35="E1",('Benefits Cost'!$C$8),IF($E35="E2",('Benefits Cost'!$C$9),IF($E35="E3",('Benefits Cost'!$C$10),0)))))</f>
        <v>0</v>
      </c>
      <c r="I35" s="229">
        <f>IF($D35=0,('Benefits Cost'!$C$11),IF($E35="E",('Benefits Cost'!$C$13),IF($E35="E1",('Benefits Cost'!$C$14),IF($E35="E2",('Benefits Cost'!$C$15),IF($E35="E3",('Benefits Cost'!$C$16),0)))))</f>
        <v>0</v>
      </c>
      <c r="J35" s="229">
        <f>IF($D35=0,('Benefits Cost'!$C$11),IF($E35="E",('Benefits Cost'!$C$19),IF($E35="E1",('Benefits Cost'!$C$20),IF($E35="E2",('Benefits Cost'!$C$21),IF($E35="E3",('Benefits Cost'!$C$22),0)))))</f>
        <v>0</v>
      </c>
      <c r="K35" s="229">
        <f>SUM(G35 * 'Benefits Cost'!$E$30 * 'Benefits Cost'!$C$30)</f>
        <v>0</v>
      </c>
      <c r="L35" s="283">
        <f t="shared" si="0"/>
        <v>0</v>
      </c>
      <c r="M35" s="283">
        <f t="shared" si="1"/>
        <v>525</v>
      </c>
      <c r="N35" s="283">
        <f t="shared" si="8"/>
        <v>525</v>
      </c>
      <c r="O35" s="283">
        <f t="shared" si="9"/>
        <v>0</v>
      </c>
      <c r="P35" s="283">
        <f t="shared" si="9"/>
        <v>0</v>
      </c>
      <c r="Q35" s="283">
        <f t="shared" si="9"/>
        <v>0</v>
      </c>
      <c r="R35" s="283">
        <f t="shared" si="10"/>
        <v>0</v>
      </c>
      <c r="S35" s="229">
        <f t="shared" si="11"/>
        <v>0</v>
      </c>
      <c r="T35" s="229">
        <f t="shared" si="2"/>
        <v>0</v>
      </c>
      <c r="U35" s="229">
        <f t="shared" si="12"/>
        <v>0</v>
      </c>
      <c r="V35" s="284">
        <f t="shared" si="3"/>
        <v>16.059957173447536</v>
      </c>
      <c r="W35" s="229">
        <f t="shared" si="4"/>
        <v>0</v>
      </c>
      <c r="X35" s="229">
        <f t="shared" si="5"/>
        <v>3.372591006423983</v>
      </c>
      <c r="Y35" s="229">
        <f t="shared" si="13"/>
        <v>19.432548179871517</v>
      </c>
      <c r="Z35" s="229">
        <f t="shared" si="6"/>
        <v>40419.700214132754</v>
      </c>
    </row>
    <row r="36" spans="1:26" x14ac:dyDescent="0.25">
      <c r="A36" s="928" t="s">
        <v>507</v>
      </c>
      <c r="B36" s="140">
        <f>'Plant Salaries'!B34</f>
        <v>31</v>
      </c>
      <c r="C36" s="141" t="str">
        <f>'Plant Salaries'!C34</f>
        <v>Environmental technician</v>
      </c>
      <c r="D36" s="248">
        <f>'Plant Salaries'!F34</f>
        <v>30000</v>
      </c>
      <c r="E36" s="296" t="s">
        <v>503</v>
      </c>
      <c r="F36" s="297">
        <v>0</v>
      </c>
      <c r="G36" s="283">
        <f t="shared" si="7"/>
        <v>2500</v>
      </c>
      <c r="H36" s="229">
        <f>IF($D36=0,('Benefits Cost'!$C$11),IF($E36="E",('Benefits Cost'!$C$7),IF($E36="E1",('Benefits Cost'!$C$8),IF($E36="E2",('Benefits Cost'!$C$9),IF($E36="E3",('Benefits Cost'!$C$10),0)))))</f>
        <v>0</v>
      </c>
      <c r="I36" s="229">
        <f>IF($D36=0,('Benefits Cost'!$C$11),IF($E36="E",('Benefits Cost'!$C$13),IF($E36="E1",('Benefits Cost'!$C$14),IF($E36="E2",('Benefits Cost'!$C$15),IF($E36="E3",('Benefits Cost'!$C$16),0)))))</f>
        <v>0</v>
      </c>
      <c r="J36" s="229">
        <f>IF($D36=0,('Benefits Cost'!$C$11),IF($E36="E",('Benefits Cost'!$C$19),IF($E36="E1",('Benefits Cost'!$C$20),IF($E36="E2",('Benefits Cost'!$C$21),IF($E36="E3",('Benefits Cost'!$C$22),0)))))</f>
        <v>0</v>
      </c>
      <c r="K36" s="229">
        <f>SUM(G36 * 'Benefits Cost'!$E$30 * 'Benefits Cost'!$C$30)</f>
        <v>0</v>
      </c>
      <c r="L36" s="283">
        <f t="shared" si="0"/>
        <v>0</v>
      </c>
      <c r="M36" s="283">
        <f t="shared" si="1"/>
        <v>525</v>
      </c>
      <c r="N36" s="283">
        <f t="shared" si="8"/>
        <v>525</v>
      </c>
      <c r="O36" s="283">
        <f t="shared" si="9"/>
        <v>0</v>
      </c>
      <c r="P36" s="283">
        <f t="shared" si="9"/>
        <v>0</v>
      </c>
      <c r="Q36" s="283">
        <f t="shared" si="9"/>
        <v>0</v>
      </c>
      <c r="R36" s="283">
        <f t="shared" si="10"/>
        <v>0</v>
      </c>
      <c r="S36" s="229">
        <f t="shared" si="11"/>
        <v>0</v>
      </c>
      <c r="T36" s="229">
        <f t="shared" si="2"/>
        <v>0</v>
      </c>
      <c r="U36" s="229">
        <f t="shared" si="12"/>
        <v>0</v>
      </c>
      <c r="V36" s="284">
        <f t="shared" si="3"/>
        <v>16.059957173447536</v>
      </c>
      <c r="W36" s="229">
        <f t="shared" si="4"/>
        <v>0</v>
      </c>
      <c r="X36" s="229">
        <f t="shared" si="5"/>
        <v>3.372591006423983</v>
      </c>
      <c r="Y36" s="229">
        <f t="shared" si="13"/>
        <v>19.432548179871517</v>
      </c>
      <c r="Z36" s="229">
        <f t="shared" si="6"/>
        <v>40419.700214132754</v>
      </c>
    </row>
    <row r="37" spans="1:26" x14ac:dyDescent="0.25">
      <c r="A37" s="929"/>
      <c r="B37" s="140">
        <f>'Plant Salaries'!B35</f>
        <v>32</v>
      </c>
      <c r="C37" s="141" t="str">
        <f>'Plant Salaries'!C35</f>
        <v>Environmental technician</v>
      </c>
      <c r="D37" s="248">
        <f>'Plant Salaries'!F35</f>
        <v>30000</v>
      </c>
      <c r="E37" s="296" t="s">
        <v>502</v>
      </c>
      <c r="F37" s="297">
        <v>0</v>
      </c>
      <c r="G37" s="283">
        <f t="shared" si="7"/>
        <v>2500</v>
      </c>
      <c r="H37" s="229">
        <f>IF($D37=0,('Benefits Cost'!$C$11),IF($E37="E",('Benefits Cost'!$C$7),IF($E37="E1",('Benefits Cost'!$C$8),IF($E37="E2",('Benefits Cost'!$C$9),IF($E37="E3",('Benefits Cost'!$C$10),0)))))</f>
        <v>0</v>
      </c>
      <c r="I37" s="229">
        <f>IF($D37=0,('Benefits Cost'!$C$11),IF($E37="E",('Benefits Cost'!$C$13),IF($E37="E1",('Benefits Cost'!$C$14),IF($E37="E2",('Benefits Cost'!$C$15),IF($E37="E3",('Benefits Cost'!$C$16),0)))))</f>
        <v>0</v>
      </c>
      <c r="J37" s="229">
        <f>IF($D37=0,('Benefits Cost'!$C$11),IF($E37="E",('Benefits Cost'!$C$19),IF($E37="E1",('Benefits Cost'!$C$20),IF($E37="E2",('Benefits Cost'!$C$21),IF($E37="E3",('Benefits Cost'!$C$22),0)))))</f>
        <v>0</v>
      </c>
      <c r="K37" s="229">
        <f>SUM(G37 * 'Benefits Cost'!$E$30 * 'Benefits Cost'!$C$30)</f>
        <v>0</v>
      </c>
      <c r="L37" s="283">
        <f t="shared" si="0"/>
        <v>0</v>
      </c>
      <c r="M37" s="283">
        <f t="shared" si="1"/>
        <v>525</v>
      </c>
      <c r="N37" s="283">
        <f t="shared" si="8"/>
        <v>525</v>
      </c>
      <c r="O37" s="283">
        <f t="shared" si="9"/>
        <v>0</v>
      </c>
      <c r="P37" s="283">
        <f t="shared" si="9"/>
        <v>0</v>
      </c>
      <c r="Q37" s="283">
        <f t="shared" si="9"/>
        <v>0</v>
      </c>
      <c r="R37" s="283">
        <f t="shared" si="10"/>
        <v>0</v>
      </c>
      <c r="S37" s="229">
        <f t="shared" si="11"/>
        <v>0</v>
      </c>
      <c r="T37" s="229">
        <f t="shared" si="2"/>
        <v>0</v>
      </c>
      <c r="U37" s="229">
        <f t="shared" si="12"/>
        <v>0</v>
      </c>
      <c r="V37" s="284">
        <f t="shared" si="3"/>
        <v>16.059957173447536</v>
      </c>
      <c r="W37" s="229">
        <f t="shared" si="4"/>
        <v>0</v>
      </c>
      <c r="X37" s="229">
        <f t="shared" si="5"/>
        <v>3.372591006423983</v>
      </c>
      <c r="Y37" s="229">
        <f t="shared" si="13"/>
        <v>19.432548179871517</v>
      </c>
      <c r="Z37" s="229">
        <f t="shared" si="6"/>
        <v>40419.700214132754</v>
      </c>
    </row>
    <row r="38" spans="1:26" x14ac:dyDescent="0.25">
      <c r="A38" s="929"/>
      <c r="B38" s="140">
        <f>'Plant Salaries'!B36</f>
        <v>33</v>
      </c>
      <c r="C38" s="141" t="str">
        <f>'Plant Salaries'!C36</f>
        <v xml:space="preserve">Line Mechanic </v>
      </c>
      <c r="D38" s="248">
        <f>'Plant Salaries'!F36</f>
        <v>46000</v>
      </c>
      <c r="E38" s="296" t="s">
        <v>504</v>
      </c>
      <c r="F38" s="297">
        <v>0</v>
      </c>
      <c r="G38" s="283">
        <f t="shared" si="7"/>
        <v>3833.3333333333335</v>
      </c>
      <c r="H38" s="229">
        <f>IF($D38=0,('Benefits Cost'!$C$11),IF($E38="E",('Benefits Cost'!$C$7),IF($E38="E1",('Benefits Cost'!$C$8),IF($E38="E2",('Benefits Cost'!$C$9),IF($E38="E3",('Benefits Cost'!$C$10),0)))))</f>
        <v>0</v>
      </c>
      <c r="I38" s="229">
        <f>IF($D38=0,('Benefits Cost'!$C$11),IF($E38="E",('Benefits Cost'!$C$13),IF($E38="E1",('Benefits Cost'!$C$14),IF($E38="E2",('Benefits Cost'!$C$15),IF($E38="E3",('Benefits Cost'!$C$16),0)))))</f>
        <v>0</v>
      </c>
      <c r="J38" s="229">
        <f>IF($D38=0,('Benefits Cost'!$C$11),IF($E38="E",('Benefits Cost'!$C$19),IF($E38="E1",('Benefits Cost'!$C$20),IF($E38="E2",('Benefits Cost'!$C$21),IF($E38="E3",('Benefits Cost'!$C$22),0)))))</f>
        <v>0</v>
      </c>
      <c r="K38" s="229">
        <f>SUM(G38 * 'Benefits Cost'!$E$30 * 'Benefits Cost'!$C$30)</f>
        <v>0</v>
      </c>
      <c r="L38" s="283">
        <f t="shared" si="0"/>
        <v>0</v>
      </c>
      <c r="M38" s="283">
        <f t="shared" si="1"/>
        <v>805</v>
      </c>
      <c r="N38" s="283">
        <f t="shared" si="8"/>
        <v>805</v>
      </c>
      <c r="O38" s="283">
        <f t="shared" si="9"/>
        <v>0</v>
      </c>
      <c r="P38" s="283">
        <f t="shared" si="9"/>
        <v>0</v>
      </c>
      <c r="Q38" s="283">
        <f t="shared" si="9"/>
        <v>0</v>
      </c>
      <c r="R38" s="283">
        <f t="shared" si="10"/>
        <v>0</v>
      </c>
      <c r="S38" s="229">
        <f t="shared" si="11"/>
        <v>0</v>
      </c>
      <c r="T38" s="229">
        <f t="shared" si="2"/>
        <v>0</v>
      </c>
      <c r="U38" s="229">
        <f t="shared" si="12"/>
        <v>0</v>
      </c>
      <c r="V38" s="284">
        <f t="shared" si="3"/>
        <v>24.62526766595289</v>
      </c>
      <c r="W38" s="229">
        <f t="shared" si="4"/>
        <v>0</v>
      </c>
      <c r="X38" s="229">
        <f t="shared" si="5"/>
        <v>5.1713062098501075</v>
      </c>
      <c r="Y38" s="229">
        <f t="shared" si="13"/>
        <v>29.796573875802999</v>
      </c>
      <c r="Z38" s="229">
        <f t="shared" si="6"/>
        <v>61976.873661670237</v>
      </c>
    </row>
    <row r="39" spans="1:26" x14ac:dyDescent="0.25">
      <c r="A39" s="929"/>
      <c r="B39" s="140">
        <f>'Plant Salaries'!B37</f>
        <v>34</v>
      </c>
      <c r="C39" s="141" t="str">
        <f>'Plant Salaries'!C37</f>
        <v xml:space="preserve">Line Mechanic </v>
      </c>
      <c r="D39" s="248">
        <f>'Plant Salaries'!F37</f>
        <v>46000</v>
      </c>
      <c r="E39" s="296" t="s">
        <v>505</v>
      </c>
      <c r="F39" s="297">
        <v>0</v>
      </c>
      <c r="G39" s="283">
        <f t="shared" si="7"/>
        <v>3833.3333333333335</v>
      </c>
      <c r="H39" s="229">
        <f>IF($D39=0,('Benefits Cost'!$C$11),IF($E39="E",('Benefits Cost'!$C$7),IF($E39="E1",('Benefits Cost'!$C$8),IF($E39="E2",('Benefits Cost'!$C$9),IF($E39="E3",('Benefits Cost'!$C$10),0)))))</f>
        <v>0</v>
      </c>
      <c r="I39" s="229">
        <f>IF($D39=0,('Benefits Cost'!$C$11),IF($E39="E",('Benefits Cost'!$C$13),IF($E39="E1",('Benefits Cost'!$C$14),IF($E39="E2",('Benefits Cost'!$C$15),IF($E39="E3",('Benefits Cost'!$C$16),0)))))</f>
        <v>0</v>
      </c>
      <c r="J39" s="229">
        <f>IF($D39=0,('Benefits Cost'!$C$11),IF($E39="E",('Benefits Cost'!$C$19),IF($E39="E1",('Benefits Cost'!$C$20),IF($E39="E2",('Benefits Cost'!$C$21),IF($E39="E3",('Benefits Cost'!$C$22),0)))))</f>
        <v>0</v>
      </c>
      <c r="K39" s="229">
        <f>SUM(G39 * 'Benefits Cost'!$E$30 * 'Benefits Cost'!$C$30)</f>
        <v>0</v>
      </c>
      <c r="L39" s="283">
        <f t="shared" si="0"/>
        <v>0</v>
      </c>
      <c r="M39" s="283">
        <f t="shared" si="1"/>
        <v>805</v>
      </c>
      <c r="N39" s="283">
        <f t="shared" si="8"/>
        <v>805</v>
      </c>
      <c r="O39" s="283">
        <f t="shared" si="9"/>
        <v>0</v>
      </c>
      <c r="P39" s="283">
        <f t="shared" si="9"/>
        <v>0</v>
      </c>
      <c r="Q39" s="283">
        <f t="shared" si="9"/>
        <v>0</v>
      </c>
      <c r="R39" s="283">
        <f t="shared" si="10"/>
        <v>0</v>
      </c>
      <c r="S39" s="229">
        <f t="shared" si="11"/>
        <v>0</v>
      </c>
      <c r="T39" s="229">
        <f t="shared" si="2"/>
        <v>0</v>
      </c>
      <c r="U39" s="229">
        <f t="shared" si="12"/>
        <v>0</v>
      </c>
      <c r="V39" s="284">
        <f t="shared" si="3"/>
        <v>24.62526766595289</v>
      </c>
      <c r="W39" s="229">
        <f t="shared" si="4"/>
        <v>0</v>
      </c>
      <c r="X39" s="229">
        <f t="shared" si="5"/>
        <v>5.1713062098501075</v>
      </c>
      <c r="Y39" s="229">
        <f t="shared" si="13"/>
        <v>29.796573875802999</v>
      </c>
      <c r="Z39" s="229">
        <f t="shared" si="6"/>
        <v>61976.873661670237</v>
      </c>
    </row>
    <row r="40" spans="1:26" x14ac:dyDescent="0.25">
      <c r="A40" s="929"/>
      <c r="B40" s="140">
        <f>'Plant Salaries'!B38</f>
        <v>35</v>
      </c>
      <c r="C40" s="141" t="str">
        <f>'Plant Salaries'!C38</f>
        <v xml:space="preserve">Line Mechanic </v>
      </c>
      <c r="D40" s="248">
        <f>'Plant Salaries'!F38</f>
        <v>46000</v>
      </c>
      <c r="E40" s="296" t="s">
        <v>503</v>
      </c>
      <c r="F40" s="297">
        <v>0</v>
      </c>
      <c r="G40" s="283">
        <f t="shared" si="7"/>
        <v>3833.3333333333335</v>
      </c>
      <c r="H40" s="229">
        <f>IF($D40=0,('Benefits Cost'!$C$11),IF($E40="E",('Benefits Cost'!$C$7),IF($E40="E1",('Benefits Cost'!$C$8),IF($E40="E2",('Benefits Cost'!$C$9),IF($E40="E3",('Benefits Cost'!$C$10),0)))))</f>
        <v>0</v>
      </c>
      <c r="I40" s="229">
        <f>IF($D40=0,('Benefits Cost'!$C$11),IF($E40="E",('Benefits Cost'!$C$13),IF($E40="E1",('Benefits Cost'!$C$14),IF($E40="E2",('Benefits Cost'!$C$15),IF($E40="E3",('Benefits Cost'!$C$16),0)))))</f>
        <v>0</v>
      </c>
      <c r="J40" s="229">
        <f>IF($D40=0,('Benefits Cost'!$C$11),IF($E40="E",('Benefits Cost'!$C$19),IF($E40="E1",('Benefits Cost'!$C$20),IF($E40="E2",('Benefits Cost'!$C$21),IF($E40="E3",('Benefits Cost'!$C$22),0)))))</f>
        <v>0</v>
      </c>
      <c r="K40" s="229">
        <f>SUM(G40 * 'Benefits Cost'!$E$30 * 'Benefits Cost'!$C$30)</f>
        <v>0</v>
      </c>
      <c r="L40" s="283">
        <f t="shared" si="0"/>
        <v>0</v>
      </c>
      <c r="M40" s="283">
        <f t="shared" si="1"/>
        <v>805</v>
      </c>
      <c r="N40" s="283">
        <f t="shared" si="8"/>
        <v>805</v>
      </c>
      <c r="O40" s="283">
        <f t="shared" si="9"/>
        <v>0</v>
      </c>
      <c r="P40" s="283">
        <f t="shared" si="9"/>
        <v>0</v>
      </c>
      <c r="Q40" s="283">
        <f t="shared" si="9"/>
        <v>0</v>
      </c>
      <c r="R40" s="283">
        <f t="shared" si="10"/>
        <v>0</v>
      </c>
      <c r="S40" s="229">
        <f t="shared" si="11"/>
        <v>0</v>
      </c>
      <c r="T40" s="229">
        <f t="shared" si="2"/>
        <v>0</v>
      </c>
      <c r="U40" s="229">
        <f t="shared" si="12"/>
        <v>0</v>
      </c>
      <c r="V40" s="284">
        <f t="shared" si="3"/>
        <v>24.62526766595289</v>
      </c>
      <c r="W40" s="229">
        <f t="shared" si="4"/>
        <v>0</v>
      </c>
      <c r="X40" s="229">
        <f t="shared" si="5"/>
        <v>5.1713062098501075</v>
      </c>
      <c r="Y40" s="229">
        <f t="shared" si="13"/>
        <v>29.796573875802999</v>
      </c>
      <c r="Z40" s="229">
        <f t="shared" si="6"/>
        <v>61976.873661670237</v>
      </c>
    </row>
    <row r="41" spans="1:26" x14ac:dyDescent="0.25">
      <c r="A41" s="929"/>
      <c r="B41" s="140">
        <f>'Plant Salaries'!B39</f>
        <v>36</v>
      </c>
      <c r="C41" s="141" t="str">
        <f>'Plant Salaries'!C39</f>
        <v xml:space="preserve">Line Mechanic </v>
      </c>
      <c r="D41" s="248">
        <f>'Plant Salaries'!F39</f>
        <v>46000</v>
      </c>
      <c r="E41" s="296" t="s">
        <v>502</v>
      </c>
      <c r="F41" s="297">
        <v>0</v>
      </c>
      <c r="G41" s="283">
        <f t="shared" si="7"/>
        <v>3833.3333333333335</v>
      </c>
      <c r="H41" s="229">
        <f>IF($D41=0,('Benefits Cost'!$C$11),IF($E41="E",('Benefits Cost'!$C$7),IF($E41="E1",('Benefits Cost'!$C$8),IF($E41="E2",('Benefits Cost'!$C$9),IF($E41="E3",('Benefits Cost'!$C$10),0)))))</f>
        <v>0</v>
      </c>
      <c r="I41" s="229">
        <f>IF($D41=0,('Benefits Cost'!$C$11),IF($E41="E",('Benefits Cost'!$C$13),IF($E41="E1",('Benefits Cost'!$C$14),IF($E41="E2",('Benefits Cost'!$C$15),IF($E41="E3",('Benefits Cost'!$C$16),0)))))</f>
        <v>0</v>
      </c>
      <c r="J41" s="229">
        <f>IF($D41=0,('Benefits Cost'!$C$11),IF($E41="E",('Benefits Cost'!$C$19),IF($E41="E1",('Benefits Cost'!$C$20),IF($E41="E2",('Benefits Cost'!$C$21),IF($E41="E3",('Benefits Cost'!$C$22),0)))))</f>
        <v>0</v>
      </c>
      <c r="K41" s="229">
        <f>SUM(G41 * 'Benefits Cost'!$E$30 * 'Benefits Cost'!$C$30)</f>
        <v>0</v>
      </c>
      <c r="L41" s="283">
        <f t="shared" si="0"/>
        <v>0</v>
      </c>
      <c r="M41" s="283">
        <f t="shared" si="1"/>
        <v>805</v>
      </c>
      <c r="N41" s="283">
        <f t="shared" si="8"/>
        <v>805</v>
      </c>
      <c r="O41" s="283">
        <f t="shared" si="9"/>
        <v>0</v>
      </c>
      <c r="P41" s="283">
        <f t="shared" si="9"/>
        <v>0</v>
      </c>
      <c r="Q41" s="283">
        <f t="shared" si="9"/>
        <v>0</v>
      </c>
      <c r="R41" s="283">
        <f t="shared" si="10"/>
        <v>0</v>
      </c>
      <c r="S41" s="229">
        <f t="shared" si="11"/>
        <v>0</v>
      </c>
      <c r="T41" s="229">
        <f t="shared" si="2"/>
        <v>0</v>
      </c>
      <c r="U41" s="229">
        <f t="shared" si="12"/>
        <v>0</v>
      </c>
      <c r="V41" s="284">
        <f t="shared" si="3"/>
        <v>24.62526766595289</v>
      </c>
      <c r="W41" s="229">
        <f t="shared" si="4"/>
        <v>0</v>
      </c>
      <c r="X41" s="229">
        <f t="shared" si="5"/>
        <v>5.1713062098501075</v>
      </c>
      <c r="Y41" s="229">
        <f t="shared" si="13"/>
        <v>29.796573875802999</v>
      </c>
      <c r="Z41" s="229">
        <f t="shared" si="6"/>
        <v>61976.873661670237</v>
      </c>
    </row>
    <row r="42" spans="1:26" x14ac:dyDescent="0.25">
      <c r="A42" s="929"/>
      <c r="B42" s="140">
        <f>'Plant Salaries'!B40</f>
        <v>37</v>
      </c>
      <c r="C42" s="141" t="str">
        <f>'Plant Salaries'!C40</f>
        <v xml:space="preserve">Line Mechanic </v>
      </c>
      <c r="D42" s="248">
        <f>'Plant Salaries'!F40</f>
        <v>35000</v>
      </c>
      <c r="E42" s="296" t="s">
        <v>504</v>
      </c>
      <c r="F42" s="297">
        <v>0</v>
      </c>
      <c r="G42" s="283">
        <f t="shared" si="7"/>
        <v>2916.6666666666665</v>
      </c>
      <c r="H42" s="229">
        <f>IF($D42=0,('Benefits Cost'!$C$11),IF($E42="E",('Benefits Cost'!$C$7),IF($E42="E1",('Benefits Cost'!$C$8),IF($E42="E2",('Benefits Cost'!$C$9),IF($E42="E3",('Benefits Cost'!$C$10),0)))))</f>
        <v>0</v>
      </c>
      <c r="I42" s="229">
        <f>IF($D42=0,('Benefits Cost'!$C$11),IF($E42="E",('Benefits Cost'!$C$13),IF($E42="E1",('Benefits Cost'!$C$14),IF($E42="E2",('Benefits Cost'!$C$15),IF($E42="E3",('Benefits Cost'!$C$16),0)))))</f>
        <v>0</v>
      </c>
      <c r="J42" s="229">
        <f>IF($D42=0,('Benefits Cost'!$C$11),IF($E42="E",('Benefits Cost'!$C$19),IF($E42="E1",('Benefits Cost'!$C$20),IF($E42="E2",('Benefits Cost'!$C$21),IF($E42="E3",('Benefits Cost'!$C$22),0)))))</f>
        <v>0</v>
      </c>
      <c r="K42" s="229">
        <f>SUM(G42 * 'Benefits Cost'!$E$30 * 'Benefits Cost'!$C$30)</f>
        <v>0</v>
      </c>
      <c r="L42" s="283">
        <f t="shared" si="0"/>
        <v>0</v>
      </c>
      <c r="M42" s="283">
        <f t="shared" si="1"/>
        <v>613</v>
      </c>
      <c r="N42" s="283">
        <f t="shared" si="8"/>
        <v>613</v>
      </c>
      <c r="O42" s="283">
        <f t="shared" si="9"/>
        <v>0</v>
      </c>
      <c r="P42" s="283">
        <f t="shared" si="9"/>
        <v>0</v>
      </c>
      <c r="Q42" s="283">
        <f t="shared" si="9"/>
        <v>0</v>
      </c>
      <c r="R42" s="283">
        <f t="shared" si="10"/>
        <v>0</v>
      </c>
      <c r="S42" s="229">
        <f t="shared" si="11"/>
        <v>0</v>
      </c>
      <c r="T42" s="229">
        <f t="shared" si="2"/>
        <v>0</v>
      </c>
      <c r="U42" s="229">
        <f t="shared" si="12"/>
        <v>0</v>
      </c>
      <c r="V42" s="284">
        <f t="shared" si="3"/>
        <v>18.736616702355459</v>
      </c>
      <c r="W42" s="229">
        <f t="shared" si="4"/>
        <v>0</v>
      </c>
      <c r="X42" s="229">
        <f t="shared" si="5"/>
        <v>3.9379014989293362</v>
      </c>
      <c r="Y42" s="229">
        <f t="shared" si="13"/>
        <v>22.674518201284794</v>
      </c>
      <c r="Z42" s="229">
        <f t="shared" si="6"/>
        <v>47162.997858672374</v>
      </c>
    </row>
    <row r="43" spans="1:26" x14ac:dyDescent="0.25">
      <c r="A43" s="929"/>
      <c r="B43" s="140">
        <f>'Plant Salaries'!B41</f>
        <v>38</v>
      </c>
      <c r="C43" s="141" t="str">
        <f>'Plant Salaries'!C41</f>
        <v xml:space="preserve">Line Mechanic </v>
      </c>
      <c r="D43" s="248">
        <f>'Plant Salaries'!F41</f>
        <v>35000</v>
      </c>
      <c r="E43" s="296" t="s">
        <v>505</v>
      </c>
      <c r="F43" s="297">
        <v>0</v>
      </c>
      <c r="G43" s="283">
        <f t="shared" si="7"/>
        <v>2916.6666666666665</v>
      </c>
      <c r="H43" s="229">
        <f>IF($D43=0,('Benefits Cost'!$C$11),IF($E43="E",('Benefits Cost'!$C$7),IF($E43="E1",('Benefits Cost'!$C$8),IF($E43="E2",('Benefits Cost'!$C$9),IF($E43="E3",('Benefits Cost'!$C$10),0)))))</f>
        <v>0</v>
      </c>
      <c r="I43" s="229">
        <f>IF($D43=0,('Benefits Cost'!$C$11),IF($E43="E",('Benefits Cost'!$C$13),IF($E43="E1",('Benefits Cost'!$C$14),IF($E43="E2",('Benefits Cost'!$C$15),IF($E43="E3",('Benefits Cost'!$C$16),0)))))</f>
        <v>0</v>
      </c>
      <c r="J43" s="229">
        <f>IF($D43=0,('Benefits Cost'!$C$11),IF($E43="E",('Benefits Cost'!$C$19),IF($E43="E1",('Benefits Cost'!$C$20),IF($E43="E2",('Benefits Cost'!$C$21),IF($E43="E3",('Benefits Cost'!$C$22),0)))))</f>
        <v>0</v>
      </c>
      <c r="K43" s="229">
        <f>SUM(G43 * 'Benefits Cost'!$E$30 * 'Benefits Cost'!$C$30)</f>
        <v>0</v>
      </c>
      <c r="L43" s="283">
        <f t="shared" si="0"/>
        <v>0</v>
      </c>
      <c r="M43" s="283">
        <f t="shared" si="1"/>
        <v>613</v>
      </c>
      <c r="N43" s="283">
        <f t="shared" si="8"/>
        <v>613</v>
      </c>
      <c r="O43" s="283">
        <f t="shared" si="9"/>
        <v>0</v>
      </c>
      <c r="P43" s="283">
        <f t="shared" si="9"/>
        <v>0</v>
      </c>
      <c r="Q43" s="283">
        <f t="shared" si="9"/>
        <v>0</v>
      </c>
      <c r="R43" s="283">
        <f t="shared" si="10"/>
        <v>0</v>
      </c>
      <c r="S43" s="229">
        <f t="shared" si="11"/>
        <v>0</v>
      </c>
      <c r="T43" s="229">
        <f t="shared" si="2"/>
        <v>0</v>
      </c>
      <c r="U43" s="229">
        <f t="shared" si="12"/>
        <v>0</v>
      </c>
      <c r="V43" s="284">
        <f t="shared" si="3"/>
        <v>18.736616702355459</v>
      </c>
      <c r="W43" s="229">
        <f t="shared" si="4"/>
        <v>0</v>
      </c>
      <c r="X43" s="229">
        <f t="shared" si="5"/>
        <v>3.9379014989293362</v>
      </c>
      <c r="Y43" s="229">
        <f t="shared" si="13"/>
        <v>22.674518201284794</v>
      </c>
      <c r="Z43" s="229">
        <f t="shared" si="6"/>
        <v>47162.997858672374</v>
      </c>
    </row>
    <row r="44" spans="1:26" x14ac:dyDescent="0.25">
      <c r="A44" s="929"/>
      <c r="B44" s="140">
        <f>'Plant Salaries'!B42</f>
        <v>39</v>
      </c>
      <c r="C44" s="141" t="str">
        <f>'Plant Salaries'!C42</f>
        <v xml:space="preserve">Line Mechanic </v>
      </c>
      <c r="D44" s="248">
        <f>'Plant Salaries'!F42</f>
        <v>35000</v>
      </c>
      <c r="E44" s="296" t="s">
        <v>502</v>
      </c>
      <c r="F44" s="297">
        <v>0</v>
      </c>
      <c r="G44" s="283">
        <f t="shared" si="7"/>
        <v>2916.6666666666665</v>
      </c>
      <c r="H44" s="229">
        <f>IF($D44=0,('Benefits Cost'!$C$11),IF($E44="E",('Benefits Cost'!$C$7),IF($E44="E1",('Benefits Cost'!$C$8),IF($E44="E2",('Benefits Cost'!$C$9),IF($E44="E3",('Benefits Cost'!$C$10),0)))))</f>
        <v>0</v>
      </c>
      <c r="I44" s="229">
        <f>IF($D44=0,('Benefits Cost'!$C$11),IF($E44="E",('Benefits Cost'!$C$13),IF($E44="E1",('Benefits Cost'!$C$14),IF($E44="E2",('Benefits Cost'!$C$15),IF($E44="E3",('Benefits Cost'!$C$16),0)))))</f>
        <v>0</v>
      </c>
      <c r="J44" s="229">
        <f>IF($D44=0,('Benefits Cost'!$C$11),IF($E44="E",('Benefits Cost'!$C$19),IF($E44="E1",('Benefits Cost'!$C$20),IF($E44="E2",('Benefits Cost'!$C$21),IF($E44="E3",('Benefits Cost'!$C$22),0)))))</f>
        <v>0</v>
      </c>
      <c r="K44" s="229">
        <f>SUM(G44 * 'Benefits Cost'!$E$30 * 'Benefits Cost'!$C$30)</f>
        <v>0</v>
      </c>
      <c r="L44" s="283">
        <f t="shared" si="0"/>
        <v>0</v>
      </c>
      <c r="M44" s="283">
        <f t="shared" si="1"/>
        <v>613</v>
      </c>
      <c r="N44" s="283">
        <f t="shared" si="8"/>
        <v>613</v>
      </c>
      <c r="O44" s="283">
        <f t="shared" si="9"/>
        <v>0</v>
      </c>
      <c r="P44" s="283">
        <f t="shared" si="9"/>
        <v>0</v>
      </c>
      <c r="Q44" s="283">
        <f t="shared" si="9"/>
        <v>0</v>
      </c>
      <c r="R44" s="283">
        <f t="shared" si="10"/>
        <v>0</v>
      </c>
      <c r="S44" s="229">
        <f t="shared" si="11"/>
        <v>0</v>
      </c>
      <c r="T44" s="229">
        <f t="shared" si="2"/>
        <v>0</v>
      </c>
      <c r="U44" s="229">
        <f t="shared" si="12"/>
        <v>0</v>
      </c>
      <c r="V44" s="284">
        <f t="shared" si="3"/>
        <v>18.736616702355459</v>
      </c>
      <c r="W44" s="229">
        <f t="shared" si="4"/>
        <v>0</v>
      </c>
      <c r="X44" s="229">
        <f t="shared" si="5"/>
        <v>3.9379014989293362</v>
      </c>
      <c r="Y44" s="229">
        <f t="shared" si="13"/>
        <v>22.674518201284794</v>
      </c>
      <c r="Z44" s="229">
        <f t="shared" si="6"/>
        <v>47162.997858672374</v>
      </c>
    </row>
    <row r="45" spans="1:26" x14ac:dyDescent="0.25">
      <c r="A45" s="929"/>
      <c r="B45" s="140">
        <f>'Plant Salaries'!B43</f>
        <v>40</v>
      </c>
      <c r="C45" s="141" t="str">
        <f>'Plant Salaries'!C43</f>
        <v xml:space="preserve">Line Mechanic </v>
      </c>
      <c r="D45" s="248">
        <f>'Plant Salaries'!F43</f>
        <v>35000</v>
      </c>
      <c r="E45" s="296" t="s">
        <v>502</v>
      </c>
      <c r="F45" s="297">
        <v>0</v>
      </c>
      <c r="G45" s="283">
        <f t="shared" si="7"/>
        <v>2916.6666666666665</v>
      </c>
      <c r="H45" s="229">
        <f>IF($D45=0,('Benefits Cost'!$C$11),IF($E45="E",('Benefits Cost'!$C$7),IF($E45="E1",('Benefits Cost'!$C$8),IF($E45="E2",('Benefits Cost'!$C$9),IF($E45="E3",('Benefits Cost'!$C$10),0)))))</f>
        <v>0</v>
      </c>
      <c r="I45" s="229">
        <f>IF($D45=0,('Benefits Cost'!$C$11),IF($E45="E",('Benefits Cost'!$C$13),IF($E45="E1",('Benefits Cost'!$C$14),IF($E45="E2",('Benefits Cost'!$C$15),IF($E45="E3",('Benefits Cost'!$C$16),0)))))</f>
        <v>0</v>
      </c>
      <c r="J45" s="229">
        <f>IF($D45=0,('Benefits Cost'!$C$11),IF($E45="E",('Benefits Cost'!$C$19),IF($E45="E1",('Benefits Cost'!$C$20),IF($E45="E2",('Benefits Cost'!$C$21),IF($E45="E3",('Benefits Cost'!$C$22),0)))))</f>
        <v>0</v>
      </c>
      <c r="K45" s="229">
        <f>SUM(G45 * 'Benefits Cost'!$E$30 * 'Benefits Cost'!$C$30)</f>
        <v>0</v>
      </c>
      <c r="L45" s="283">
        <f t="shared" si="0"/>
        <v>0</v>
      </c>
      <c r="M45" s="283">
        <f t="shared" si="1"/>
        <v>613</v>
      </c>
      <c r="N45" s="283">
        <f t="shared" si="8"/>
        <v>613</v>
      </c>
      <c r="O45" s="283">
        <f t="shared" si="9"/>
        <v>0</v>
      </c>
      <c r="P45" s="283">
        <f t="shared" si="9"/>
        <v>0</v>
      </c>
      <c r="Q45" s="283">
        <f t="shared" si="9"/>
        <v>0</v>
      </c>
      <c r="R45" s="283">
        <f t="shared" si="10"/>
        <v>0</v>
      </c>
      <c r="S45" s="229">
        <f t="shared" si="11"/>
        <v>0</v>
      </c>
      <c r="T45" s="229">
        <f t="shared" si="2"/>
        <v>0</v>
      </c>
      <c r="U45" s="229">
        <f t="shared" si="12"/>
        <v>0</v>
      </c>
      <c r="V45" s="284">
        <f t="shared" si="3"/>
        <v>18.736616702355459</v>
      </c>
      <c r="W45" s="229">
        <f t="shared" si="4"/>
        <v>0</v>
      </c>
      <c r="X45" s="229">
        <f t="shared" si="5"/>
        <v>3.9379014989293362</v>
      </c>
      <c r="Y45" s="229">
        <f t="shared" si="13"/>
        <v>22.674518201284794</v>
      </c>
      <c r="Z45" s="229">
        <f t="shared" si="6"/>
        <v>47162.997858672374</v>
      </c>
    </row>
    <row r="46" spans="1:26" x14ac:dyDescent="0.25">
      <c r="A46" s="929"/>
      <c r="B46" s="140">
        <f>'Plant Salaries'!B44</f>
        <v>41</v>
      </c>
      <c r="C46" s="141" t="str">
        <f>'Plant Salaries'!C44</f>
        <v xml:space="preserve">Line Mechanic </v>
      </c>
      <c r="D46" s="248">
        <f>'Plant Salaries'!F44</f>
        <v>35000</v>
      </c>
      <c r="E46" s="296" t="s">
        <v>502</v>
      </c>
      <c r="F46" s="297">
        <v>0</v>
      </c>
      <c r="G46" s="283">
        <f t="shared" si="7"/>
        <v>2916.6666666666665</v>
      </c>
      <c r="H46" s="229">
        <f>IF($D46=0,('Benefits Cost'!$C$11),IF($E46="E",('Benefits Cost'!$C$7),IF($E46="E1",('Benefits Cost'!$C$8),IF($E46="E2",('Benefits Cost'!$C$9),IF($E46="E3",('Benefits Cost'!$C$10),0)))))</f>
        <v>0</v>
      </c>
      <c r="I46" s="229">
        <f>IF($D46=0,('Benefits Cost'!$C$11),IF($E46="E",('Benefits Cost'!$C$13),IF($E46="E1",('Benefits Cost'!$C$14),IF($E46="E2",('Benefits Cost'!$C$15),IF($E46="E3",('Benefits Cost'!$C$16),0)))))</f>
        <v>0</v>
      </c>
      <c r="J46" s="229">
        <f>IF($D46=0,('Benefits Cost'!$C$11),IF($E46="E",('Benefits Cost'!$C$19),IF($E46="E1",('Benefits Cost'!$C$20),IF($E46="E2",('Benefits Cost'!$C$21),IF($E46="E3",('Benefits Cost'!$C$22),0)))))</f>
        <v>0</v>
      </c>
      <c r="K46" s="229">
        <f>SUM(G46 * 'Benefits Cost'!$E$30 * 'Benefits Cost'!$C$30)</f>
        <v>0</v>
      </c>
      <c r="L46" s="283">
        <f t="shared" si="0"/>
        <v>0</v>
      </c>
      <c r="M46" s="283">
        <f t="shared" si="1"/>
        <v>613</v>
      </c>
      <c r="N46" s="283">
        <f t="shared" si="8"/>
        <v>613</v>
      </c>
      <c r="O46" s="283">
        <f t="shared" si="9"/>
        <v>0</v>
      </c>
      <c r="P46" s="283">
        <f t="shared" si="9"/>
        <v>0</v>
      </c>
      <c r="Q46" s="283">
        <f t="shared" si="9"/>
        <v>0</v>
      </c>
      <c r="R46" s="283">
        <f t="shared" si="10"/>
        <v>0</v>
      </c>
      <c r="S46" s="229">
        <f t="shared" si="11"/>
        <v>0</v>
      </c>
      <c r="T46" s="229">
        <f t="shared" si="2"/>
        <v>0</v>
      </c>
      <c r="U46" s="229">
        <f t="shared" si="12"/>
        <v>0</v>
      </c>
      <c r="V46" s="284">
        <f t="shared" si="3"/>
        <v>18.736616702355459</v>
      </c>
      <c r="W46" s="229">
        <f t="shared" si="4"/>
        <v>0</v>
      </c>
      <c r="X46" s="229">
        <f t="shared" si="5"/>
        <v>3.9379014989293362</v>
      </c>
      <c r="Y46" s="229">
        <f t="shared" si="13"/>
        <v>22.674518201284794</v>
      </c>
      <c r="Z46" s="229">
        <f t="shared" si="6"/>
        <v>47162.997858672374</v>
      </c>
    </row>
    <row r="47" spans="1:26" x14ac:dyDescent="0.25">
      <c r="A47" s="929"/>
      <c r="B47" s="140">
        <f>'Plant Salaries'!B45</f>
        <v>42</v>
      </c>
      <c r="C47" s="141" t="str">
        <f>'Plant Salaries'!C45</f>
        <v xml:space="preserve">Line Mechanic </v>
      </c>
      <c r="D47" s="248">
        <f>'Plant Salaries'!F45</f>
        <v>35000</v>
      </c>
      <c r="E47" s="296" t="s">
        <v>503</v>
      </c>
      <c r="F47" s="297">
        <v>0</v>
      </c>
      <c r="G47" s="283">
        <f t="shared" si="7"/>
        <v>2916.6666666666665</v>
      </c>
      <c r="H47" s="229">
        <f>IF($D47=0,('Benefits Cost'!$C$11),IF($E47="E",('Benefits Cost'!$C$7),IF($E47="E1",('Benefits Cost'!$C$8),IF($E47="E2",('Benefits Cost'!$C$9),IF($E47="E3",('Benefits Cost'!$C$10),0)))))</f>
        <v>0</v>
      </c>
      <c r="I47" s="229">
        <f>IF($D47=0,('Benefits Cost'!$C$11),IF($E47="E",('Benefits Cost'!$C$13),IF($E47="E1",('Benefits Cost'!$C$14),IF($E47="E2",('Benefits Cost'!$C$15),IF($E47="E3",('Benefits Cost'!$C$16),0)))))</f>
        <v>0</v>
      </c>
      <c r="J47" s="229">
        <f>IF($D47=0,('Benefits Cost'!$C$11),IF($E47="E",('Benefits Cost'!$C$19),IF($E47="E1",('Benefits Cost'!$C$20),IF($E47="E2",('Benefits Cost'!$C$21),IF($E47="E3",('Benefits Cost'!$C$22),0)))))</f>
        <v>0</v>
      </c>
      <c r="K47" s="229">
        <f>SUM(G47 * 'Benefits Cost'!$E$30 * 'Benefits Cost'!$C$30)</f>
        <v>0</v>
      </c>
      <c r="L47" s="283">
        <f t="shared" si="0"/>
        <v>0</v>
      </c>
      <c r="M47" s="283">
        <f t="shared" si="1"/>
        <v>613</v>
      </c>
      <c r="N47" s="283">
        <f t="shared" si="8"/>
        <v>613</v>
      </c>
      <c r="O47" s="283">
        <f t="shared" si="9"/>
        <v>0</v>
      </c>
      <c r="P47" s="283">
        <f t="shared" si="9"/>
        <v>0</v>
      </c>
      <c r="Q47" s="283">
        <f t="shared" si="9"/>
        <v>0</v>
      </c>
      <c r="R47" s="283">
        <f t="shared" si="10"/>
        <v>0</v>
      </c>
      <c r="S47" s="229">
        <f t="shared" si="11"/>
        <v>0</v>
      </c>
      <c r="T47" s="229">
        <f t="shared" si="2"/>
        <v>0</v>
      </c>
      <c r="U47" s="229">
        <f t="shared" si="12"/>
        <v>0</v>
      </c>
      <c r="V47" s="284">
        <f t="shared" si="3"/>
        <v>18.736616702355459</v>
      </c>
      <c r="W47" s="229">
        <f t="shared" si="4"/>
        <v>0</v>
      </c>
      <c r="X47" s="229">
        <f t="shared" si="5"/>
        <v>3.9379014989293362</v>
      </c>
      <c r="Y47" s="229">
        <f t="shared" si="13"/>
        <v>22.674518201284794</v>
      </c>
      <c r="Z47" s="229">
        <f t="shared" si="6"/>
        <v>47162.997858672374</v>
      </c>
    </row>
    <row r="48" spans="1:26" x14ac:dyDescent="0.25">
      <c r="A48" s="929"/>
      <c r="B48" s="140">
        <f>'Plant Salaries'!B46</f>
        <v>43</v>
      </c>
      <c r="C48" s="141" t="str">
        <f>'Plant Salaries'!C46</f>
        <v xml:space="preserve">Line Mechanic </v>
      </c>
      <c r="D48" s="248">
        <f>'Plant Salaries'!F46</f>
        <v>35000</v>
      </c>
      <c r="E48" s="296" t="s">
        <v>502</v>
      </c>
      <c r="F48" s="297">
        <v>0</v>
      </c>
      <c r="G48" s="283">
        <f t="shared" si="7"/>
        <v>2916.6666666666665</v>
      </c>
      <c r="H48" s="229">
        <f>IF($D48=0,('Benefits Cost'!$C$11),IF($E48="E",('Benefits Cost'!$C$7),IF($E48="E1",('Benefits Cost'!$C$8),IF($E48="E2",('Benefits Cost'!$C$9),IF($E48="E3",('Benefits Cost'!$C$10),0)))))</f>
        <v>0</v>
      </c>
      <c r="I48" s="229">
        <f>IF($D48=0,('Benefits Cost'!$C$11),IF($E48="E",('Benefits Cost'!$C$13),IF($E48="E1",('Benefits Cost'!$C$14),IF($E48="E2",('Benefits Cost'!$C$15),IF($E48="E3",('Benefits Cost'!$C$16),0)))))</f>
        <v>0</v>
      </c>
      <c r="J48" s="229">
        <f>IF($D48=0,('Benefits Cost'!$C$11),IF($E48="E",('Benefits Cost'!$C$19),IF($E48="E1",('Benefits Cost'!$C$20),IF($E48="E2",('Benefits Cost'!$C$21),IF($E48="E3",('Benefits Cost'!$C$22),0)))))</f>
        <v>0</v>
      </c>
      <c r="K48" s="229">
        <f>SUM(G48 * 'Benefits Cost'!$E$30 * 'Benefits Cost'!$C$30)</f>
        <v>0</v>
      </c>
      <c r="L48" s="283">
        <f t="shared" si="0"/>
        <v>0</v>
      </c>
      <c r="M48" s="283">
        <f t="shared" si="1"/>
        <v>613</v>
      </c>
      <c r="N48" s="283">
        <f t="shared" si="8"/>
        <v>613</v>
      </c>
      <c r="O48" s="283">
        <f t="shared" si="9"/>
        <v>0</v>
      </c>
      <c r="P48" s="283">
        <f t="shared" si="9"/>
        <v>0</v>
      </c>
      <c r="Q48" s="283">
        <f t="shared" si="9"/>
        <v>0</v>
      </c>
      <c r="R48" s="283">
        <f t="shared" si="10"/>
        <v>0</v>
      </c>
      <c r="S48" s="229">
        <f t="shared" si="11"/>
        <v>0</v>
      </c>
      <c r="T48" s="229">
        <f t="shared" si="2"/>
        <v>0</v>
      </c>
      <c r="U48" s="229">
        <f t="shared" si="12"/>
        <v>0</v>
      </c>
      <c r="V48" s="284">
        <f t="shared" si="3"/>
        <v>18.736616702355459</v>
      </c>
      <c r="W48" s="229">
        <f t="shared" si="4"/>
        <v>0</v>
      </c>
      <c r="X48" s="229">
        <f t="shared" si="5"/>
        <v>3.9379014989293362</v>
      </c>
      <c r="Y48" s="229">
        <f t="shared" si="13"/>
        <v>22.674518201284794</v>
      </c>
      <c r="Z48" s="229">
        <f t="shared" si="6"/>
        <v>47162.997858672374</v>
      </c>
    </row>
    <row r="49" spans="1:26" x14ac:dyDescent="0.25">
      <c r="A49" s="929"/>
      <c r="B49" s="140">
        <f>'Plant Salaries'!B47</f>
        <v>44</v>
      </c>
      <c r="C49" s="141" t="str">
        <f>'Plant Salaries'!C47</f>
        <v xml:space="preserve">Line Mechanic </v>
      </c>
      <c r="D49" s="248">
        <f>'Plant Salaries'!F47</f>
        <v>35000</v>
      </c>
      <c r="E49" s="296" t="s">
        <v>504</v>
      </c>
      <c r="F49" s="297">
        <v>0</v>
      </c>
      <c r="G49" s="283">
        <f t="shared" si="7"/>
        <v>2916.6666666666665</v>
      </c>
      <c r="H49" s="229">
        <f>IF($D49=0,('Benefits Cost'!$C$11),IF($E49="E",('Benefits Cost'!$C$7),IF($E49="E1",('Benefits Cost'!$C$8),IF($E49="E2",('Benefits Cost'!$C$9),IF($E49="E3",('Benefits Cost'!$C$10),0)))))</f>
        <v>0</v>
      </c>
      <c r="I49" s="229">
        <f>IF($D49=0,('Benefits Cost'!$C$11),IF($E49="E",('Benefits Cost'!$C$13),IF($E49="E1",('Benefits Cost'!$C$14),IF($E49="E2",('Benefits Cost'!$C$15),IF($E49="E3",('Benefits Cost'!$C$16),0)))))</f>
        <v>0</v>
      </c>
      <c r="J49" s="229">
        <f>IF($D49=0,('Benefits Cost'!$C$11),IF($E49="E",('Benefits Cost'!$C$19),IF($E49="E1",('Benefits Cost'!$C$20),IF($E49="E2",('Benefits Cost'!$C$21),IF($E49="E3",('Benefits Cost'!$C$22),0)))))</f>
        <v>0</v>
      </c>
      <c r="K49" s="229">
        <f>SUM(G49 * 'Benefits Cost'!$E$30 * 'Benefits Cost'!$C$30)</f>
        <v>0</v>
      </c>
      <c r="L49" s="283">
        <f t="shared" si="0"/>
        <v>0</v>
      </c>
      <c r="M49" s="283">
        <f t="shared" si="1"/>
        <v>613</v>
      </c>
      <c r="N49" s="283">
        <f t="shared" si="8"/>
        <v>613</v>
      </c>
      <c r="O49" s="283">
        <f t="shared" si="9"/>
        <v>0</v>
      </c>
      <c r="P49" s="283">
        <f t="shared" si="9"/>
        <v>0</v>
      </c>
      <c r="Q49" s="283">
        <f t="shared" si="9"/>
        <v>0</v>
      </c>
      <c r="R49" s="283">
        <f t="shared" si="10"/>
        <v>0</v>
      </c>
      <c r="S49" s="229">
        <f t="shared" si="11"/>
        <v>0</v>
      </c>
      <c r="T49" s="229">
        <f t="shared" si="2"/>
        <v>0</v>
      </c>
      <c r="U49" s="229">
        <f t="shared" si="12"/>
        <v>0</v>
      </c>
      <c r="V49" s="284">
        <f t="shared" si="3"/>
        <v>18.736616702355459</v>
      </c>
      <c r="W49" s="229">
        <f t="shared" si="4"/>
        <v>0</v>
      </c>
      <c r="X49" s="229">
        <f t="shared" si="5"/>
        <v>3.9379014989293362</v>
      </c>
      <c r="Y49" s="229">
        <f t="shared" si="13"/>
        <v>22.674518201284794</v>
      </c>
      <c r="Z49" s="229">
        <f t="shared" si="6"/>
        <v>47162.997858672374</v>
      </c>
    </row>
    <row r="50" spans="1:26" x14ac:dyDescent="0.25">
      <c r="A50" s="929"/>
      <c r="B50" s="140">
        <f>'Plant Salaries'!B48</f>
        <v>45</v>
      </c>
      <c r="C50" s="141" t="str">
        <f>'Plant Salaries'!C48</f>
        <v xml:space="preserve">Line Mechanic </v>
      </c>
      <c r="D50" s="248">
        <f>'Plant Salaries'!F48</f>
        <v>35000</v>
      </c>
      <c r="E50" s="296" t="s">
        <v>505</v>
      </c>
      <c r="F50" s="297">
        <v>0</v>
      </c>
      <c r="G50" s="283">
        <f t="shared" si="7"/>
        <v>2916.6666666666665</v>
      </c>
      <c r="H50" s="229">
        <f>IF($D50=0,('Benefits Cost'!$C$11),IF($E50="E",('Benefits Cost'!$C$7),IF($E50="E1",('Benefits Cost'!$C$8),IF($E50="E2",('Benefits Cost'!$C$9),IF($E50="E3",('Benefits Cost'!$C$10),0)))))</f>
        <v>0</v>
      </c>
      <c r="I50" s="229">
        <f>IF($D50=0,('Benefits Cost'!$C$11),IF($E50="E",('Benefits Cost'!$C$13),IF($E50="E1",('Benefits Cost'!$C$14),IF($E50="E2",('Benefits Cost'!$C$15),IF($E50="E3",('Benefits Cost'!$C$16),0)))))</f>
        <v>0</v>
      </c>
      <c r="J50" s="229">
        <f>IF($D50=0,('Benefits Cost'!$C$11),IF($E50="E",('Benefits Cost'!$C$19),IF($E50="E1",('Benefits Cost'!$C$20),IF($E50="E2",('Benefits Cost'!$C$21),IF($E50="E3",('Benefits Cost'!$C$22),0)))))</f>
        <v>0</v>
      </c>
      <c r="K50" s="229">
        <f>SUM(G50 * 'Benefits Cost'!$E$30 * 'Benefits Cost'!$C$30)</f>
        <v>0</v>
      </c>
      <c r="L50" s="283">
        <f t="shared" si="0"/>
        <v>0</v>
      </c>
      <c r="M50" s="283">
        <f t="shared" si="1"/>
        <v>613</v>
      </c>
      <c r="N50" s="283">
        <f t="shared" si="8"/>
        <v>613</v>
      </c>
      <c r="O50" s="283">
        <f t="shared" si="9"/>
        <v>0</v>
      </c>
      <c r="P50" s="283">
        <f t="shared" si="9"/>
        <v>0</v>
      </c>
      <c r="Q50" s="283">
        <f t="shared" si="9"/>
        <v>0</v>
      </c>
      <c r="R50" s="283">
        <f t="shared" si="10"/>
        <v>0</v>
      </c>
      <c r="S50" s="229">
        <f t="shared" si="11"/>
        <v>0</v>
      </c>
      <c r="T50" s="229">
        <f t="shared" si="2"/>
        <v>0</v>
      </c>
      <c r="U50" s="229">
        <f t="shared" si="12"/>
        <v>0</v>
      </c>
      <c r="V50" s="284">
        <f t="shared" si="3"/>
        <v>18.736616702355459</v>
      </c>
      <c r="W50" s="229">
        <f t="shared" si="4"/>
        <v>0</v>
      </c>
      <c r="X50" s="229">
        <f t="shared" si="5"/>
        <v>3.9379014989293362</v>
      </c>
      <c r="Y50" s="229">
        <f t="shared" si="13"/>
        <v>22.674518201284794</v>
      </c>
      <c r="Z50" s="229">
        <f t="shared" si="6"/>
        <v>47162.997858672374</v>
      </c>
    </row>
    <row r="51" spans="1:26" x14ac:dyDescent="0.25">
      <c r="A51" s="929"/>
      <c r="B51" s="140">
        <f>'Plant Salaries'!B49</f>
        <v>46</v>
      </c>
      <c r="C51" s="141" t="str">
        <f>'Plant Salaries'!C49</f>
        <v xml:space="preserve">Line Mechanic </v>
      </c>
      <c r="D51" s="248">
        <f>'Plant Salaries'!F49</f>
        <v>35000</v>
      </c>
      <c r="E51" s="296" t="s">
        <v>503</v>
      </c>
      <c r="F51" s="297">
        <v>0</v>
      </c>
      <c r="G51" s="283">
        <f t="shared" si="7"/>
        <v>2916.6666666666665</v>
      </c>
      <c r="H51" s="229">
        <f>IF($D51=0,('Benefits Cost'!$C$11),IF($E51="E",('Benefits Cost'!$C$7),IF($E51="E1",('Benefits Cost'!$C$8),IF($E51="E2",('Benefits Cost'!$C$9),IF($E51="E3",('Benefits Cost'!$C$10),0)))))</f>
        <v>0</v>
      </c>
      <c r="I51" s="229">
        <f>IF($D51=0,('Benefits Cost'!$C$11),IF($E51="E",('Benefits Cost'!$C$13),IF($E51="E1",('Benefits Cost'!$C$14),IF($E51="E2",('Benefits Cost'!$C$15),IF($E51="E3",('Benefits Cost'!$C$16),0)))))</f>
        <v>0</v>
      </c>
      <c r="J51" s="229">
        <f>IF($D51=0,('Benefits Cost'!$C$11),IF($E51="E",('Benefits Cost'!$C$19),IF($E51="E1",('Benefits Cost'!$C$20),IF($E51="E2",('Benefits Cost'!$C$21),IF($E51="E3",('Benefits Cost'!$C$22),0)))))</f>
        <v>0</v>
      </c>
      <c r="K51" s="229">
        <f>SUM(G51 * 'Benefits Cost'!$E$30 * 'Benefits Cost'!$C$30)</f>
        <v>0</v>
      </c>
      <c r="L51" s="283">
        <f t="shared" si="0"/>
        <v>0</v>
      </c>
      <c r="M51" s="283">
        <f t="shared" si="1"/>
        <v>613</v>
      </c>
      <c r="N51" s="283">
        <f t="shared" si="8"/>
        <v>613</v>
      </c>
      <c r="O51" s="283">
        <f t="shared" si="9"/>
        <v>0</v>
      </c>
      <c r="P51" s="283">
        <f t="shared" si="9"/>
        <v>0</v>
      </c>
      <c r="Q51" s="283">
        <f t="shared" si="9"/>
        <v>0</v>
      </c>
      <c r="R51" s="283">
        <f t="shared" si="10"/>
        <v>0</v>
      </c>
      <c r="S51" s="229">
        <f t="shared" si="11"/>
        <v>0</v>
      </c>
      <c r="T51" s="229">
        <f t="shared" si="2"/>
        <v>0</v>
      </c>
      <c r="U51" s="229">
        <f t="shared" si="12"/>
        <v>0</v>
      </c>
      <c r="V51" s="284">
        <f t="shared" si="3"/>
        <v>18.736616702355459</v>
      </c>
      <c r="W51" s="229">
        <f t="shared" si="4"/>
        <v>0</v>
      </c>
      <c r="X51" s="229">
        <f t="shared" si="5"/>
        <v>3.9379014989293362</v>
      </c>
      <c r="Y51" s="229">
        <f t="shared" si="13"/>
        <v>22.674518201284794</v>
      </c>
      <c r="Z51" s="229">
        <f t="shared" si="6"/>
        <v>47162.997858672374</v>
      </c>
    </row>
    <row r="52" spans="1:26" x14ac:dyDescent="0.25">
      <c r="A52" s="929"/>
      <c r="B52" s="140">
        <f>'Plant Salaries'!B50</f>
        <v>47</v>
      </c>
      <c r="C52" s="141" t="str">
        <f>'Plant Salaries'!C50</f>
        <v xml:space="preserve">Line Mechanic </v>
      </c>
      <c r="D52" s="248">
        <f>'Plant Salaries'!F50</f>
        <v>35000</v>
      </c>
      <c r="E52" s="296" t="s">
        <v>502</v>
      </c>
      <c r="F52" s="297">
        <v>0</v>
      </c>
      <c r="G52" s="283">
        <f t="shared" si="7"/>
        <v>2916.6666666666665</v>
      </c>
      <c r="H52" s="229">
        <f>IF($D52=0,('Benefits Cost'!$C$11),IF($E52="E",('Benefits Cost'!$C$7),IF($E52="E1",('Benefits Cost'!$C$8),IF($E52="E2",('Benefits Cost'!$C$9),IF($E52="E3",('Benefits Cost'!$C$10),0)))))</f>
        <v>0</v>
      </c>
      <c r="I52" s="229">
        <f>IF($D52=0,('Benefits Cost'!$C$11),IF($E52="E",('Benefits Cost'!$C$13),IF($E52="E1",('Benefits Cost'!$C$14),IF($E52="E2",('Benefits Cost'!$C$15),IF($E52="E3",('Benefits Cost'!$C$16),0)))))</f>
        <v>0</v>
      </c>
      <c r="J52" s="229">
        <f>IF($D52=0,('Benefits Cost'!$C$11),IF($E52="E",('Benefits Cost'!$C$19),IF($E52="E1",('Benefits Cost'!$C$20),IF($E52="E2",('Benefits Cost'!$C$21),IF($E52="E3",('Benefits Cost'!$C$22),0)))))</f>
        <v>0</v>
      </c>
      <c r="K52" s="229">
        <f>SUM(G52 * 'Benefits Cost'!$E$30 * 'Benefits Cost'!$C$30)</f>
        <v>0</v>
      </c>
      <c r="L52" s="283">
        <f t="shared" si="0"/>
        <v>0</v>
      </c>
      <c r="M52" s="283">
        <f t="shared" si="1"/>
        <v>613</v>
      </c>
      <c r="N52" s="283">
        <f t="shared" si="8"/>
        <v>613</v>
      </c>
      <c r="O52" s="283">
        <f t="shared" si="9"/>
        <v>0</v>
      </c>
      <c r="P52" s="283">
        <f t="shared" si="9"/>
        <v>0</v>
      </c>
      <c r="Q52" s="283">
        <f t="shared" si="9"/>
        <v>0</v>
      </c>
      <c r="R52" s="283">
        <f t="shared" si="10"/>
        <v>0</v>
      </c>
      <c r="S52" s="229">
        <f t="shared" si="11"/>
        <v>0</v>
      </c>
      <c r="T52" s="229">
        <f t="shared" si="2"/>
        <v>0</v>
      </c>
      <c r="U52" s="229">
        <f t="shared" si="12"/>
        <v>0</v>
      </c>
      <c r="V52" s="284">
        <f t="shared" si="3"/>
        <v>18.736616702355459</v>
      </c>
      <c r="W52" s="229">
        <f t="shared" si="4"/>
        <v>0</v>
      </c>
      <c r="X52" s="229">
        <f t="shared" si="5"/>
        <v>3.9379014989293362</v>
      </c>
      <c r="Y52" s="229">
        <f t="shared" si="13"/>
        <v>22.674518201284794</v>
      </c>
      <c r="Z52" s="229">
        <f t="shared" si="6"/>
        <v>47162.997858672374</v>
      </c>
    </row>
    <row r="53" spans="1:26" x14ac:dyDescent="0.25">
      <c r="A53" s="929"/>
      <c r="B53" s="140">
        <f>'Plant Salaries'!B51</f>
        <v>48</v>
      </c>
      <c r="C53" s="141" t="str">
        <f>'Plant Salaries'!C51</f>
        <v xml:space="preserve">Line Mechanic </v>
      </c>
      <c r="D53" s="248">
        <f>'Plant Salaries'!F51</f>
        <v>35000</v>
      </c>
      <c r="E53" s="296" t="s">
        <v>502</v>
      </c>
      <c r="F53" s="297">
        <v>0</v>
      </c>
      <c r="G53" s="283">
        <f t="shared" si="7"/>
        <v>2916.6666666666665</v>
      </c>
      <c r="H53" s="229">
        <f>IF($D53=0,('Benefits Cost'!$C$11),IF($E53="E",('Benefits Cost'!$C$7),IF($E53="E1",('Benefits Cost'!$C$8),IF($E53="E2",('Benefits Cost'!$C$9),IF($E53="E3",('Benefits Cost'!$C$10),0)))))</f>
        <v>0</v>
      </c>
      <c r="I53" s="229">
        <f>IF($D53=0,('Benefits Cost'!$C$11),IF($E53="E",('Benefits Cost'!$C$13),IF($E53="E1",('Benefits Cost'!$C$14),IF($E53="E2",('Benefits Cost'!$C$15),IF($E53="E3",('Benefits Cost'!$C$16),0)))))</f>
        <v>0</v>
      </c>
      <c r="J53" s="229">
        <f>IF($D53=0,('Benefits Cost'!$C$11),IF($E53="E",('Benefits Cost'!$C$19),IF($E53="E1",('Benefits Cost'!$C$20),IF($E53="E2",('Benefits Cost'!$C$21),IF($E53="E3",('Benefits Cost'!$C$22),0)))))</f>
        <v>0</v>
      </c>
      <c r="K53" s="229">
        <f>SUM(G53 * 'Benefits Cost'!$E$30 * 'Benefits Cost'!$C$30)</f>
        <v>0</v>
      </c>
      <c r="L53" s="283">
        <f t="shared" si="0"/>
        <v>0</v>
      </c>
      <c r="M53" s="283">
        <f t="shared" si="1"/>
        <v>613</v>
      </c>
      <c r="N53" s="283">
        <f t="shared" si="8"/>
        <v>613</v>
      </c>
      <c r="O53" s="283">
        <f t="shared" si="9"/>
        <v>0</v>
      </c>
      <c r="P53" s="283">
        <f t="shared" si="9"/>
        <v>0</v>
      </c>
      <c r="Q53" s="283">
        <f t="shared" si="9"/>
        <v>0</v>
      </c>
      <c r="R53" s="283">
        <f t="shared" si="10"/>
        <v>0</v>
      </c>
      <c r="S53" s="229">
        <f t="shared" si="11"/>
        <v>0</v>
      </c>
      <c r="T53" s="229">
        <f t="shared" si="2"/>
        <v>0</v>
      </c>
      <c r="U53" s="229">
        <f t="shared" si="12"/>
        <v>0</v>
      </c>
      <c r="V53" s="284">
        <f t="shared" si="3"/>
        <v>18.736616702355459</v>
      </c>
      <c r="W53" s="229">
        <f t="shared" si="4"/>
        <v>0</v>
      </c>
      <c r="X53" s="229">
        <f t="shared" si="5"/>
        <v>3.9379014989293362</v>
      </c>
      <c r="Y53" s="229">
        <f t="shared" si="13"/>
        <v>22.674518201284794</v>
      </c>
      <c r="Z53" s="229">
        <f t="shared" si="6"/>
        <v>47162.997858672374</v>
      </c>
    </row>
    <row r="54" spans="1:26" x14ac:dyDescent="0.25">
      <c r="A54" s="929"/>
      <c r="B54" s="140">
        <f>'Plant Salaries'!B52</f>
        <v>49</v>
      </c>
      <c r="C54" s="141" t="str">
        <f>'Plant Salaries'!C52</f>
        <v>Operators</v>
      </c>
      <c r="D54" s="248">
        <f>'Plant Salaries'!F52</f>
        <v>40000</v>
      </c>
      <c r="E54" s="296" t="s">
        <v>502</v>
      </c>
      <c r="F54" s="297">
        <v>0</v>
      </c>
      <c r="G54" s="283">
        <f t="shared" si="7"/>
        <v>3333.3333333333335</v>
      </c>
      <c r="H54" s="229">
        <f>IF($D54=0,('Benefits Cost'!$C$11),IF($E54="E",('Benefits Cost'!$C$7),IF($E54="E1",('Benefits Cost'!$C$8),IF($E54="E2",('Benefits Cost'!$C$9),IF($E54="E3",('Benefits Cost'!$C$10),0)))))</f>
        <v>0</v>
      </c>
      <c r="I54" s="229">
        <f>IF($D54=0,('Benefits Cost'!$C$11),IF($E54="E",('Benefits Cost'!$C$13),IF($E54="E1",('Benefits Cost'!$C$14),IF($E54="E2",('Benefits Cost'!$C$15),IF($E54="E3",('Benefits Cost'!$C$16),0)))))</f>
        <v>0</v>
      </c>
      <c r="J54" s="229">
        <f>IF($D54=0,('Benefits Cost'!$C$11),IF($E54="E",('Benefits Cost'!$C$19),IF($E54="E1",('Benefits Cost'!$C$20),IF($E54="E2",('Benefits Cost'!$C$21),IF($E54="E3",('Benefits Cost'!$C$22),0)))))</f>
        <v>0</v>
      </c>
      <c r="K54" s="229">
        <f>SUM(G54 * 'Benefits Cost'!$E$30 * 'Benefits Cost'!$C$30)</f>
        <v>0</v>
      </c>
      <c r="L54" s="283">
        <f t="shared" si="0"/>
        <v>0</v>
      </c>
      <c r="M54" s="283">
        <f t="shared" si="1"/>
        <v>700</v>
      </c>
      <c r="N54" s="283">
        <f t="shared" si="8"/>
        <v>700</v>
      </c>
      <c r="O54" s="283">
        <f t="shared" si="9"/>
        <v>0</v>
      </c>
      <c r="P54" s="283">
        <f t="shared" si="9"/>
        <v>0</v>
      </c>
      <c r="Q54" s="283">
        <f t="shared" si="9"/>
        <v>0</v>
      </c>
      <c r="R54" s="283">
        <f t="shared" si="10"/>
        <v>0</v>
      </c>
      <c r="S54" s="229">
        <f t="shared" si="11"/>
        <v>0</v>
      </c>
      <c r="T54" s="229">
        <f t="shared" si="2"/>
        <v>0</v>
      </c>
      <c r="U54" s="229">
        <f t="shared" si="12"/>
        <v>0</v>
      </c>
      <c r="V54" s="284">
        <f t="shared" si="3"/>
        <v>21.413276231263382</v>
      </c>
      <c r="W54" s="229">
        <f t="shared" si="4"/>
        <v>0</v>
      </c>
      <c r="X54" s="229">
        <f t="shared" si="5"/>
        <v>4.4967880085653107</v>
      </c>
      <c r="Y54" s="229">
        <f t="shared" si="13"/>
        <v>25.910064239828692</v>
      </c>
      <c r="Z54" s="229">
        <f t="shared" si="6"/>
        <v>53892.933618843679</v>
      </c>
    </row>
    <row r="55" spans="1:26" x14ac:dyDescent="0.25">
      <c r="A55" s="929"/>
      <c r="B55" s="140">
        <f>'Plant Salaries'!B53</f>
        <v>50</v>
      </c>
      <c r="C55" s="141" t="str">
        <f>'Plant Salaries'!C53</f>
        <v>Operators</v>
      </c>
      <c r="D55" s="248">
        <f>'Plant Salaries'!F53</f>
        <v>40000</v>
      </c>
      <c r="E55" s="296" t="s">
        <v>502</v>
      </c>
      <c r="F55" s="297">
        <v>0</v>
      </c>
      <c r="G55" s="283">
        <f t="shared" si="7"/>
        <v>3333.3333333333335</v>
      </c>
      <c r="H55" s="229">
        <f>IF($D55=0,('Benefits Cost'!$C$11),IF($E55="E",('Benefits Cost'!$C$7),IF($E55="E1",('Benefits Cost'!$C$8),IF($E55="E2",('Benefits Cost'!$C$9),IF($E55="E3",('Benefits Cost'!$C$10),0)))))</f>
        <v>0</v>
      </c>
      <c r="I55" s="229">
        <f>IF($D55=0,('Benefits Cost'!$C$11),IF($E55="E",('Benefits Cost'!$C$13),IF($E55="E1",('Benefits Cost'!$C$14),IF($E55="E2",('Benefits Cost'!$C$15),IF($E55="E3",('Benefits Cost'!$C$16),0)))))</f>
        <v>0</v>
      </c>
      <c r="J55" s="229">
        <f>IF($D55=0,('Benefits Cost'!$C$11),IF($E55="E",('Benefits Cost'!$C$19),IF($E55="E1",('Benefits Cost'!$C$20),IF($E55="E2",('Benefits Cost'!$C$21),IF($E55="E3",('Benefits Cost'!$C$22),0)))))</f>
        <v>0</v>
      </c>
      <c r="K55" s="229">
        <f>SUM(G55 * 'Benefits Cost'!$E$30 * 'Benefits Cost'!$C$30)</f>
        <v>0</v>
      </c>
      <c r="L55" s="283">
        <f t="shared" si="0"/>
        <v>0</v>
      </c>
      <c r="M55" s="283">
        <f t="shared" si="1"/>
        <v>700</v>
      </c>
      <c r="N55" s="283">
        <f t="shared" si="8"/>
        <v>700</v>
      </c>
      <c r="O55" s="283">
        <f t="shared" si="9"/>
        <v>0</v>
      </c>
      <c r="P55" s="283">
        <f t="shared" si="9"/>
        <v>0</v>
      </c>
      <c r="Q55" s="283">
        <f t="shared" si="9"/>
        <v>0</v>
      </c>
      <c r="R55" s="283">
        <f t="shared" si="10"/>
        <v>0</v>
      </c>
      <c r="S55" s="229">
        <f t="shared" si="11"/>
        <v>0</v>
      </c>
      <c r="T55" s="229">
        <f t="shared" si="2"/>
        <v>0</v>
      </c>
      <c r="U55" s="229">
        <f t="shared" si="12"/>
        <v>0</v>
      </c>
      <c r="V55" s="284">
        <f t="shared" si="3"/>
        <v>21.413276231263382</v>
      </c>
      <c r="W55" s="229">
        <f t="shared" si="4"/>
        <v>0</v>
      </c>
      <c r="X55" s="229">
        <f t="shared" si="5"/>
        <v>4.4967880085653107</v>
      </c>
      <c r="Y55" s="229">
        <f t="shared" si="13"/>
        <v>25.910064239828692</v>
      </c>
      <c r="Z55" s="229">
        <f t="shared" si="6"/>
        <v>53892.933618843679</v>
      </c>
    </row>
    <row r="56" spans="1:26" x14ac:dyDescent="0.25">
      <c r="A56" s="929"/>
      <c r="B56" s="140">
        <f>'Plant Salaries'!B54</f>
        <v>51</v>
      </c>
      <c r="C56" s="141" t="str">
        <f>'Plant Salaries'!C54</f>
        <v>Operators</v>
      </c>
      <c r="D56" s="248">
        <f>'Plant Salaries'!F54</f>
        <v>25000</v>
      </c>
      <c r="E56" s="296" t="s">
        <v>502</v>
      </c>
      <c r="F56" s="297">
        <v>0</v>
      </c>
      <c r="G56" s="283">
        <f t="shared" si="7"/>
        <v>2083.3333333333335</v>
      </c>
      <c r="H56" s="229">
        <f>IF($D56=0,('Benefits Cost'!$C$11),IF($E56="E",('Benefits Cost'!$C$7),IF($E56="E1",('Benefits Cost'!$C$8),IF($E56="E2",('Benefits Cost'!$C$9),IF($E56="E3",('Benefits Cost'!$C$10),0)))))</f>
        <v>0</v>
      </c>
      <c r="I56" s="229">
        <f>IF($D56=0,('Benefits Cost'!$C$11),IF($E56="E",('Benefits Cost'!$C$13),IF($E56="E1",('Benefits Cost'!$C$14),IF($E56="E2",('Benefits Cost'!$C$15),IF($E56="E3",('Benefits Cost'!$C$16),0)))))</f>
        <v>0</v>
      </c>
      <c r="J56" s="229">
        <f>IF($D56=0,('Benefits Cost'!$C$11),IF($E56="E",('Benefits Cost'!$C$19),IF($E56="E1",('Benefits Cost'!$C$20),IF($E56="E2",('Benefits Cost'!$C$21),IF($E56="E3",('Benefits Cost'!$C$22),0)))))</f>
        <v>0</v>
      </c>
      <c r="K56" s="229">
        <f>SUM(G56 * 'Benefits Cost'!$E$30 * 'Benefits Cost'!$C$30)</f>
        <v>0</v>
      </c>
      <c r="L56" s="283">
        <f t="shared" si="0"/>
        <v>0</v>
      </c>
      <c r="M56" s="283">
        <f t="shared" si="1"/>
        <v>438</v>
      </c>
      <c r="N56" s="283">
        <f t="shared" si="8"/>
        <v>438</v>
      </c>
      <c r="O56" s="283">
        <f t="shared" si="9"/>
        <v>0</v>
      </c>
      <c r="P56" s="283">
        <f t="shared" si="9"/>
        <v>0</v>
      </c>
      <c r="Q56" s="283">
        <f t="shared" si="9"/>
        <v>0</v>
      </c>
      <c r="R56" s="283">
        <f t="shared" si="10"/>
        <v>0</v>
      </c>
      <c r="S56" s="229">
        <f t="shared" si="11"/>
        <v>0</v>
      </c>
      <c r="T56" s="229">
        <f t="shared" si="2"/>
        <v>0</v>
      </c>
      <c r="U56" s="229">
        <f t="shared" si="12"/>
        <v>0</v>
      </c>
      <c r="V56" s="284">
        <f t="shared" si="3"/>
        <v>13.383297644539615</v>
      </c>
      <c r="W56" s="229">
        <f t="shared" si="4"/>
        <v>0</v>
      </c>
      <c r="X56" s="229">
        <f t="shared" si="5"/>
        <v>2.8137044967880085</v>
      </c>
      <c r="Y56" s="229">
        <f t="shared" si="13"/>
        <v>16.197002141327623</v>
      </c>
      <c r="Z56" s="229">
        <f t="shared" si="6"/>
        <v>33689.764453961456</v>
      </c>
    </row>
    <row r="57" spans="1:26" x14ac:dyDescent="0.25">
      <c r="A57" s="929"/>
      <c r="B57" s="140">
        <f>'Plant Salaries'!B55</f>
        <v>52</v>
      </c>
      <c r="C57" s="141" t="str">
        <f>'Plant Salaries'!C55</f>
        <v>Operators</v>
      </c>
      <c r="D57" s="248">
        <f>'Plant Salaries'!F55</f>
        <v>25000</v>
      </c>
      <c r="E57" s="296" t="s">
        <v>502</v>
      </c>
      <c r="F57" s="297">
        <v>0</v>
      </c>
      <c r="G57" s="283">
        <f t="shared" si="7"/>
        <v>2083.3333333333335</v>
      </c>
      <c r="H57" s="229">
        <f>IF($D57=0,('Benefits Cost'!$C$11),IF($E57="E",('Benefits Cost'!$C$7),IF($E57="E1",('Benefits Cost'!$C$8),IF($E57="E2",('Benefits Cost'!$C$9),IF($E57="E3",('Benefits Cost'!$C$10),0)))))</f>
        <v>0</v>
      </c>
      <c r="I57" s="229">
        <f>IF($D57=0,('Benefits Cost'!$C$11),IF($E57="E",('Benefits Cost'!$C$13),IF($E57="E1",('Benefits Cost'!$C$14),IF($E57="E2",('Benefits Cost'!$C$15),IF($E57="E3",('Benefits Cost'!$C$16),0)))))</f>
        <v>0</v>
      </c>
      <c r="J57" s="229">
        <f>IF($D57=0,('Benefits Cost'!$C$11),IF($E57="E",('Benefits Cost'!$C$19),IF($E57="E1",('Benefits Cost'!$C$20),IF($E57="E2",('Benefits Cost'!$C$21),IF($E57="E3",('Benefits Cost'!$C$22),0)))))</f>
        <v>0</v>
      </c>
      <c r="K57" s="229">
        <f>SUM(G57 * 'Benefits Cost'!$E$30 * 'Benefits Cost'!$C$30)</f>
        <v>0</v>
      </c>
      <c r="L57" s="283">
        <f t="shared" si="0"/>
        <v>0</v>
      </c>
      <c r="M57" s="283">
        <f t="shared" si="1"/>
        <v>438</v>
      </c>
      <c r="N57" s="283">
        <f t="shared" si="8"/>
        <v>438</v>
      </c>
      <c r="O57" s="283">
        <f t="shared" si="9"/>
        <v>0</v>
      </c>
      <c r="P57" s="283">
        <f t="shared" si="9"/>
        <v>0</v>
      </c>
      <c r="Q57" s="283">
        <f t="shared" si="9"/>
        <v>0</v>
      </c>
      <c r="R57" s="283">
        <f t="shared" si="10"/>
        <v>0</v>
      </c>
      <c r="S57" s="229">
        <f t="shared" si="11"/>
        <v>0</v>
      </c>
      <c r="T57" s="229">
        <f t="shared" si="2"/>
        <v>0</v>
      </c>
      <c r="U57" s="229">
        <f t="shared" si="12"/>
        <v>0</v>
      </c>
      <c r="V57" s="284">
        <f t="shared" si="3"/>
        <v>13.383297644539615</v>
      </c>
      <c r="W57" s="229">
        <f t="shared" si="4"/>
        <v>0</v>
      </c>
      <c r="X57" s="229">
        <f t="shared" si="5"/>
        <v>2.8137044967880085</v>
      </c>
      <c r="Y57" s="229">
        <f t="shared" si="13"/>
        <v>16.197002141327623</v>
      </c>
      <c r="Z57" s="229">
        <f t="shared" si="6"/>
        <v>33689.764453961456</v>
      </c>
    </row>
    <row r="58" spans="1:26" x14ac:dyDescent="0.25">
      <c r="A58" s="929"/>
      <c r="B58" s="140">
        <f>'Plant Salaries'!B56</f>
        <v>53</v>
      </c>
      <c r="C58" s="141" t="str">
        <f>'Plant Salaries'!C56</f>
        <v>Operators</v>
      </c>
      <c r="D58" s="248">
        <f>'Plant Salaries'!F56</f>
        <v>25000</v>
      </c>
      <c r="E58" s="296" t="s">
        <v>502</v>
      </c>
      <c r="F58" s="297">
        <v>0</v>
      </c>
      <c r="G58" s="283">
        <f t="shared" si="7"/>
        <v>2083.3333333333335</v>
      </c>
      <c r="H58" s="229">
        <f>IF($D58=0,('Benefits Cost'!$C$11),IF($E58="E",('Benefits Cost'!$C$7),IF($E58="E1",('Benefits Cost'!$C$8),IF($E58="E2",('Benefits Cost'!$C$9),IF($E58="E3",('Benefits Cost'!$C$10),0)))))</f>
        <v>0</v>
      </c>
      <c r="I58" s="229">
        <f>IF($D58=0,('Benefits Cost'!$C$11),IF($E58="E",('Benefits Cost'!$C$13),IF($E58="E1",('Benefits Cost'!$C$14),IF($E58="E2",('Benefits Cost'!$C$15),IF($E58="E3",('Benefits Cost'!$C$16),0)))))</f>
        <v>0</v>
      </c>
      <c r="J58" s="229">
        <f>IF($D58=0,('Benefits Cost'!$C$11),IF($E58="E",('Benefits Cost'!$C$19),IF($E58="E1",('Benefits Cost'!$C$20),IF($E58="E2",('Benefits Cost'!$C$21),IF($E58="E3",('Benefits Cost'!$C$22),0)))))</f>
        <v>0</v>
      </c>
      <c r="K58" s="229">
        <f>SUM(G58 * 'Benefits Cost'!$E$30 * 'Benefits Cost'!$C$30)</f>
        <v>0</v>
      </c>
      <c r="L58" s="283">
        <f t="shared" si="0"/>
        <v>0</v>
      </c>
      <c r="M58" s="283">
        <f t="shared" si="1"/>
        <v>438</v>
      </c>
      <c r="N58" s="283">
        <f t="shared" si="8"/>
        <v>438</v>
      </c>
      <c r="O58" s="283">
        <f t="shared" si="9"/>
        <v>0</v>
      </c>
      <c r="P58" s="283">
        <f t="shared" si="9"/>
        <v>0</v>
      </c>
      <c r="Q58" s="283">
        <f t="shared" si="9"/>
        <v>0</v>
      </c>
      <c r="R58" s="283">
        <f t="shared" si="10"/>
        <v>0</v>
      </c>
      <c r="S58" s="229">
        <f t="shared" si="11"/>
        <v>0</v>
      </c>
      <c r="T58" s="229">
        <f t="shared" si="2"/>
        <v>0</v>
      </c>
      <c r="U58" s="229">
        <f t="shared" si="12"/>
        <v>0</v>
      </c>
      <c r="V58" s="284">
        <f t="shared" si="3"/>
        <v>13.383297644539615</v>
      </c>
      <c r="W58" s="229">
        <f t="shared" si="4"/>
        <v>0</v>
      </c>
      <c r="X58" s="229">
        <f t="shared" si="5"/>
        <v>2.8137044967880085</v>
      </c>
      <c r="Y58" s="229">
        <f t="shared" si="13"/>
        <v>16.197002141327623</v>
      </c>
      <c r="Z58" s="229">
        <f t="shared" si="6"/>
        <v>33689.764453961456</v>
      </c>
    </row>
    <row r="59" spans="1:26" x14ac:dyDescent="0.25">
      <c r="A59" s="929"/>
      <c r="B59" s="140">
        <f>'Plant Salaries'!B57</f>
        <v>54</v>
      </c>
      <c r="C59" s="141" t="str">
        <f>'Plant Salaries'!C57</f>
        <v>Operators</v>
      </c>
      <c r="D59" s="248">
        <f>'Plant Salaries'!F57</f>
        <v>25000</v>
      </c>
      <c r="E59" s="296" t="s">
        <v>502</v>
      </c>
      <c r="F59" s="297">
        <v>0</v>
      </c>
      <c r="G59" s="283">
        <f t="shared" si="7"/>
        <v>2083.3333333333335</v>
      </c>
      <c r="H59" s="229">
        <f>IF($D59=0,('Benefits Cost'!$C$11),IF($E59="E",('Benefits Cost'!$C$7),IF($E59="E1",('Benefits Cost'!$C$8),IF($E59="E2",('Benefits Cost'!$C$9),IF($E59="E3",('Benefits Cost'!$C$10),0)))))</f>
        <v>0</v>
      </c>
      <c r="I59" s="229">
        <f>IF($D59=0,('Benefits Cost'!$C$11),IF($E59="E",('Benefits Cost'!$C$13),IF($E59="E1",('Benefits Cost'!$C$14),IF($E59="E2",('Benefits Cost'!$C$15),IF($E59="E3",('Benefits Cost'!$C$16),0)))))</f>
        <v>0</v>
      </c>
      <c r="J59" s="229">
        <f>IF($D59=0,('Benefits Cost'!$C$11),IF($E59="E",('Benefits Cost'!$C$19),IF($E59="E1",('Benefits Cost'!$C$20),IF($E59="E2",('Benefits Cost'!$C$21),IF($E59="E3",('Benefits Cost'!$C$22),0)))))</f>
        <v>0</v>
      </c>
      <c r="K59" s="229">
        <f>SUM(G59 * 'Benefits Cost'!$E$30 * 'Benefits Cost'!$C$30)</f>
        <v>0</v>
      </c>
      <c r="L59" s="283">
        <f t="shared" si="0"/>
        <v>0</v>
      </c>
      <c r="M59" s="283">
        <f t="shared" si="1"/>
        <v>438</v>
      </c>
      <c r="N59" s="283">
        <f t="shared" si="8"/>
        <v>438</v>
      </c>
      <c r="O59" s="283">
        <f t="shared" si="9"/>
        <v>0</v>
      </c>
      <c r="P59" s="283">
        <f t="shared" si="9"/>
        <v>0</v>
      </c>
      <c r="Q59" s="283">
        <f t="shared" si="9"/>
        <v>0</v>
      </c>
      <c r="R59" s="283">
        <f t="shared" si="10"/>
        <v>0</v>
      </c>
      <c r="S59" s="229">
        <f t="shared" si="11"/>
        <v>0</v>
      </c>
      <c r="T59" s="229">
        <f t="shared" si="2"/>
        <v>0</v>
      </c>
      <c r="U59" s="229">
        <f t="shared" si="12"/>
        <v>0</v>
      </c>
      <c r="V59" s="284">
        <f t="shared" si="3"/>
        <v>13.383297644539615</v>
      </c>
      <c r="W59" s="229">
        <f t="shared" si="4"/>
        <v>0</v>
      </c>
      <c r="X59" s="229">
        <f t="shared" si="5"/>
        <v>2.8137044967880085</v>
      </c>
      <c r="Y59" s="229">
        <f t="shared" si="13"/>
        <v>16.197002141327623</v>
      </c>
      <c r="Z59" s="229">
        <f t="shared" si="6"/>
        <v>33689.764453961456</v>
      </c>
    </row>
    <row r="60" spans="1:26" x14ac:dyDescent="0.25">
      <c r="A60" s="929"/>
      <c r="B60" s="140">
        <f>'Plant Salaries'!B58</f>
        <v>55</v>
      </c>
      <c r="C60" s="141" t="str">
        <f>'Plant Salaries'!C58</f>
        <v>Operators</v>
      </c>
      <c r="D60" s="248">
        <f>'Plant Salaries'!F58</f>
        <v>25000</v>
      </c>
      <c r="E60" s="296" t="s">
        <v>504</v>
      </c>
      <c r="F60" s="297">
        <v>0</v>
      </c>
      <c r="G60" s="283">
        <f t="shared" si="7"/>
        <v>2083.3333333333335</v>
      </c>
      <c r="H60" s="229">
        <f>IF($D60=0,('Benefits Cost'!$C$11),IF($E60="E",('Benefits Cost'!$C$7),IF($E60="E1",('Benefits Cost'!$C$8),IF($E60="E2",('Benefits Cost'!$C$9),IF($E60="E3",('Benefits Cost'!$C$10),0)))))</f>
        <v>0</v>
      </c>
      <c r="I60" s="229">
        <f>IF($D60=0,('Benefits Cost'!$C$11),IF($E60="E",('Benefits Cost'!$C$13),IF($E60="E1",('Benefits Cost'!$C$14),IF($E60="E2",('Benefits Cost'!$C$15),IF($E60="E3",('Benefits Cost'!$C$16),0)))))</f>
        <v>0</v>
      </c>
      <c r="J60" s="229">
        <f>IF($D60=0,('Benefits Cost'!$C$11),IF($E60="E",('Benefits Cost'!$C$19),IF($E60="E1",('Benefits Cost'!$C$20),IF($E60="E2",('Benefits Cost'!$C$21),IF($E60="E3",('Benefits Cost'!$C$22),0)))))</f>
        <v>0</v>
      </c>
      <c r="K60" s="229">
        <f>SUM(G60 * 'Benefits Cost'!$E$30 * 'Benefits Cost'!$C$30)</f>
        <v>0</v>
      </c>
      <c r="L60" s="283">
        <f t="shared" si="0"/>
        <v>0</v>
      </c>
      <c r="M60" s="283">
        <f t="shared" si="1"/>
        <v>438</v>
      </c>
      <c r="N60" s="283">
        <f t="shared" si="8"/>
        <v>438</v>
      </c>
      <c r="O60" s="283">
        <f t="shared" si="9"/>
        <v>0</v>
      </c>
      <c r="P60" s="283">
        <f t="shared" si="9"/>
        <v>0</v>
      </c>
      <c r="Q60" s="283">
        <f t="shared" si="9"/>
        <v>0</v>
      </c>
      <c r="R60" s="283">
        <f t="shared" si="10"/>
        <v>0</v>
      </c>
      <c r="S60" s="229">
        <f t="shared" si="11"/>
        <v>0</v>
      </c>
      <c r="T60" s="229">
        <f t="shared" si="2"/>
        <v>0</v>
      </c>
      <c r="U60" s="229">
        <f t="shared" si="12"/>
        <v>0</v>
      </c>
      <c r="V60" s="284">
        <f t="shared" si="3"/>
        <v>13.383297644539615</v>
      </c>
      <c r="W60" s="229">
        <f t="shared" si="4"/>
        <v>0</v>
      </c>
      <c r="X60" s="229">
        <f t="shared" si="5"/>
        <v>2.8137044967880085</v>
      </c>
      <c r="Y60" s="229">
        <f t="shared" si="13"/>
        <v>16.197002141327623</v>
      </c>
      <c r="Z60" s="229">
        <f t="shared" si="6"/>
        <v>33689.764453961456</v>
      </c>
    </row>
    <row r="61" spans="1:26" x14ac:dyDescent="0.25">
      <c r="A61" s="929"/>
      <c r="B61" s="140">
        <f>'Plant Salaries'!B59</f>
        <v>56</v>
      </c>
      <c r="C61" s="141" t="str">
        <f>'Plant Salaries'!C59</f>
        <v>Operators</v>
      </c>
      <c r="D61" s="248">
        <f>'Plant Salaries'!F59</f>
        <v>25000</v>
      </c>
      <c r="E61" s="296" t="s">
        <v>505</v>
      </c>
      <c r="F61" s="297">
        <v>0</v>
      </c>
      <c r="G61" s="283">
        <f t="shared" si="7"/>
        <v>2083.3333333333335</v>
      </c>
      <c r="H61" s="229">
        <f>IF($D61=0,('Benefits Cost'!$C$11),IF($E61="E",('Benefits Cost'!$C$7),IF($E61="E1",('Benefits Cost'!$C$8),IF($E61="E2",('Benefits Cost'!$C$9),IF($E61="E3",('Benefits Cost'!$C$10),0)))))</f>
        <v>0</v>
      </c>
      <c r="I61" s="229">
        <f>IF($D61=0,('Benefits Cost'!$C$11),IF($E61="E",('Benefits Cost'!$C$13),IF($E61="E1",('Benefits Cost'!$C$14),IF($E61="E2",('Benefits Cost'!$C$15),IF($E61="E3",('Benefits Cost'!$C$16),0)))))</f>
        <v>0</v>
      </c>
      <c r="J61" s="229">
        <f>IF($D61=0,('Benefits Cost'!$C$11),IF($E61="E",('Benefits Cost'!$C$19),IF($E61="E1",('Benefits Cost'!$C$20),IF($E61="E2",('Benefits Cost'!$C$21),IF($E61="E3",('Benefits Cost'!$C$22),0)))))</f>
        <v>0</v>
      </c>
      <c r="K61" s="229">
        <f>SUM(G61 * 'Benefits Cost'!$E$30 * 'Benefits Cost'!$C$30)</f>
        <v>0</v>
      </c>
      <c r="L61" s="283">
        <f t="shared" si="0"/>
        <v>0</v>
      </c>
      <c r="M61" s="283">
        <f t="shared" si="1"/>
        <v>438</v>
      </c>
      <c r="N61" s="283">
        <f t="shared" si="8"/>
        <v>438</v>
      </c>
      <c r="O61" s="283">
        <f t="shared" si="9"/>
        <v>0</v>
      </c>
      <c r="P61" s="283">
        <f t="shared" si="9"/>
        <v>0</v>
      </c>
      <c r="Q61" s="283">
        <f t="shared" si="9"/>
        <v>0</v>
      </c>
      <c r="R61" s="283">
        <f t="shared" si="10"/>
        <v>0</v>
      </c>
      <c r="S61" s="229">
        <f t="shared" si="11"/>
        <v>0</v>
      </c>
      <c r="T61" s="229">
        <f t="shared" si="2"/>
        <v>0</v>
      </c>
      <c r="U61" s="229">
        <f t="shared" si="12"/>
        <v>0</v>
      </c>
      <c r="V61" s="284">
        <f t="shared" si="3"/>
        <v>13.383297644539615</v>
      </c>
      <c r="W61" s="229">
        <f t="shared" si="4"/>
        <v>0</v>
      </c>
      <c r="X61" s="229">
        <f t="shared" si="5"/>
        <v>2.8137044967880085</v>
      </c>
      <c r="Y61" s="229">
        <f t="shared" si="13"/>
        <v>16.197002141327623</v>
      </c>
      <c r="Z61" s="229">
        <f t="shared" si="6"/>
        <v>33689.764453961456</v>
      </c>
    </row>
    <row r="62" spans="1:26" x14ac:dyDescent="0.25">
      <c r="A62" s="929"/>
      <c r="B62" s="140">
        <f>'Plant Salaries'!B60</f>
        <v>57</v>
      </c>
      <c r="C62" s="141" t="str">
        <f>'Plant Salaries'!C60</f>
        <v>Operators</v>
      </c>
      <c r="D62" s="248">
        <f>'Plant Salaries'!F60</f>
        <v>25000</v>
      </c>
      <c r="E62" s="296" t="s">
        <v>503</v>
      </c>
      <c r="F62" s="297">
        <v>0</v>
      </c>
      <c r="G62" s="283">
        <f t="shared" si="7"/>
        <v>2083.3333333333335</v>
      </c>
      <c r="H62" s="229">
        <f>IF($D62=0,('Benefits Cost'!$C$11),IF($E62="E",('Benefits Cost'!$C$7),IF($E62="E1",('Benefits Cost'!$C$8),IF($E62="E2",('Benefits Cost'!$C$9),IF($E62="E3",('Benefits Cost'!$C$10),0)))))</f>
        <v>0</v>
      </c>
      <c r="I62" s="229">
        <f>IF($D62=0,('Benefits Cost'!$C$11),IF($E62="E",('Benefits Cost'!$C$13),IF($E62="E1",('Benefits Cost'!$C$14),IF($E62="E2",('Benefits Cost'!$C$15),IF($E62="E3",('Benefits Cost'!$C$16),0)))))</f>
        <v>0</v>
      </c>
      <c r="J62" s="229">
        <f>IF($D62=0,('Benefits Cost'!$C$11),IF($E62="E",('Benefits Cost'!$C$19),IF($E62="E1",('Benefits Cost'!$C$20),IF($E62="E2",('Benefits Cost'!$C$21),IF($E62="E3",('Benefits Cost'!$C$22),0)))))</f>
        <v>0</v>
      </c>
      <c r="K62" s="229">
        <f>SUM(G62 * 'Benefits Cost'!$E$30 * 'Benefits Cost'!$C$30)</f>
        <v>0</v>
      </c>
      <c r="L62" s="283">
        <f t="shared" si="0"/>
        <v>0</v>
      </c>
      <c r="M62" s="283">
        <f t="shared" si="1"/>
        <v>438</v>
      </c>
      <c r="N62" s="283">
        <f t="shared" si="8"/>
        <v>438</v>
      </c>
      <c r="O62" s="283">
        <f t="shared" si="9"/>
        <v>0</v>
      </c>
      <c r="P62" s="283">
        <f t="shared" si="9"/>
        <v>0</v>
      </c>
      <c r="Q62" s="283">
        <f t="shared" si="9"/>
        <v>0</v>
      </c>
      <c r="R62" s="283">
        <f t="shared" si="10"/>
        <v>0</v>
      </c>
      <c r="S62" s="229">
        <f t="shared" si="11"/>
        <v>0</v>
      </c>
      <c r="T62" s="229">
        <f t="shared" si="2"/>
        <v>0</v>
      </c>
      <c r="U62" s="229">
        <f t="shared" si="12"/>
        <v>0</v>
      </c>
      <c r="V62" s="284">
        <f t="shared" si="3"/>
        <v>13.383297644539615</v>
      </c>
      <c r="W62" s="229">
        <f t="shared" si="4"/>
        <v>0</v>
      </c>
      <c r="X62" s="229">
        <f t="shared" si="5"/>
        <v>2.8137044967880085</v>
      </c>
      <c r="Y62" s="229">
        <f t="shared" si="13"/>
        <v>16.197002141327623</v>
      </c>
      <c r="Z62" s="229">
        <f t="shared" si="6"/>
        <v>33689.764453961456</v>
      </c>
    </row>
    <row r="63" spans="1:26" x14ac:dyDescent="0.25">
      <c r="A63" s="929"/>
      <c r="B63" s="140">
        <f>'Plant Salaries'!B61</f>
        <v>58</v>
      </c>
      <c r="C63" s="141" t="str">
        <f>'Plant Salaries'!C61</f>
        <v>Operators</v>
      </c>
      <c r="D63" s="248">
        <f>'Plant Salaries'!F61</f>
        <v>25000</v>
      </c>
      <c r="E63" s="296" t="s">
        <v>502</v>
      </c>
      <c r="F63" s="297">
        <v>0</v>
      </c>
      <c r="G63" s="283">
        <f t="shared" si="7"/>
        <v>2083.3333333333335</v>
      </c>
      <c r="H63" s="229">
        <f>IF($D63=0,('Benefits Cost'!$C$11),IF($E63="E",('Benefits Cost'!$C$7),IF($E63="E1",('Benefits Cost'!$C$8),IF($E63="E2",('Benefits Cost'!$C$9),IF($E63="E3",('Benefits Cost'!$C$10),0)))))</f>
        <v>0</v>
      </c>
      <c r="I63" s="229">
        <f>IF($D63=0,('Benefits Cost'!$C$11),IF($E63="E",('Benefits Cost'!$C$13),IF($E63="E1",('Benefits Cost'!$C$14),IF($E63="E2",('Benefits Cost'!$C$15),IF($E63="E3",('Benefits Cost'!$C$16),0)))))</f>
        <v>0</v>
      </c>
      <c r="J63" s="229">
        <f>IF($D63=0,('Benefits Cost'!$C$11),IF($E63="E",('Benefits Cost'!$C$19),IF($E63="E1",('Benefits Cost'!$C$20),IF($E63="E2",('Benefits Cost'!$C$21),IF($E63="E3",('Benefits Cost'!$C$22),0)))))</f>
        <v>0</v>
      </c>
      <c r="K63" s="229">
        <f>SUM(G63 * 'Benefits Cost'!$E$30 * 'Benefits Cost'!$C$30)</f>
        <v>0</v>
      </c>
      <c r="L63" s="283">
        <f t="shared" si="0"/>
        <v>0</v>
      </c>
      <c r="M63" s="283">
        <f t="shared" si="1"/>
        <v>438</v>
      </c>
      <c r="N63" s="283">
        <f t="shared" si="8"/>
        <v>438</v>
      </c>
      <c r="O63" s="283">
        <f t="shared" si="9"/>
        <v>0</v>
      </c>
      <c r="P63" s="283">
        <f t="shared" si="9"/>
        <v>0</v>
      </c>
      <c r="Q63" s="283">
        <f t="shared" si="9"/>
        <v>0</v>
      </c>
      <c r="R63" s="283">
        <f t="shared" si="10"/>
        <v>0</v>
      </c>
      <c r="S63" s="229">
        <f t="shared" si="11"/>
        <v>0</v>
      </c>
      <c r="T63" s="229">
        <f t="shared" si="2"/>
        <v>0</v>
      </c>
      <c r="U63" s="229">
        <f t="shared" si="12"/>
        <v>0</v>
      </c>
      <c r="V63" s="284">
        <f t="shared" si="3"/>
        <v>13.383297644539615</v>
      </c>
      <c r="W63" s="229">
        <f t="shared" si="4"/>
        <v>0</v>
      </c>
      <c r="X63" s="229">
        <f t="shared" si="5"/>
        <v>2.8137044967880085</v>
      </c>
      <c r="Y63" s="229">
        <f t="shared" si="13"/>
        <v>16.197002141327623</v>
      </c>
      <c r="Z63" s="229">
        <f t="shared" si="6"/>
        <v>33689.764453961456</v>
      </c>
    </row>
    <row r="64" spans="1:26" x14ac:dyDescent="0.25">
      <c r="A64" s="929"/>
      <c r="B64" s="140">
        <f>'Plant Salaries'!B62</f>
        <v>59</v>
      </c>
      <c r="C64" s="141" t="str">
        <f>'Plant Salaries'!C62</f>
        <v>Operators</v>
      </c>
      <c r="D64" s="248">
        <f>'Plant Salaries'!F62</f>
        <v>25000</v>
      </c>
      <c r="E64" s="296" t="s">
        <v>502</v>
      </c>
      <c r="F64" s="297">
        <v>0</v>
      </c>
      <c r="G64" s="283">
        <f t="shared" si="7"/>
        <v>2083.3333333333335</v>
      </c>
      <c r="H64" s="229">
        <f>IF($D64=0,('Benefits Cost'!$C$11),IF($E64="E",('Benefits Cost'!$C$7),IF($E64="E1",('Benefits Cost'!$C$8),IF($E64="E2",('Benefits Cost'!$C$9),IF($E64="E3",('Benefits Cost'!$C$10),0)))))</f>
        <v>0</v>
      </c>
      <c r="I64" s="229">
        <f>IF($D64=0,('Benefits Cost'!$C$11),IF($E64="E",('Benefits Cost'!$C$13),IF($E64="E1",('Benefits Cost'!$C$14),IF($E64="E2",('Benefits Cost'!$C$15),IF($E64="E3",('Benefits Cost'!$C$16),0)))))</f>
        <v>0</v>
      </c>
      <c r="J64" s="229">
        <f>IF($D64=0,('Benefits Cost'!$C$11),IF($E64="E",('Benefits Cost'!$C$19),IF($E64="E1",('Benefits Cost'!$C$20),IF($E64="E2",('Benefits Cost'!$C$21),IF($E64="E3",('Benefits Cost'!$C$22),0)))))</f>
        <v>0</v>
      </c>
      <c r="K64" s="229">
        <f>SUM(G64 * 'Benefits Cost'!$E$30 * 'Benefits Cost'!$C$30)</f>
        <v>0</v>
      </c>
      <c r="L64" s="283">
        <f t="shared" si="0"/>
        <v>0</v>
      </c>
      <c r="M64" s="283">
        <f t="shared" si="1"/>
        <v>438</v>
      </c>
      <c r="N64" s="283">
        <f t="shared" si="8"/>
        <v>438</v>
      </c>
      <c r="O64" s="283">
        <f t="shared" si="9"/>
        <v>0</v>
      </c>
      <c r="P64" s="283">
        <f t="shared" si="9"/>
        <v>0</v>
      </c>
      <c r="Q64" s="283">
        <f t="shared" si="9"/>
        <v>0</v>
      </c>
      <c r="R64" s="283">
        <f t="shared" si="10"/>
        <v>0</v>
      </c>
      <c r="S64" s="229">
        <f t="shared" si="11"/>
        <v>0</v>
      </c>
      <c r="T64" s="229">
        <f t="shared" si="2"/>
        <v>0</v>
      </c>
      <c r="U64" s="229">
        <f t="shared" si="12"/>
        <v>0</v>
      </c>
      <c r="V64" s="284">
        <f t="shared" si="3"/>
        <v>13.383297644539615</v>
      </c>
      <c r="W64" s="229">
        <f t="shared" si="4"/>
        <v>0</v>
      </c>
      <c r="X64" s="229">
        <f t="shared" si="5"/>
        <v>2.8137044967880085</v>
      </c>
      <c r="Y64" s="229">
        <f t="shared" si="13"/>
        <v>16.197002141327623</v>
      </c>
      <c r="Z64" s="229">
        <f t="shared" si="6"/>
        <v>33689.764453961456</v>
      </c>
    </row>
    <row r="65" spans="1:26" x14ac:dyDescent="0.25">
      <c r="A65" s="929"/>
      <c r="B65" s="140">
        <f>'Plant Salaries'!B63</f>
        <v>60</v>
      </c>
      <c r="C65" s="141" t="str">
        <f>'Plant Salaries'!C63</f>
        <v>Operators</v>
      </c>
      <c r="D65" s="248">
        <f>'Plant Salaries'!F63</f>
        <v>25000</v>
      </c>
      <c r="E65" s="296" t="s">
        <v>502</v>
      </c>
      <c r="F65" s="297">
        <v>0</v>
      </c>
      <c r="G65" s="283">
        <f t="shared" si="7"/>
        <v>2083.3333333333335</v>
      </c>
      <c r="H65" s="229">
        <f>IF($D65=0,('Benefits Cost'!$C$11),IF($E65="E",('Benefits Cost'!$C$7),IF($E65="E1",('Benefits Cost'!$C$8),IF($E65="E2",('Benefits Cost'!$C$9),IF($E65="E3",('Benefits Cost'!$C$10),0)))))</f>
        <v>0</v>
      </c>
      <c r="I65" s="229">
        <f>IF($D65=0,('Benefits Cost'!$C$11),IF($E65="E",('Benefits Cost'!$C$13),IF($E65="E1",('Benefits Cost'!$C$14),IF($E65="E2",('Benefits Cost'!$C$15),IF($E65="E3",('Benefits Cost'!$C$16),0)))))</f>
        <v>0</v>
      </c>
      <c r="J65" s="229">
        <f>IF($D65=0,('Benefits Cost'!$C$11),IF($E65="E",('Benefits Cost'!$C$19),IF($E65="E1",('Benefits Cost'!$C$20),IF($E65="E2",('Benefits Cost'!$C$21),IF($E65="E3",('Benefits Cost'!$C$22),0)))))</f>
        <v>0</v>
      </c>
      <c r="K65" s="229">
        <f>SUM(G65 * 'Benefits Cost'!$E$30 * 'Benefits Cost'!$C$30)</f>
        <v>0</v>
      </c>
      <c r="L65" s="283">
        <f t="shared" si="0"/>
        <v>0</v>
      </c>
      <c r="M65" s="283">
        <f t="shared" si="1"/>
        <v>438</v>
      </c>
      <c r="N65" s="283">
        <f t="shared" si="8"/>
        <v>438</v>
      </c>
      <c r="O65" s="283">
        <f t="shared" si="9"/>
        <v>0</v>
      </c>
      <c r="P65" s="283">
        <f t="shared" si="9"/>
        <v>0</v>
      </c>
      <c r="Q65" s="283">
        <f t="shared" si="9"/>
        <v>0</v>
      </c>
      <c r="R65" s="283">
        <f t="shared" si="10"/>
        <v>0</v>
      </c>
      <c r="S65" s="229">
        <f t="shared" si="11"/>
        <v>0</v>
      </c>
      <c r="T65" s="229">
        <f t="shared" si="2"/>
        <v>0</v>
      </c>
      <c r="U65" s="229">
        <f t="shared" si="12"/>
        <v>0</v>
      </c>
      <c r="V65" s="284">
        <f t="shared" si="3"/>
        <v>13.383297644539615</v>
      </c>
      <c r="W65" s="229">
        <f t="shared" si="4"/>
        <v>0</v>
      </c>
      <c r="X65" s="229">
        <f t="shared" si="5"/>
        <v>2.8137044967880085</v>
      </c>
      <c r="Y65" s="229">
        <f t="shared" si="13"/>
        <v>16.197002141327623</v>
      </c>
      <c r="Z65" s="229">
        <f t="shared" si="6"/>
        <v>33689.764453961456</v>
      </c>
    </row>
    <row r="66" spans="1:26" x14ac:dyDescent="0.25">
      <c r="A66" s="929"/>
      <c r="B66" s="140">
        <f>'Plant Salaries'!B64</f>
        <v>61</v>
      </c>
      <c r="C66" s="141" t="str">
        <f>'Plant Salaries'!C64</f>
        <v>Operators</v>
      </c>
      <c r="D66" s="248">
        <f>'Plant Salaries'!F64</f>
        <v>25000</v>
      </c>
      <c r="E66" s="296" t="s">
        <v>502</v>
      </c>
      <c r="F66" s="297">
        <v>0</v>
      </c>
      <c r="G66" s="283">
        <f t="shared" si="7"/>
        <v>2083.3333333333335</v>
      </c>
      <c r="H66" s="229">
        <f>IF($D66=0,('Benefits Cost'!$C$11),IF($E66="E",('Benefits Cost'!$C$7),IF($E66="E1",('Benefits Cost'!$C$8),IF($E66="E2",('Benefits Cost'!$C$9),IF($E66="E3",('Benefits Cost'!$C$10),0)))))</f>
        <v>0</v>
      </c>
      <c r="I66" s="229">
        <f>IF($D66=0,('Benefits Cost'!$C$11),IF($E66="E",('Benefits Cost'!$C$13),IF($E66="E1",('Benefits Cost'!$C$14),IF($E66="E2",('Benefits Cost'!$C$15),IF($E66="E3",('Benefits Cost'!$C$16),0)))))</f>
        <v>0</v>
      </c>
      <c r="J66" s="229">
        <f>IF($D66=0,('Benefits Cost'!$C$11),IF($E66="E",('Benefits Cost'!$C$19),IF($E66="E1",('Benefits Cost'!$C$20),IF($E66="E2",('Benefits Cost'!$C$21),IF($E66="E3",('Benefits Cost'!$C$22),0)))))</f>
        <v>0</v>
      </c>
      <c r="K66" s="229">
        <f>SUM(G66 * 'Benefits Cost'!$E$30 * 'Benefits Cost'!$C$30)</f>
        <v>0</v>
      </c>
      <c r="L66" s="283">
        <f t="shared" si="0"/>
        <v>0</v>
      </c>
      <c r="M66" s="283">
        <f t="shared" si="1"/>
        <v>438</v>
      </c>
      <c r="N66" s="283">
        <f t="shared" si="8"/>
        <v>438</v>
      </c>
      <c r="O66" s="283">
        <f t="shared" si="9"/>
        <v>0</v>
      </c>
      <c r="P66" s="283">
        <f t="shared" si="9"/>
        <v>0</v>
      </c>
      <c r="Q66" s="283">
        <f t="shared" si="9"/>
        <v>0</v>
      </c>
      <c r="R66" s="283">
        <f t="shared" si="10"/>
        <v>0</v>
      </c>
      <c r="S66" s="229">
        <f t="shared" si="11"/>
        <v>0</v>
      </c>
      <c r="T66" s="229">
        <f t="shared" si="2"/>
        <v>0</v>
      </c>
      <c r="U66" s="229">
        <f t="shared" si="12"/>
        <v>0</v>
      </c>
      <c r="V66" s="284">
        <f t="shared" si="3"/>
        <v>13.383297644539615</v>
      </c>
      <c r="W66" s="229">
        <f t="shared" si="4"/>
        <v>0</v>
      </c>
      <c r="X66" s="229">
        <f t="shared" si="5"/>
        <v>2.8137044967880085</v>
      </c>
      <c r="Y66" s="229">
        <f t="shared" si="13"/>
        <v>16.197002141327623</v>
      </c>
      <c r="Z66" s="229">
        <f t="shared" si="6"/>
        <v>33689.764453961456</v>
      </c>
    </row>
    <row r="67" spans="1:26" x14ac:dyDescent="0.25">
      <c r="A67" s="929"/>
      <c r="B67" s="140">
        <f>'Plant Salaries'!B65</f>
        <v>62</v>
      </c>
      <c r="C67" s="141" t="str">
        <f>'Plant Salaries'!C65</f>
        <v>Operators</v>
      </c>
      <c r="D67" s="248">
        <f>'Plant Salaries'!F65</f>
        <v>25000</v>
      </c>
      <c r="E67" s="296" t="s">
        <v>502</v>
      </c>
      <c r="F67" s="297">
        <v>0</v>
      </c>
      <c r="G67" s="283">
        <f t="shared" si="7"/>
        <v>2083.3333333333335</v>
      </c>
      <c r="H67" s="229">
        <f>IF($D67=0,('Benefits Cost'!$C$11),IF($E67="E",('Benefits Cost'!$C$7),IF($E67="E1",('Benefits Cost'!$C$8),IF($E67="E2",('Benefits Cost'!$C$9),IF($E67="E3",('Benefits Cost'!$C$10),0)))))</f>
        <v>0</v>
      </c>
      <c r="I67" s="229">
        <f>IF($D67=0,('Benefits Cost'!$C$11),IF($E67="E",('Benefits Cost'!$C$13),IF($E67="E1",('Benefits Cost'!$C$14),IF($E67="E2",('Benefits Cost'!$C$15),IF($E67="E3",('Benefits Cost'!$C$16),0)))))</f>
        <v>0</v>
      </c>
      <c r="J67" s="229">
        <f>IF($D67=0,('Benefits Cost'!$C$11),IF($E67="E",('Benefits Cost'!$C$19),IF($E67="E1",('Benefits Cost'!$C$20),IF($E67="E2",('Benefits Cost'!$C$21),IF($E67="E3",('Benefits Cost'!$C$22),0)))))</f>
        <v>0</v>
      </c>
      <c r="K67" s="229">
        <f>SUM(G67 * 'Benefits Cost'!$E$30 * 'Benefits Cost'!$C$30)</f>
        <v>0</v>
      </c>
      <c r="L67" s="283">
        <f t="shared" si="0"/>
        <v>0</v>
      </c>
      <c r="M67" s="283">
        <f t="shared" si="1"/>
        <v>438</v>
      </c>
      <c r="N67" s="283">
        <f t="shared" si="8"/>
        <v>438</v>
      </c>
      <c r="O67" s="283">
        <f t="shared" si="9"/>
        <v>0</v>
      </c>
      <c r="P67" s="283">
        <f t="shared" si="9"/>
        <v>0</v>
      </c>
      <c r="Q67" s="283">
        <f t="shared" si="9"/>
        <v>0</v>
      </c>
      <c r="R67" s="283">
        <f t="shared" si="10"/>
        <v>0</v>
      </c>
      <c r="S67" s="229">
        <f t="shared" si="11"/>
        <v>0</v>
      </c>
      <c r="T67" s="229">
        <f t="shared" si="2"/>
        <v>0</v>
      </c>
      <c r="U67" s="229">
        <f t="shared" si="12"/>
        <v>0</v>
      </c>
      <c r="V67" s="284">
        <f t="shared" si="3"/>
        <v>13.383297644539615</v>
      </c>
      <c r="W67" s="229">
        <f t="shared" si="4"/>
        <v>0</v>
      </c>
      <c r="X67" s="229">
        <f t="shared" si="5"/>
        <v>2.8137044967880085</v>
      </c>
      <c r="Y67" s="229">
        <f t="shared" si="13"/>
        <v>16.197002141327623</v>
      </c>
      <c r="Z67" s="229">
        <f t="shared" si="6"/>
        <v>33689.764453961456</v>
      </c>
    </row>
    <row r="68" spans="1:26" x14ac:dyDescent="0.25">
      <c r="A68" s="929"/>
      <c r="B68" s="140">
        <f>'Plant Salaries'!B66</f>
        <v>63</v>
      </c>
      <c r="C68" s="141" t="str">
        <f>'Plant Salaries'!C66</f>
        <v>Operators</v>
      </c>
      <c r="D68" s="248">
        <f>'Plant Salaries'!F66</f>
        <v>25000</v>
      </c>
      <c r="E68" s="296" t="s">
        <v>502</v>
      </c>
      <c r="F68" s="297">
        <v>0</v>
      </c>
      <c r="G68" s="283">
        <f t="shared" si="7"/>
        <v>2083.3333333333335</v>
      </c>
      <c r="H68" s="229">
        <f>IF($D68=0,('Benefits Cost'!$C$11),IF($E68="E",('Benefits Cost'!$C$7),IF($E68="E1",('Benefits Cost'!$C$8),IF($E68="E2",('Benefits Cost'!$C$9),IF($E68="E3",('Benefits Cost'!$C$10),0)))))</f>
        <v>0</v>
      </c>
      <c r="I68" s="229">
        <f>IF($D68=0,('Benefits Cost'!$C$11),IF($E68="E",('Benefits Cost'!$C$13),IF($E68="E1",('Benefits Cost'!$C$14),IF($E68="E2",('Benefits Cost'!$C$15),IF($E68="E3",('Benefits Cost'!$C$16),0)))))</f>
        <v>0</v>
      </c>
      <c r="J68" s="229">
        <f>IF($D68=0,('Benefits Cost'!$C$11),IF($E68="E",('Benefits Cost'!$C$19),IF($E68="E1",('Benefits Cost'!$C$20),IF($E68="E2",('Benefits Cost'!$C$21),IF($E68="E3",('Benefits Cost'!$C$22),0)))))</f>
        <v>0</v>
      </c>
      <c r="K68" s="229">
        <f>SUM(G68 * 'Benefits Cost'!$E$30 * 'Benefits Cost'!$C$30)</f>
        <v>0</v>
      </c>
      <c r="L68" s="283">
        <f t="shared" si="0"/>
        <v>0</v>
      </c>
      <c r="M68" s="283">
        <f t="shared" si="1"/>
        <v>438</v>
      </c>
      <c r="N68" s="283">
        <f t="shared" si="8"/>
        <v>438</v>
      </c>
      <c r="O68" s="283">
        <f t="shared" si="9"/>
        <v>0</v>
      </c>
      <c r="P68" s="283">
        <f t="shared" si="9"/>
        <v>0</v>
      </c>
      <c r="Q68" s="283">
        <f t="shared" si="9"/>
        <v>0</v>
      </c>
      <c r="R68" s="283">
        <f t="shared" si="10"/>
        <v>0</v>
      </c>
      <c r="S68" s="229">
        <f t="shared" si="11"/>
        <v>0</v>
      </c>
      <c r="T68" s="229">
        <f t="shared" si="2"/>
        <v>0</v>
      </c>
      <c r="U68" s="229">
        <f t="shared" si="12"/>
        <v>0</v>
      </c>
      <c r="V68" s="284">
        <f t="shared" si="3"/>
        <v>13.383297644539615</v>
      </c>
      <c r="W68" s="229">
        <f t="shared" si="4"/>
        <v>0</v>
      </c>
      <c r="X68" s="229">
        <f t="shared" si="5"/>
        <v>2.8137044967880085</v>
      </c>
      <c r="Y68" s="229">
        <f t="shared" si="13"/>
        <v>16.197002141327623</v>
      </c>
      <c r="Z68" s="229">
        <f t="shared" si="6"/>
        <v>33689.764453961456</v>
      </c>
    </row>
    <row r="69" spans="1:26" x14ac:dyDescent="0.25">
      <c r="A69" s="929"/>
      <c r="B69" s="140">
        <f>'Plant Salaries'!B67</f>
        <v>64</v>
      </c>
      <c r="C69" s="141" t="str">
        <f>'Plant Salaries'!C67</f>
        <v>Operators</v>
      </c>
      <c r="D69" s="248">
        <f>'Plant Salaries'!F67</f>
        <v>25000</v>
      </c>
      <c r="E69" s="296" t="s">
        <v>502</v>
      </c>
      <c r="F69" s="297">
        <v>0</v>
      </c>
      <c r="G69" s="283">
        <f t="shared" si="7"/>
        <v>2083.3333333333335</v>
      </c>
      <c r="H69" s="229">
        <f>IF($D69=0,('Benefits Cost'!$C$11),IF($E69="E",('Benefits Cost'!$C$7),IF($E69="E1",('Benefits Cost'!$C$8),IF($E69="E2",('Benefits Cost'!$C$9),IF($E69="E3",('Benefits Cost'!$C$10),0)))))</f>
        <v>0</v>
      </c>
      <c r="I69" s="229">
        <f>IF($D69=0,('Benefits Cost'!$C$11),IF($E69="E",('Benefits Cost'!$C$13),IF($E69="E1",('Benefits Cost'!$C$14),IF($E69="E2",('Benefits Cost'!$C$15),IF($E69="E3",('Benefits Cost'!$C$16),0)))))</f>
        <v>0</v>
      </c>
      <c r="J69" s="229">
        <f>IF($D69=0,('Benefits Cost'!$C$11),IF($E69="E",('Benefits Cost'!$C$19),IF($E69="E1",('Benefits Cost'!$C$20),IF($E69="E2",('Benefits Cost'!$C$21),IF($E69="E3",('Benefits Cost'!$C$22),0)))))</f>
        <v>0</v>
      </c>
      <c r="K69" s="229">
        <f>SUM(G69 * 'Benefits Cost'!$E$30 * 'Benefits Cost'!$C$30)</f>
        <v>0</v>
      </c>
      <c r="L69" s="283">
        <f t="shared" si="0"/>
        <v>0</v>
      </c>
      <c r="M69" s="283">
        <f t="shared" si="1"/>
        <v>438</v>
      </c>
      <c r="N69" s="283">
        <f t="shared" si="8"/>
        <v>438</v>
      </c>
      <c r="O69" s="283">
        <f t="shared" si="9"/>
        <v>0</v>
      </c>
      <c r="P69" s="283">
        <f t="shared" si="9"/>
        <v>0</v>
      </c>
      <c r="Q69" s="283">
        <f t="shared" si="9"/>
        <v>0</v>
      </c>
      <c r="R69" s="283">
        <f t="shared" si="10"/>
        <v>0</v>
      </c>
      <c r="S69" s="229">
        <f t="shared" si="11"/>
        <v>0</v>
      </c>
      <c r="T69" s="229">
        <f t="shared" si="2"/>
        <v>0</v>
      </c>
      <c r="U69" s="229">
        <f t="shared" si="12"/>
        <v>0</v>
      </c>
      <c r="V69" s="284">
        <f t="shared" si="3"/>
        <v>13.383297644539615</v>
      </c>
      <c r="W69" s="229">
        <f t="shared" si="4"/>
        <v>0</v>
      </c>
      <c r="X69" s="229">
        <f t="shared" si="5"/>
        <v>2.8137044967880085</v>
      </c>
      <c r="Y69" s="229">
        <f t="shared" si="13"/>
        <v>16.197002141327623</v>
      </c>
      <c r="Z69" s="229">
        <f t="shared" si="6"/>
        <v>33689.764453961456</v>
      </c>
    </row>
    <row r="70" spans="1:26" x14ac:dyDescent="0.25">
      <c r="A70" s="929"/>
      <c r="B70" s="140">
        <f>'Plant Salaries'!B68</f>
        <v>65</v>
      </c>
      <c r="C70" s="141" t="str">
        <f>'Plant Salaries'!C68</f>
        <v>Operators</v>
      </c>
      <c r="D70" s="248">
        <f>'Plant Salaries'!F68</f>
        <v>25000</v>
      </c>
      <c r="E70" s="296" t="s">
        <v>502</v>
      </c>
      <c r="F70" s="297">
        <v>0</v>
      </c>
      <c r="G70" s="283">
        <f t="shared" si="7"/>
        <v>2083.3333333333335</v>
      </c>
      <c r="H70" s="229">
        <f>IF($D70=0,('Benefits Cost'!$C$11),IF($E70="E",('Benefits Cost'!$C$7),IF($E70="E1",('Benefits Cost'!$C$8),IF($E70="E2",('Benefits Cost'!$C$9),IF($E70="E3",('Benefits Cost'!$C$10),0)))))</f>
        <v>0</v>
      </c>
      <c r="I70" s="229">
        <f>IF($D70=0,('Benefits Cost'!$C$11),IF($E70="E",('Benefits Cost'!$C$13),IF($E70="E1",('Benefits Cost'!$C$14),IF($E70="E2",('Benefits Cost'!$C$15),IF($E70="E3",('Benefits Cost'!$C$16),0)))))</f>
        <v>0</v>
      </c>
      <c r="J70" s="229">
        <f>IF($D70=0,('Benefits Cost'!$C$11),IF($E70="E",('Benefits Cost'!$C$19),IF($E70="E1",('Benefits Cost'!$C$20),IF($E70="E2",('Benefits Cost'!$C$21),IF($E70="E3",('Benefits Cost'!$C$22),0)))))</f>
        <v>0</v>
      </c>
      <c r="K70" s="229">
        <f>SUM(G70 * 'Benefits Cost'!$E$30 * 'Benefits Cost'!$C$30)</f>
        <v>0</v>
      </c>
      <c r="L70" s="283">
        <f t="shared" ref="L70:L81" si="14">ROUND(G70*$M$2,0)</f>
        <v>0</v>
      </c>
      <c r="M70" s="283">
        <f t="shared" ref="M70:M81" si="15">ROUND(IF((G70*12)&gt;$N$4,($N$4*$N$2)/12,G70*$N$2),0)</f>
        <v>438</v>
      </c>
      <c r="N70" s="283">
        <f t="shared" si="8"/>
        <v>438</v>
      </c>
      <c r="O70" s="283">
        <f t="shared" si="9"/>
        <v>0</v>
      </c>
      <c r="P70" s="283">
        <f t="shared" si="9"/>
        <v>0</v>
      </c>
      <c r="Q70" s="283">
        <f t="shared" si="9"/>
        <v>0</v>
      </c>
      <c r="R70" s="283">
        <f t="shared" si="10"/>
        <v>0</v>
      </c>
      <c r="S70" s="229">
        <f t="shared" ref="S70:S116" si="16">IF($D70=0,  0, ($S$4*$S$2))</f>
        <v>0</v>
      </c>
      <c r="T70" s="229">
        <f t="shared" ref="T70:T116" si="17">IF($D70=0,  0, ($T$4*$T$2))</f>
        <v>0</v>
      </c>
      <c r="U70" s="229">
        <f t="shared" si="12"/>
        <v>0</v>
      </c>
      <c r="V70" s="284">
        <f t="shared" ref="V70:V81" si="18">SUM(D70/$G$4)</f>
        <v>13.383297644539615</v>
      </c>
      <c r="W70" s="229">
        <f t="shared" ref="W70:W81" si="19">(O70+P70+Q70+R70)/$G$4</f>
        <v>0</v>
      </c>
      <c r="X70" s="229">
        <f t="shared" ref="X70:X81" si="20">((N70*12)+U70)/$G$4</f>
        <v>2.8137044967880085</v>
      </c>
      <c r="Y70" s="229">
        <f t="shared" si="13"/>
        <v>16.197002141327623</v>
      </c>
      <c r="Z70" s="229">
        <f t="shared" ref="Z70:Z81" si="21">SUM(V70:X70)*$G$1</f>
        <v>33689.764453961456</v>
      </c>
    </row>
    <row r="71" spans="1:26" x14ac:dyDescent="0.25">
      <c r="A71" s="929"/>
      <c r="B71" s="140">
        <f>'Plant Salaries'!B69</f>
        <v>66</v>
      </c>
      <c r="C71" s="141" t="str">
        <f>'Plant Salaries'!C69</f>
        <v>Operators</v>
      </c>
      <c r="D71" s="248">
        <f>'Plant Salaries'!F69</f>
        <v>25000</v>
      </c>
      <c r="E71" s="296" t="s">
        <v>504</v>
      </c>
      <c r="F71" s="297">
        <v>0</v>
      </c>
      <c r="G71" s="283">
        <f t="shared" si="7"/>
        <v>2083.3333333333335</v>
      </c>
      <c r="H71" s="229">
        <f>IF($D71=0,('Benefits Cost'!$C$11),IF($E71="E",('Benefits Cost'!$C$7),IF($E71="E1",('Benefits Cost'!$C$8),IF($E71="E2",('Benefits Cost'!$C$9),IF($E71="E3",('Benefits Cost'!$C$10),0)))))</f>
        <v>0</v>
      </c>
      <c r="I71" s="229">
        <f>IF($D71=0,('Benefits Cost'!$C$11),IF($E71="E",('Benefits Cost'!$C$13),IF($E71="E1",('Benefits Cost'!$C$14),IF($E71="E2",('Benefits Cost'!$C$15),IF($E71="E3",('Benefits Cost'!$C$16),0)))))</f>
        <v>0</v>
      </c>
      <c r="J71" s="229">
        <f>IF($D71=0,('Benefits Cost'!$C$11),IF($E71="E",('Benefits Cost'!$C$19),IF($E71="E1",('Benefits Cost'!$C$20),IF($E71="E2",('Benefits Cost'!$C$21),IF($E71="E3",('Benefits Cost'!$C$22),0)))))</f>
        <v>0</v>
      </c>
      <c r="K71" s="229">
        <f>SUM(G71 * 'Benefits Cost'!$E$30 * 'Benefits Cost'!$C$30)</f>
        <v>0</v>
      </c>
      <c r="L71" s="283">
        <f t="shared" si="14"/>
        <v>0</v>
      </c>
      <c r="M71" s="283">
        <f t="shared" si="15"/>
        <v>438</v>
      </c>
      <c r="N71" s="283">
        <f t="shared" si="8"/>
        <v>438</v>
      </c>
      <c r="O71" s="283">
        <f t="shared" si="9"/>
        <v>0</v>
      </c>
      <c r="P71" s="283">
        <f t="shared" si="9"/>
        <v>0</v>
      </c>
      <c r="Q71" s="283">
        <f t="shared" si="9"/>
        <v>0</v>
      </c>
      <c r="R71" s="283">
        <f t="shared" ref="R71:R81" si="22">SUM(K71*12)</f>
        <v>0</v>
      </c>
      <c r="S71" s="229">
        <f t="shared" si="16"/>
        <v>0</v>
      </c>
      <c r="T71" s="229">
        <f t="shared" si="17"/>
        <v>0</v>
      </c>
      <c r="U71" s="229">
        <f t="shared" si="12"/>
        <v>0</v>
      </c>
      <c r="V71" s="284">
        <f t="shared" si="18"/>
        <v>13.383297644539615</v>
      </c>
      <c r="W71" s="229">
        <f t="shared" si="19"/>
        <v>0</v>
      </c>
      <c r="X71" s="229">
        <f t="shared" si="20"/>
        <v>2.8137044967880085</v>
      </c>
      <c r="Y71" s="229">
        <f t="shared" si="13"/>
        <v>16.197002141327623</v>
      </c>
      <c r="Z71" s="229">
        <f t="shared" si="21"/>
        <v>33689.764453961456</v>
      </c>
    </row>
    <row r="72" spans="1:26" x14ac:dyDescent="0.25">
      <c r="A72" s="929"/>
      <c r="B72" s="140">
        <f>'Plant Salaries'!B70</f>
        <v>67</v>
      </c>
      <c r="C72" s="141" t="str">
        <f>'Plant Salaries'!C70</f>
        <v>Operators</v>
      </c>
      <c r="D72" s="248">
        <f>'Plant Salaries'!F70</f>
        <v>0</v>
      </c>
      <c r="E72" s="296" t="s">
        <v>505</v>
      </c>
      <c r="F72" s="297">
        <v>0</v>
      </c>
      <c r="G72" s="283">
        <f t="shared" ref="G72:G81" si="23">D72/12</f>
        <v>0</v>
      </c>
      <c r="H72" s="229">
        <f>IF($D72=0,('Benefits Cost'!$C$11),IF($E72="E",('Benefits Cost'!$C$7),IF($E72="E1",('Benefits Cost'!$C$8),IF($E72="E2",('Benefits Cost'!$C$9),IF($E72="E3",('Benefits Cost'!$C$10),0)))))</f>
        <v>0</v>
      </c>
      <c r="I72" s="229">
        <f>IF($D72=0,('Benefits Cost'!$C$11),IF($E72="E",('Benefits Cost'!$C$13),IF($E72="E1",('Benefits Cost'!$C$14),IF($E72="E2",('Benefits Cost'!$C$15),IF($E72="E3",('Benefits Cost'!$C$16),0)))))</f>
        <v>0</v>
      </c>
      <c r="J72" s="229">
        <f>IF($D72=0,('Benefits Cost'!$C$11),IF($E72="E",('Benefits Cost'!$C$19),IF($E72="E1",('Benefits Cost'!$C$20),IF($E72="E2",('Benefits Cost'!$C$21),IF($E72="E3",('Benefits Cost'!$C$22),0)))))</f>
        <v>0</v>
      </c>
      <c r="K72" s="229">
        <f>SUM(G72 * 'Benefits Cost'!$E$30 * 'Benefits Cost'!$C$30)</f>
        <v>0</v>
      </c>
      <c r="L72" s="283">
        <f t="shared" si="14"/>
        <v>0</v>
      </c>
      <c r="M72" s="283">
        <f t="shared" si="15"/>
        <v>0</v>
      </c>
      <c r="N72" s="283">
        <f t="shared" ref="N72:N81" si="24">SUM(L72:M72)</f>
        <v>0</v>
      </c>
      <c r="O72" s="283">
        <f t="shared" ref="O72:Q81" si="25">H72*12</f>
        <v>0</v>
      </c>
      <c r="P72" s="283">
        <f t="shared" si="25"/>
        <v>0</v>
      </c>
      <c r="Q72" s="283">
        <f t="shared" si="25"/>
        <v>0</v>
      </c>
      <c r="R72" s="283">
        <f t="shared" si="22"/>
        <v>0</v>
      </c>
      <c r="S72" s="229">
        <f t="shared" si="16"/>
        <v>0</v>
      </c>
      <c r="T72" s="229">
        <f t="shared" si="17"/>
        <v>0</v>
      </c>
      <c r="U72" s="229">
        <f t="shared" ref="U72:U81" si="26">SUM(S72:T72)</f>
        <v>0</v>
      </c>
      <c r="V72" s="284">
        <f t="shared" si="18"/>
        <v>0</v>
      </c>
      <c r="W72" s="229">
        <f t="shared" si="19"/>
        <v>0</v>
      </c>
      <c r="X72" s="229">
        <f t="shared" si="20"/>
        <v>0</v>
      </c>
      <c r="Y72" s="229">
        <f t="shared" ref="Y72:Y81" si="27">SUM(V72:X72)</f>
        <v>0</v>
      </c>
      <c r="Z72" s="229">
        <f t="shared" si="21"/>
        <v>0</v>
      </c>
    </row>
    <row r="73" spans="1:26" x14ac:dyDescent="0.25">
      <c r="A73" s="929"/>
      <c r="B73" s="140">
        <f>'Plant Salaries'!B71</f>
        <v>68</v>
      </c>
      <c r="C73" s="141" t="str">
        <f>'Plant Salaries'!C71</f>
        <v>Operators</v>
      </c>
      <c r="D73" s="248">
        <f>'Plant Salaries'!F71</f>
        <v>0</v>
      </c>
      <c r="E73" s="296" t="s">
        <v>503</v>
      </c>
      <c r="F73" s="297">
        <v>0</v>
      </c>
      <c r="G73" s="283">
        <f t="shared" si="23"/>
        <v>0</v>
      </c>
      <c r="H73" s="229">
        <f>IF($D73=0,('Benefits Cost'!$C$11),IF($E73="E",('Benefits Cost'!$C$7),IF($E73="E1",('Benefits Cost'!$C$8),IF($E73="E2",('Benefits Cost'!$C$9),IF($E73="E3",('Benefits Cost'!$C$10),0)))))</f>
        <v>0</v>
      </c>
      <c r="I73" s="229">
        <f>IF($D73=0,('Benefits Cost'!$C$11),IF($E73="E",('Benefits Cost'!$C$13),IF($E73="E1",('Benefits Cost'!$C$14),IF($E73="E2",('Benefits Cost'!$C$15),IF($E73="E3",('Benefits Cost'!$C$16),0)))))</f>
        <v>0</v>
      </c>
      <c r="J73" s="229">
        <f>IF($D73=0,('Benefits Cost'!$C$11),IF($E73="E",('Benefits Cost'!$C$19),IF($E73="E1",('Benefits Cost'!$C$20),IF($E73="E2",('Benefits Cost'!$C$21),IF($E73="E3",('Benefits Cost'!$C$22),0)))))</f>
        <v>0</v>
      </c>
      <c r="K73" s="229">
        <f>SUM(G73 * 'Benefits Cost'!$E$30 * 'Benefits Cost'!$C$30)</f>
        <v>0</v>
      </c>
      <c r="L73" s="283">
        <f t="shared" si="14"/>
        <v>0</v>
      </c>
      <c r="M73" s="283">
        <f t="shared" si="15"/>
        <v>0</v>
      </c>
      <c r="N73" s="283">
        <f t="shared" si="24"/>
        <v>0</v>
      </c>
      <c r="O73" s="283">
        <f t="shared" si="25"/>
        <v>0</v>
      </c>
      <c r="P73" s="283">
        <f t="shared" si="25"/>
        <v>0</v>
      </c>
      <c r="Q73" s="283">
        <f t="shared" si="25"/>
        <v>0</v>
      </c>
      <c r="R73" s="283">
        <f t="shared" si="22"/>
        <v>0</v>
      </c>
      <c r="S73" s="229">
        <f t="shared" si="16"/>
        <v>0</v>
      </c>
      <c r="T73" s="229">
        <f t="shared" si="17"/>
        <v>0</v>
      </c>
      <c r="U73" s="229">
        <f t="shared" si="26"/>
        <v>0</v>
      </c>
      <c r="V73" s="284">
        <f t="shared" si="18"/>
        <v>0</v>
      </c>
      <c r="W73" s="229">
        <f t="shared" si="19"/>
        <v>0</v>
      </c>
      <c r="X73" s="229">
        <f t="shared" si="20"/>
        <v>0</v>
      </c>
      <c r="Y73" s="229">
        <f t="shared" si="27"/>
        <v>0</v>
      </c>
      <c r="Z73" s="229">
        <f t="shared" si="21"/>
        <v>0</v>
      </c>
    </row>
    <row r="74" spans="1:26" x14ac:dyDescent="0.25">
      <c r="A74" s="929"/>
      <c r="B74" s="140">
        <f>'Plant Salaries'!B72</f>
        <v>69</v>
      </c>
      <c r="C74" s="141" t="str">
        <f>'Plant Salaries'!C72</f>
        <v>Operators</v>
      </c>
      <c r="D74" s="248">
        <f>'Plant Salaries'!F72</f>
        <v>0</v>
      </c>
      <c r="E74" s="296" t="s">
        <v>502</v>
      </c>
      <c r="F74" s="297">
        <v>0</v>
      </c>
      <c r="G74" s="283">
        <f t="shared" si="23"/>
        <v>0</v>
      </c>
      <c r="H74" s="229">
        <f>IF($D74=0,('Benefits Cost'!$C$11),IF($E74="E",('Benefits Cost'!$C$7),IF($E74="E1",('Benefits Cost'!$C$8),IF($E74="E2",('Benefits Cost'!$C$9),IF($E74="E3",('Benefits Cost'!$C$10),0)))))</f>
        <v>0</v>
      </c>
      <c r="I74" s="229">
        <f>IF($D74=0,('Benefits Cost'!$C$11),IF($E74="E",('Benefits Cost'!$C$13),IF($E74="E1",('Benefits Cost'!$C$14),IF($E74="E2",('Benefits Cost'!$C$15),IF($E74="E3",('Benefits Cost'!$C$16),0)))))</f>
        <v>0</v>
      </c>
      <c r="J74" s="229">
        <f>IF($D74=0,('Benefits Cost'!$C$11),IF($E74="E",('Benefits Cost'!$C$19),IF($E74="E1",('Benefits Cost'!$C$20),IF($E74="E2",('Benefits Cost'!$C$21),IF($E74="E3",('Benefits Cost'!$C$22),0)))))</f>
        <v>0</v>
      </c>
      <c r="K74" s="229">
        <f>SUM(G74 * 'Benefits Cost'!$E$30 * 'Benefits Cost'!$C$30)</f>
        <v>0</v>
      </c>
      <c r="L74" s="283">
        <f t="shared" si="14"/>
        <v>0</v>
      </c>
      <c r="M74" s="283">
        <f t="shared" si="15"/>
        <v>0</v>
      </c>
      <c r="N74" s="283">
        <f t="shared" si="24"/>
        <v>0</v>
      </c>
      <c r="O74" s="283">
        <f t="shared" si="25"/>
        <v>0</v>
      </c>
      <c r="P74" s="283">
        <f t="shared" si="25"/>
        <v>0</v>
      </c>
      <c r="Q74" s="283">
        <f t="shared" si="25"/>
        <v>0</v>
      </c>
      <c r="R74" s="283">
        <f t="shared" si="22"/>
        <v>0</v>
      </c>
      <c r="S74" s="229">
        <f t="shared" si="16"/>
        <v>0</v>
      </c>
      <c r="T74" s="229">
        <f t="shared" si="17"/>
        <v>0</v>
      </c>
      <c r="U74" s="229">
        <f t="shared" si="26"/>
        <v>0</v>
      </c>
      <c r="V74" s="284">
        <f t="shared" si="18"/>
        <v>0</v>
      </c>
      <c r="W74" s="229">
        <f t="shared" si="19"/>
        <v>0</v>
      </c>
      <c r="X74" s="229">
        <f t="shared" si="20"/>
        <v>0</v>
      </c>
      <c r="Y74" s="229">
        <f t="shared" si="27"/>
        <v>0</v>
      </c>
      <c r="Z74" s="229">
        <f t="shared" si="21"/>
        <v>0</v>
      </c>
    </row>
    <row r="75" spans="1:26" x14ac:dyDescent="0.25">
      <c r="A75" s="929"/>
      <c r="B75" s="140">
        <f>'Plant Salaries'!B73</f>
        <v>70</v>
      </c>
      <c r="C75" s="141" t="str">
        <f>'Plant Salaries'!C73</f>
        <v>Byproduct production crew</v>
      </c>
      <c r="D75" s="248">
        <f>'Plant Salaries'!F73</f>
        <v>65000</v>
      </c>
      <c r="E75" s="296" t="s">
        <v>502</v>
      </c>
      <c r="F75" s="297">
        <v>0</v>
      </c>
      <c r="G75" s="283">
        <f t="shared" si="23"/>
        <v>5416.666666666667</v>
      </c>
      <c r="H75" s="229">
        <f>IF($D75=0,('Benefits Cost'!$C$11),IF($E75="E",('Benefits Cost'!$C$7),IF($E75="E1",('Benefits Cost'!$C$8),IF($E75="E2",('Benefits Cost'!$C$9),IF($E75="E3",('Benefits Cost'!$C$10),0)))))</f>
        <v>0</v>
      </c>
      <c r="I75" s="229">
        <f>IF($D75=0,('Benefits Cost'!$C$11),IF($E75="E",('Benefits Cost'!$C$13),IF($E75="E1",('Benefits Cost'!$C$14),IF($E75="E2",('Benefits Cost'!$C$15),IF($E75="E3",('Benefits Cost'!$C$16),0)))))</f>
        <v>0</v>
      </c>
      <c r="J75" s="229">
        <f>IF($D75=0,('Benefits Cost'!$C$11),IF($E75="E",('Benefits Cost'!$C$19),IF($E75="E1",('Benefits Cost'!$C$20),IF($E75="E2",('Benefits Cost'!$C$21),IF($E75="E3",('Benefits Cost'!$C$22),0)))))</f>
        <v>0</v>
      </c>
      <c r="K75" s="229">
        <f>SUM(G75 * 'Benefits Cost'!$E$30 * 'Benefits Cost'!$C$30)</f>
        <v>0</v>
      </c>
      <c r="L75" s="283">
        <f t="shared" si="14"/>
        <v>0</v>
      </c>
      <c r="M75" s="283">
        <f t="shared" si="15"/>
        <v>1138</v>
      </c>
      <c r="N75" s="283">
        <f t="shared" si="24"/>
        <v>1138</v>
      </c>
      <c r="O75" s="283">
        <f t="shared" si="25"/>
        <v>0</v>
      </c>
      <c r="P75" s="283">
        <f t="shared" si="25"/>
        <v>0</v>
      </c>
      <c r="Q75" s="283">
        <f t="shared" si="25"/>
        <v>0</v>
      </c>
      <c r="R75" s="283">
        <f t="shared" si="22"/>
        <v>0</v>
      </c>
      <c r="S75" s="229">
        <f t="shared" si="16"/>
        <v>0</v>
      </c>
      <c r="T75" s="229">
        <f t="shared" si="17"/>
        <v>0</v>
      </c>
      <c r="U75" s="229">
        <f t="shared" si="26"/>
        <v>0</v>
      </c>
      <c r="V75" s="284">
        <f t="shared" si="18"/>
        <v>34.796573875802999</v>
      </c>
      <c r="W75" s="229">
        <f t="shared" si="19"/>
        <v>0</v>
      </c>
      <c r="X75" s="229">
        <f t="shared" si="20"/>
        <v>7.3104925053533192</v>
      </c>
      <c r="Y75" s="229">
        <f t="shared" si="27"/>
        <v>42.107066381156315</v>
      </c>
      <c r="Z75" s="229">
        <f t="shared" si="21"/>
        <v>87582.698072805142</v>
      </c>
    </row>
    <row r="76" spans="1:26" x14ac:dyDescent="0.25">
      <c r="A76" s="929"/>
      <c r="B76" s="140">
        <f>'Plant Salaries'!B74</f>
        <v>71</v>
      </c>
      <c r="C76" s="141" t="str">
        <f>'Plant Salaries'!C74</f>
        <v>Byproduct production crew</v>
      </c>
      <c r="D76" s="248">
        <f>'Plant Salaries'!F74</f>
        <v>65000</v>
      </c>
      <c r="E76" s="296" t="s">
        <v>502</v>
      </c>
      <c r="F76" s="297">
        <v>0</v>
      </c>
      <c r="G76" s="283">
        <f t="shared" si="23"/>
        <v>5416.666666666667</v>
      </c>
      <c r="H76" s="229">
        <f>IF($D76=0,('Benefits Cost'!$C$11),IF($E76="E",('Benefits Cost'!$C$7),IF($E76="E1",('Benefits Cost'!$C$8),IF($E76="E2",('Benefits Cost'!$C$9),IF($E76="E3",('Benefits Cost'!$C$10),0)))))</f>
        <v>0</v>
      </c>
      <c r="I76" s="229">
        <f>IF($D76=0,('Benefits Cost'!$C$11),IF($E76="E",('Benefits Cost'!$C$13),IF($E76="E1",('Benefits Cost'!$C$14),IF($E76="E2",('Benefits Cost'!$C$15),IF($E76="E3",('Benefits Cost'!$C$16),0)))))</f>
        <v>0</v>
      </c>
      <c r="J76" s="229">
        <f>IF($D76=0,('Benefits Cost'!$C$11),IF($E76="E",('Benefits Cost'!$C$19),IF($E76="E1",('Benefits Cost'!$C$20),IF($E76="E2",('Benefits Cost'!$C$21),IF($E76="E3",('Benefits Cost'!$C$22),0)))))</f>
        <v>0</v>
      </c>
      <c r="K76" s="229">
        <f>SUM(G76 * 'Benefits Cost'!$E$30 * 'Benefits Cost'!$C$30)</f>
        <v>0</v>
      </c>
      <c r="L76" s="283">
        <f t="shared" si="14"/>
        <v>0</v>
      </c>
      <c r="M76" s="283">
        <f t="shared" si="15"/>
        <v>1138</v>
      </c>
      <c r="N76" s="283">
        <f t="shared" si="24"/>
        <v>1138</v>
      </c>
      <c r="O76" s="283">
        <f t="shared" si="25"/>
        <v>0</v>
      </c>
      <c r="P76" s="283">
        <f t="shared" si="25"/>
        <v>0</v>
      </c>
      <c r="Q76" s="283">
        <f t="shared" si="25"/>
        <v>0</v>
      </c>
      <c r="R76" s="283">
        <f t="shared" si="22"/>
        <v>0</v>
      </c>
      <c r="S76" s="229">
        <f t="shared" si="16"/>
        <v>0</v>
      </c>
      <c r="T76" s="229">
        <f t="shared" si="17"/>
        <v>0</v>
      </c>
      <c r="U76" s="229">
        <f t="shared" si="26"/>
        <v>0</v>
      </c>
      <c r="V76" s="284">
        <f t="shared" si="18"/>
        <v>34.796573875802999</v>
      </c>
      <c r="W76" s="229">
        <f t="shared" si="19"/>
        <v>0</v>
      </c>
      <c r="X76" s="229">
        <f t="shared" si="20"/>
        <v>7.3104925053533192</v>
      </c>
      <c r="Y76" s="229">
        <f t="shared" si="27"/>
        <v>42.107066381156315</v>
      </c>
      <c r="Z76" s="229">
        <f t="shared" si="21"/>
        <v>87582.698072805142</v>
      </c>
    </row>
    <row r="77" spans="1:26" x14ac:dyDescent="0.25">
      <c r="A77" s="929"/>
      <c r="B77" s="140">
        <f>'Plant Salaries'!B75</f>
        <v>72</v>
      </c>
      <c r="C77" s="141" t="str">
        <f>'Plant Salaries'!C75</f>
        <v>Byproduct production crew</v>
      </c>
      <c r="D77" s="248">
        <f>'Plant Salaries'!F75</f>
        <v>40000</v>
      </c>
      <c r="E77" s="296" t="s">
        <v>502</v>
      </c>
      <c r="F77" s="297">
        <v>0</v>
      </c>
      <c r="G77" s="283">
        <f t="shared" si="23"/>
        <v>3333.3333333333335</v>
      </c>
      <c r="H77" s="229">
        <f>IF($D77=0,('Benefits Cost'!$C$11),IF($E77="E",('Benefits Cost'!$C$7),IF($E77="E1",('Benefits Cost'!$C$8),IF($E77="E2",('Benefits Cost'!$C$9),IF($E77="E3",('Benefits Cost'!$C$10),0)))))</f>
        <v>0</v>
      </c>
      <c r="I77" s="229">
        <f>IF($D77=0,('Benefits Cost'!$C$11),IF($E77="E",('Benefits Cost'!$C$13),IF($E77="E1",('Benefits Cost'!$C$14),IF($E77="E2",('Benefits Cost'!$C$15),IF($E77="E3",('Benefits Cost'!$C$16),0)))))</f>
        <v>0</v>
      </c>
      <c r="J77" s="229">
        <f>IF($D77=0,('Benefits Cost'!$C$11),IF($E77="E",('Benefits Cost'!$C$19),IF($E77="E1",('Benefits Cost'!$C$20),IF($E77="E2",('Benefits Cost'!$C$21),IF($E77="E3",('Benefits Cost'!$C$22),0)))))</f>
        <v>0</v>
      </c>
      <c r="K77" s="229">
        <f>SUM(G77 * 'Benefits Cost'!$E$30 * 'Benefits Cost'!$C$30)</f>
        <v>0</v>
      </c>
      <c r="L77" s="283">
        <f t="shared" si="14"/>
        <v>0</v>
      </c>
      <c r="M77" s="283">
        <f t="shared" si="15"/>
        <v>700</v>
      </c>
      <c r="N77" s="283">
        <f t="shared" si="24"/>
        <v>700</v>
      </c>
      <c r="O77" s="283">
        <f t="shared" si="25"/>
        <v>0</v>
      </c>
      <c r="P77" s="283">
        <f t="shared" si="25"/>
        <v>0</v>
      </c>
      <c r="Q77" s="283">
        <f t="shared" si="25"/>
        <v>0</v>
      </c>
      <c r="R77" s="283">
        <f t="shared" si="22"/>
        <v>0</v>
      </c>
      <c r="S77" s="229">
        <f t="shared" si="16"/>
        <v>0</v>
      </c>
      <c r="T77" s="229">
        <f t="shared" si="17"/>
        <v>0</v>
      </c>
      <c r="U77" s="229">
        <f t="shared" si="26"/>
        <v>0</v>
      </c>
      <c r="V77" s="284">
        <f t="shared" si="18"/>
        <v>21.413276231263382</v>
      </c>
      <c r="W77" s="229">
        <f t="shared" si="19"/>
        <v>0</v>
      </c>
      <c r="X77" s="229">
        <f t="shared" si="20"/>
        <v>4.4967880085653107</v>
      </c>
      <c r="Y77" s="229">
        <f t="shared" si="27"/>
        <v>25.910064239828692</v>
      </c>
      <c r="Z77" s="229">
        <f t="shared" si="21"/>
        <v>53892.933618843679</v>
      </c>
    </row>
    <row r="78" spans="1:26" x14ac:dyDescent="0.25">
      <c r="A78" s="929"/>
      <c r="B78" s="140">
        <f>'Plant Salaries'!B76</f>
        <v>73</v>
      </c>
      <c r="C78" s="141" t="str">
        <f>'Plant Salaries'!C76</f>
        <v>Byproduct production crew</v>
      </c>
      <c r="D78" s="248">
        <f>'Plant Salaries'!F76</f>
        <v>40000</v>
      </c>
      <c r="E78" s="296" t="s">
        <v>502</v>
      </c>
      <c r="F78" s="297">
        <v>0</v>
      </c>
      <c r="G78" s="283">
        <f t="shared" si="23"/>
        <v>3333.3333333333335</v>
      </c>
      <c r="H78" s="229">
        <f>IF($D78=0,('Benefits Cost'!$C$11),IF($E78="E",('Benefits Cost'!$C$7),IF($E78="E1",('Benefits Cost'!$C$8),IF($E78="E2",('Benefits Cost'!$C$9),IF($E78="E3",('Benefits Cost'!$C$10),0)))))</f>
        <v>0</v>
      </c>
      <c r="I78" s="229">
        <f>IF($D78=0,('Benefits Cost'!$C$11),IF($E78="E",('Benefits Cost'!$C$13),IF($E78="E1",('Benefits Cost'!$C$14),IF($E78="E2",('Benefits Cost'!$C$15),IF($E78="E3",('Benefits Cost'!$C$16),0)))))</f>
        <v>0</v>
      </c>
      <c r="J78" s="229">
        <f>IF($D78=0,('Benefits Cost'!$C$11),IF($E78="E",('Benefits Cost'!$C$19),IF($E78="E1",('Benefits Cost'!$C$20),IF($E78="E2",('Benefits Cost'!$C$21),IF($E78="E3",('Benefits Cost'!$C$22),0)))))</f>
        <v>0</v>
      </c>
      <c r="K78" s="229">
        <f>SUM(G78 * 'Benefits Cost'!$E$30 * 'Benefits Cost'!$C$30)</f>
        <v>0</v>
      </c>
      <c r="L78" s="283">
        <f t="shared" si="14"/>
        <v>0</v>
      </c>
      <c r="M78" s="283">
        <f t="shared" si="15"/>
        <v>700</v>
      </c>
      <c r="N78" s="283">
        <f t="shared" si="24"/>
        <v>700</v>
      </c>
      <c r="O78" s="283">
        <f t="shared" si="25"/>
        <v>0</v>
      </c>
      <c r="P78" s="283">
        <f t="shared" si="25"/>
        <v>0</v>
      </c>
      <c r="Q78" s="283">
        <f t="shared" si="25"/>
        <v>0</v>
      </c>
      <c r="R78" s="283">
        <f t="shared" si="22"/>
        <v>0</v>
      </c>
      <c r="S78" s="229">
        <f t="shared" si="16"/>
        <v>0</v>
      </c>
      <c r="T78" s="229">
        <f t="shared" si="17"/>
        <v>0</v>
      </c>
      <c r="U78" s="229">
        <f t="shared" si="26"/>
        <v>0</v>
      </c>
      <c r="V78" s="284">
        <f t="shared" si="18"/>
        <v>21.413276231263382</v>
      </c>
      <c r="W78" s="229">
        <f t="shared" si="19"/>
        <v>0</v>
      </c>
      <c r="X78" s="229">
        <f t="shared" si="20"/>
        <v>4.4967880085653107</v>
      </c>
      <c r="Y78" s="229">
        <f t="shared" si="27"/>
        <v>25.910064239828692</v>
      </c>
      <c r="Z78" s="229">
        <f t="shared" si="21"/>
        <v>53892.933618843679</v>
      </c>
    </row>
    <row r="79" spans="1:26" x14ac:dyDescent="0.25">
      <c r="A79" s="929"/>
      <c r="B79" s="140">
        <f>'Plant Salaries'!B77</f>
        <v>74</v>
      </c>
      <c r="C79" s="141" t="str">
        <f>'Plant Salaries'!C77</f>
        <v>Byproduct production crew</v>
      </c>
      <c r="D79" s="248">
        <f>'Plant Salaries'!F77</f>
        <v>35000</v>
      </c>
      <c r="E79" s="296" t="s">
        <v>502</v>
      </c>
      <c r="F79" s="297">
        <v>0</v>
      </c>
      <c r="G79" s="283">
        <f t="shared" si="23"/>
        <v>2916.6666666666665</v>
      </c>
      <c r="H79" s="229">
        <f>IF($D79=0,('Benefits Cost'!$C$11),IF($E79="E",('Benefits Cost'!$C$7),IF($E79="E1",('Benefits Cost'!$C$8),IF($E79="E2",('Benefits Cost'!$C$9),IF($E79="E3",('Benefits Cost'!$C$10),0)))))</f>
        <v>0</v>
      </c>
      <c r="I79" s="229">
        <f>IF($D79=0,('Benefits Cost'!$C$11),IF($E79="E",('Benefits Cost'!$C$13),IF($E79="E1",('Benefits Cost'!$C$14),IF($E79="E2",('Benefits Cost'!$C$15),IF($E79="E3",('Benefits Cost'!$C$16),0)))))</f>
        <v>0</v>
      </c>
      <c r="J79" s="229">
        <f>IF($D79=0,('Benefits Cost'!$C$11),IF($E79="E",('Benefits Cost'!$C$19),IF($E79="E1",('Benefits Cost'!$C$20),IF($E79="E2",('Benefits Cost'!$C$21),IF($E79="E3",('Benefits Cost'!$C$22),0)))))</f>
        <v>0</v>
      </c>
      <c r="K79" s="229">
        <f>SUM(G79 * 'Benefits Cost'!$E$30 * 'Benefits Cost'!$C$30)</f>
        <v>0</v>
      </c>
      <c r="L79" s="283">
        <f t="shared" si="14"/>
        <v>0</v>
      </c>
      <c r="M79" s="283">
        <f t="shared" si="15"/>
        <v>613</v>
      </c>
      <c r="N79" s="283">
        <f t="shared" si="24"/>
        <v>613</v>
      </c>
      <c r="O79" s="283">
        <f t="shared" si="25"/>
        <v>0</v>
      </c>
      <c r="P79" s="283">
        <f t="shared" si="25"/>
        <v>0</v>
      </c>
      <c r="Q79" s="283">
        <f t="shared" si="25"/>
        <v>0</v>
      </c>
      <c r="R79" s="283">
        <f t="shared" si="22"/>
        <v>0</v>
      </c>
      <c r="S79" s="229">
        <f t="shared" si="16"/>
        <v>0</v>
      </c>
      <c r="T79" s="229">
        <f t="shared" si="17"/>
        <v>0</v>
      </c>
      <c r="U79" s="229">
        <f t="shared" si="26"/>
        <v>0</v>
      </c>
      <c r="V79" s="284">
        <f t="shared" si="18"/>
        <v>18.736616702355459</v>
      </c>
      <c r="W79" s="229">
        <f t="shared" si="19"/>
        <v>0</v>
      </c>
      <c r="X79" s="229">
        <f t="shared" si="20"/>
        <v>3.9379014989293362</v>
      </c>
      <c r="Y79" s="229">
        <f t="shared" si="27"/>
        <v>22.674518201284794</v>
      </c>
      <c r="Z79" s="229">
        <f t="shared" si="21"/>
        <v>47162.997858672374</v>
      </c>
    </row>
    <row r="80" spans="1:26" x14ac:dyDescent="0.25">
      <c r="A80" s="930" t="s">
        <v>508</v>
      </c>
      <c r="B80" s="140">
        <f>'Plant Salaries'!B78</f>
        <v>75</v>
      </c>
      <c r="C80" s="141" t="str">
        <f>'Plant Salaries'!C78</f>
        <v>Byproduct production crew</v>
      </c>
      <c r="D80" s="248">
        <f>'Plant Salaries'!F78</f>
        <v>35000</v>
      </c>
      <c r="E80" s="296" t="s">
        <v>504</v>
      </c>
      <c r="F80" s="297">
        <v>0</v>
      </c>
      <c r="G80" s="283">
        <f t="shared" si="23"/>
        <v>2916.6666666666665</v>
      </c>
      <c r="H80" s="229">
        <f>IF($D80=0,('Benefits Cost'!$C$11),IF($E80="E",('Benefits Cost'!$C$7),IF($E80="E1",('Benefits Cost'!$C$8),IF($E80="E2",('Benefits Cost'!$C$9),IF($E80="E3",('Benefits Cost'!$C$10),0)))))</f>
        <v>0</v>
      </c>
      <c r="I80" s="229">
        <f>IF($D80=0,('Benefits Cost'!$C$11),IF($E80="E",('Benefits Cost'!$C$13),IF($E80="E1",('Benefits Cost'!$C$14),IF($E80="E2",('Benefits Cost'!$C$15),IF($E80="E3",('Benefits Cost'!$C$16),0)))))</f>
        <v>0</v>
      </c>
      <c r="J80" s="229">
        <f>IF($D80=0,('Benefits Cost'!$C$11),IF($E80="E",('Benefits Cost'!$C$19),IF($E80="E1",('Benefits Cost'!$C$20),IF($E80="E2",('Benefits Cost'!$C$21),IF($E80="E3",('Benefits Cost'!$C$22),0)))))</f>
        <v>0</v>
      </c>
      <c r="K80" s="229">
        <f>SUM(G80 * 'Benefits Cost'!$E$30 * 'Benefits Cost'!$C$30)</f>
        <v>0</v>
      </c>
      <c r="L80" s="283">
        <f t="shared" si="14"/>
        <v>0</v>
      </c>
      <c r="M80" s="283">
        <f t="shared" si="15"/>
        <v>613</v>
      </c>
      <c r="N80" s="283">
        <f t="shared" si="24"/>
        <v>613</v>
      </c>
      <c r="O80" s="283">
        <f t="shared" si="25"/>
        <v>0</v>
      </c>
      <c r="P80" s="283">
        <f t="shared" si="25"/>
        <v>0</v>
      </c>
      <c r="Q80" s="283">
        <f t="shared" si="25"/>
        <v>0</v>
      </c>
      <c r="R80" s="283">
        <f t="shared" si="22"/>
        <v>0</v>
      </c>
      <c r="S80" s="229">
        <f t="shared" si="16"/>
        <v>0</v>
      </c>
      <c r="T80" s="229">
        <f t="shared" si="17"/>
        <v>0</v>
      </c>
      <c r="U80" s="229">
        <f t="shared" si="26"/>
        <v>0</v>
      </c>
      <c r="V80" s="284">
        <f t="shared" si="18"/>
        <v>18.736616702355459</v>
      </c>
      <c r="W80" s="229">
        <f t="shared" si="19"/>
        <v>0</v>
      </c>
      <c r="X80" s="229">
        <f t="shared" si="20"/>
        <v>3.9379014989293362</v>
      </c>
      <c r="Y80" s="229">
        <f t="shared" si="27"/>
        <v>22.674518201284794</v>
      </c>
      <c r="Z80" s="229">
        <f t="shared" si="21"/>
        <v>47162.997858672374</v>
      </c>
    </row>
    <row r="81" spans="1:26" x14ac:dyDescent="0.25">
      <c r="A81" s="931"/>
      <c r="B81" s="140">
        <f>'Plant Salaries'!B79</f>
        <v>76</v>
      </c>
      <c r="C81" s="141" t="str">
        <f>'Plant Salaries'!C79</f>
        <v>Byproduct production crew</v>
      </c>
      <c r="D81" s="248">
        <f>'Plant Salaries'!F79</f>
        <v>35000</v>
      </c>
      <c r="E81" s="296" t="s">
        <v>502</v>
      </c>
      <c r="F81" s="297">
        <v>0</v>
      </c>
      <c r="G81" s="283">
        <f t="shared" si="23"/>
        <v>2916.6666666666665</v>
      </c>
      <c r="H81" s="229">
        <f>IF($D81=0,('Benefits Cost'!$C$11),IF($E81="E",('Benefits Cost'!$C$7),IF($E81="E1",('Benefits Cost'!$C$8),IF($E81="E2",('Benefits Cost'!$C$9),IF($E81="E3",('Benefits Cost'!$C$10),0)))))</f>
        <v>0</v>
      </c>
      <c r="I81" s="229">
        <f>IF($D81=0,('Benefits Cost'!$C$11),IF($E81="E",('Benefits Cost'!$C$13),IF($E81="E1",('Benefits Cost'!$C$14),IF($E81="E2",('Benefits Cost'!$C$15),IF($E81="E3",('Benefits Cost'!$C$16),0)))))</f>
        <v>0</v>
      </c>
      <c r="J81" s="229">
        <f>IF($D81=0,('Benefits Cost'!$C$11),IF($E81="E",('Benefits Cost'!$C$19),IF($E81="E1",('Benefits Cost'!$C$20),IF($E81="E2",('Benefits Cost'!$C$21),IF($E81="E3",('Benefits Cost'!$C$22),0)))))</f>
        <v>0</v>
      </c>
      <c r="K81" s="229">
        <f>SUM(G81 * 'Benefits Cost'!$E$30 * 'Benefits Cost'!$C$30)</f>
        <v>0</v>
      </c>
      <c r="L81" s="283">
        <f t="shared" si="14"/>
        <v>0</v>
      </c>
      <c r="M81" s="283">
        <f t="shared" si="15"/>
        <v>613</v>
      </c>
      <c r="N81" s="283">
        <f t="shared" si="24"/>
        <v>613</v>
      </c>
      <c r="O81" s="283">
        <f t="shared" si="25"/>
        <v>0</v>
      </c>
      <c r="P81" s="283">
        <f t="shared" si="25"/>
        <v>0</v>
      </c>
      <c r="Q81" s="283">
        <f t="shared" si="25"/>
        <v>0</v>
      </c>
      <c r="R81" s="283">
        <f t="shared" si="22"/>
        <v>0</v>
      </c>
      <c r="S81" s="229">
        <f t="shared" si="16"/>
        <v>0</v>
      </c>
      <c r="T81" s="229">
        <f t="shared" si="17"/>
        <v>0</v>
      </c>
      <c r="U81" s="229">
        <f t="shared" si="26"/>
        <v>0</v>
      </c>
      <c r="V81" s="284">
        <f t="shared" si="18"/>
        <v>18.736616702355459</v>
      </c>
      <c r="W81" s="229">
        <f t="shared" si="19"/>
        <v>0</v>
      </c>
      <c r="X81" s="229">
        <f t="shared" si="20"/>
        <v>3.9379014989293362</v>
      </c>
      <c r="Y81" s="229">
        <f t="shared" si="27"/>
        <v>22.674518201284794</v>
      </c>
      <c r="Z81" s="229">
        <f t="shared" si="21"/>
        <v>47162.997858672374</v>
      </c>
    </row>
    <row r="82" spans="1:26" x14ac:dyDescent="0.25">
      <c r="A82" s="931"/>
      <c r="B82" s="140">
        <f>'Plant Salaries'!B80</f>
        <v>77</v>
      </c>
      <c r="C82" s="141" t="str">
        <f>'Plant Salaries'!C80</f>
        <v>Byproduct production crew</v>
      </c>
      <c r="D82" s="248">
        <f>'Plant Salaries'!F80</f>
        <v>35000</v>
      </c>
      <c r="E82" s="296" t="s">
        <v>502</v>
      </c>
      <c r="F82" s="297">
        <v>0</v>
      </c>
      <c r="G82" s="283">
        <f t="shared" ref="G82:G116" si="28">D82/12</f>
        <v>2916.6666666666665</v>
      </c>
      <c r="H82" s="229">
        <f>IF($D82=0,('Benefits Cost'!$C$11),IF($E82="E",('Benefits Cost'!$C$7),IF($E82="E1",('Benefits Cost'!$C$8),IF($E82="E2",('Benefits Cost'!$C$9),IF($E82="E3",('Benefits Cost'!$C$10),0)))))</f>
        <v>0</v>
      </c>
      <c r="I82" s="229">
        <f>IF($D82=0,('Benefits Cost'!$C$11),IF($E82="E",('Benefits Cost'!$C$13),IF($E82="E1",('Benefits Cost'!$C$14),IF($E82="E2",('Benefits Cost'!$C$15),IF($E82="E3",('Benefits Cost'!$C$16),0)))))</f>
        <v>0</v>
      </c>
      <c r="J82" s="229">
        <f>IF($D82=0,('Benefits Cost'!$C$11),IF($E82="E",('Benefits Cost'!$C$19),IF($E82="E1",('Benefits Cost'!$C$20),IF($E82="E2",('Benefits Cost'!$C$21),IF($E82="E3",('Benefits Cost'!$C$22),0)))))</f>
        <v>0</v>
      </c>
      <c r="K82" s="229">
        <f>SUM(G82 * 'Benefits Cost'!$E$30 * 'Benefits Cost'!$C$30)</f>
        <v>0</v>
      </c>
      <c r="L82" s="283">
        <f t="shared" ref="L82:L116" si="29">ROUND(G82*$M$2,0)</f>
        <v>0</v>
      </c>
      <c r="M82" s="283">
        <f t="shared" ref="M82:M116" si="30">ROUND(IF((G82*12)&gt;$N$4,($N$4*$N$2)/12,G82*$N$2),0)</f>
        <v>613</v>
      </c>
      <c r="N82" s="283">
        <f t="shared" ref="N82:N116" si="31">SUM(L82:M82)</f>
        <v>613</v>
      </c>
      <c r="O82" s="283">
        <f t="shared" ref="O82:O116" si="32">H82*12</f>
        <v>0</v>
      </c>
      <c r="P82" s="283">
        <f t="shared" ref="P82:P116" si="33">I82*12</f>
        <v>0</v>
      </c>
      <c r="Q82" s="283">
        <f t="shared" ref="Q82:Q116" si="34">J82*12</f>
        <v>0</v>
      </c>
      <c r="R82" s="283">
        <f t="shared" ref="R82:R116" si="35">SUM(K82*12)</f>
        <v>0</v>
      </c>
      <c r="S82" s="229">
        <f t="shared" si="16"/>
        <v>0</v>
      </c>
      <c r="T82" s="229">
        <f t="shared" si="17"/>
        <v>0</v>
      </c>
      <c r="U82" s="229">
        <f t="shared" ref="U82:U116" si="36">SUM(S82:T82)</f>
        <v>0</v>
      </c>
      <c r="V82" s="284">
        <f t="shared" ref="V82:V116" si="37">SUM(D82/$G$4)</f>
        <v>18.736616702355459</v>
      </c>
      <c r="W82" s="229">
        <f t="shared" ref="W82:W116" si="38">(O82+P82+Q82+R82)/$G$4</f>
        <v>0</v>
      </c>
      <c r="X82" s="229">
        <f t="shared" ref="X82:X116" si="39">((N82*12)+U82)/$G$4</f>
        <v>3.9379014989293362</v>
      </c>
      <c r="Y82" s="229">
        <f t="shared" ref="Y82:Y116" si="40">SUM(V82:X82)</f>
        <v>22.674518201284794</v>
      </c>
      <c r="Z82" s="229">
        <f t="shared" ref="Z82:Z116" si="41">SUM(V82:X82)*$G$1</f>
        <v>47162.997858672374</v>
      </c>
    </row>
    <row r="83" spans="1:26" x14ac:dyDescent="0.25">
      <c r="A83" s="931"/>
      <c r="B83" s="140">
        <f>'Plant Salaries'!B81</f>
        <v>78</v>
      </c>
      <c r="C83" s="141" t="str">
        <f>'Plant Salaries'!C81</f>
        <v>Byproduct production crew</v>
      </c>
      <c r="D83" s="248">
        <f>'Plant Salaries'!F81</f>
        <v>35000</v>
      </c>
      <c r="E83" s="296" t="s">
        <v>502</v>
      </c>
      <c r="F83" s="297">
        <v>0</v>
      </c>
      <c r="G83" s="283">
        <f t="shared" si="28"/>
        <v>2916.6666666666665</v>
      </c>
      <c r="H83" s="229">
        <f>IF($D83=0,('Benefits Cost'!$C$11),IF($E83="E",('Benefits Cost'!$C$7),IF($E83="E1",('Benefits Cost'!$C$8),IF($E83="E2",('Benefits Cost'!$C$9),IF($E83="E3",('Benefits Cost'!$C$10),0)))))</f>
        <v>0</v>
      </c>
      <c r="I83" s="229">
        <f>IF($D83=0,('Benefits Cost'!$C$11),IF($E83="E",('Benefits Cost'!$C$13),IF($E83="E1",('Benefits Cost'!$C$14),IF($E83="E2",('Benefits Cost'!$C$15),IF($E83="E3",('Benefits Cost'!$C$16),0)))))</f>
        <v>0</v>
      </c>
      <c r="J83" s="229">
        <f>IF($D83=0,('Benefits Cost'!$C$11),IF($E83="E",('Benefits Cost'!$C$19),IF($E83="E1",('Benefits Cost'!$C$20),IF($E83="E2",('Benefits Cost'!$C$21),IF($E83="E3",('Benefits Cost'!$C$22),0)))))</f>
        <v>0</v>
      </c>
      <c r="K83" s="229">
        <f>SUM(G83 * 'Benefits Cost'!$E$30 * 'Benefits Cost'!$C$30)</f>
        <v>0</v>
      </c>
      <c r="L83" s="283">
        <f t="shared" si="29"/>
        <v>0</v>
      </c>
      <c r="M83" s="283">
        <f t="shared" si="30"/>
        <v>613</v>
      </c>
      <c r="N83" s="283">
        <f t="shared" si="31"/>
        <v>613</v>
      </c>
      <c r="O83" s="283">
        <f t="shared" si="32"/>
        <v>0</v>
      </c>
      <c r="P83" s="283">
        <f t="shared" si="33"/>
        <v>0</v>
      </c>
      <c r="Q83" s="283">
        <f t="shared" si="34"/>
        <v>0</v>
      </c>
      <c r="R83" s="283">
        <f t="shared" si="35"/>
        <v>0</v>
      </c>
      <c r="S83" s="229">
        <f t="shared" si="16"/>
        <v>0</v>
      </c>
      <c r="T83" s="229">
        <f t="shared" si="17"/>
        <v>0</v>
      </c>
      <c r="U83" s="229">
        <f t="shared" si="36"/>
        <v>0</v>
      </c>
      <c r="V83" s="284">
        <f t="shared" si="37"/>
        <v>18.736616702355459</v>
      </c>
      <c r="W83" s="229">
        <f t="shared" si="38"/>
        <v>0</v>
      </c>
      <c r="X83" s="229">
        <f t="shared" si="39"/>
        <v>3.9379014989293362</v>
      </c>
      <c r="Y83" s="229">
        <f t="shared" si="40"/>
        <v>22.674518201284794</v>
      </c>
      <c r="Z83" s="229">
        <f t="shared" si="41"/>
        <v>47162.997858672374</v>
      </c>
    </row>
    <row r="84" spans="1:26" x14ac:dyDescent="0.25">
      <c r="A84" s="931"/>
      <c r="B84" s="140">
        <f>'Plant Salaries'!B82</f>
        <v>79</v>
      </c>
      <c r="C84" s="141" t="str">
        <f>'Plant Salaries'!C82</f>
        <v>Byproduct production crew</v>
      </c>
      <c r="D84" s="248">
        <f>'Plant Salaries'!F82</f>
        <v>35000</v>
      </c>
      <c r="E84" s="296" t="s">
        <v>502</v>
      </c>
      <c r="F84" s="297">
        <v>0</v>
      </c>
      <c r="G84" s="283">
        <f t="shared" si="28"/>
        <v>2916.6666666666665</v>
      </c>
      <c r="H84" s="229">
        <f>IF($D84=0,('Benefits Cost'!$C$11),IF($E84="E",('Benefits Cost'!$C$7),IF($E84="E1",('Benefits Cost'!$C$8),IF($E84="E2",('Benefits Cost'!$C$9),IF($E84="E3",('Benefits Cost'!$C$10),0)))))</f>
        <v>0</v>
      </c>
      <c r="I84" s="229">
        <f>IF($D84=0,('Benefits Cost'!$C$11),IF($E84="E",('Benefits Cost'!$C$13),IF($E84="E1",('Benefits Cost'!$C$14),IF($E84="E2",('Benefits Cost'!$C$15),IF($E84="E3",('Benefits Cost'!$C$16),0)))))</f>
        <v>0</v>
      </c>
      <c r="J84" s="229">
        <f>IF($D84=0,('Benefits Cost'!$C$11),IF($E84="E",('Benefits Cost'!$C$19),IF($E84="E1",('Benefits Cost'!$C$20),IF($E84="E2",('Benefits Cost'!$C$21),IF($E84="E3",('Benefits Cost'!$C$22),0)))))</f>
        <v>0</v>
      </c>
      <c r="K84" s="229">
        <f>SUM(G84 * 'Benefits Cost'!$E$30 * 'Benefits Cost'!$C$30)</f>
        <v>0</v>
      </c>
      <c r="L84" s="283">
        <f t="shared" si="29"/>
        <v>0</v>
      </c>
      <c r="M84" s="283">
        <f t="shared" si="30"/>
        <v>613</v>
      </c>
      <c r="N84" s="283">
        <f t="shared" si="31"/>
        <v>613</v>
      </c>
      <c r="O84" s="283">
        <f t="shared" si="32"/>
        <v>0</v>
      </c>
      <c r="P84" s="283">
        <f t="shared" si="33"/>
        <v>0</v>
      </c>
      <c r="Q84" s="283">
        <f t="shared" si="34"/>
        <v>0</v>
      </c>
      <c r="R84" s="283">
        <f t="shared" si="35"/>
        <v>0</v>
      </c>
      <c r="S84" s="229">
        <f t="shared" si="16"/>
        <v>0</v>
      </c>
      <c r="T84" s="229">
        <f t="shared" si="17"/>
        <v>0</v>
      </c>
      <c r="U84" s="229">
        <f t="shared" si="36"/>
        <v>0</v>
      </c>
      <c r="V84" s="284">
        <f t="shared" si="37"/>
        <v>18.736616702355459</v>
      </c>
      <c r="W84" s="229">
        <f t="shared" si="38"/>
        <v>0</v>
      </c>
      <c r="X84" s="229">
        <f t="shared" si="39"/>
        <v>3.9379014989293362</v>
      </c>
      <c r="Y84" s="229">
        <f t="shared" si="40"/>
        <v>22.674518201284794</v>
      </c>
      <c r="Z84" s="229">
        <f t="shared" si="41"/>
        <v>47162.997858672374</v>
      </c>
    </row>
    <row r="85" spans="1:26" x14ac:dyDescent="0.25">
      <c r="A85" s="931"/>
      <c r="B85" s="140">
        <f>'Plant Salaries'!B83</f>
        <v>80</v>
      </c>
      <c r="C85" s="141" t="str">
        <f>'Plant Salaries'!C83</f>
        <v>Byproduct production crew</v>
      </c>
      <c r="D85" s="248">
        <f>'Plant Salaries'!F83</f>
        <v>30000</v>
      </c>
      <c r="E85" s="296" t="s">
        <v>502</v>
      </c>
      <c r="F85" s="297">
        <v>0</v>
      </c>
      <c r="G85" s="283">
        <f t="shared" si="28"/>
        <v>2500</v>
      </c>
      <c r="H85" s="229">
        <f>IF($D85=0,('Benefits Cost'!$C$11),IF($E85="E",('Benefits Cost'!$C$7),IF($E85="E1",('Benefits Cost'!$C$8),IF($E85="E2",('Benefits Cost'!$C$9),IF($E85="E3",('Benefits Cost'!$C$10),0)))))</f>
        <v>0</v>
      </c>
      <c r="I85" s="229">
        <f>IF($D85=0,('Benefits Cost'!$C$11),IF($E85="E",('Benefits Cost'!$C$13),IF($E85="E1",('Benefits Cost'!$C$14),IF($E85="E2",('Benefits Cost'!$C$15),IF($E85="E3",('Benefits Cost'!$C$16),0)))))</f>
        <v>0</v>
      </c>
      <c r="J85" s="229">
        <f>IF($D85=0,('Benefits Cost'!$C$11),IF($E85="E",('Benefits Cost'!$C$19),IF($E85="E1",('Benefits Cost'!$C$20),IF($E85="E2",('Benefits Cost'!$C$21),IF($E85="E3",('Benefits Cost'!$C$22),0)))))</f>
        <v>0</v>
      </c>
      <c r="K85" s="229">
        <f>SUM(G85 * 'Benefits Cost'!$E$30 * 'Benefits Cost'!$C$30)</f>
        <v>0</v>
      </c>
      <c r="L85" s="283">
        <f t="shared" si="29"/>
        <v>0</v>
      </c>
      <c r="M85" s="283">
        <f t="shared" si="30"/>
        <v>525</v>
      </c>
      <c r="N85" s="283">
        <f t="shared" si="31"/>
        <v>525</v>
      </c>
      <c r="O85" s="283">
        <f t="shared" si="32"/>
        <v>0</v>
      </c>
      <c r="P85" s="283">
        <f t="shared" si="33"/>
        <v>0</v>
      </c>
      <c r="Q85" s="283">
        <f t="shared" si="34"/>
        <v>0</v>
      </c>
      <c r="R85" s="283">
        <f t="shared" si="35"/>
        <v>0</v>
      </c>
      <c r="S85" s="229">
        <f t="shared" si="16"/>
        <v>0</v>
      </c>
      <c r="T85" s="229">
        <f t="shared" si="17"/>
        <v>0</v>
      </c>
      <c r="U85" s="229">
        <f t="shared" si="36"/>
        <v>0</v>
      </c>
      <c r="V85" s="284">
        <f t="shared" si="37"/>
        <v>16.059957173447536</v>
      </c>
      <c r="W85" s="229">
        <f t="shared" si="38"/>
        <v>0</v>
      </c>
      <c r="X85" s="229">
        <f t="shared" si="39"/>
        <v>3.372591006423983</v>
      </c>
      <c r="Y85" s="229">
        <f t="shared" si="40"/>
        <v>19.432548179871517</v>
      </c>
      <c r="Z85" s="229">
        <f t="shared" si="41"/>
        <v>40419.700214132754</v>
      </c>
    </row>
    <row r="86" spans="1:26" x14ac:dyDescent="0.25">
      <c r="A86" s="931"/>
      <c r="B86" s="140">
        <f>'Plant Salaries'!B84</f>
        <v>81</v>
      </c>
      <c r="C86" s="141" t="str">
        <f>'Plant Salaries'!C84</f>
        <v>Byproduct production crew</v>
      </c>
      <c r="D86" s="248">
        <f>'Plant Salaries'!F84</f>
        <v>30000</v>
      </c>
      <c r="E86" s="296" t="s">
        <v>502</v>
      </c>
      <c r="F86" s="297">
        <v>0</v>
      </c>
      <c r="G86" s="283">
        <f t="shared" si="28"/>
        <v>2500</v>
      </c>
      <c r="H86" s="229">
        <f>IF($D86=0,('Benefits Cost'!$C$11),IF($E86="E",('Benefits Cost'!$C$7),IF($E86="E1",('Benefits Cost'!$C$8),IF($E86="E2",('Benefits Cost'!$C$9),IF($E86="E3",('Benefits Cost'!$C$10),0)))))</f>
        <v>0</v>
      </c>
      <c r="I86" s="229">
        <f>IF($D86=0,('Benefits Cost'!$C$11),IF($E86="E",('Benefits Cost'!$C$13),IF($E86="E1",('Benefits Cost'!$C$14),IF($E86="E2",('Benefits Cost'!$C$15),IF($E86="E3",('Benefits Cost'!$C$16),0)))))</f>
        <v>0</v>
      </c>
      <c r="J86" s="229">
        <f>IF($D86=0,('Benefits Cost'!$C$11),IF($E86="E",('Benefits Cost'!$C$19),IF($E86="E1",('Benefits Cost'!$C$20),IF($E86="E2",('Benefits Cost'!$C$21),IF($E86="E3",('Benefits Cost'!$C$22),0)))))</f>
        <v>0</v>
      </c>
      <c r="K86" s="229">
        <f>SUM(G86 * 'Benefits Cost'!$E$30 * 'Benefits Cost'!$C$30)</f>
        <v>0</v>
      </c>
      <c r="L86" s="283">
        <f t="shared" si="29"/>
        <v>0</v>
      </c>
      <c r="M86" s="283">
        <f t="shared" si="30"/>
        <v>525</v>
      </c>
      <c r="N86" s="283">
        <f t="shared" si="31"/>
        <v>525</v>
      </c>
      <c r="O86" s="283">
        <f t="shared" si="32"/>
        <v>0</v>
      </c>
      <c r="P86" s="283">
        <f t="shared" si="33"/>
        <v>0</v>
      </c>
      <c r="Q86" s="283">
        <f t="shared" si="34"/>
        <v>0</v>
      </c>
      <c r="R86" s="283">
        <f t="shared" si="35"/>
        <v>0</v>
      </c>
      <c r="S86" s="229">
        <f t="shared" si="16"/>
        <v>0</v>
      </c>
      <c r="T86" s="229">
        <f t="shared" si="17"/>
        <v>0</v>
      </c>
      <c r="U86" s="229">
        <f t="shared" si="36"/>
        <v>0</v>
      </c>
      <c r="V86" s="284">
        <f t="shared" si="37"/>
        <v>16.059957173447536</v>
      </c>
      <c r="W86" s="229">
        <f t="shared" si="38"/>
        <v>0</v>
      </c>
      <c r="X86" s="229">
        <f t="shared" si="39"/>
        <v>3.372591006423983</v>
      </c>
      <c r="Y86" s="229">
        <f t="shared" si="40"/>
        <v>19.432548179871517</v>
      </c>
      <c r="Z86" s="229">
        <f t="shared" si="41"/>
        <v>40419.700214132754</v>
      </c>
    </row>
    <row r="87" spans="1:26" x14ac:dyDescent="0.25">
      <c r="A87" s="931"/>
      <c r="B87" s="140">
        <f>'Plant Salaries'!B85</f>
        <v>82</v>
      </c>
      <c r="C87" s="141" t="str">
        <f>'Plant Salaries'!C85</f>
        <v>Security Guard</v>
      </c>
      <c r="D87" s="248">
        <f>'Plant Salaries'!F85</f>
        <v>18000</v>
      </c>
      <c r="E87" s="296" t="s">
        <v>502</v>
      </c>
      <c r="F87" s="297">
        <v>0</v>
      </c>
      <c r="G87" s="283">
        <f t="shared" si="28"/>
        <v>1500</v>
      </c>
      <c r="H87" s="229">
        <f>IF($D87=0,('Benefits Cost'!$C$11),IF($E87="E",('Benefits Cost'!$C$7),IF($E87="E1",('Benefits Cost'!$C$8),IF($E87="E2",('Benefits Cost'!$C$9),IF($E87="E3",('Benefits Cost'!$C$10),0)))))</f>
        <v>0</v>
      </c>
      <c r="I87" s="229">
        <f>IF($D87=0,('Benefits Cost'!$C$11),IF($E87="E",('Benefits Cost'!$C$13),IF($E87="E1",('Benefits Cost'!$C$14),IF($E87="E2",('Benefits Cost'!$C$15),IF($E87="E3",('Benefits Cost'!$C$16),0)))))</f>
        <v>0</v>
      </c>
      <c r="J87" s="229">
        <f>IF($D87=0,('Benefits Cost'!$C$11),IF($E87="E",('Benefits Cost'!$C$19),IF($E87="E1",('Benefits Cost'!$C$20),IF($E87="E2",('Benefits Cost'!$C$21),IF($E87="E3",('Benefits Cost'!$C$22),0)))))</f>
        <v>0</v>
      </c>
      <c r="K87" s="229">
        <f>SUM(G87 * 'Benefits Cost'!$E$30 * 'Benefits Cost'!$C$30)</f>
        <v>0</v>
      </c>
      <c r="L87" s="283">
        <f t="shared" si="29"/>
        <v>0</v>
      </c>
      <c r="M87" s="283">
        <f t="shared" si="30"/>
        <v>315</v>
      </c>
      <c r="N87" s="283">
        <f t="shared" si="31"/>
        <v>315</v>
      </c>
      <c r="O87" s="283">
        <f t="shared" si="32"/>
        <v>0</v>
      </c>
      <c r="P87" s="283">
        <f t="shared" si="33"/>
        <v>0</v>
      </c>
      <c r="Q87" s="283">
        <f t="shared" si="34"/>
        <v>0</v>
      </c>
      <c r="R87" s="283">
        <f t="shared" si="35"/>
        <v>0</v>
      </c>
      <c r="S87" s="229">
        <f t="shared" si="16"/>
        <v>0</v>
      </c>
      <c r="T87" s="229">
        <f t="shared" si="17"/>
        <v>0</v>
      </c>
      <c r="U87" s="229">
        <f t="shared" si="36"/>
        <v>0</v>
      </c>
      <c r="V87" s="284">
        <f t="shared" si="37"/>
        <v>9.6359743040685224</v>
      </c>
      <c r="W87" s="229">
        <f t="shared" si="38"/>
        <v>0</v>
      </c>
      <c r="X87" s="229">
        <f t="shared" si="39"/>
        <v>2.0235546038543899</v>
      </c>
      <c r="Y87" s="229">
        <f t="shared" si="40"/>
        <v>11.659528907922912</v>
      </c>
      <c r="Z87" s="229">
        <f t="shared" si="41"/>
        <v>24251.820128479656</v>
      </c>
    </row>
    <row r="88" spans="1:26" x14ac:dyDescent="0.25">
      <c r="A88" s="931"/>
      <c r="B88" s="140">
        <f>'Plant Salaries'!B86</f>
        <v>83</v>
      </c>
      <c r="C88" s="141" t="str">
        <f>'Plant Salaries'!C86</f>
        <v>Security Guard</v>
      </c>
      <c r="D88" s="248">
        <f>'Plant Salaries'!F86</f>
        <v>18000</v>
      </c>
      <c r="E88" s="296" t="s">
        <v>502</v>
      </c>
      <c r="F88" s="297">
        <v>0</v>
      </c>
      <c r="G88" s="283">
        <f t="shared" si="28"/>
        <v>1500</v>
      </c>
      <c r="H88" s="229">
        <f>IF($D88=0,('Benefits Cost'!$C$11),IF($E88="E",('Benefits Cost'!$C$7),IF($E88="E1",('Benefits Cost'!$C$8),IF($E88="E2",('Benefits Cost'!$C$9),IF($E88="E3",('Benefits Cost'!$C$10),0)))))</f>
        <v>0</v>
      </c>
      <c r="I88" s="229">
        <f>IF($D88=0,('Benefits Cost'!$C$11),IF($E88="E",('Benefits Cost'!$C$13),IF($E88="E1",('Benefits Cost'!$C$14),IF($E88="E2",('Benefits Cost'!$C$15),IF($E88="E3",('Benefits Cost'!$C$16),0)))))</f>
        <v>0</v>
      </c>
      <c r="J88" s="229">
        <f>IF($D88=0,('Benefits Cost'!$C$11),IF($E88="E",('Benefits Cost'!$C$19),IF($E88="E1",('Benefits Cost'!$C$20),IF($E88="E2",('Benefits Cost'!$C$21),IF($E88="E3",('Benefits Cost'!$C$22),0)))))</f>
        <v>0</v>
      </c>
      <c r="K88" s="229">
        <f>SUM(G88 * 'Benefits Cost'!$E$30 * 'Benefits Cost'!$C$30)</f>
        <v>0</v>
      </c>
      <c r="L88" s="283">
        <f t="shared" si="29"/>
        <v>0</v>
      </c>
      <c r="M88" s="283">
        <f t="shared" si="30"/>
        <v>315</v>
      </c>
      <c r="N88" s="283">
        <f t="shared" si="31"/>
        <v>315</v>
      </c>
      <c r="O88" s="283">
        <f t="shared" si="32"/>
        <v>0</v>
      </c>
      <c r="P88" s="283">
        <f t="shared" si="33"/>
        <v>0</v>
      </c>
      <c r="Q88" s="283">
        <f t="shared" si="34"/>
        <v>0</v>
      </c>
      <c r="R88" s="283">
        <f t="shared" si="35"/>
        <v>0</v>
      </c>
      <c r="S88" s="229">
        <f t="shared" si="16"/>
        <v>0</v>
      </c>
      <c r="T88" s="229">
        <f t="shared" si="17"/>
        <v>0</v>
      </c>
      <c r="U88" s="229">
        <f t="shared" si="36"/>
        <v>0</v>
      </c>
      <c r="V88" s="284">
        <f t="shared" si="37"/>
        <v>9.6359743040685224</v>
      </c>
      <c r="W88" s="229">
        <f t="shared" si="38"/>
        <v>0</v>
      </c>
      <c r="X88" s="229">
        <f t="shared" si="39"/>
        <v>2.0235546038543899</v>
      </c>
      <c r="Y88" s="229">
        <f t="shared" si="40"/>
        <v>11.659528907922912</v>
      </c>
      <c r="Z88" s="229">
        <f t="shared" si="41"/>
        <v>24251.820128479656</v>
      </c>
    </row>
    <row r="89" spans="1:26" x14ac:dyDescent="0.25">
      <c r="A89" s="932"/>
      <c r="B89" s="140">
        <f>'Plant Salaries'!B87</f>
        <v>84</v>
      </c>
      <c r="C89" s="141" t="str">
        <f>'Plant Salaries'!C87</f>
        <v>Security Guard</v>
      </c>
      <c r="D89" s="248">
        <f>'Plant Salaries'!F87</f>
        <v>18000</v>
      </c>
      <c r="E89" s="296" t="s">
        <v>502</v>
      </c>
      <c r="F89" s="297">
        <v>0</v>
      </c>
      <c r="G89" s="283">
        <f t="shared" si="28"/>
        <v>1500</v>
      </c>
      <c r="H89" s="229">
        <f>IF($D89=0,('Benefits Cost'!$C$11),IF($E89="E",('Benefits Cost'!$C$7),IF($E89="E1",('Benefits Cost'!$C$8),IF($E89="E2",('Benefits Cost'!$C$9),IF($E89="E3",('Benefits Cost'!$C$10),0)))))</f>
        <v>0</v>
      </c>
      <c r="I89" s="229">
        <f>IF($D89=0,('Benefits Cost'!$C$11),IF($E89="E",('Benefits Cost'!$C$13),IF($E89="E1",('Benefits Cost'!$C$14),IF($E89="E2",('Benefits Cost'!$C$15),IF($E89="E3",('Benefits Cost'!$C$16),0)))))</f>
        <v>0</v>
      </c>
      <c r="J89" s="229">
        <f>IF($D89=0,('Benefits Cost'!$C$11),IF($E89="E",('Benefits Cost'!$C$19),IF($E89="E1",('Benefits Cost'!$C$20),IF($E89="E2",('Benefits Cost'!$C$21),IF($E89="E3",('Benefits Cost'!$C$22),0)))))</f>
        <v>0</v>
      </c>
      <c r="K89" s="229">
        <f>SUM(G89 * 'Benefits Cost'!$E$30 * 'Benefits Cost'!$C$30)</f>
        <v>0</v>
      </c>
      <c r="L89" s="283">
        <f t="shared" si="29"/>
        <v>0</v>
      </c>
      <c r="M89" s="283">
        <f t="shared" si="30"/>
        <v>315</v>
      </c>
      <c r="N89" s="283">
        <f t="shared" si="31"/>
        <v>315</v>
      </c>
      <c r="O89" s="283">
        <f t="shared" si="32"/>
        <v>0</v>
      </c>
      <c r="P89" s="283">
        <f t="shared" si="33"/>
        <v>0</v>
      </c>
      <c r="Q89" s="283">
        <f t="shared" si="34"/>
        <v>0</v>
      </c>
      <c r="R89" s="283">
        <f t="shared" si="35"/>
        <v>0</v>
      </c>
      <c r="S89" s="229">
        <f t="shared" si="16"/>
        <v>0</v>
      </c>
      <c r="T89" s="229">
        <f t="shared" si="17"/>
        <v>0</v>
      </c>
      <c r="U89" s="229">
        <f t="shared" si="36"/>
        <v>0</v>
      </c>
      <c r="V89" s="284">
        <f t="shared" si="37"/>
        <v>9.6359743040685224</v>
      </c>
      <c r="W89" s="229">
        <f t="shared" si="38"/>
        <v>0</v>
      </c>
      <c r="X89" s="229">
        <f t="shared" si="39"/>
        <v>2.0235546038543899</v>
      </c>
      <c r="Y89" s="229">
        <f t="shared" si="40"/>
        <v>11.659528907922912</v>
      </c>
      <c r="Z89" s="229">
        <f t="shared" si="41"/>
        <v>24251.820128479656</v>
      </c>
    </row>
    <row r="90" spans="1:26" x14ac:dyDescent="0.25">
      <c r="A90" s="932"/>
      <c r="B90" s="140">
        <f>'Plant Salaries'!B88</f>
        <v>85</v>
      </c>
      <c r="C90" s="141" t="str">
        <f>'Plant Salaries'!C88</f>
        <v>Security Guard</v>
      </c>
      <c r="D90" s="248">
        <f>'Plant Salaries'!F88</f>
        <v>18000</v>
      </c>
      <c r="E90" s="296" t="s">
        <v>502</v>
      </c>
      <c r="F90" s="297">
        <v>0</v>
      </c>
      <c r="G90" s="283">
        <f t="shared" si="28"/>
        <v>1500</v>
      </c>
      <c r="H90" s="229">
        <f>IF($D90=0,('Benefits Cost'!$C$11),IF($E90="E",('Benefits Cost'!$C$7),IF($E90="E1",('Benefits Cost'!$C$8),IF($E90="E2",('Benefits Cost'!$C$9),IF($E90="E3",('Benefits Cost'!$C$10),0)))))</f>
        <v>0</v>
      </c>
      <c r="I90" s="229">
        <f>IF($D90=0,('Benefits Cost'!$C$11),IF($E90="E",('Benefits Cost'!$C$13),IF($E90="E1",('Benefits Cost'!$C$14),IF($E90="E2",('Benefits Cost'!$C$15),IF($E90="E3",('Benefits Cost'!$C$16),0)))))</f>
        <v>0</v>
      </c>
      <c r="J90" s="229">
        <f>IF($D90=0,('Benefits Cost'!$C$11),IF($E90="E",('Benefits Cost'!$C$19),IF($E90="E1",('Benefits Cost'!$C$20),IF($E90="E2",('Benefits Cost'!$C$21),IF($E90="E3",('Benefits Cost'!$C$22),0)))))</f>
        <v>0</v>
      </c>
      <c r="K90" s="229">
        <f>SUM(G90 * 'Benefits Cost'!$E$30 * 'Benefits Cost'!$C$30)</f>
        <v>0</v>
      </c>
      <c r="L90" s="283">
        <f t="shared" si="29"/>
        <v>0</v>
      </c>
      <c r="M90" s="283">
        <f t="shared" si="30"/>
        <v>315</v>
      </c>
      <c r="N90" s="283">
        <f t="shared" si="31"/>
        <v>315</v>
      </c>
      <c r="O90" s="283">
        <f t="shared" si="32"/>
        <v>0</v>
      </c>
      <c r="P90" s="283">
        <f t="shared" si="33"/>
        <v>0</v>
      </c>
      <c r="Q90" s="283">
        <f t="shared" si="34"/>
        <v>0</v>
      </c>
      <c r="R90" s="283">
        <f t="shared" si="35"/>
        <v>0</v>
      </c>
      <c r="S90" s="229">
        <f t="shared" si="16"/>
        <v>0</v>
      </c>
      <c r="T90" s="229">
        <f t="shared" si="17"/>
        <v>0</v>
      </c>
      <c r="U90" s="229">
        <f t="shared" si="36"/>
        <v>0</v>
      </c>
      <c r="V90" s="284">
        <f t="shared" si="37"/>
        <v>9.6359743040685224</v>
      </c>
      <c r="W90" s="229">
        <f t="shared" si="38"/>
        <v>0</v>
      </c>
      <c r="X90" s="229">
        <f t="shared" si="39"/>
        <v>2.0235546038543899</v>
      </c>
      <c r="Y90" s="229">
        <f t="shared" si="40"/>
        <v>11.659528907922912</v>
      </c>
      <c r="Z90" s="229">
        <f t="shared" si="41"/>
        <v>24251.820128479656</v>
      </c>
    </row>
    <row r="91" spans="1:26" x14ac:dyDescent="0.25">
      <c r="A91" s="932"/>
      <c r="B91" s="140">
        <f>'Plant Salaries'!B89</f>
        <v>86</v>
      </c>
      <c r="C91" s="141" t="str">
        <f>'Plant Salaries'!C89</f>
        <v>Security Guard</v>
      </c>
      <c r="D91" s="248">
        <f>'Plant Salaries'!F89</f>
        <v>18000</v>
      </c>
      <c r="E91" s="296" t="s">
        <v>502</v>
      </c>
      <c r="F91" s="297">
        <v>0</v>
      </c>
      <c r="G91" s="283">
        <f t="shared" si="28"/>
        <v>1500</v>
      </c>
      <c r="H91" s="229">
        <f>IF($D91=0,('Benefits Cost'!$C$11),IF($E91="E",('Benefits Cost'!$C$7),IF($E91="E1",('Benefits Cost'!$C$8),IF($E91="E2",('Benefits Cost'!$C$9),IF($E91="E3",('Benefits Cost'!$C$10),0)))))</f>
        <v>0</v>
      </c>
      <c r="I91" s="229">
        <f>IF($D91=0,('Benefits Cost'!$C$11),IF($E91="E",('Benefits Cost'!$C$13),IF($E91="E1",('Benefits Cost'!$C$14),IF($E91="E2",('Benefits Cost'!$C$15),IF($E91="E3",('Benefits Cost'!$C$16),0)))))</f>
        <v>0</v>
      </c>
      <c r="J91" s="229">
        <f>IF($D91=0,('Benefits Cost'!$C$11),IF($E91="E",('Benefits Cost'!$C$19),IF($E91="E1",('Benefits Cost'!$C$20),IF($E91="E2",('Benefits Cost'!$C$21),IF($E91="E3",('Benefits Cost'!$C$22),0)))))</f>
        <v>0</v>
      </c>
      <c r="K91" s="229">
        <f>SUM(G91 * 'Benefits Cost'!$E$30 * 'Benefits Cost'!$C$30)</f>
        <v>0</v>
      </c>
      <c r="L91" s="283">
        <f t="shared" si="29"/>
        <v>0</v>
      </c>
      <c r="M91" s="283">
        <f t="shared" si="30"/>
        <v>315</v>
      </c>
      <c r="N91" s="283">
        <f t="shared" si="31"/>
        <v>315</v>
      </c>
      <c r="O91" s="283">
        <f t="shared" si="32"/>
        <v>0</v>
      </c>
      <c r="P91" s="283">
        <f t="shared" si="33"/>
        <v>0</v>
      </c>
      <c r="Q91" s="283">
        <f t="shared" si="34"/>
        <v>0</v>
      </c>
      <c r="R91" s="283">
        <f t="shared" si="35"/>
        <v>0</v>
      </c>
      <c r="S91" s="229">
        <f t="shared" si="16"/>
        <v>0</v>
      </c>
      <c r="T91" s="229">
        <f t="shared" si="17"/>
        <v>0</v>
      </c>
      <c r="U91" s="229">
        <f t="shared" si="36"/>
        <v>0</v>
      </c>
      <c r="V91" s="284">
        <f t="shared" si="37"/>
        <v>9.6359743040685224</v>
      </c>
      <c r="W91" s="229">
        <f t="shared" si="38"/>
        <v>0</v>
      </c>
      <c r="X91" s="229">
        <f t="shared" si="39"/>
        <v>2.0235546038543899</v>
      </c>
      <c r="Y91" s="229">
        <f t="shared" si="40"/>
        <v>11.659528907922912</v>
      </c>
      <c r="Z91" s="229">
        <f t="shared" si="41"/>
        <v>24251.820128479656</v>
      </c>
    </row>
    <row r="92" spans="1:26" x14ac:dyDescent="0.25">
      <c r="A92" s="932"/>
      <c r="B92" s="140">
        <f>'Plant Salaries'!B90</f>
        <v>87</v>
      </c>
      <c r="C92" s="141" t="str">
        <f>'Plant Salaries'!C90</f>
        <v>Security Guard</v>
      </c>
      <c r="D92" s="248">
        <f>'Plant Salaries'!F90</f>
        <v>18000</v>
      </c>
      <c r="E92" s="296" t="s">
        <v>502</v>
      </c>
      <c r="F92" s="297">
        <v>0</v>
      </c>
      <c r="G92" s="283">
        <f t="shared" si="28"/>
        <v>1500</v>
      </c>
      <c r="H92" s="229">
        <f>IF($D92=0,('Benefits Cost'!$C$11),IF($E92="E",('Benefits Cost'!$C$7),IF($E92="E1",('Benefits Cost'!$C$8),IF($E92="E2",('Benefits Cost'!$C$9),IF($E92="E3",('Benefits Cost'!$C$10),0)))))</f>
        <v>0</v>
      </c>
      <c r="I92" s="229">
        <f>IF($D92=0,('Benefits Cost'!$C$11),IF($E92="E",('Benefits Cost'!$C$13),IF($E92="E1",('Benefits Cost'!$C$14),IF($E92="E2",('Benefits Cost'!$C$15),IF($E92="E3",('Benefits Cost'!$C$16),0)))))</f>
        <v>0</v>
      </c>
      <c r="J92" s="229">
        <f>IF($D92=0,('Benefits Cost'!$C$11),IF($E92="E",('Benefits Cost'!$C$19),IF($E92="E1",('Benefits Cost'!$C$20),IF($E92="E2",('Benefits Cost'!$C$21),IF($E92="E3",('Benefits Cost'!$C$22),0)))))</f>
        <v>0</v>
      </c>
      <c r="K92" s="229">
        <f>SUM(G92 * 'Benefits Cost'!$E$30 * 'Benefits Cost'!$C$30)</f>
        <v>0</v>
      </c>
      <c r="L92" s="283">
        <f t="shared" si="29"/>
        <v>0</v>
      </c>
      <c r="M92" s="283">
        <f t="shared" si="30"/>
        <v>315</v>
      </c>
      <c r="N92" s="283">
        <f t="shared" si="31"/>
        <v>315</v>
      </c>
      <c r="O92" s="283">
        <f t="shared" si="32"/>
        <v>0</v>
      </c>
      <c r="P92" s="283">
        <f t="shared" si="33"/>
        <v>0</v>
      </c>
      <c r="Q92" s="283">
        <f t="shared" si="34"/>
        <v>0</v>
      </c>
      <c r="R92" s="283">
        <f t="shared" si="35"/>
        <v>0</v>
      </c>
      <c r="S92" s="229">
        <f t="shared" si="16"/>
        <v>0</v>
      </c>
      <c r="T92" s="229">
        <f t="shared" si="17"/>
        <v>0</v>
      </c>
      <c r="U92" s="229">
        <f t="shared" si="36"/>
        <v>0</v>
      </c>
      <c r="V92" s="284">
        <f t="shared" si="37"/>
        <v>9.6359743040685224</v>
      </c>
      <c r="W92" s="229">
        <f t="shared" si="38"/>
        <v>0</v>
      </c>
      <c r="X92" s="229">
        <f t="shared" si="39"/>
        <v>2.0235546038543899</v>
      </c>
      <c r="Y92" s="229">
        <f t="shared" si="40"/>
        <v>11.659528907922912</v>
      </c>
      <c r="Z92" s="229">
        <f t="shared" si="41"/>
        <v>24251.820128479656</v>
      </c>
    </row>
    <row r="93" spans="1:26" x14ac:dyDescent="0.25">
      <c r="A93" s="932"/>
      <c r="B93" s="140">
        <f>'Plant Salaries'!B91</f>
        <v>88</v>
      </c>
      <c r="C93" s="141" t="str">
        <f>'Plant Salaries'!C91</f>
        <v>Security Guard</v>
      </c>
      <c r="D93" s="248">
        <f>'Plant Salaries'!F91</f>
        <v>18000</v>
      </c>
      <c r="E93" s="296" t="s">
        <v>502</v>
      </c>
      <c r="F93" s="297">
        <v>0</v>
      </c>
      <c r="G93" s="283">
        <f t="shared" si="28"/>
        <v>1500</v>
      </c>
      <c r="H93" s="229">
        <f>IF($D93=0,('Benefits Cost'!$C$11),IF($E93="E",('Benefits Cost'!$C$7),IF($E93="E1",('Benefits Cost'!$C$8),IF($E93="E2",('Benefits Cost'!$C$9),IF($E93="E3",('Benefits Cost'!$C$10),0)))))</f>
        <v>0</v>
      </c>
      <c r="I93" s="229">
        <f>IF($D93=0,('Benefits Cost'!$C$11),IF($E93="E",('Benefits Cost'!$C$13),IF($E93="E1",('Benefits Cost'!$C$14),IF($E93="E2",('Benefits Cost'!$C$15),IF($E93="E3",('Benefits Cost'!$C$16),0)))))</f>
        <v>0</v>
      </c>
      <c r="J93" s="229">
        <f>IF($D93=0,('Benefits Cost'!$C$11),IF($E93="E",('Benefits Cost'!$C$19),IF($E93="E1",('Benefits Cost'!$C$20),IF($E93="E2",('Benefits Cost'!$C$21),IF($E93="E3",('Benefits Cost'!$C$22),0)))))</f>
        <v>0</v>
      </c>
      <c r="K93" s="229">
        <f>SUM(G93 * 'Benefits Cost'!$E$30 * 'Benefits Cost'!$C$30)</f>
        <v>0</v>
      </c>
      <c r="L93" s="283">
        <f t="shared" si="29"/>
        <v>0</v>
      </c>
      <c r="M93" s="283">
        <f t="shared" si="30"/>
        <v>315</v>
      </c>
      <c r="N93" s="283">
        <f t="shared" si="31"/>
        <v>315</v>
      </c>
      <c r="O93" s="283">
        <f t="shared" si="32"/>
        <v>0</v>
      </c>
      <c r="P93" s="283">
        <f t="shared" si="33"/>
        <v>0</v>
      </c>
      <c r="Q93" s="283">
        <f t="shared" si="34"/>
        <v>0</v>
      </c>
      <c r="R93" s="283">
        <f t="shared" si="35"/>
        <v>0</v>
      </c>
      <c r="S93" s="229">
        <f t="shared" si="16"/>
        <v>0</v>
      </c>
      <c r="T93" s="229">
        <f t="shared" si="17"/>
        <v>0</v>
      </c>
      <c r="U93" s="229">
        <f t="shared" si="36"/>
        <v>0</v>
      </c>
      <c r="V93" s="284">
        <f t="shared" si="37"/>
        <v>9.6359743040685224</v>
      </c>
      <c r="W93" s="229">
        <f t="shared" si="38"/>
        <v>0</v>
      </c>
      <c r="X93" s="229">
        <f t="shared" si="39"/>
        <v>2.0235546038543899</v>
      </c>
      <c r="Y93" s="229">
        <f t="shared" si="40"/>
        <v>11.659528907922912</v>
      </c>
      <c r="Z93" s="229">
        <f t="shared" si="41"/>
        <v>24251.820128479656</v>
      </c>
    </row>
    <row r="94" spans="1:26" x14ac:dyDescent="0.25">
      <c r="A94" s="932"/>
      <c r="B94" s="140">
        <f>'Plant Salaries'!B92</f>
        <v>89</v>
      </c>
      <c r="C94" s="141" t="str">
        <f>'Plant Salaries'!C92</f>
        <v>Security Guard</v>
      </c>
      <c r="D94" s="248">
        <f>'Plant Salaries'!F92</f>
        <v>18000</v>
      </c>
      <c r="E94" s="296" t="s">
        <v>502</v>
      </c>
      <c r="F94" s="297">
        <v>0</v>
      </c>
      <c r="G94" s="283">
        <f t="shared" si="28"/>
        <v>1500</v>
      </c>
      <c r="H94" s="229">
        <f>IF($D94=0,('Benefits Cost'!$C$11),IF($E94="E",('Benefits Cost'!$C$7),IF($E94="E1",('Benefits Cost'!$C$8),IF($E94="E2",('Benefits Cost'!$C$9),IF($E94="E3",('Benefits Cost'!$C$10),0)))))</f>
        <v>0</v>
      </c>
      <c r="I94" s="229">
        <f>IF($D94=0,('Benefits Cost'!$C$11),IF($E94="E",('Benefits Cost'!$C$13),IF($E94="E1",('Benefits Cost'!$C$14),IF($E94="E2",('Benefits Cost'!$C$15),IF($E94="E3",('Benefits Cost'!$C$16),0)))))</f>
        <v>0</v>
      </c>
      <c r="J94" s="229">
        <f>IF($D94=0,('Benefits Cost'!$C$11),IF($E94="E",('Benefits Cost'!$C$19),IF($E94="E1",('Benefits Cost'!$C$20),IF($E94="E2",('Benefits Cost'!$C$21),IF($E94="E3",('Benefits Cost'!$C$22),0)))))</f>
        <v>0</v>
      </c>
      <c r="K94" s="229">
        <f>SUM(G94 * 'Benefits Cost'!$E$30 * 'Benefits Cost'!$C$30)</f>
        <v>0</v>
      </c>
      <c r="L94" s="283">
        <f t="shared" si="29"/>
        <v>0</v>
      </c>
      <c r="M94" s="283">
        <f t="shared" si="30"/>
        <v>315</v>
      </c>
      <c r="N94" s="283">
        <f t="shared" si="31"/>
        <v>315</v>
      </c>
      <c r="O94" s="283">
        <f t="shared" si="32"/>
        <v>0</v>
      </c>
      <c r="P94" s="283">
        <f t="shared" si="33"/>
        <v>0</v>
      </c>
      <c r="Q94" s="283">
        <f t="shared" si="34"/>
        <v>0</v>
      </c>
      <c r="R94" s="283">
        <f t="shared" si="35"/>
        <v>0</v>
      </c>
      <c r="S94" s="229">
        <f t="shared" si="16"/>
        <v>0</v>
      </c>
      <c r="T94" s="229">
        <f t="shared" si="17"/>
        <v>0</v>
      </c>
      <c r="U94" s="229">
        <f t="shared" si="36"/>
        <v>0</v>
      </c>
      <c r="V94" s="284">
        <f t="shared" si="37"/>
        <v>9.6359743040685224</v>
      </c>
      <c r="W94" s="229">
        <f t="shared" si="38"/>
        <v>0</v>
      </c>
      <c r="X94" s="229">
        <f t="shared" si="39"/>
        <v>2.0235546038543899</v>
      </c>
      <c r="Y94" s="229">
        <f t="shared" si="40"/>
        <v>11.659528907922912</v>
      </c>
      <c r="Z94" s="229">
        <f t="shared" si="41"/>
        <v>24251.820128479656</v>
      </c>
    </row>
    <row r="95" spans="1:26" x14ac:dyDescent="0.25">
      <c r="A95" s="932"/>
      <c r="B95" s="140">
        <f>'Plant Salaries'!B93</f>
        <v>90</v>
      </c>
      <c r="C95" s="141" t="str">
        <f>'Plant Salaries'!C93</f>
        <v>Security Guard</v>
      </c>
      <c r="D95" s="248">
        <f>'Plant Salaries'!F93</f>
        <v>18000</v>
      </c>
      <c r="E95" s="296" t="s">
        <v>502</v>
      </c>
      <c r="F95" s="297">
        <v>0</v>
      </c>
      <c r="G95" s="283">
        <f t="shared" si="28"/>
        <v>1500</v>
      </c>
      <c r="H95" s="229">
        <f>IF($D95=0,('Benefits Cost'!$C$11),IF($E95="E",('Benefits Cost'!$C$7),IF($E95="E1",('Benefits Cost'!$C$8),IF($E95="E2",('Benefits Cost'!$C$9),IF($E95="E3",('Benefits Cost'!$C$10),0)))))</f>
        <v>0</v>
      </c>
      <c r="I95" s="229">
        <f>IF($D95=0,('Benefits Cost'!$C$11),IF($E95="E",('Benefits Cost'!$C$13),IF($E95="E1",('Benefits Cost'!$C$14),IF($E95="E2",('Benefits Cost'!$C$15),IF($E95="E3",('Benefits Cost'!$C$16),0)))))</f>
        <v>0</v>
      </c>
      <c r="J95" s="229">
        <f>IF($D95=0,('Benefits Cost'!$C$11),IF($E95="E",('Benefits Cost'!$C$19),IF($E95="E1",('Benefits Cost'!$C$20),IF($E95="E2",('Benefits Cost'!$C$21),IF($E95="E3",('Benefits Cost'!$C$22),0)))))</f>
        <v>0</v>
      </c>
      <c r="K95" s="229">
        <f>SUM(G95 * 'Benefits Cost'!$E$30 * 'Benefits Cost'!$C$30)</f>
        <v>0</v>
      </c>
      <c r="L95" s="283">
        <f t="shared" si="29"/>
        <v>0</v>
      </c>
      <c r="M95" s="283">
        <f t="shared" si="30"/>
        <v>315</v>
      </c>
      <c r="N95" s="283">
        <f t="shared" si="31"/>
        <v>315</v>
      </c>
      <c r="O95" s="283">
        <f t="shared" si="32"/>
        <v>0</v>
      </c>
      <c r="P95" s="283">
        <f t="shared" si="33"/>
        <v>0</v>
      </c>
      <c r="Q95" s="283">
        <f t="shared" si="34"/>
        <v>0</v>
      </c>
      <c r="R95" s="283">
        <f t="shared" si="35"/>
        <v>0</v>
      </c>
      <c r="S95" s="229">
        <f t="shared" si="16"/>
        <v>0</v>
      </c>
      <c r="T95" s="229">
        <f t="shared" si="17"/>
        <v>0</v>
      </c>
      <c r="U95" s="229">
        <f t="shared" si="36"/>
        <v>0</v>
      </c>
      <c r="V95" s="284">
        <f t="shared" si="37"/>
        <v>9.6359743040685224</v>
      </c>
      <c r="W95" s="229">
        <f t="shared" si="38"/>
        <v>0</v>
      </c>
      <c r="X95" s="229">
        <f t="shared" si="39"/>
        <v>2.0235546038543899</v>
      </c>
      <c r="Y95" s="229">
        <f t="shared" si="40"/>
        <v>11.659528907922912</v>
      </c>
      <c r="Z95" s="229">
        <f t="shared" si="41"/>
        <v>24251.820128479656</v>
      </c>
    </row>
    <row r="96" spans="1:26" x14ac:dyDescent="0.25">
      <c r="A96" s="932"/>
      <c r="B96" s="140">
        <f>'Plant Salaries'!B94</f>
        <v>91</v>
      </c>
      <c r="C96" s="141" t="str">
        <f>'Plant Salaries'!C94</f>
        <v>Security Guard</v>
      </c>
      <c r="D96" s="248">
        <f>'Plant Salaries'!F94</f>
        <v>18000</v>
      </c>
      <c r="E96" s="296" t="s">
        <v>502</v>
      </c>
      <c r="F96" s="297">
        <v>0</v>
      </c>
      <c r="G96" s="283">
        <f t="shared" si="28"/>
        <v>1500</v>
      </c>
      <c r="H96" s="229">
        <f>IF($D96=0,('Benefits Cost'!$C$11),IF($E96="E",('Benefits Cost'!$C$7),IF($E96="E1",('Benefits Cost'!$C$8),IF($E96="E2",('Benefits Cost'!$C$9),IF($E96="E3",('Benefits Cost'!$C$10),0)))))</f>
        <v>0</v>
      </c>
      <c r="I96" s="229">
        <f>IF($D96=0,('Benefits Cost'!$C$11),IF($E96="E",('Benefits Cost'!$C$13),IF($E96="E1",('Benefits Cost'!$C$14),IF($E96="E2",('Benefits Cost'!$C$15),IF($E96="E3",('Benefits Cost'!$C$16),0)))))</f>
        <v>0</v>
      </c>
      <c r="J96" s="229">
        <f>IF($D96=0,('Benefits Cost'!$C$11),IF($E96="E",('Benefits Cost'!$C$19),IF($E96="E1",('Benefits Cost'!$C$20),IF($E96="E2",('Benefits Cost'!$C$21),IF($E96="E3",('Benefits Cost'!$C$22),0)))))</f>
        <v>0</v>
      </c>
      <c r="K96" s="229">
        <f>SUM(G96 * 'Benefits Cost'!$E$30 * 'Benefits Cost'!$C$30)</f>
        <v>0</v>
      </c>
      <c r="L96" s="283">
        <f t="shared" si="29"/>
        <v>0</v>
      </c>
      <c r="M96" s="283">
        <f t="shared" si="30"/>
        <v>315</v>
      </c>
      <c r="N96" s="283">
        <f t="shared" si="31"/>
        <v>315</v>
      </c>
      <c r="O96" s="283">
        <f t="shared" si="32"/>
        <v>0</v>
      </c>
      <c r="P96" s="283">
        <f t="shared" si="33"/>
        <v>0</v>
      </c>
      <c r="Q96" s="283">
        <f t="shared" si="34"/>
        <v>0</v>
      </c>
      <c r="R96" s="283">
        <f t="shared" si="35"/>
        <v>0</v>
      </c>
      <c r="S96" s="229">
        <f t="shared" si="16"/>
        <v>0</v>
      </c>
      <c r="T96" s="229">
        <f t="shared" si="17"/>
        <v>0</v>
      </c>
      <c r="U96" s="229">
        <f t="shared" si="36"/>
        <v>0</v>
      </c>
      <c r="V96" s="284">
        <f t="shared" si="37"/>
        <v>9.6359743040685224</v>
      </c>
      <c r="W96" s="229">
        <f t="shared" si="38"/>
        <v>0</v>
      </c>
      <c r="X96" s="229">
        <f t="shared" si="39"/>
        <v>2.0235546038543899</v>
      </c>
      <c r="Y96" s="229">
        <f t="shared" si="40"/>
        <v>11.659528907922912</v>
      </c>
      <c r="Z96" s="229">
        <f t="shared" si="41"/>
        <v>24251.820128479656</v>
      </c>
    </row>
    <row r="97" spans="1:26" x14ac:dyDescent="0.25">
      <c r="A97" s="932"/>
      <c r="B97" s="140">
        <f>'Plant Salaries'!B95</f>
        <v>92</v>
      </c>
      <c r="C97" s="141" t="str">
        <f>'Plant Salaries'!C95</f>
        <v>Transfer Station Lead - Arta</v>
      </c>
      <c r="D97" s="248">
        <f>'Plant Salaries'!F95</f>
        <v>20000</v>
      </c>
      <c r="E97" s="296" t="s">
        <v>502</v>
      </c>
      <c r="F97" s="297">
        <v>0</v>
      </c>
      <c r="G97" s="283">
        <f t="shared" si="28"/>
        <v>1666.6666666666667</v>
      </c>
      <c r="H97" s="229">
        <f>IF($D97=0,('Benefits Cost'!$C$11),IF($E97="E",('Benefits Cost'!$C$7),IF($E97="E1",('Benefits Cost'!$C$8),IF($E97="E2",('Benefits Cost'!$C$9),IF($E97="E3",('Benefits Cost'!$C$10),0)))))</f>
        <v>0</v>
      </c>
      <c r="I97" s="229">
        <f>IF($D97=0,('Benefits Cost'!$C$11),IF($E97="E",('Benefits Cost'!$C$13),IF($E97="E1",('Benefits Cost'!$C$14),IF($E97="E2",('Benefits Cost'!$C$15),IF($E97="E3",('Benefits Cost'!$C$16),0)))))</f>
        <v>0</v>
      </c>
      <c r="J97" s="229">
        <f>IF($D97=0,('Benefits Cost'!$C$11),IF($E97="E",('Benefits Cost'!$C$19),IF($E97="E1",('Benefits Cost'!$C$20),IF($E97="E2",('Benefits Cost'!$C$21),IF($E97="E3",('Benefits Cost'!$C$22),0)))))</f>
        <v>0</v>
      </c>
      <c r="K97" s="229">
        <f>SUM(G97 * 'Benefits Cost'!$E$30 * 'Benefits Cost'!$C$30)</f>
        <v>0</v>
      </c>
      <c r="L97" s="283">
        <f t="shared" si="29"/>
        <v>0</v>
      </c>
      <c r="M97" s="283">
        <f t="shared" si="30"/>
        <v>350</v>
      </c>
      <c r="N97" s="283">
        <f t="shared" si="31"/>
        <v>350</v>
      </c>
      <c r="O97" s="283">
        <f t="shared" si="32"/>
        <v>0</v>
      </c>
      <c r="P97" s="283">
        <f t="shared" si="33"/>
        <v>0</v>
      </c>
      <c r="Q97" s="283">
        <f t="shared" si="34"/>
        <v>0</v>
      </c>
      <c r="R97" s="283">
        <f t="shared" si="35"/>
        <v>0</v>
      </c>
      <c r="S97" s="229">
        <f t="shared" si="16"/>
        <v>0</v>
      </c>
      <c r="T97" s="229">
        <f t="shared" si="17"/>
        <v>0</v>
      </c>
      <c r="U97" s="229">
        <f t="shared" si="36"/>
        <v>0</v>
      </c>
      <c r="V97" s="284">
        <f t="shared" si="37"/>
        <v>10.706638115631691</v>
      </c>
      <c r="W97" s="229">
        <f t="shared" si="38"/>
        <v>0</v>
      </c>
      <c r="X97" s="229">
        <f t="shared" si="39"/>
        <v>2.2483940042826553</v>
      </c>
      <c r="Y97" s="229">
        <f t="shared" si="40"/>
        <v>12.955032119914346</v>
      </c>
      <c r="Z97" s="229">
        <f t="shared" si="41"/>
        <v>26946.46680942184</v>
      </c>
    </row>
    <row r="98" spans="1:26" x14ac:dyDescent="0.25">
      <c r="A98" s="932"/>
      <c r="B98" s="140">
        <f>'Plant Salaries'!B96</f>
        <v>93</v>
      </c>
      <c r="C98" s="141" t="str">
        <f>'Plant Salaries'!C96</f>
        <v>Transfer Station Lead - Ali Sabieh</v>
      </c>
      <c r="D98" s="248">
        <f>'Plant Salaries'!F96</f>
        <v>20000</v>
      </c>
      <c r="E98" s="296" t="s">
        <v>502</v>
      </c>
      <c r="F98" s="297">
        <v>0</v>
      </c>
      <c r="G98" s="283">
        <f t="shared" si="28"/>
        <v>1666.6666666666667</v>
      </c>
      <c r="H98" s="229">
        <f>IF($D98=0,('Benefits Cost'!$C$11),IF($E98="E",('Benefits Cost'!$C$7),IF($E98="E1",('Benefits Cost'!$C$8),IF($E98="E2",('Benefits Cost'!$C$9),IF($E98="E3",('Benefits Cost'!$C$10),0)))))</f>
        <v>0</v>
      </c>
      <c r="I98" s="229">
        <f>IF($D98=0,('Benefits Cost'!$C$11),IF($E98="E",('Benefits Cost'!$C$13),IF($E98="E1",('Benefits Cost'!$C$14),IF($E98="E2",('Benefits Cost'!$C$15),IF($E98="E3",('Benefits Cost'!$C$16),0)))))</f>
        <v>0</v>
      </c>
      <c r="J98" s="229">
        <f>IF($D98=0,('Benefits Cost'!$C$11),IF($E98="E",('Benefits Cost'!$C$19),IF($E98="E1",('Benefits Cost'!$C$20),IF($E98="E2",('Benefits Cost'!$C$21),IF($E98="E3",('Benefits Cost'!$C$22),0)))))</f>
        <v>0</v>
      </c>
      <c r="K98" s="229">
        <f>SUM(G98 * 'Benefits Cost'!$E$30 * 'Benefits Cost'!$C$30)</f>
        <v>0</v>
      </c>
      <c r="L98" s="283">
        <f t="shared" si="29"/>
        <v>0</v>
      </c>
      <c r="M98" s="283">
        <f t="shared" si="30"/>
        <v>350</v>
      </c>
      <c r="N98" s="283">
        <f t="shared" si="31"/>
        <v>350</v>
      </c>
      <c r="O98" s="283">
        <f t="shared" si="32"/>
        <v>0</v>
      </c>
      <c r="P98" s="283">
        <f t="shared" si="33"/>
        <v>0</v>
      </c>
      <c r="Q98" s="283">
        <f t="shared" si="34"/>
        <v>0</v>
      </c>
      <c r="R98" s="283">
        <f t="shared" si="35"/>
        <v>0</v>
      </c>
      <c r="S98" s="229">
        <f t="shared" si="16"/>
        <v>0</v>
      </c>
      <c r="T98" s="229">
        <f t="shared" si="17"/>
        <v>0</v>
      </c>
      <c r="U98" s="229">
        <f t="shared" si="36"/>
        <v>0</v>
      </c>
      <c r="V98" s="284">
        <f t="shared" si="37"/>
        <v>10.706638115631691</v>
      </c>
      <c r="W98" s="229">
        <f t="shared" si="38"/>
        <v>0</v>
      </c>
      <c r="X98" s="229">
        <f t="shared" si="39"/>
        <v>2.2483940042826553</v>
      </c>
      <c r="Y98" s="229">
        <f t="shared" si="40"/>
        <v>12.955032119914346</v>
      </c>
      <c r="Z98" s="229">
        <f t="shared" si="41"/>
        <v>26946.46680942184</v>
      </c>
    </row>
    <row r="99" spans="1:26" x14ac:dyDescent="0.25">
      <c r="A99" s="932"/>
      <c r="B99" s="140">
        <f>'Plant Salaries'!B97</f>
        <v>94</v>
      </c>
      <c r="C99" s="141" t="str">
        <f>'Plant Salaries'!C97</f>
        <v>Transfer Station Lead - Dikhil</v>
      </c>
      <c r="D99" s="248">
        <f>'Plant Salaries'!F97</f>
        <v>20000</v>
      </c>
      <c r="E99" s="296" t="s">
        <v>502</v>
      </c>
      <c r="F99" s="297">
        <v>0</v>
      </c>
      <c r="G99" s="283">
        <f t="shared" si="28"/>
        <v>1666.6666666666667</v>
      </c>
      <c r="H99" s="229">
        <f>IF($D99=0,('Benefits Cost'!$C$11),IF($E99="E",('Benefits Cost'!$C$7),IF($E99="E1",('Benefits Cost'!$C$8),IF($E99="E2",('Benefits Cost'!$C$9),IF($E99="E3",('Benefits Cost'!$C$10),0)))))</f>
        <v>0</v>
      </c>
      <c r="I99" s="229">
        <f>IF($D99=0,('Benefits Cost'!$C$11),IF($E99="E",('Benefits Cost'!$C$13),IF($E99="E1",('Benefits Cost'!$C$14),IF($E99="E2",('Benefits Cost'!$C$15),IF($E99="E3",('Benefits Cost'!$C$16),0)))))</f>
        <v>0</v>
      </c>
      <c r="J99" s="229">
        <f>IF($D99=0,('Benefits Cost'!$C$11),IF($E99="E",('Benefits Cost'!$C$19),IF($E99="E1",('Benefits Cost'!$C$20),IF($E99="E2",('Benefits Cost'!$C$21),IF($E99="E3",('Benefits Cost'!$C$22),0)))))</f>
        <v>0</v>
      </c>
      <c r="K99" s="229">
        <f>SUM(G99 * 'Benefits Cost'!$E$30 * 'Benefits Cost'!$C$30)</f>
        <v>0</v>
      </c>
      <c r="L99" s="283">
        <f t="shared" si="29"/>
        <v>0</v>
      </c>
      <c r="M99" s="283">
        <f t="shared" si="30"/>
        <v>350</v>
      </c>
      <c r="N99" s="283">
        <f t="shared" si="31"/>
        <v>350</v>
      </c>
      <c r="O99" s="283">
        <f t="shared" si="32"/>
        <v>0</v>
      </c>
      <c r="P99" s="283">
        <f t="shared" si="33"/>
        <v>0</v>
      </c>
      <c r="Q99" s="283">
        <f t="shared" si="34"/>
        <v>0</v>
      </c>
      <c r="R99" s="283">
        <f t="shared" si="35"/>
        <v>0</v>
      </c>
      <c r="S99" s="229">
        <f t="shared" si="16"/>
        <v>0</v>
      </c>
      <c r="T99" s="229">
        <f t="shared" si="17"/>
        <v>0</v>
      </c>
      <c r="U99" s="229">
        <f t="shared" si="36"/>
        <v>0</v>
      </c>
      <c r="V99" s="284">
        <f t="shared" si="37"/>
        <v>10.706638115631691</v>
      </c>
      <c r="W99" s="229">
        <f t="shared" si="38"/>
        <v>0</v>
      </c>
      <c r="X99" s="229">
        <f t="shared" si="39"/>
        <v>2.2483940042826553</v>
      </c>
      <c r="Y99" s="229">
        <f t="shared" si="40"/>
        <v>12.955032119914346</v>
      </c>
      <c r="Z99" s="229">
        <f t="shared" si="41"/>
        <v>26946.46680942184</v>
      </c>
    </row>
    <row r="100" spans="1:26" x14ac:dyDescent="0.25">
      <c r="A100" s="932"/>
      <c r="B100" s="140">
        <f>'Plant Salaries'!B98</f>
        <v>95</v>
      </c>
      <c r="C100" s="141" t="str">
        <f>'Plant Salaries'!C98</f>
        <v>Transfer Station Lead - Obock</v>
      </c>
      <c r="D100" s="248">
        <f>'Plant Salaries'!F98</f>
        <v>20000</v>
      </c>
      <c r="E100" s="296" t="s">
        <v>502</v>
      </c>
      <c r="F100" s="297">
        <v>0</v>
      </c>
      <c r="G100" s="283">
        <f t="shared" si="28"/>
        <v>1666.6666666666667</v>
      </c>
      <c r="H100" s="229">
        <f>IF($D100=0,('Benefits Cost'!$C$11),IF($E100="E",('Benefits Cost'!$C$7),IF($E100="E1",('Benefits Cost'!$C$8),IF($E100="E2",('Benefits Cost'!$C$9),IF($E100="E3",('Benefits Cost'!$C$10),0)))))</f>
        <v>0</v>
      </c>
      <c r="I100" s="229">
        <f>IF($D100=0,('Benefits Cost'!$C$11),IF($E100="E",('Benefits Cost'!$C$13),IF($E100="E1",('Benefits Cost'!$C$14),IF($E100="E2",('Benefits Cost'!$C$15),IF($E100="E3",('Benefits Cost'!$C$16),0)))))</f>
        <v>0</v>
      </c>
      <c r="J100" s="229">
        <f>IF($D100=0,('Benefits Cost'!$C$11),IF($E100="E",('Benefits Cost'!$C$19),IF($E100="E1",('Benefits Cost'!$C$20),IF($E100="E2",('Benefits Cost'!$C$21),IF($E100="E3",('Benefits Cost'!$C$22),0)))))</f>
        <v>0</v>
      </c>
      <c r="K100" s="229">
        <f>SUM(G100 * 'Benefits Cost'!$E$30 * 'Benefits Cost'!$C$30)</f>
        <v>0</v>
      </c>
      <c r="L100" s="283">
        <f t="shared" si="29"/>
        <v>0</v>
      </c>
      <c r="M100" s="283">
        <f t="shared" si="30"/>
        <v>350</v>
      </c>
      <c r="N100" s="283">
        <f t="shared" si="31"/>
        <v>350</v>
      </c>
      <c r="O100" s="283">
        <f t="shared" si="32"/>
        <v>0</v>
      </c>
      <c r="P100" s="283">
        <f t="shared" si="33"/>
        <v>0</v>
      </c>
      <c r="Q100" s="283">
        <f t="shared" si="34"/>
        <v>0</v>
      </c>
      <c r="R100" s="283">
        <f t="shared" si="35"/>
        <v>0</v>
      </c>
      <c r="S100" s="229">
        <f t="shared" si="16"/>
        <v>0</v>
      </c>
      <c r="T100" s="229">
        <f t="shared" si="17"/>
        <v>0</v>
      </c>
      <c r="U100" s="229">
        <f t="shared" si="36"/>
        <v>0</v>
      </c>
      <c r="V100" s="284">
        <f t="shared" si="37"/>
        <v>10.706638115631691</v>
      </c>
      <c r="W100" s="229">
        <f t="shared" si="38"/>
        <v>0</v>
      </c>
      <c r="X100" s="229">
        <f t="shared" si="39"/>
        <v>2.2483940042826553</v>
      </c>
      <c r="Y100" s="229">
        <f t="shared" si="40"/>
        <v>12.955032119914346</v>
      </c>
      <c r="Z100" s="229">
        <f t="shared" si="41"/>
        <v>26946.46680942184</v>
      </c>
    </row>
    <row r="101" spans="1:26" x14ac:dyDescent="0.25">
      <c r="A101" s="932"/>
      <c r="B101" s="140">
        <f>'Plant Salaries'!B99</f>
        <v>96</v>
      </c>
      <c r="C101" s="141" t="str">
        <f>'Plant Salaries'!C99</f>
        <v>Transfer Station Lead - Tadjourah</v>
      </c>
      <c r="D101" s="248">
        <f>'Plant Salaries'!F99</f>
        <v>20000</v>
      </c>
      <c r="E101" s="296" t="s">
        <v>502</v>
      </c>
      <c r="F101" s="297">
        <v>0</v>
      </c>
      <c r="G101" s="283">
        <f t="shared" si="28"/>
        <v>1666.6666666666667</v>
      </c>
      <c r="H101" s="229">
        <f>IF($D101=0,('Benefits Cost'!$C$11),IF($E101="E",('Benefits Cost'!$C$7),IF($E101="E1",('Benefits Cost'!$C$8),IF($E101="E2",('Benefits Cost'!$C$9),IF($E101="E3",('Benefits Cost'!$C$10),0)))))</f>
        <v>0</v>
      </c>
      <c r="I101" s="229">
        <f>IF($D101=0,('Benefits Cost'!$C$11),IF($E101="E",('Benefits Cost'!$C$13),IF($E101="E1",('Benefits Cost'!$C$14),IF($E101="E2",('Benefits Cost'!$C$15),IF($E101="E3",('Benefits Cost'!$C$16),0)))))</f>
        <v>0</v>
      </c>
      <c r="J101" s="229">
        <f>IF($D101=0,('Benefits Cost'!$C$11),IF($E101="E",('Benefits Cost'!$C$19),IF($E101="E1",('Benefits Cost'!$C$20),IF($E101="E2",('Benefits Cost'!$C$21),IF($E101="E3",('Benefits Cost'!$C$22),0)))))</f>
        <v>0</v>
      </c>
      <c r="K101" s="229">
        <f>SUM(G101 * 'Benefits Cost'!$E$30 * 'Benefits Cost'!$C$30)</f>
        <v>0</v>
      </c>
      <c r="L101" s="283">
        <f t="shared" si="29"/>
        <v>0</v>
      </c>
      <c r="M101" s="283">
        <f t="shared" si="30"/>
        <v>350</v>
      </c>
      <c r="N101" s="283">
        <f t="shared" si="31"/>
        <v>350</v>
      </c>
      <c r="O101" s="283">
        <f t="shared" si="32"/>
        <v>0</v>
      </c>
      <c r="P101" s="283">
        <f t="shared" si="33"/>
        <v>0</v>
      </c>
      <c r="Q101" s="283">
        <f t="shared" si="34"/>
        <v>0</v>
      </c>
      <c r="R101" s="283">
        <f t="shared" si="35"/>
        <v>0</v>
      </c>
      <c r="S101" s="229">
        <f t="shared" si="16"/>
        <v>0</v>
      </c>
      <c r="T101" s="229">
        <f t="shared" si="17"/>
        <v>0</v>
      </c>
      <c r="U101" s="229">
        <f t="shared" si="36"/>
        <v>0</v>
      </c>
      <c r="V101" s="284">
        <f t="shared" si="37"/>
        <v>10.706638115631691</v>
      </c>
      <c r="W101" s="229">
        <f t="shared" si="38"/>
        <v>0</v>
      </c>
      <c r="X101" s="229">
        <f t="shared" si="39"/>
        <v>2.2483940042826553</v>
      </c>
      <c r="Y101" s="229">
        <f t="shared" si="40"/>
        <v>12.955032119914346</v>
      </c>
      <c r="Z101" s="229">
        <f t="shared" si="41"/>
        <v>26946.46680942184</v>
      </c>
    </row>
    <row r="102" spans="1:26" x14ac:dyDescent="0.25">
      <c r="A102" s="932"/>
      <c r="B102" s="140">
        <f>'Plant Salaries'!B100</f>
        <v>97</v>
      </c>
      <c r="C102" s="141" t="str">
        <f>'Plant Salaries'!C100</f>
        <v>Transfer Station Support - Arta</v>
      </c>
      <c r="D102" s="248">
        <f>'Plant Salaries'!F100</f>
        <v>20000</v>
      </c>
      <c r="E102" s="296" t="s">
        <v>502</v>
      </c>
      <c r="F102" s="297">
        <v>0</v>
      </c>
      <c r="G102" s="283">
        <f t="shared" si="28"/>
        <v>1666.6666666666667</v>
      </c>
      <c r="H102" s="229">
        <f>IF($D102=0,('Benefits Cost'!$C$11),IF($E102="E",('Benefits Cost'!$C$7),IF($E102="E1",('Benefits Cost'!$C$8),IF($E102="E2",('Benefits Cost'!$C$9),IF($E102="E3",('Benefits Cost'!$C$10),0)))))</f>
        <v>0</v>
      </c>
      <c r="I102" s="229">
        <f>IF($D102=0,('Benefits Cost'!$C$11),IF($E102="E",('Benefits Cost'!$C$13),IF($E102="E1",('Benefits Cost'!$C$14),IF($E102="E2",('Benefits Cost'!$C$15),IF($E102="E3",('Benefits Cost'!$C$16),0)))))</f>
        <v>0</v>
      </c>
      <c r="J102" s="229">
        <f>IF($D102=0,('Benefits Cost'!$C$11),IF($E102="E",('Benefits Cost'!$C$19),IF($E102="E1",('Benefits Cost'!$C$20),IF($E102="E2",('Benefits Cost'!$C$21),IF($E102="E3",('Benefits Cost'!$C$22),0)))))</f>
        <v>0</v>
      </c>
      <c r="K102" s="229">
        <f>SUM(G102 * 'Benefits Cost'!$E$30 * 'Benefits Cost'!$C$30)</f>
        <v>0</v>
      </c>
      <c r="L102" s="283">
        <f t="shared" si="29"/>
        <v>0</v>
      </c>
      <c r="M102" s="283">
        <f t="shared" si="30"/>
        <v>350</v>
      </c>
      <c r="N102" s="283">
        <f t="shared" si="31"/>
        <v>350</v>
      </c>
      <c r="O102" s="283">
        <f t="shared" si="32"/>
        <v>0</v>
      </c>
      <c r="P102" s="283">
        <f t="shared" si="33"/>
        <v>0</v>
      </c>
      <c r="Q102" s="283">
        <f t="shared" si="34"/>
        <v>0</v>
      </c>
      <c r="R102" s="283">
        <f t="shared" si="35"/>
        <v>0</v>
      </c>
      <c r="S102" s="229">
        <f t="shared" si="16"/>
        <v>0</v>
      </c>
      <c r="T102" s="229">
        <f t="shared" si="17"/>
        <v>0</v>
      </c>
      <c r="U102" s="229">
        <f t="shared" si="36"/>
        <v>0</v>
      </c>
      <c r="V102" s="284">
        <f t="shared" si="37"/>
        <v>10.706638115631691</v>
      </c>
      <c r="W102" s="229">
        <f t="shared" si="38"/>
        <v>0</v>
      </c>
      <c r="X102" s="229">
        <f t="shared" si="39"/>
        <v>2.2483940042826553</v>
      </c>
      <c r="Y102" s="229">
        <f t="shared" si="40"/>
        <v>12.955032119914346</v>
      </c>
      <c r="Z102" s="229">
        <f t="shared" si="41"/>
        <v>26946.46680942184</v>
      </c>
    </row>
    <row r="103" spans="1:26" x14ac:dyDescent="0.25">
      <c r="A103" s="932"/>
      <c r="B103" s="140">
        <f>'Plant Salaries'!B101</f>
        <v>98</v>
      </c>
      <c r="C103" s="141" t="str">
        <f>'Plant Salaries'!C101</f>
        <v>Transfer Station Support - Arta</v>
      </c>
      <c r="D103" s="248">
        <f>'Plant Salaries'!F101</f>
        <v>20000</v>
      </c>
      <c r="E103" s="296" t="s">
        <v>502</v>
      </c>
      <c r="F103" s="297">
        <v>0</v>
      </c>
      <c r="G103" s="283">
        <f t="shared" si="28"/>
        <v>1666.6666666666667</v>
      </c>
      <c r="H103" s="229">
        <f>IF($D103=0,('Benefits Cost'!$C$11),IF($E103="E",('Benefits Cost'!$C$7),IF($E103="E1",('Benefits Cost'!$C$8),IF($E103="E2",('Benefits Cost'!$C$9),IF($E103="E3",('Benefits Cost'!$C$10),0)))))</f>
        <v>0</v>
      </c>
      <c r="I103" s="229">
        <f>IF($D103=0,('Benefits Cost'!$C$11),IF($E103="E",('Benefits Cost'!$C$13),IF($E103="E1",('Benefits Cost'!$C$14),IF($E103="E2",('Benefits Cost'!$C$15),IF($E103="E3",('Benefits Cost'!$C$16),0)))))</f>
        <v>0</v>
      </c>
      <c r="J103" s="229">
        <f>IF($D103=0,('Benefits Cost'!$C$11),IF($E103="E",('Benefits Cost'!$C$19),IF($E103="E1",('Benefits Cost'!$C$20),IF($E103="E2",('Benefits Cost'!$C$21),IF($E103="E3",('Benefits Cost'!$C$22),0)))))</f>
        <v>0</v>
      </c>
      <c r="K103" s="229">
        <f>SUM(G103 * 'Benefits Cost'!$E$30 * 'Benefits Cost'!$C$30)</f>
        <v>0</v>
      </c>
      <c r="L103" s="283">
        <f t="shared" si="29"/>
        <v>0</v>
      </c>
      <c r="M103" s="283">
        <f t="shared" si="30"/>
        <v>350</v>
      </c>
      <c r="N103" s="283">
        <f t="shared" si="31"/>
        <v>350</v>
      </c>
      <c r="O103" s="283">
        <f t="shared" si="32"/>
        <v>0</v>
      </c>
      <c r="P103" s="283">
        <f t="shared" si="33"/>
        <v>0</v>
      </c>
      <c r="Q103" s="283">
        <f t="shared" si="34"/>
        <v>0</v>
      </c>
      <c r="R103" s="283">
        <f t="shared" si="35"/>
        <v>0</v>
      </c>
      <c r="S103" s="229">
        <f t="shared" si="16"/>
        <v>0</v>
      </c>
      <c r="T103" s="229">
        <f t="shared" si="17"/>
        <v>0</v>
      </c>
      <c r="U103" s="229">
        <f t="shared" si="36"/>
        <v>0</v>
      </c>
      <c r="V103" s="284">
        <f t="shared" si="37"/>
        <v>10.706638115631691</v>
      </c>
      <c r="W103" s="229">
        <f t="shared" si="38"/>
        <v>0</v>
      </c>
      <c r="X103" s="229">
        <f t="shared" si="39"/>
        <v>2.2483940042826553</v>
      </c>
      <c r="Y103" s="229">
        <f t="shared" si="40"/>
        <v>12.955032119914346</v>
      </c>
      <c r="Z103" s="229">
        <f t="shared" si="41"/>
        <v>26946.46680942184</v>
      </c>
    </row>
    <row r="104" spans="1:26" x14ac:dyDescent="0.25">
      <c r="A104" s="932"/>
      <c r="B104" s="140">
        <f>'Plant Salaries'!B102</f>
        <v>99</v>
      </c>
      <c r="C104" s="141" t="str">
        <f>'Plant Salaries'!C102</f>
        <v>Transfer Station Support - Arta</v>
      </c>
      <c r="D104" s="248">
        <f>'Plant Salaries'!F102</f>
        <v>20000</v>
      </c>
      <c r="E104" s="296" t="s">
        <v>502</v>
      </c>
      <c r="F104" s="297">
        <v>0</v>
      </c>
      <c r="G104" s="283">
        <f t="shared" si="28"/>
        <v>1666.6666666666667</v>
      </c>
      <c r="H104" s="229">
        <f>IF($D104=0,('Benefits Cost'!$C$11),IF($E104="E",('Benefits Cost'!$C$7),IF($E104="E1",('Benefits Cost'!$C$8),IF($E104="E2",('Benefits Cost'!$C$9),IF($E104="E3",('Benefits Cost'!$C$10),0)))))</f>
        <v>0</v>
      </c>
      <c r="I104" s="229">
        <f>IF($D104=0,('Benefits Cost'!$C$11),IF($E104="E",('Benefits Cost'!$C$13),IF($E104="E1",('Benefits Cost'!$C$14),IF($E104="E2",('Benefits Cost'!$C$15),IF($E104="E3",('Benefits Cost'!$C$16),0)))))</f>
        <v>0</v>
      </c>
      <c r="J104" s="229">
        <f>IF($D104=0,('Benefits Cost'!$C$11),IF($E104="E",('Benefits Cost'!$C$19),IF($E104="E1",('Benefits Cost'!$C$20),IF($E104="E2",('Benefits Cost'!$C$21),IF($E104="E3",('Benefits Cost'!$C$22),0)))))</f>
        <v>0</v>
      </c>
      <c r="K104" s="229">
        <f>SUM(G104 * 'Benefits Cost'!$E$30 * 'Benefits Cost'!$C$30)</f>
        <v>0</v>
      </c>
      <c r="L104" s="283">
        <f t="shared" si="29"/>
        <v>0</v>
      </c>
      <c r="M104" s="283">
        <f t="shared" si="30"/>
        <v>350</v>
      </c>
      <c r="N104" s="283">
        <f t="shared" si="31"/>
        <v>350</v>
      </c>
      <c r="O104" s="283">
        <f t="shared" si="32"/>
        <v>0</v>
      </c>
      <c r="P104" s="283">
        <f t="shared" si="33"/>
        <v>0</v>
      </c>
      <c r="Q104" s="283">
        <f t="shared" si="34"/>
        <v>0</v>
      </c>
      <c r="R104" s="283">
        <f t="shared" si="35"/>
        <v>0</v>
      </c>
      <c r="S104" s="229">
        <f t="shared" si="16"/>
        <v>0</v>
      </c>
      <c r="T104" s="229">
        <f t="shared" si="17"/>
        <v>0</v>
      </c>
      <c r="U104" s="229">
        <f t="shared" si="36"/>
        <v>0</v>
      </c>
      <c r="V104" s="284">
        <f t="shared" si="37"/>
        <v>10.706638115631691</v>
      </c>
      <c r="W104" s="229">
        <f t="shared" si="38"/>
        <v>0</v>
      </c>
      <c r="X104" s="229">
        <f t="shared" si="39"/>
        <v>2.2483940042826553</v>
      </c>
      <c r="Y104" s="229">
        <f t="shared" si="40"/>
        <v>12.955032119914346</v>
      </c>
      <c r="Z104" s="229">
        <f t="shared" si="41"/>
        <v>26946.46680942184</v>
      </c>
    </row>
    <row r="105" spans="1:26" x14ac:dyDescent="0.25">
      <c r="A105" s="932"/>
      <c r="B105" s="140">
        <f>'Plant Salaries'!B103</f>
        <v>100</v>
      </c>
      <c r="C105" s="141" t="str">
        <f>'Plant Salaries'!C103</f>
        <v>Transfer Station Support - Ali Sabieh</v>
      </c>
      <c r="D105" s="248">
        <f>'Plant Salaries'!F103</f>
        <v>20000</v>
      </c>
      <c r="E105" s="296" t="s">
        <v>502</v>
      </c>
      <c r="F105" s="297">
        <v>0</v>
      </c>
      <c r="G105" s="283">
        <f t="shared" si="28"/>
        <v>1666.6666666666667</v>
      </c>
      <c r="H105" s="229">
        <f>IF($D105=0,('Benefits Cost'!$C$11),IF($E105="E",('Benefits Cost'!$C$7),IF($E105="E1",('Benefits Cost'!$C$8),IF($E105="E2",('Benefits Cost'!$C$9),IF($E105="E3",('Benefits Cost'!$C$10),0)))))</f>
        <v>0</v>
      </c>
      <c r="I105" s="229">
        <f>IF($D105=0,('Benefits Cost'!$C$11),IF($E105="E",('Benefits Cost'!$C$13),IF($E105="E1",('Benefits Cost'!$C$14),IF($E105="E2",('Benefits Cost'!$C$15),IF($E105="E3",('Benefits Cost'!$C$16),0)))))</f>
        <v>0</v>
      </c>
      <c r="J105" s="229">
        <f>IF($D105=0,('Benefits Cost'!$C$11),IF($E105="E",('Benefits Cost'!$C$19),IF($E105="E1",('Benefits Cost'!$C$20),IF($E105="E2",('Benefits Cost'!$C$21),IF($E105="E3",('Benefits Cost'!$C$22),0)))))</f>
        <v>0</v>
      </c>
      <c r="K105" s="229">
        <f>SUM(G105 * 'Benefits Cost'!$E$30 * 'Benefits Cost'!$C$30)</f>
        <v>0</v>
      </c>
      <c r="L105" s="283">
        <f t="shared" si="29"/>
        <v>0</v>
      </c>
      <c r="M105" s="283">
        <f t="shared" si="30"/>
        <v>350</v>
      </c>
      <c r="N105" s="283">
        <f t="shared" si="31"/>
        <v>350</v>
      </c>
      <c r="O105" s="283">
        <f t="shared" si="32"/>
        <v>0</v>
      </c>
      <c r="P105" s="283">
        <f t="shared" si="33"/>
        <v>0</v>
      </c>
      <c r="Q105" s="283">
        <f t="shared" si="34"/>
        <v>0</v>
      </c>
      <c r="R105" s="283">
        <f t="shared" si="35"/>
        <v>0</v>
      </c>
      <c r="S105" s="229">
        <f t="shared" si="16"/>
        <v>0</v>
      </c>
      <c r="T105" s="229">
        <f t="shared" si="17"/>
        <v>0</v>
      </c>
      <c r="U105" s="229">
        <f t="shared" si="36"/>
        <v>0</v>
      </c>
      <c r="V105" s="284">
        <f t="shared" si="37"/>
        <v>10.706638115631691</v>
      </c>
      <c r="W105" s="229">
        <f t="shared" si="38"/>
        <v>0</v>
      </c>
      <c r="X105" s="229">
        <f t="shared" si="39"/>
        <v>2.2483940042826553</v>
      </c>
      <c r="Y105" s="229">
        <f t="shared" si="40"/>
        <v>12.955032119914346</v>
      </c>
      <c r="Z105" s="229">
        <f t="shared" si="41"/>
        <v>26946.46680942184</v>
      </c>
    </row>
    <row r="106" spans="1:26" x14ac:dyDescent="0.25">
      <c r="A106" s="932"/>
      <c r="B106" s="140">
        <f>'Plant Salaries'!B104</f>
        <v>101</v>
      </c>
      <c r="C106" s="141" t="str">
        <f>'Plant Salaries'!C104</f>
        <v>Transfer Station Support - Ali Sabieh</v>
      </c>
      <c r="D106" s="248">
        <f>'Plant Salaries'!F104</f>
        <v>20000</v>
      </c>
      <c r="E106" s="296" t="s">
        <v>502</v>
      </c>
      <c r="F106" s="297">
        <v>0</v>
      </c>
      <c r="G106" s="283">
        <f t="shared" si="28"/>
        <v>1666.6666666666667</v>
      </c>
      <c r="H106" s="229">
        <f>IF($D106=0,('Benefits Cost'!$C$11),IF($E106="E",('Benefits Cost'!$C$7),IF($E106="E1",('Benefits Cost'!$C$8),IF($E106="E2",('Benefits Cost'!$C$9),IF($E106="E3",('Benefits Cost'!$C$10),0)))))</f>
        <v>0</v>
      </c>
      <c r="I106" s="229">
        <f>IF($D106=0,('Benefits Cost'!$C$11),IF($E106="E",('Benefits Cost'!$C$13),IF($E106="E1",('Benefits Cost'!$C$14),IF($E106="E2",('Benefits Cost'!$C$15),IF($E106="E3",('Benefits Cost'!$C$16),0)))))</f>
        <v>0</v>
      </c>
      <c r="J106" s="229">
        <f>IF($D106=0,('Benefits Cost'!$C$11),IF($E106="E",('Benefits Cost'!$C$19),IF($E106="E1",('Benefits Cost'!$C$20),IF($E106="E2",('Benefits Cost'!$C$21),IF($E106="E3",('Benefits Cost'!$C$22),0)))))</f>
        <v>0</v>
      </c>
      <c r="K106" s="229">
        <f>SUM(G106 * 'Benefits Cost'!$E$30 * 'Benefits Cost'!$C$30)</f>
        <v>0</v>
      </c>
      <c r="L106" s="283">
        <f t="shared" si="29"/>
        <v>0</v>
      </c>
      <c r="M106" s="283">
        <f t="shared" si="30"/>
        <v>350</v>
      </c>
      <c r="N106" s="283">
        <f t="shared" si="31"/>
        <v>350</v>
      </c>
      <c r="O106" s="283">
        <f t="shared" si="32"/>
        <v>0</v>
      </c>
      <c r="P106" s="283">
        <f t="shared" si="33"/>
        <v>0</v>
      </c>
      <c r="Q106" s="283">
        <f t="shared" si="34"/>
        <v>0</v>
      </c>
      <c r="R106" s="283">
        <f t="shared" si="35"/>
        <v>0</v>
      </c>
      <c r="S106" s="229">
        <f t="shared" si="16"/>
        <v>0</v>
      </c>
      <c r="T106" s="229">
        <f t="shared" si="17"/>
        <v>0</v>
      </c>
      <c r="U106" s="229">
        <f t="shared" si="36"/>
        <v>0</v>
      </c>
      <c r="V106" s="284">
        <f t="shared" si="37"/>
        <v>10.706638115631691</v>
      </c>
      <c r="W106" s="229">
        <f t="shared" si="38"/>
        <v>0</v>
      </c>
      <c r="X106" s="229">
        <f t="shared" si="39"/>
        <v>2.2483940042826553</v>
      </c>
      <c r="Y106" s="229">
        <f t="shared" si="40"/>
        <v>12.955032119914346</v>
      </c>
      <c r="Z106" s="229">
        <f t="shared" si="41"/>
        <v>26946.46680942184</v>
      </c>
    </row>
    <row r="107" spans="1:26" x14ac:dyDescent="0.25">
      <c r="A107" s="932"/>
      <c r="B107" s="140">
        <f>'Plant Salaries'!B105</f>
        <v>102</v>
      </c>
      <c r="C107" s="141" t="str">
        <f>'Plant Salaries'!C105</f>
        <v>Transfer Station Support - Ali Sabieh</v>
      </c>
      <c r="D107" s="248">
        <f>'Plant Salaries'!F105</f>
        <v>20000</v>
      </c>
      <c r="E107" s="296" t="s">
        <v>502</v>
      </c>
      <c r="F107" s="297">
        <v>0</v>
      </c>
      <c r="G107" s="283">
        <f t="shared" si="28"/>
        <v>1666.6666666666667</v>
      </c>
      <c r="H107" s="229">
        <f>IF($D107=0,('Benefits Cost'!$C$11),IF($E107="E",('Benefits Cost'!$C$7),IF($E107="E1",('Benefits Cost'!$C$8),IF($E107="E2",('Benefits Cost'!$C$9),IF($E107="E3",('Benefits Cost'!$C$10),0)))))</f>
        <v>0</v>
      </c>
      <c r="I107" s="229">
        <f>IF($D107=0,('Benefits Cost'!$C$11),IF($E107="E",('Benefits Cost'!$C$13),IF($E107="E1",('Benefits Cost'!$C$14),IF($E107="E2",('Benefits Cost'!$C$15),IF($E107="E3",('Benefits Cost'!$C$16),0)))))</f>
        <v>0</v>
      </c>
      <c r="J107" s="229">
        <f>IF($D107=0,('Benefits Cost'!$C$11),IF($E107="E",('Benefits Cost'!$C$19),IF($E107="E1",('Benefits Cost'!$C$20),IF($E107="E2",('Benefits Cost'!$C$21),IF($E107="E3",('Benefits Cost'!$C$22),0)))))</f>
        <v>0</v>
      </c>
      <c r="K107" s="229">
        <f>SUM(G107 * 'Benefits Cost'!$E$30 * 'Benefits Cost'!$C$30)</f>
        <v>0</v>
      </c>
      <c r="L107" s="283">
        <f t="shared" si="29"/>
        <v>0</v>
      </c>
      <c r="M107" s="283">
        <f t="shared" si="30"/>
        <v>350</v>
      </c>
      <c r="N107" s="283">
        <f t="shared" si="31"/>
        <v>350</v>
      </c>
      <c r="O107" s="283">
        <f t="shared" si="32"/>
        <v>0</v>
      </c>
      <c r="P107" s="283">
        <f t="shared" si="33"/>
        <v>0</v>
      </c>
      <c r="Q107" s="283">
        <f t="shared" si="34"/>
        <v>0</v>
      </c>
      <c r="R107" s="283">
        <f t="shared" si="35"/>
        <v>0</v>
      </c>
      <c r="S107" s="229">
        <f t="shared" si="16"/>
        <v>0</v>
      </c>
      <c r="T107" s="229">
        <f t="shared" si="17"/>
        <v>0</v>
      </c>
      <c r="U107" s="229">
        <f t="shared" si="36"/>
        <v>0</v>
      </c>
      <c r="V107" s="284">
        <f t="shared" si="37"/>
        <v>10.706638115631691</v>
      </c>
      <c r="W107" s="229">
        <f t="shared" si="38"/>
        <v>0</v>
      </c>
      <c r="X107" s="229">
        <f t="shared" si="39"/>
        <v>2.2483940042826553</v>
      </c>
      <c r="Y107" s="229">
        <f t="shared" si="40"/>
        <v>12.955032119914346</v>
      </c>
      <c r="Z107" s="229">
        <f t="shared" si="41"/>
        <v>26946.46680942184</v>
      </c>
    </row>
    <row r="108" spans="1:26" x14ac:dyDescent="0.25">
      <c r="A108" s="932"/>
      <c r="B108" s="140">
        <f>'Plant Salaries'!B106</f>
        <v>103</v>
      </c>
      <c r="C108" s="141" t="str">
        <f>'Plant Salaries'!C106</f>
        <v>Transfer Station Support - Dikhil</v>
      </c>
      <c r="D108" s="248">
        <f>'Plant Salaries'!F106</f>
        <v>20000</v>
      </c>
      <c r="E108" s="296" t="s">
        <v>502</v>
      </c>
      <c r="F108" s="297">
        <v>0</v>
      </c>
      <c r="G108" s="283">
        <f t="shared" si="28"/>
        <v>1666.6666666666667</v>
      </c>
      <c r="H108" s="229">
        <f>IF($D108=0,('Benefits Cost'!$C$11),IF($E108="E",('Benefits Cost'!$C$7),IF($E108="E1",('Benefits Cost'!$C$8),IF($E108="E2",('Benefits Cost'!$C$9),IF($E108="E3",('Benefits Cost'!$C$10),0)))))</f>
        <v>0</v>
      </c>
      <c r="I108" s="229">
        <f>IF($D108=0,('Benefits Cost'!$C$11),IF($E108="E",('Benefits Cost'!$C$13),IF($E108="E1",('Benefits Cost'!$C$14),IF($E108="E2",('Benefits Cost'!$C$15),IF($E108="E3",('Benefits Cost'!$C$16),0)))))</f>
        <v>0</v>
      </c>
      <c r="J108" s="229">
        <f>IF($D108=0,('Benefits Cost'!$C$11),IF($E108="E",('Benefits Cost'!$C$19),IF($E108="E1",('Benefits Cost'!$C$20),IF($E108="E2",('Benefits Cost'!$C$21),IF($E108="E3",('Benefits Cost'!$C$22),0)))))</f>
        <v>0</v>
      </c>
      <c r="K108" s="229">
        <f>SUM(G108 * 'Benefits Cost'!$E$30 * 'Benefits Cost'!$C$30)</f>
        <v>0</v>
      </c>
      <c r="L108" s="283">
        <f t="shared" si="29"/>
        <v>0</v>
      </c>
      <c r="M108" s="283">
        <f t="shared" si="30"/>
        <v>350</v>
      </c>
      <c r="N108" s="283">
        <f t="shared" si="31"/>
        <v>350</v>
      </c>
      <c r="O108" s="283">
        <f t="shared" si="32"/>
        <v>0</v>
      </c>
      <c r="P108" s="283">
        <f t="shared" si="33"/>
        <v>0</v>
      </c>
      <c r="Q108" s="283">
        <f t="shared" si="34"/>
        <v>0</v>
      </c>
      <c r="R108" s="283">
        <f t="shared" si="35"/>
        <v>0</v>
      </c>
      <c r="S108" s="229">
        <f t="shared" si="16"/>
        <v>0</v>
      </c>
      <c r="T108" s="229">
        <f t="shared" si="17"/>
        <v>0</v>
      </c>
      <c r="U108" s="229">
        <f t="shared" si="36"/>
        <v>0</v>
      </c>
      <c r="V108" s="284">
        <f t="shared" si="37"/>
        <v>10.706638115631691</v>
      </c>
      <c r="W108" s="229">
        <f t="shared" si="38"/>
        <v>0</v>
      </c>
      <c r="X108" s="229">
        <f t="shared" si="39"/>
        <v>2.2483940042826553</v>
      </c>
      <c r="Y108" s="229">
        <f t="shared" si="40"/>
        <v>12.955032119914346</v>
      </c>
      <c r="Z108" s="229">
        <f t="shared" si="41"/>
        <v>26946.46680942184</v>
      </c>
    </row>
    <row r="109" spans="1:26" x14ac:dyDescent="0.25">
      <c r="A109" s="932"/>
      <c r="B109" s="140">
        <f>'Plant Salaries'!B107</f>
        <v>104</v>
      </c>
      <c r="C109" s="141" t="str">
        <f>'Plant Salaries'!C107</f>
        <v>Transfer Station Support - Dikhil</v>
      </c>
      <c r="D109" s="248">
        <f>'Plant Salaries'!F107</f>
        <v>20000</v>
      </c>
      <c r="E109" s="296" t="s">
        <v>502</v>
      </c>
      <c r="F109" s="297">
        <v>0</v>
      </c>
      <c r="G109" s="283">
        <f t="shared" si="28"/>
        <v>1666.6666666666667</v>
      </c>
      <c r="H109" s="229">
        <f>IF($D109=0,('Benefits Cost'!$C$11),IF($E109="E",('Benefits Cost'!$C$7),IF($E109="E1",('Benefits Cost'!$C$8),IF($E109="E2",('Benefits Cost'!$C$9),IF($E109="E3",('Benefits Cost'!$C$10),0)))))</f>
        <v>0</v>
      </c>
      <c r="I109" s="229">
        <f>IF($D109=0,('Benefits Cost'!$C$11),IF($E109="E",('Benefits Cost'!$C$13),IF($E109="E1",('Benefits Cost'!$C$14),IF($E109="E2",('Benefits Cost'!$C$15),IF($E109="E3",('Benefits Cost'!$C$16),0)))))</f>
        <v>0</v>
      </c>
      <c r="J109" s="229">
        <f>IF($D109=0,('Benefits Cost'!$C$11),IF($E109="E",('Benefits Cost'!$C$19),IF($E109="E1",('Benefits Cost'!$C$20),IF($E109="E2",('Benefits Cost'!$C$21),IF($E109="E3",('Benefits Cost'!$C$22),0)))))</f>
        <v>0</v>
      </c>
      <c r="K109" s="229">
        <f>SUM(G109 * 'Benefits Cost'!$E$30 * 'Benefits Cost'!$C$30)</f>
        <v>0</v>
      </c>
      <c r="L109" s="283">
        <f t="shared" si="29"/>
        <v>0</v>
      </c>
      <c r="M109" s="283">
        <f t="shared" si="30"/>
        <v>350</v>
      </c>
      <c r="N109" s="283">
        <f t="shared" si="31"/>
        <v>350</v>
      </c>
      <c r="O109" s="283">
        <f t="shared" si="32"/>
        <v>0</v>
      </c>
      <c r="P109" s="283">
        <f t="shared" si="33"/>
        <v>0</v>
      </c>
      <c r="Q109" s="283">
        <f t="shared" si="34"/>
        <v>0</v>
      </c>
      <c r="R109" s="283">
        <f t="shared" si="35"/>
        <v>0</v>
      </c>
      <c r="S109" s="229">
        <f t="shared" si="16"/>
        <v>0</v>
      </c>
      <c r="T109" s="229">
        <f t="shared" si="17"/>
        <v>0</v>
      </c>
      <c r="U109" s="229">
        <f t="shared" si="36"/>
        <v>0</v>
      </c>
      <c r="V109" s="284">
        <f t="shared" si="37"/>
        <v>10.706638115631691</v>
      </c>
      <c r="W109" s="229">
        <f t="shared" si="38"/>
        <v>0</v>
      </c>
      <c r="X109" s="229">
        <f t="shared" si="39"/>
        <v>2.2483940042826553</v>
      </c>
      <c r="Y109" s="229">
        <f t="shared" si="40"/>
        <v>12.955032119914346</v>
      </c>
      <c r="Z109" s="229">
        <f t="shared" si="41"/>
        <v>26946.46680942184</v>
      </c>
    </row>
    <row r="110" spans="1:26" x14ac:dyDescent="0.25">
      <c r="A110" s="932"/>
      <c r="B110" s="140">
        <f>'Plant Salaries'!B108</f>
        <v>105</v>
      </c>
      <c r="C110" s="141" t="str">
        <f>'Plant Salaries'!C108</f>
        <v>Transfer Station Support - Dikhil</v>
      </c>
      <c r="D110" s="248">
        <f>'Plant Salaries'!F108</f>
        <v>20000</v>
      </c>
      <c r="E110" s="296" t="s">
        <v>502</v>
      </c>
      <c r="F110" s="297">
        <v>0</v>
      </c>
      <c r="G110" s="283">
        <f t="shared" si="28"/>
        <v>1666.6666666666667</v>
      </c>
      <c r="H110" s="229">
        <f>IF($D110=0,('Benefits Cost'!$C$11),IF($E110="E",('Benefits Cost'!$C$7),IF($E110="E1",('Benefits Cost'!$C$8),IF($E110="E2",('Benefits Cost'!$C$9),IF($E110="E3",('Benefits Cost'!$C$10),0)))))</f>
        <v>0</v>
      </c>
      <c r="I110" s="229">
        <f>IF($D110=0,('Benefits Cost'!$C$11),IF($E110="E",('Benefits Cost'!$C$13),IF($E110="E1",('Benefits Cost'!$C$14),IF($E110="E2",('Benefits Cost'!$C$15),IF($E110="E3",('Benefits Cost'!$C$16),0)))))</f>
        <v>0</v>
      </c>
      <c r="J110" s="229">
        <f>IF($D110=0,('Benefits Cost'!$C$11),IF($E110="E",('Benefits Cost'!$C$19),IF($E110="E1",('Benefits Cost'!$C$20),IF($E110="E2",('Benefits Cost'!$C$21),IF($E110="E3",('Benefits Cost'!$C$22),0)))))</f>
        <v>0</v>
      </c>
      <c r="K110" s="229">
        <f>SUM(G110 * 'Benefits Cost'!$E$30 * 'Benefits Cost'!$C$30)</f>
        <v>0</v>
      </c>
      <c r="L110" s="283">
        <f t="shared" si="29"/>
        <v>0</v>
      </c>
      <c r="M110" s="283">
        <f t="shared" si="30"/>
        <v>350</v>
      </c>
      <c r="N110" s="283">
        <f t="shared" si="31"/>
        <v>350</v>
      </c>
      <c r="O110" s="283">
        <f t="shared" si="32"/>
        <v>0</v>
      </c>
      <c r="P110" s="283">
        <f t="shared" si="33"/>
        <v>0</v>
      </c>
      <c r="Q110" s="283">
        <f t="shared" si="34"/>
        <v>0</v>
      </c>
      <c r="R110" s="283">
        <f t="shared" si="35"/>
        <v>0</v>
      </c>
      <c r="S110" s="229">
        <f t="shared" si="16"/>
        <v>0</v>
      </c>
      <c r="T110" s="229">
        <f t="shared" si="17"/>
        <v>0</v>
      </c>
      <c r="U110" s="229">
        <f t="shared" si="36"/>
        <v>0</v>
      </c>
      <c r="V110" s="284">
        <f t="shared" si="37"/>
        <v>10.706638115631691</v>
      </c>
      <c r="W110" s="229">
        <f t="shared" si="38"/>
        <v>0</v>
      </c>
      <c r="X110" s="229">
        <f t="shared" si="39"/>
        <v>2.2483940042826553</v>
      </c>
      <c r="Y110" s="229">
        <f t="shared" si="40"/>
        <v>12.955032119914346</v>
      </c>
      <c r="Z110" s="229">
        <f t="shared" si="41"/>
        <v>26946.46680942184</v>
      </c>
    </row>
    <row r="111" spans="1:26" x14ac:dyDescent="0.25">
      <c r="A111" s="932"/>
      <c r="B111" s="140">
        <f>'Plant Salaries'!B109</f>
        <v>106</v>
      </c>
      <c r="C111" s="141" t="str">
        <f>'Plant Salaries'!C109</f>
        <v>Transfer Station Support - Obock</v>
      </c>
      <c r="D111" s="248">
        <f>'Plant Salaries'!F109</f>
        <v>20000</v>
      </c>
      <c r="E111" s="296" t="s">
        <v>502</v>
      </c>
      <c r="F111" s="297">
        <v>0</v>
      </c>
      <c r="G111" s="283">
        <f t="shared" si="28"/>
        <v>1666.6666666666667</v>
      </c>
      <c r="H111" s="229">
        <f>IF($D111=0,('Benefits Cost'!$C$11),IF($E111="E",('Benefits Cost'!$C$7),IF($E111="E1",('Benefits Cost'!$C$8),IF($E111="E2",('Benefits Cost'!$C$9),IF($E111="E3",('Benefits Cost'!$C$10),0)))))</f>
        <v>0</v>
      </c>
      <c r="I111" s="229">
        <f>IF($D111=0,('Benefits Cost'!$C$11),IF($E111="E",('Benefits Cost'!$C$13),IF($E111="E1",('Benefits Cost'!$C$14),IF($E111="E2",('Benefits Cost'!$C$15),IF($E111="E3",('Benefits Cost'!$C$16),0)))))</f>
        <v>0</v>
      </c>
      <c r="J111" s="229">
        <f>IF($D111=0,('Benefits Cost'!$C$11),IF($E111="E",('Benefits Cost'!$C$19),IF($E111="E1",('Benefits Cost'!$C$20),IF($E111="E2",('Benefits Cost'!$C$21),IF($E111="E3",('Benefits Cost'!$C$22),0)))))</f>
        <v>0</v>
      </c>
      <c r="K111" s="229">
        <f>SUM(G111 * 'Benefits Cost'!$E$30 * 'Benefits Cost'!$C$30)</f>
        <v>0</v>
      </c>
      <c r="L111" s="283">
        <f t="shared" si="29"/>
        <v>0</v>
      </c>
      <c r="M111" s="283">
        <f t="shared" si="30"/>
        <v>350</v>
      </c>
      <c r="N111" s="283">
        <f t="shared" si="31"/>
        <v>350</v>
      </c>
      <c r="O111" s="283">
        <f t="shared" si="32"/>
        <v>0</v>
      </c>
      <c r="P111" s="283">
        <f t="shared" si="33"/>
        <v>0</v>
      </c>
      <c r="Q111" s="283">
        <f t="shared" si="34"/>
        <v>0</v>
      </c>
      <c r="R111" s="283">
        <f t="shared" si="35"/>
        <v>0</v>
      </c>
      <c r="S111" s="229">
        <f t="shared" si="16"/>
        <v>0</v>
      </c>
      <c r="T111" s="229">
        <f t="shared" si="17"/>
        <v>0</v>
      </c>
      <c r="U111" s="229">
        <f t="shared" si="36"/>
        <v>0</v>
      </c>
      <c r="V111" s="284">
        <f t="shared" si="37"/>
        <v>10.706638115631691</v>
      </c>
      <c r="W111" s="229">
        <f t="shared" si="38"/>
        <v>0</v>
      </c>
      <c r="X111" s="229">
        <f t="shared" si="39"/>
        <v>2.2483940042826553</v>
      </c>
      <c r="Y111" s="229">
        <f t="shared" si="40"/>
        <v>12.955032119914346</v>
      </c>
      <c r="Z111" s="229">
        <f t="shared" si="41"/>
        <v>26946.46680942184</v>
      </c>
    </row>
    <row r="112" spans="1:26" x14ac:dyDescent="0.25">
      <c r="A112" s="932"/>
      <c r="B112" s="140">
        <f>'Plant Salaries'!B110</f>
        <v>107</v>
      </c>
      <c r="C112" s="141" t="str">
        <f>'Plant Salaries'!C110</f>
        <v>Transfer Station Support - Obock</v>
      </c>
      <c r="D112" s="248">
        <f>'Plant Salaries'!F110</f>
        <v>20000</v>
      </c>
      <c r="E112" s="296" t="s">
        <v>502</v>
      </c>
      <c r="F112" s="297">
        <v>0</v>
      </c>
      <c r="G112" s="283">
        <f t="shared" si="28"/>
        <v>1666.6666666666667</v>
      </c>
      <c r="H112" s="229">
        <f>IF($D112=0,('Benefits Cost'!$C$11),IF($E112="E",('Benefits Cost'!$C$7),IF($E112="E1",('Benefits Cost'!$C$8),IF($E112="E2",('Benefits Cost'!$C$9),IF($E112="E3",('Benefits Cost'!$C$10),0)))))</f>
        <v>0</v>
      </c>
      <c r="I112" s="229">
        <f>IF($D112=0,('Benefits Cost'!$C$11),IF($E112="E",('Benefits Cost'!$C$13),IF($E112="E1",('Benefits Cost'!$C$14),IF($E112="E2",('Benefits Cost'!$C$15),IF($E112="E3",('Benefits Cost'!$C$16),0)))))</f>
        <v>0</v>
      </c>
      <c r="J112" s="229">
        <f>IF($D112=0,('Benefits Cost'!$C$11),IF($E112="E",('Benefits Cost'!$C$19),IF($E112="E1",('Benefits Cost'!$C$20),IF($E112="E2",('Benefits Cost'!$C$21),IF($E112="E3",('Benefits Cost'!$C$22),0)))))</f>
        <v>0</v>
      </c>
      <c r="K112" s="229">
        <f>SUM(G112 * 'Benefits Cost'!$E$30 * 'Benefits Cost'!$C$30)</f>
        <v>0</v>
      </c>
      <c r="L112" s="283">
        <f t="shared" si="29"/>
        <v>0</v>
      </c>
      <c r="M112" s="283">
        <f t="shared" si="30"/>
        <v>350</v>
      </c>
      <c r="N112" s="283">
        <f t="shared" si="31"/>
        <v>350</v>
      </c>
      <c r="O112" s="283">
        <f t="shared" si="32"/>
        <v>0</v>
      </c>
      <c r="P112" s="283">
        <f t="shared" si="33"/>
        <v>0</v>
      </c>
      <c r="Q112" s="283">
        <f t="shared" si="34"/>
        <v>0</v>
      </c>
      <c r="R112" s="283">
        <f t="shared" si="35"/>
        <v>0</v>
      </c>
      <c r="S112" s="229">
        <f t="shared" si="16"/>
        <v>0</v>
      </c>
      <c r="T112" s="229">
        <f t="shared" si="17"/>
        <v>0</v>
      </c>
      <c r="U112" s="229">
        <f t="shared" si="36"/>
        <v>0</v>
      </c>
      <c r="V112" s="284">
        <f t="shared" si="37"/>
        <v>10.706638115631691</v>
      </c>
      <c r="W112" s="229">
        <f t="shared" si="38"/>
        <v>0</v>
      </c>
      <c r="X112" s="229">
        <f t="shared" si="39"/>
        <v>2.2483940042826553</v>
      </c>
      <c r="Y112" s="229">
        <f t="shared" si="40"/>
        <v>12.955032119914346</v>
      </c>
      <c r="Z112" s="229">
        <f t="shared" si="41"/>
        <v>26946.46680942184</v>
      </c>
    </row>
    <row r="113" spans="1:26" x14ac:dyDescent="0.25">
      <c r="A113" s="932"/>
      <c r="B113" s="140">
        <f>'Plant Salaries'!B111</f>
        <v>108</v>
      </c>
      <c r="C113" s="141" t="str">
        <f>'Plant Salaries'!C111</f>
        <v>Transfer Station Support - Obock</v>
      </c>
      <c r="D113" s="248">
        <f>'Plant Salaries'!F111</f>
        <v>20000</v>
      </c>
      <c r="E113" s="296" t="s">
        <v>502</v>
      </c>
      <c r="F113" s="297">
        <v>0</v>
      </c>
      <c r="G113" s="283">
        <f t="shared" ref="G113:G114" si="42">D113/12</f>
        <v>1666.6666666666667</v>
      </c>
      <c r="H113" s="229">
        <f>IF($D113=0,('Benefits Cost'!$C$11),IF($E113="E",('Benefits Cost'!$C$7),IF($E113="E1",('Benefits Cost'!$C$8),IF($E113="E2",('Benefits Cost'!$C$9),IF($E113="E3",('Benefits Cost'!$C$10),0)))))</f>
        <v>0</v>
      </c>
      <c r="I113" s="229">
        <f>IF($D113=0,('Benefits Cost'!$C$11),IF($E113="E",('Benefits Cost'!$C$13),IF($E113="E1",('Benefits Cost'!$C$14),IF($E113="E2",('Benefits Cost'!$C$15),IF($E113="E3",('Benefits Cost'!$C$16),0)))))</f>
        <v>0</v>
      </c>
      <c r="J113" s="229">
        <f>IF($D113=0,('Benefits Cost'!$C$11),IF($E113="E",('Benefits Cost'!$C$19),IF($E113="E1",('Benefits Cost'!$C$20),IF($E113="E2",('Benefits Cost'!$C$21),IF($E113="E3",('Benefits Cost'!$C$22),0)))))</f>
        <v>0</v>
      </c>
      <c r="K113" s="229">
        <f>SUM(G113 * 'Benefits Cost'!$E$30 * 'Benefits Cost'!$C$30)</f>
        <v>0</v>
      </c>
      <c r="L113" s="283">
        <f t="shared" ref="L113:L114" si="43">ROUND(G113*$M$2,0)</f>
        <v>0</v>
      </c>
      <c r="M113" s="283">
        <f t="shared" ref="M113:M114" si="44">ROUND(IF((G113*12)&gt;$N$4,($N$4*$N$2)/12,G113*$N$2),0)</f>
        <v>350</v>
      </c>
      <c r="N113" s="283">
        <f t="shared" ref="N113:N114" si="45">SUM(L113:M113)</f>
        <v>350</v>
      </c>
      <c r="O113" s="283">
        <f t="shared" ref="O113:O114" si="46">H113*12</f>
        <v>0</v>
      </c>
      <c r="P113" s="283">
        <f t="shared" ref="P113:P114" si="47">I113*12</f>
        <v>0</v>
      </c>
      <c r="Q113" s="283">
        <f t="shared" ref="Q113:Q114" si="48">J113*12</f>
        <v>0</v>
      </c>
      <c r="R113" s="283">
        <f t="shared" ref="R113:R114" si="49">SUM(K113*12)</f>
        <v>0</v>
      </c>
      <c r="S113" s="229">
        <f t="shared" si="16"/>
        <v>0</v>
      </c>
      <c r="T113" s="229">
        <f t="shared" si="17"/>
        <v>0</v>
      </c>
      <c r="U113" s="229">
        <f t="shared" ref="U113:U114" si="50">SUM(S113:T113)</f>
        <v>0</v>
      </c>
      <c r="V113" s="284">
        <f t="shared" ref="V113:V114" si="51">SUM(D113/$G$4)</f>
        <v>10.706638115631691</v>
      </c>
      <c r="W113" s="229">
        <f t="shared" ref="W113:W114" si="52">(O113+P113+Q113+R113)/$G$4</f>
        <v>0</v>
      </c>
      <c r="X113" s="229">
        <f t="shared" ref="X113:X114" si="53">((N113*12)+U113)/$G$4</f>
        <v>2.2483940042826553</v>
      </c>
      <c r="Y113" s="229">
        <f t="shared" ref="Y113:Y114" si="54">SUM(V113:X113)</f>
        <v>12.955032119914346</v>
      </c>
      <c r="Z113" s="229">
        <f t="shared" ref="Z113:Z114" si="55">SUM(V113:X113)*$G$1</f>
        <v>26946.46680942184</v>
      </c>
    </row>
    <row r="114" spans="1:26" x14ac:dyDescent="0.25">
      <c r="A114" s="932"/>
      <c r="B114" s="140">
        <f>'Plant Salaries'!B112</f>
        <v>109</v>
      </c>
      <c r="C114" s="141" t="str">
        <f>'Plant Salaries'!C112</f>
        <v>Transfer Station Support - Tadjourah</v>
      </c>
      <c r="D114" s="248">
        <f>'Plant Salaries'!F112</f>
        <v>20000</v>
      </c>
      <c r="E114" s="296" t="s">
        <v>502</v>
      </c>
      <c r="F114" s="297">
        <v>0</v>
      </c>
      <c r="G114" s="283">
        <f t="shared" si="42"/>
        <v>1666.6666666666667</v>
      </c>
      <c r="H114" s="229">
        <f>IF($D114=0,('Benefits Cost'!$C$11),IF($E114="E",('Benefits Cost'!$C$7),IF($E114="E1",('Benefits Cost'!$C$8),IF($E114="E2",('Benefits Cost'!$C$9),IF($E114="E3",('Benefits Cost'!$C$10),0)))))</f>
        <v>0</v>
      </c>
      <c r="I114" s="229">
        <f>IF($D114=0,('Benefits Cost'!$C$11),IF($E114="E",('Benefits Cost'!$C$13),IF($E114="E1",('Benefits Cost'!$C$14),IF($E114="E2",('Benefits Cost'!$C$15),IF($E114="E3",('Benefits Cost'!$C$16),0)))))</f>
        <v>0</v>
      </c>
      <c r="J114" s="229">
        <f>IF($D114=0,('Benefits Cost'!$C$11),IF($E114="E",('Benefits Cost'!$C$19),IF($E114="E1",('Benefits Cost'!$C$20),IF($E114="E2",('Benefits Cost'!$C$21),IF($E114="E3",('Benefits Cost'!$C$22),0)))))</f>
        <v>0</v>
      </c>
      <c r="K114" s="229">
        <f>SUM(G114 * 'Benefits Cost'!$E$30 * 'Benefits Cost'!$C$30)</f>
        <v>0</v>
      </c>
      <c r="L114" s="283">
        <f t="shared" si="43"/>
        <v>0</v>
      </c>
      <c r="M114" s="283">
        <f t="shared" si="44"/>
        <v>350</v>
      </c>
      <c r="N114" s="283">
        <f t="shared" si="45"/>
        <v>350</v>
      </c>
      <c r="O114" s="283">
        <f t="shared" si="46"/>
        <v>0</v>
      </c>
      <c r="P114" s="283">
        <f t="shared" si="47"/>
        <v>0</v>
      </c>
      <c r="Q114" s="283">
        <f t="shared" si="48"/>
        <v>0</v>
      </c>
      <c r="R114" s="283">
        <f t="shared" si="49"/>
        <v>0</v>
      </c>
      <c r="S114" s="229">
        <f t="shared" si="16"/>
        <v>0</v>
      </c>
      <c r="T114" s="229">
        <f t="shared" si="17"/>
        <v>0</v>
      </c>
      <c r="U114" s="229">
        <f t="shared" si="50"/>
        <v>0</v>
      </c>
      <c r="V114" s="284">
        <f t="shared" si="51"/>
        <v>10.706638115631691</v>
      </c>
      <c r="W114" s="229">
        <f t="shared" si="52"/>
        <v>0</v>
      </c>
      <c r="X114" s="229">
        <f t="shared" si="53"/>
        <v>2.2483940042826553</v>
      </c>
      <c r="Y114" s="229">
        <f t="shared" si="54"/>
        <v>12.955032119914346</v>
      </c>
      <c r="Z114" s="229">
        <f t="shared" si="55"/>
        <v>26946.46680942184</v>
      </c>
    </row>
    <row r="115" spans="1:26" x14ac:dyDescent="0.25">
      <c r="A115" s="932"/>
      <c r="B115" s="140">
        <f>'Plant Salaries'!B113</f>
        <v>110</v>
      </c>
      <c r="C115" s="141" t="str">
        <f>'Plant Salaries'!C113</f>
        <v>Transfer Station Support - Tadjourah</v>
      </c>
      <c r="D115" s="248">
        <f>'Plant Salaries'!F113</f>
        <v>20000</v>
      </c>
      <c r="E115" s="296" t="s">
        <v>502</v>
      </c>
      <c r="F115" s="297">
        <v>0</v>
      </c>
      <c r="G115" s="283">
        <f t="shared" si="28"/>
        <v>1666.6666666666667</v>
      </c>
      <c r="H115" s="229">
        <f>IF($D115=0,('Benefits Cost'!$C$11),IF($E115="E",('Benefits Cost'!$C$7),IF($E115="E1",('Benefits Cost'!$C$8),IF($E115="E2",('Benefits Cost'!$C$9),IF($E115="E3",('Benefits Cost'!$C$10),0)))))</f>
        <v>0</v>
      </c>
      <c r="I115" s="229">
        <f>IF($D115=0,('Benefits Cost'!$C$11),IF($E115="E",('Benefits Cost'!$C$13),IF($E115="E1",('Benefits Cost'!$C$14),IF($E115="E2",('Benefits Cost'!$C$15),IF($E115="E3",('Benefits Cost'!$C$16),0)))))</f>
        <v>0</v>
      </c>
      <c r="J115" s="229">
        <f>IF($D115=0,('Benefits Cost'!$C$11),IF($E115="E",('Benefits Cost'!$C$19),IF($E115="E1",('Benefits Cost'!$C$20),IF($E115="E2",('Benefits Cost'!$C$21),IF($E115="E3",('Benefits Cost'!$C$22),0)))))</f>
        <v>0</v>
      </c>
      <c r="K115" s="229">
        <f>SUM(G115 * 'Benefits Cost'!$E$30 * 'Benefits Cost'!$C$30)</f>
        <v>0</v>
      </c>
      <c r="L115" s="283">
        <f t="shared" si="29"/>
        <v>0</v>
      </c>
      <c r="M115" s="283">
        <f t="shared" si="30"/>
        <v>350</v>
      </c>
      <c r="N115" s="283">
        <f t="shared" si="31"/>
        <v>350</v>
      </c>
      <c r="O115" s="283">
        <f t="shared" si="32"/>
        <v>0</v>
      </c>
      <c r="P115" s="283">
        <f t="shared" si="33"/>
        <v>0</v>
      </c>
      <c r="Q115" s="283">
        <f t="shared" si="34"/>
        <v>0</v>
      </c>
      <c r="R115" s="283">
        <f t="shared" si="35"/>
        <v>0</v>
      </c>
      <c r="S115" s="229">
        <f t="shared" si="16"/>
        <v>0</v>
      </c>
      <c r="T115" s="229">
        <f t="shared" si="17"/>
        <v>0</v>
      </c>
      <c r="U115" s="229">
        <f t="shared" si="36"/>
        <v>0</v>
      </c>
      <c r="V115" s="284">
        <f t="shared" si="37"/>
        <v>10.706638115631691</v>
      </c>
      <c r="W115" s="229">
        <f t="shared" si="38"/>
        <v>0</v>
      </c>
      <c r="X115" s="229">
        <f t="shared" si="39"/>
        <v>2.2483940042826553</v>
      </c>
      <c r="Y115" s="229">
        <f t="shared" si="40"/>
        <v>12.955032119914346</v>
      </c>
      <c r="Z115" s="229">
        <f t="shared" si="41"/>
        <v>26946.46680942184</v>
      </c>
    </row>
    <row r="116" spans="1:26" ht="15.75" thickBot="1" x14ac:dyDescent="0.3">
      <c r="A116" s="933"/>
      <c r="B116" s="140">
        <f>'Plant Salaries'!B114</f>
        <v>111</v>
      </c>
      <c r="C116" s="141" t="str">
        <f>'Plant Salaries'!C114</f>
        <v>Transfer Station Support - Tadjourah</v>
      </c>
      <c r="D116" s="248">
        <f>'Plant Salaries'!F114</f>
        <v>20000</v>
      </c>
      <c r="E116" s="296" t="s">
        <v>502</v>
      </c>
      <c r="F116" s="297">
        <v>0</v>
      </c>
      <c r="G116" s="283">
        <f t="shared" si="28"/>
        <v>1666.6666666666667</v>
      </c>
      <c r="H116" s="229">
        <f>IF($D116=0,('Benefits Cost'!$C$11),IF($E116="E",('Benefits Cost'!$C$7),IF($E116="E1",('Benefits Cost'!$C$8),IF($E116="E2",('Benefits Cost'!$C$9),IF($E116="E3",('Benefits Cost'!$C$10),0)))))</f>
        <v>0</v>
      </c>
      <c r="I116" s="229">
        <f>IF($D116=0,('Benefits Cost'!$C$11),IF($E116="E",('Benefits Cost'!$C$13),IF($E116="E1",('Benefits Cost'!$C$14),IF($E116="E2",('Benefits Cost'!$C$15),IF($E116="E3",('Benefits Cost'!$C$16),0)))))</f>
        <v>0</v>
      </c>
      <c r="J116" s="229">
        <f>IF($D116=0,('Benefits Cost'!$C$11),IF($E116="E",('Benefits Cost'!$C$19),IF($E116="E1",('Benefits Cost'!$C$20),IF($E116="E2",('Benefits Cost'!$C$21),IF($E116="E3",('Benefits Cost'!$C$22),0)))))</f>
        <v>0</v>
      </c>
      <c r="K116" s="229">
        <f>SUM(G116 * 'Benefits Cost'!$E$30 * 'Benefits Cost'!$C$30)</f>
        <v>0</v>
      </c>
      <c r="L116" s="283">
        <f t="shared" si="29"/>
        <v>0</v>
      </c>
      <c r="M116" s="283">
        <f t="shared" si="30"/>
        <v>350</v>
      </c>
      <c r="N116" s="283">
        <f t="shared" si="31"/>
        <v>350</v>
      </c>
      <c r="O116" s="283">
        <f t="shared" si="32"/>
        <v>0</v>
      </c>
      <c r="P116" s="283">
        <f t="shared" si="33"/>
        <v>0</v>
      </c>
      <c r="Q116" s="283">
        <f t="shared" si="34"/>
        <v>0</v>
      </c>
      <c r="R116" s="283">
        <f t="shared" si="35"/>
        <v>0</v>
      </c>
      <c r="S116" s="229">
        <f t="shared" si="16"/>
        <v>0</v>
      </c>
      <c r="T116" s="229">
        <f t="shared" si="17"/>
        <v>0</v>
      </c>
      <c r="U116" s="229">
        <f t="shared" si="36"/>
        <v>0</v>
      </c>
      <c r="V116" s="284">
        <f t="shared" si="37"/>
        <v>10.706638115631691</v>
      </c>
      <c r="W116" s="229">
        <f t="shared" si="38"/>
        <v>0</v>
      </c>
      <c r="X116" s="229">
        <f t="shared" si="39"/>
        <v>2.2483940042826553</v>
      </c>
      <c r="Y116" s="229">
        <f t="shared" si="40"/>
        <v>12.955032119914346</v>
      </c>
      <c r="Z116" s="229">
        <f t="shared" si="41"/>
        <v>26946.46680942184</v>
      </c>
    </row>
    <row r="117" spans="1:26" ht="16.5" thickTop="1" x14ac:dyDescent="0.25">
      <c r="A117" s="249"/>
      <c r="B117" s="250"/>
      <c r="C117" s="254"/>
      <c r="D117" s="251">
        <f>SUM(D6:D116)</f>
        <v>3554000</v>
      </c>
      <c r="E117" s="251"/>
      <c r="F117" s="250"/>
      <c r="G117" s="251">
        <f>SUM(G6:G116)</f>
        <v>296166.66666666709</v>
      </c>
      <c r="H117" s="251">
        <f t="shared" ref="H117:Z117" si="56">SUM(H6:H116)</f>
        <v>0</v>
      </c>
      <c r="I117" s="251">
        <f t="shared" si="56"/>
        <v>0</v>
      </c>
      <c r="J117" s="251">
        <f t="shared" si="56"/>
        <v>0</v>
      </c>
      <c r="K117" s="251">
        <f t="shared" si="56"/>
        <v>0</v>
      </c>
      <c r="L117" s="251">
        <f t="shared" si="56"/>
        <v>0</v>
      </c>
      <c r="M117" s="251">
        <f t="shared" si="56"/>
        <v>62221</v>
      </c>
      <c r="N117" s="251">
        <f t="shared" si="56"/>
        <v>62221</v>
      </c>
      <c r="O117" s="251">
        <f t="shared" si="56"/>
        <v>0</v>
      </c>
      <c r="P117" s="251">
        <f t="shared" si="56"/>
        <v>0</v>
      </c>
      <c r="Q117" s="251">
        <f t="shared" si="56"/>
        <v>0</v>
      </c>
      <c r="R117" s="251">
        <f t="shared" si="56"/>
        <v>0</v>
      </c>
      <c r="S117" s="251">
        <f t="shared" si="56"/>
        <v>0</v>
      </c>
      <c r="T117" s="251">
        <f t="shared" si="56"/>
        <v>0</v>
      </c>
      <c r="U117" s="251">
        <f t="shared" si="56"/>
        <v>0</v>
      </c>
      <c r="V117" s="251">
        <f t="shared" si="56"/>
        <v>1902.5695931477505</v>
      </c>
      <c r="W117" s="251">
        <f t="shared" si="56"/>
        <v>0</v>
      </c>
      <c r="X117" s="251">
        <f t="shared" si="56"/>
        <v>399.70663811563224</v>
      </c>
      <c r="Y117" s="251">
        <f t="shared" si="56"/>
        <v>2302.2762312633863</v>
      </c>
      <c r="Z117" s="251">
        <f t="shared" si="56"/>
        <v>4788734.5610278361</v>
      </c>
    </row>
  </sheetData>
  <mergeCells count="9">
    <mergeCell ref="A16:A35"/>
    <mergeCell ref="A36:A79"/>
    <mergeCell ref="A80:A116"/>
    <mergeCell ref="A1:B1"/>
    <mergeCell ref="E1:F1"/>
    <mergeCell ref="E2:F2"/>
    <mergeCell ref="E3:F3"/>
    <mergeCell ref="E4:F4"/>
    <mergeCell ref="A6:A15"/>
  </mergeCells>
  <dataValidations count="1">
    <dataValidation type="list" allowBlank="1" showInputMessage="1" showErrorMessage="1" sqref="E6:E116" xr:uid="{A8E5D59D-7940-4F88-9570-1EE0FE874ECA}">
      <formula1>$A$154:$A$157</formula1>
    </dataValidation>
  </dataValidations>
  <hyperlinks>
    <hyperlink ref="A1:B1" location="Master!A1" display="Go back to Master" xr:uid="{580FE1C1-3807-4B03-984F-613B44B6DEB8}"/>
  </hyperlinks>
  <pageMargins left="0.7" right="0.7" top="0.75" bottom="0.75" header="0.3" footer="0.3"/>
  <pageSetup scale="42" fitToHeight="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A3968-8364-4FB8-B8CC-F4B67B764D43}">
  <dimension ref="A1:Q65"/>
  <sheetViews>
    <sheetView topLeftCell="A16" workbookViewId="0">
      <selection activeCell="H36" sqref="H36"/>
    </sheetView>
  </sheetViews>
  <sheetFormatPr defaultRowHeight="15" x14ac:dyDescent="0.25"/>
  <cols>
    <col min="3" max="3" width="12" customWidth="1"/>
    <col min="4" max="4" width="13" customWidth="1"/>
    <col min="17" max="17" width="11.5703125" customWidth="1"/>
  </cols>
  <sheetData>
    <row r="1" spans="1:17" x14ac:dyDescent="0.25">
      <c r="A1" s="938"/>
      <c r="B1" s="938"/>
      <c r="C1" s="255"/>
      <c r="D1" s="255"/>
      <c r="E1" s="255" t="s">
        <v>509</v>
      </c>
      <c r="F1" s="255"/>
      <c r="G1" s="255"/>
      <c r="H1" s="255"/>
      <c r="I1" s="299">
        <v>0</v>
      </c>
      <c r="J1" s="255"/>
      <c r="K1" s="255"/>
      <c r="L1" s="255"/>
      <c r="M1" s="255"/>
      <c r="N1" s="255"/>
      <c r="O1" s="255"/>
      <c r="P1" s="255"/>
      <c r="Q1" s="255"/>
    </row>
    <row r="2" spans="1:17" x14ac:dyDescent="0.25">
      <c r="A2" s="256"/>
      <c r="B2" s="255"/>
      <c r="C2" s="255" t="s">
        <v>510</v>
      </c>
      <c r="D2" s="255"/>
      <c r="E2" s="255" t="s">
        <v>509</v>
      </c>
      <c r="F2" s="255"/>
      <c r="G2" s="255"/>
      <c r="H2" s="255"/>
      <c r="I2" s="257">
        <f>SUM(100% - I1)</f>
        <v>1</v>
      </c>
      <c r="J2" s="255"/>
      <c r="K2" s="255"/>
      <c r="L2" s="255"/>
      <c r="M2" s="255"/>
      <c r="N2" s="255"/>
      <c r="O2" s="255"/>
      <c r="P2" s="255"/>
      <c r="Q2" s="255"/>
    </row>
    <row r="3" spans="1:17" x14ac:dyDescent="0.25">
      <c r="A3" s="258" t="s">
        <v>511</v>
      </c>
      <c r="B3" s="258"/>
      <c r="C3" s="258"/>
      <c r="D3" s="259"/>
      <c r="E3" s="260"/>
      <c r="F3" s="255"/>
      <c r="G3" s="939" t="s">
        <v>468</v>
      </c>
      <c r="H3" s="939"/>
      <c r="I3" s="939"/>
      <c r="J3" s="939"/>
      <c r="K3" s="939"/>
      <c r="L3" s="939"/>
      <c r="M3" s="939"/>
      <c r="N3" s="939"/>
      <c r="O3" s="939"/>
      <c r="P3" s="939"/>
      <c r="Q3" s="939"/>
    </row>
    <row r="4" spans="1:17" x14ac:dyDescent="0.25">
      <c r="A4" s="261" t="s">
        <v>512</v>
      </c>
      <c r="B4" s="261"/>
      <c r="C4" s="261"/>
      <c r="D4" s="262"/>
      <c r="E4" s="263"/>
      <c r="F4" s="260"/>
      <c r="G4" s="300">
        <v>0.06</v>
      </c>
      <c r="H4" s="300">
        <v>0.06</v>
      </c>
      <c r="I4" s="300">
        <v>0.06</v>
      </c>
      <c r="J4" s="300">
        <v>0.06</v>
      </c>
      <c r="K4" s="300">
        <v>0.06</v>
      </c>
      <c r="L4" s="300">
        <v>0.06</v>
      </c>
      <c r="M4" s="300">
        <v>0.06</v>
      </c>
      <c r="N4" s="300">
        <v>0.06</v>
      </c>
      <c r="O4" s="300">
        <v>0.06</v>
      </c>
      <c r="P4" s="300">
        <v>0.06</v>
      </c>
      <c r="Q4" s="300">
        <v>0.06</v>
      </c>
    </row>
    <row r="5" spans="1:17" x14ac:dyDescent="0.25">
      <c r="A5" s="258"/>
      <c r="B5" s="258"/>
      <c r="C5" s="264">
        <v>2016</v>
      </c>
      <c r="D5" s="265"/>
      <c r="E5" s="266"/>
      <c r="F5" s="260"/>
      <c r="G5" s="767">
        <f>'Data Sources'!C1</f>
        <v>2026</v>
      </c>
      <c r="H5" s="258">
        <f>SUM(G5+1)</f>
        <v>2027</v>
      </c>
      <c r="I5" s="258">
        <f t="shared" ref="I5:Q5" si="0">SUM(H5+1)</f>
        <v>2028</v>
      </c>
      <c r="J5" s="258">
        <f t="shared" si="0"/>
        <v>2029</v>
      </c>
      <c r="K5" s="258">
        <f t="shared" si="0"/>
        <v>2030</v>
      </c>
      <c r="L5" s="258">
        <f t="shared" si="0"/>
        <v>2031</v>
      </c>
      <c r="M5" s="258">
        <f t="shared" si="0"/>
        <v>2032</v>
      </c>
      <c r="N5" s="258">
        <f t="shared" si="0"/>
        <v>2033</v>
      </c>
      <c r="O5" s="258">
        <f t="shared" si="0"/>
        <v>2034</v>
      </c>
      <c r="P5" s="258">
        <f t="shared" si="0"/>
        <v>2035</v>
      </c>
      <c r="Q5" s="258">
        <f t="shared" si="0"/>
        <v>2036</v>
      </c>
    </row>
    <row r="6" spans="1:17" x14ac:dyDescent="0.25">
      <c r="A6" s="258" t="s">
        <v>513</v>
      </c>
      <c r="B6" s="258"/>
      <c r="C6" s="267"/>
      <c r="D6" s="259" t="s">
        <v>514</v>
      </c>
      <c r="E6" s="260" t="s">
        <v>515</v>
      </c>
      <c r="F6" s="911" t="s">
        <v>516</v>
      </c>
      <c r="G6" s="911"/>
      <c r="H6" s="911"/>
      <c r="I6" s="911"/>
      <c r="J6" s="911"/>
      <c r="K6" s="911"/>
      <c r="L6" s="911"/>
      <c r="M6" s="911"/>
      <c r="N6" s="911"/>
      <c r="O6" s="911"/>
      <c r="P6" s="911"/>
      <c r="Q6" s="911"/>
    </row>
    <row r="7" spans="1:17" x14ac:dyDescent="0.25">
      <c r="A7" s="255" t="s">
        <v>517</v>
      </c>
      <c r="B7" s="255"/>
      <c r="C7" s="268">
        <f>SUM(C35*$I$1)</f>
        <v>0</v>
      </c>
      <c r="D7" s="790">
        <v>500</v>
      </c>
      <c r="E7" s="269" t="s">
        <v>504</v>
      </c>
      <c r="F7" s="270">
        <f>SUM(C35-C7)</f>
        <v>0</v>
      </c>
      <c r="G7" s="271">
        <f>C7+(C7*$G$4)</f>
        <v>0</v>
      </c>
      <c r="H7" s="271">
        <f>G7+(G7*$H$4)</f>
        <v>0</v>
      </c>
      <c r="I7" s="271">
        <f>H7+(H7*$I$4)</f>
        <v>0</v>
      </c>
      <c r="J7" s="271">
        <f>I7+(I7*$J$4)</f>
        <v>0</v>
      </c>
      <c r="K7" s="271">
        <f>J7+(J7*$K$4)</f>
        <v>0</v>
      </c>
      <c r="L7" s="271">
        <f>K7+(K7*$L$4)</f>
        <v>0</v>
      </c>
      <c r="M7" s="271">
        <f>L7+(L7*$M$4)</f>
        <v>0</v>
      </c>
      <c r="N7" s="271">
        <f>M7+(M7*$N$4)</f>
        <v>0</v>
      </c>
      <c r="O7" s="271">
        <f>N7+(N7*$O$4)</f>
        <v>0</v>
      </c>
      <c r="P7" s="271">
        <f>O7+(O7*$P$4)</f>
        <v>0</v>
      </c>
      <c r="Q7" s="271">
        <f>P7+(P7*$Q$4)</f>
        <v>0</v>
      </c>
    </row>
    <row r="8" spans="1:17" x14ac:dyDescent="0.25">
      <c r="A8" s="255" t="s">
        <v>518</v>
      </c>
      <c r="B8" s="255"/>
      <c r="C8" s="268">
        <f>SUM((C36-C35)*$I$2)+($C$35*$I$1)</f>
        <v>0</v>
      </c>
      <c r="D8" s="790">
        <v>1000</v>
      </c>
      <c r="E8" s="269" t="s">
        <v>505</v>
      </c>
      <c r="F8" s="270">
        <f>SUM(C36-C8)</f>
        <v>0</v>
      </c>
      <c r="G8" s="271">
        <f>C8+(C8*$G$4)</f>
        <v>0</v>
      </c>
      <c r="H8" s="271">
        <f>G8+(G8*$H$4)</f>
        <v>0</v>
      </c>
      <c r="I8" s="271">
        <f>H8+(H8*$I$4)</f>
        <v>0</v>
      </c>
      <c r="J8" s="271">
        <f>I8+(I8*$J$4)</f>
        <v>0</v>
      </c>
      <c r="K8" s="271">
        <f>J8+(J8*$K$4)</f>
        <v>0</v>
      </c>
      <c r="L8" s="271">
        <f>K8+(K8*$L$4)</f>
        <v>0</v>
      </c>
      <c r="M8" s="271">
        <f>L8+(L8*$M$4)</f>
        <v>0</v>
      </c>
      <c r="N8" s="271">
        <f>M8+(M8*$N$4)</f>
        <v>0</v>
      </c>
      <c r="O8" s="271">
        <f>N8+(N8*$O$4)</f>
        <v>0</v>
      </c>
      <c r="P8" s="271">
        <f>O8+(O8*$P$4)</f>
        <v>0</v>
      </c>
      <c r="Q8" s="271">
        <f>P8+(P8*$Q$4)</f>
        <v>0</v>
      </c>
    </row>
    <row r="9" spans="1:17" x14ac:dyDescent="0.25">
      <c r="A9" s="255" t="s">
        <v>519</v>
      </c>
      <c r="B9" s="255"/>
      <c r="C9" s="268">
        <f>SUM((C37-C35)*$I$2)+($C$35*$I$1)</f>
        <v>0</v>
      </c>
      <c r="D9" s="790">
        <v>1000</v>
      </c>
      <c r="E9" s="269" t="s">
        <v>503</v>
      </c>
      <c r="F9" s="270">
        <f>SUM(C37-C9)</f>
        <v>0</v>
      </c>
      <c r="G9" s="271">
        <f>C9+(C9*$G$4)</f>
        <v>0</v>
      </c>
      <c r="H9" s="271">
        <f>G9+(G9*$H$4)</f>
        <v>0</v>
      </c>
      <c r="I9" s="271">
        <f>H9+(H9*$I$4)</f>
        <v>0</v>
      </c>
      <c r="J9" s="271">
        <f>I9+(I9*$J$4)</f>
        <v>0</v>
      </c>
      <c r="K9" s="271">
        <f>J9+(J9*$K$4)</f>
        <v>0</v>
      </c>
      <c r="L9" s="271">
        <f>K9+(K9*$L$4)</f>
        <v>0</v>
      </c>
      <c r="M9" s="271">
        <f>L9+(L9*$M$4)</f>
        <v>0</v>
      </c>
      <c r="N9" s="271">
        <f>M9+(M9*$N$4)</f>
        <v>0</v>
      </c>
      <c r="O9" s="271">
        <f>N9+(N9*$O$4)</f>
        <v>0</v>
      </c>
      <c r="P9" s="271">
        <f>O9+(O9*$P$4)</f>
        <v>0</v>
      </c>
      <c r="Q9" s="271">
        <f>P9+(P9*$Q$4)</f>
        <v>0</v>
      </c>
    </row>
    <row r="10" spans="1:17" x14ac:dyDescent="0.25">
      <c r="A10" s="255" t="s">
        <v>520</v>
      </c>
      <c r="B10" s="255"/>
      <c r="C10" s="268">
        <f>SUM((C38-C35)*$I$2)+($C$35*$I$1)</f>
        <v>0</v>
      </c>
      <c r="D10" s="790">
        <v>1500</v>
      </c>
      <c r="E10" s="269" t="s">
        <v>502</v>
      </c>
      <c r="F10" s="270">
        <f>SUM(C38-C10)</f>
        <v>0</v>
      </c>
      <c r="G10" s="271">
        <f>C10+(C10*$G$4)</f>
        <v>0</v>
      </c>
      <c r="H10" s="271">
        <f>G10+(G10*$H$4)</f>
        <v>0</v>
      </c>
      <c r="I10" s="271">
        <f>H10+(H10*$I$4)</f>
        <v>0</v>
      </c>
      <c r="J10" s="271">
        <f>I10+(I10*$J$4)</f>
        <v>0</v>
      </c>
      <c r="K10" s="271">
        <f>J10+(J10*$K$4)</f>
        <v>0</v>
      </c>
      <c r="L10" s="271">
        <f>K10+(K10*$L$4)</f>
        <v>0</v>
      </c>
      <c r="M10" s="271">
        <f>L10+(L10*$M$4)</f>
        <v>0</v>
      </c>
      <c r="N10" s="271">
        <f>M10+(M10*$N$4)</f>
        <v>0</v>
      </c>
      <c r="O10" s="271">
        <f>N10+(N10*$O$4)</f>
        <v>0</v>
      </c>
      <c r="P10" s="271">
        <f>O10+(O10*$P$4)</f>
        <v>0</v>
      </c>
      <c r="Q10" s="271">
        <f>P10+(P10*$Q$4)</f>
        <v>0</v>
      </c>
    </row>
    <row r="11" spans="1:17" x14ac:dyDescent="0.25">
      <c r="A11" s="255" t="s">
        <v>412</v>
      </c>
      <c r="B11" s="255"/>
      <c r="C11" s="268">
        <v>0</v>
      </c>
      <c r="D11" s="145"/>
      <c r="E11" s="269"/>
      <c r="F11" s="269"/>
      <c r="G11" s="255"/>
      <c r="H11" s="255"/>
      <c r="I11" s="255"/>
      <c r="J11" s="255"/>
      <c r="K11" s="255"/>
      <c r="L11" s="255"/>
      <c r="M11" s="255"/>
      <c r="N11" s="255"/>
      <c r="O11" s="255"/>
      <c r="P11" s="255"/>
      <c r="Q11" s="269"/>
    </row>
    <row r="12" spans="1:17" x14ac:dyDescent="0.25">
      <c r="A12" s="258" t="s">
        <v>521</v>
      </c>
      <c r="B12" s="258"/>
      <c r="C12" s="272"/>
      <c r="D12" s="145"/>
      <c r="E12" s="269"/>
      <c r="F12" s="269"/>
      <c r="G12" s="255"/>
      <c r="H12" s="255"/>
      <c r="I12" s="255"/>
      <c r="J12" s="255"/>
      <c r="K12" s="255"/>
      <c r="L12" s="255"/>
      <c r="M12" s="255"/>
      <c r="N12" s="255"/>
      <c r="O12" s="255"/>
      <c r="P12" s="255"/>
      <c r="Q12" s="269"/>
    </row>
    <row r="13" spans="1:17" x14ac:dyDescent="0.25">
      <c r="A13" s="255" t="s">
        <v>517</v>
      </c>
      <c r="B13" s="255"/>
      <c r="C13" s="268">
        <f>SUM(C41*$I$1)</f>
        <v>0</v>
      </c>
      <c r="D13" s="145"/>
      <c r="E13" s="269" t="s">
        <v>504</v>
      </c>
      <c r="F13" s="270">
        <f>SUM(C41-C13)</f>
        <v>0</v>
      </c>
      <c r="G13" s="271">
        <f>C13+(C13*$G$4)</f>
        <v>0</v>
      </c>
      <c r="H13" s="271">
        <f>G13+(G13*$H$4)</f>
        <v>0</v>
      </c>
      <c r="I13" s="271">
        <f>H13+(H13*$I$4)</f>
        <v>0</v>
      </c>
      <c r="J13" s="271">
        <f>I13+(I13*$J$4)</f>
        <v>0</v>
      </c>
      <c r="K13" s="271">
        <f>J13+(J13*$K$4)</f>
        <v>0</v>
      </c>
      <c r="L13" s="271">
        <f>K13+(K13*$L$4)</f>
        <v>0</v>
      </c>
      <c r="M13" s="271">
        <f>L13+(L13*$M$4)</f>
        <v>0</v>
      </c>
      <c r="N13" s="271">
        <f>M13+(M13*$N$4)</f>
        <v>0</v>
      </c>
      <c r="O13" s="271">
        <f>N13+(N13*$O$4)</f>
        <v>0</v>
      </c>
      <c r="P13" s="271">
        <f>O13+(O13*$P$4)</f>
        <v>0</v>
      </c>
      <c r="Q13" s="271">
        <f>P13+(P13*$Q$4)</f>
        <v>0</v>
      </c>
    </row>
    <row r="14" spans="1:17" x14ac:dyDescent="0.25">
      <c r="A14" s="255" t="s">
        <v>518</v>
      </c>
      <c r="B14" s="255"/>
      <c r="C14" s="268">
        <f>SUM((C42-C41)*$I$2)+($C$41*$I$1)</f>
        <v>0</v>
      </c>
      <c r="D14" s="145"/>
      <c r="E14" s="269" t="s">
        <v>505</v>
      </c>
      <c r="F14" s="270">
        <f>SUM(C42-C14)</f>
        <v>0</v>
      </c>
      <c r="G14" s="271">
        <f>C14+(C14*$G$4)</f>
        <v>0</v>
      </c>
      <c r="H14" s="271">
        <f>G14+(G14*$H$4)</f>
        <v>0</v>
      </c>
      <c r="I14" s="271">
        <f>H14+(H14*$I$4)</f>
        <v>0</v>
      </c>
      <c r="J14" s="271">
        <f>I14+(I14*$J$4)</f>
        <v>0</v>
      </c>
      <c r="K14" s="271">
        <f>J14+(J14*$K$4)</f>
        <v>0</v>
      </c>
      <c r="L14" s="271">
        <f>K14+(K14*$L$4)</f>
        <v>0</v>
      </c>
      <c r="M14" s="271">
        <f>L14+(L14*$M$4)</f>
        <v>0</v>
      </c>
      <c r="N14" s="271">
        <f>M14+(M14*$N$4)</f>
        <v>0</v>
      </c>
      <c r="O14" s="271">
        <f>N14+(N14*$O$4)</f>
        <v>0</v>
      </c>
      <c r="P14" s="271">
        <f>O14+(O14*$P$4)</f>
        <v>0</v>
      </c>
      <c r="Q14" s="271">
        <f>P14+(P14*$Q$4)</f>
        <v>0</v>
      </c>
    </row>
    <row r="15" spans="1:17" x14ac:dyDescent="0.25">
      <c r="A15" s="255" t="s">
        <v>519</v>
      </c>
      <c r="B15" s="255"/>
      <c r="C15" s="268">
        <f t="shared" ref="C15:C16" si="1">SUM((C43-C42)*$I$2)+($C$41*$I$1)</f>
        <v>0</v>
      </c>
      <c r="D15" s="145"/>
      <c r="E15" s="269" t="s">
        <v>503</v>
      </c>
      <c r="F15" s="270">
        <f>SUM(C43-C15)</f>
        <v>0</v>
      </c>
      <c r="G15" s="271">
        <f>C15+(C15*$G$4)</f>
        <v>0</v>
      </c>
      <c r="H15" s="271">
        <f>G15+(G15*$H$4)</f>
        <v>0</v>
      </c>
      <c r="I15" s="271">
        <f>H15+(H15*$I$4)</f>
        <v>0</v>
      </c>
      <c r="J15" s="271">
        <f>I15+(I15*$J$4)</f>
        <v>0</v>
      </c>
      <c r="K15" s="271">
        <f>J15+(J15*$K$4)</f>
        <v>0</v>
      </c>
      <c r="L15" s="271">
        <f>K15+(K15*$L$4)</f>
        <v>0</v>
      </c>
      <c r="M15" s="271">
        <f>L15+(L15*$M$4)</f>
        <v>0</v>
      </c>
      <c r="N15" s="271">
        <f>M15+(M15*$N$4)</f>
        <v>0</v>
      </c>
      <c r="O15" s="271">
        <f>N15+(N15*$O$4)</f>
        <v>0</v>
      </c>
      <c r="P15" s="271">
        <f>O15+(O15*$P$4)</f>
        <v>0</v>
      </c>
      <c r="Q15" s="271">
        <f>P15+(P15*$Q$4)</f>
        <v>0</v>
      </c>
    </row>
    <row r="16" spans="1:17" x14ac:dyDescent="0.25">
      <c r="A16" s="255" t="s">
        <v>520</v>
      </c>
      <c r="B16" s="255"/>
      <c r="C16" s="268">
        <f t="shared" si="1"/>
        <v>0</v>
      </c>
      <c r="D16" s="145"/>
      <c r="E16" s="269" t="s">
        <v>502</v>
      </c>
      <c r="F16" s="270">
        <f>SUM(C44-C16)</f>
        <v>0</v>
      </c>
      <c r="G16" s="271">
        <f>C16+(C16*$G$4)</f>
        <v>0</v>
      </c>
      <c r="H16" s="271">
        <f>G16+(G16*$H$4)</f>
        <v>0</v>
      </c>
      <c r="I16" s="271">
        <f>H16+(H16*$I$4)</f>
        <v>0</v>
      </c>
      <c r="J16" s="271">
        <f>I16+(I16*$J$4)</f>
        <v>0</v>
      </c>
      <c r="K16" s="271">
        <f>J16+(J16*$K$4)</f>
        <v>0</v>
      </c>
      <c r="L16" s="271">
        <f>K16+(K16*$L$4)</f>
        <v>0</v>
      </c>
      <c r="M16" s="271">
        <f>L16+(L16*$M$4)</f>
        <v>0</v>
      </c>
      <c r="N16" s="271">
        <f>M16+(M16*$N$4)</f>
        <v>0</v>
      </c>
      <c r="O16" s="271">
        <f>N16+(N16*$O$4)</f>
        <v>0</v>
      </c>
      <c r="P16" s="271">
        <f>O16+(O16*$P$4)</f>
        <v>0</v>
      </c>
      <c r="Q16" s="271">
        <f>P16+(P16*$Q$4)</f>
        <v>0</v>
      </c>
    </row>
    <row r="17" spans="1:17" x14ac:dyDescent="0.25">
      <c r="A17" s="255"/>
      <c r="B17" s="255"/>
      <c r="C17" s="269"/>
      <c r="D17" s="145"/>
      <c r="E17" s="269"/>
      <c r="F17" s="269"/>
      <c r="G17" s="255"/>
      <c r="H17" s="255"/>
      <c r="I17" s="255"/>
      <c r="J17" s="255"/>
      <c r="K17" s="255"/>
      <c r="L17" s="255"/>
      <c r="M17" s="255"/>
      <c r="N17" s="255"/>
      <c r="O17" s="255"/>
      <c r="P17" s="255"/>
      <c r="Q17" s="269"/>
    </row>
    <row r="18" spans="1:17" x14ac:dyDescent="0.25">
      <c r="A18" s="258" t="s">
        <v>522</v>
      </c>
      <c r="B18" s="258"/>
      <c r="C18" s="269"/>
      <c r="D18" s="145"/>
      <c r="E18" s="269"/>
      <c r="F18" s="269"/>
      <c r="G18" s="255"/>
      <c r="H18" s="255"/>
      <c r="I18" s="255"/>
      <c r="J18" s="255"/>
      <c r="K18" s="255"/>
      <c r="L18" s="255"/>
      <c r="M18" s="255"/>
      <c r="N18" s="255"/>
      <c r="O18" s="255"/>
      <c r="P18" s="255"/>
      <c r="Q18" s="269"/>
    </row>
    <row r="19" spans="1:17" x14ac:dyDescent="0.25">
      <c r="A19" s="255" t="s">
        <v>517</v>
      </c>
      <c r="B19" s="255"/>
      <c r="C19" s="268">
        <f>SUM(C47*$I$1)</f>
        <v>0</v>
      </c>
      <c r="D19" s="145"/>
      <c r="E19" s="269" t="s">
        <v>504</v>
      </c>
      <c r="F19" s="270">
        <f>SUM(C47-C19)</f>
        <v>0</v>
      </c>
      <c r="G19" s="271">
        <f>C19+(C19*$G$4)</f>
        <v>0</v>
      </c>
      <c r="H19" s="271">
        <f>G19+(G19*$H$4)</f>
        <v>0</v>
      </c>
      <c r="I19" s="271">
        <f>H19+(H19*$I$4)</f>
        <v>0</v>
      </c>
      <c r="J19" s="271">
        <f>I19+(I19*$J$4)</f>
        <v>0</v>
      </c>
      <c r="K19" s="271">
        <f>J19+(J19*$K$4)</f>
        <v>0</v>
      </c>
      <c r="L19" s="271">
        <f>K19+(K19*$L$4)</f>
        <v>0</v>
      </c>
      <c r="M19" s="271">
        <f>L19+(L19*$M$4)</f>
        <v>0</v>
      </c>
      <c r="N19" s="271">
        <f>M19+(M19*$N$4)</f>
        <v>0</v>
      </c>
      <c r="O19" s="271">
        <f>N19+(N19*$O$4)</f>
        <v>0</v>
      </c>
      <c r="P19" s="271">
        <f>O19+(O19*$P$4)</f>
        <v>0</v>
      </c>
      <c r="Q19" s="271">
        <f>P19+(P19*$Q$4)</f>
        <v>0</v>
      </c>
    </row>
    <row r="20" spans="1:17" x14ac:dyDescent="0.25">
      <c r="A20" s="255" t="s">
        <v>518</v>
      </c>
      <c r="B20" s="255"/>
      <c r="C20" s="268">
        <f>SUM((C48-C47)*$I$2)+($C$47*$I$1)</f>
        <v>0</v>
      </c>
      <c r="D20" s="145"/>
      <c r="E20" s="269" t="s">
        <v>505</v>
      </c>
      <c r="F20" s="270">
        <f>SUM(C48-C20)</f>
        <v>0</v>
      </c>
      <c r="G20" s="271">
        <f>C20+(C20*$G$4)</f>
        <v>0</v>
      </c>
      <c r="H20" s="271">
        <f>G20+(G20*$H$4)</f>
        <v>0</v>
      </c>
      <c r="I20" s="271">
        <f>H20+(H20*$I$4)</f>
        <v>0</v>
      </c>
      <c r="J20" s="271">
        <f>I20+(I20*$J$4)</f>
        <v>0</v>
      </c>
      <c r="K20" s="271">
        <f>J20+(J20*$K$4)</f>
        <v>0</v>
      </c>
      <c r="L20" s="271">
        <f>K20+(K20*$L$4)</f>
        <v>0</v>
      </c>
      <c r="M20" s="271">
        <f>L20+(L20*$M$4)</f>
        <v>0</v>
      </c>
      <c r="N20" s="271">
        <f>M20+(M20*$N$4)</f>
        <v>0</v>
      </c>
      <c r="O20" s="271">
        <f>N20+(N20*$O$4)</f>
        <v>0</v>
      </c>
      <c r="P20" s="271">
        <f>O20+(O20*$P$4)</f>
        <v>0</v>
      </c>
      <c r="Q20" s="271">
        <f>P20+(P20*$Q$4)</f>
        <v>0</v>
      </c>
    </row>
    <row r="21" spans="1:17" x14ac:dyDescent="0.25">
      <c r="A21" s="255" t="s">
        <v>519</v>
      </c>
      <c r="B21" s="255"/>
      <c r="C21" s="268">
        <f t="shared" ref="C21:C22" si="2">SUM((C49-C48)*$I$2)+($C$47*$I$1)</f>
        <v>0</v>
      </c>
      <c r="D21" s="145"/>
      <c r="E21" s="269" t="s">
        <v>503</v>
      </c>
      <c r="F21" s="270">
        <f>SUM(C49-C21)</f>
        <v>0</v>
      </c>
      <c r="G21" s="271">
        <f>C21+(C21*$G$4)</f>
        <v>0</v>
      </c>
      <c r="H21" s="271">
        <f>G21+(G21*$H$4)</f>
        <v>0</v>
      </c>
      <c r="I21" s="271">
        <f>H21+(H21*$I$4)</f>
        <v>0</v>
      </c>
      <c r="J21" s="271">
        <f>I21+(I21*$J$4)</f>
        <v>0</v>
      </c>
      <c r="K21" s="271">
        <f>J21+(J21*$K$4)</f>
        <v>0</v>
      </c>
      <c r="L21" s="271">
        <f>K21+(K21*$L$4)</f>
        <v>0</v>
      </c>
      <c r="M21" s="271">
        <f>L21+(L21*$M$4)</f>
        <v>0</v>
      </c>
      <c r="N21" s="271">
        <f>M21+(M21*$N$4)</f>
        <v>0</v>
      </c>
      <c r="O21" s="271">
        <f>N21+(N21*$O$4)</f>
        <v>0</v>
      </c>
      <c r="P21" s="271">
        <f>O21+(O21*$P$4)</f>
        <v>0</v>
      </c>
      <c r="Q21" s="271">
        <f>P21+(P21*$Q$4)</f>
        <v>0</v>
      </c>
    </row>
    <row r="22" spans="1:17" x14ac:dyDescent="0.25">
      <c r="A22" s="255" t="s">
        <v>520</v>
      </c>
      <c r="B22" s="255"/>
      <c r="C22" s="268">
        <f t="shared" si="2"/>
        <v>0</v>
      </c>
      <c r="D22" s="145"/>
      <c r="E22" s="269" t="s">
        <v>502</v>
      </c>
      <c r="F22" s="270">
        <f>SUM(C50-C22)</f>
        <v>0</v>
      </c>
      <c r="G22" s="271">
        <f>C22+(C22*$G$4)</f>
        <v>0</v>
      </c>
      <c r="H22" s="271">
        <f>G22+(G22*$H$4)</f>
        <v>0</v>
      </c>
      <c r="I22" s="271">
        <f>H22+(H22*$I$4)</f>
        <v>0</v>
      </c>
      <c r="J22" s="271">
        <f>I22+(I22*$J$4)</f>
        <v>0</v>
      </c>
      <c r="K22" s="271">
        <f>J22+(J22*$K$4)</f>
        <v>0</v>
      </c>
      <c r="L22" s="271">
        <f>K22+(K22*$L$4)</f>
        <v>0</v>
      </c>
      <c r="M22" s="271">
        <f>L22+(L22*$M$4)</f>
        <v>0</v>
      </c>
      <c r="N22" s="271">
        <f>M22+(M22*$N$4)</f>
        <v>0</v>
      </c>
      <c r="O22" s="271">
        <f>N22+(N22*$O$4)</f>
        <v>0</v>
      </c>
      <c r="P22" s="271">
        <f>O22+(O22*$P$4)</f>
        <v>0</v>
      </c>
      <c r="Q22" s="271">
        <f>P22+(P22*$Q$4)</f>
        <v>0</v>
      </c>
    </row>
    <row r="23" spans="1:17" x14ac:dyDescent="0.25">
      <c r="A23" s="255"/>
      <c r="B23" s="255"/>
      <c r="C23" s="255"/>
      <c r="D23" s="255"/>
      <c r="E23" s="255"/>
      <c r="F23" s="255"/>
      <c r="G23" s="255"/>
      <c r="H23" s="255"/>
      <c r="I23" s="255"/>
      <c r="J23" s="255"/>
      <c r="K23" s="255"/>
      <c r="L23" s="255"/>
      <c r="M23" s="255"/>
      <c r="N23" s="255"/>
      <c r="O23" s="255"/>
      <c r="P23" s="255"/>
      <c r="Q23" s="255"/>
    </row>
    <row r="24" spans="1:17" x14ac:dyDescent="0.25">
      <c r="A24" s="258" t="s">
        <v>523</v>
      </c>
      <c r="B24" s="255"/>
      <c r="C24" s="255"/>
      <c r="D24" s="255"/>
      <c r="E24" s="255"/>
      <c r="F24" s="255"/>
      <c r="G24" s="255"/>
      <c r="H24" s="255"/>
      <c r="I24" s="255"/>
      <c r="J24" s="255"/>
      <c r="K24" s="255"/>
      <c r="L24" s="255"/>
      <c r="M24" s="255"/>
      <c r="N24" s="255"/>
      <c r="O24" s="255"/>
      <c r="P24" s="255"/>
      <c r="Q24" s="255"/>
    </row>
    <row r="25" spans="1:17" x14ac:dyDescent="0.25">
      <c r="A25" s="255" t="s">
        <v>517</v>
      </c>
      <c r="B25" s="255"/>
      <c r="C25" s="269">
        <v>0</v>
      </c>
      <c r="D25" s="145"/>
      <c r="E25" s="269" t="s">
        <v>504</v>
      </c>
      <c r="F25" s="255"/>
      <c r="G25" s="271">
        <f>C25+(C25*$G$4)</f>
        <v>0</v>
      </c>
      <c r="H25" s="271">
        <f>G25+(G25*$H$4)</f>
        <v>0</v>
      </c>
      <c r="I25" s="271">
        <f>H25+(H25*$I$4)</f>
        <v>0</v>
      </c>
      <c r="J25" s="271">
        <f>I25+(I25*$J$4)</f>
        <v>0</v>
      </c>
      <c r="K25" s="271">
        <f>J25+(J25*$K$4)</f>
        <v>0</v>
      </c>
      <c r="L25" s="271">
        <f>K25+(K25*$L$4)</f>
        <v>0</v>
      </c>
      <c r="M25" s="271">
        <f>L25+(L25*$M$4)</f>
        <v>0</v>
      </c>
      <c r="N25" s="271">
        <f>M25+(M25*$N$4)</f>
        <v>0</v>
      </c>
      <c r="O25" s="271">
        <f>N25+(N25*$O$4)</f>
        <v>0</v>
      </c>
      <c r="P25" s="271">
        <f>O25+(O25*$P$4)</f>
        <v>0</v>
      </c>
      <c r="Q25" s="271">
        <f>P25+(P25*$Q$4)</f>
        <v>0</v>
      </c>
    </row>
    <row r="26" spans="1:17" x14ac:dyDescent="0.25">
      <c r="A26" s="255" t="s">
        <v>518</v>
      </c>
      <c r="B26" s="255"/>
      <c r="C26" s="269">
        <v>0</v>
      </c>
      <c r="D26" s="145"/>
      <c r="E26" s="269" t="s">
        <v>505</v>
      </c>
      <c r="F26" s="255"/>
      <c r="G26" s="271">
        <f>C26+(C26*$G$4)</f>
        <v>0</v>
      </c>
      <c r="H26" s="271">
        <f>G26+(G26*$H$4)</f>
        <v>0</v>
      </c>
      <c r="I26" s="271">
        <f>H26+(H26*$I$4)</f>
        <v>0</v>
      </c>
      <c r="J26" s="271">
        <f>I26+(I26*$J$4)</f>
        <v>0</v>
      </c>
      <c r="K26" s="271">
        <f>J26+(J26*$K$4)</f>
        <v>0</v>
      </c>
      <c r="L26" s="271">
        <f>K26+(K26*$L$4)</f>
        <v>0</v>
      </c>
      <c r="M26" s="271">
        <f>L26+(L26*$M$4)</f>
        <v>0</v>
      </c>
      <c r="N26" s="271">
        <f>M26+(M26*$N$4)</f>
        <v>0</v>
      </c>
      <c r="O26" s="271">
        <f>N26+(N26*$O$4)</f>
        <v>0</v>
      </c>
      <c r="P26" s="271">
        <f>O26+(O26*$P$4)</f>
        <v>0</v>
      </c>
      <c r="Q26" s="271">
        <f>P26+(P26*$Q$4)</f>
        <v>0</v>
      </c>
    </row>
    <row r="27" spans="1:17" x14ac:dyDescent="0.25">
      <c r="A27" s="255" t="s">
        <v>519</v>
      </c>
      <c r="B27" s="255"/>
      <c r="C27" s="269">
        <v>0</v>
      </c>
      <c r="D27" s="145"/>
      <c r="E27" s="269" t="s">
        <v>503</v>
      </c>
      <c r="F27" s="255"/>
      <c r="G27" s="271">
        <f>C27+(C27*$G$4)</f>
        <v>0</v>
      </c>
      <c r="H27" s="271">
        <f>G27+(G27*$H$4)</f>
        <v>0</v>
      </c>
      <c r="I27" s="271">
        <f>H27+(H27*$I$4)</f>
        <v>0</v>
      </c>
      <c r="J27" s="271">
        <f>I27+(I27*$J$4)</f>
        <v>0</v>
      </c>
      <c r="K27" s="271">
        <f>J27+(J27*$K$4)</f>
        <v>0</v>
      </c>
      <c r="L27" s="271">
        <f>K27+(K27*$L$4)</f>
        <v>0</v>
      </c>
      <c r="M27" s="271">
        <f>L27+(L27*$M$4)</f>
        <v>0</v>
      </c>
      <c r="N27" s="271">
        <f>M27+(M27*$N$4)</f>
        <v>0</v>
      </c>
      <c r="O27" s="271">
        <f>N27+(N27*$O$4)</f>
        <v>0</v>
      </c>
      <c r="P27" s="271">
        <f>O27+(O27*$P$4)</f>
        <v>0</v>
      </c>
      <c r="Q27" s="271">
        <f>P27+(P27*$Q$4)</f>
        <v>0</v>
      </c>
    </row>
    <row r="28" spans="1:17" x14ac:dyDescent="0.25">
      <c r="A28" s="255" t="s">
        <v>520</v>
      </c>
      <c r="B28" s="255"/>
      <c r="C28" s="269">
        <v>0</v>
      </c>
      <c r="D28" s="145"/>
      <c r="E28" s="269" t="s">
        <v>502</v>
      </c>
      <c r="F28" s="255"/>
      <c r="G28" s="271">
        <f>C28+(C28*$G$4)</f>
        <v>0</v>
      </c>
      <c r="H28" s="271">
        <f>G28+(G28*$H$4)</f>
        <v>0</v>
      </c>
      <c r="I28" s="271">
        <f>H28+(H28*$I$4)</f>
        <v>0</v>
      </c>
      <c r="J28" s="271">
        <f>I28+(I28*$J$4)</f>
        <v>0</v>
      </c>
      <c r="K28" s="271">
        <f>J28+(J28*$K$4)</f>
        <v>0</v>
      </c>
      <c r="L28" s="271">
        <f>K28+(K28*$L$4)</f>
        <v>0</v>
      </c>
      <c r="M28" s="271">
        <f>L28+(L28*$M$4)</f>
        <v>0</v>
      </c>
      <c r="N28" s="271">
        <f>M28+(M28*$N$4)</f>
        <v>0</v>
      </c>
      <c r="O28" s="271">
        <f>N28+(N28*$O$4)</f>
        <v>0</v>
      </c>
      <c r="P28" s="271">
        <f>O28+(O28*$P$4)</f>
        <v>0</v>
      </c>
      <c r="Q28" s="271">
        <f>P28+(P28*$Q$4)</f>
        <v>0</v>
      </c>
    </row>
    <row r="29" spans="1:17" x14ac:dyDescent="0.25">
      <c r="A29" s="255"/>
      <c r="B29" s="255"/>
      <c r="C29" s="255"/>
      <c r="D29" s="255"/>
      <c r="E29" s="255"/>
      <c r="F29" s="255"/>
      <c r="G29" s="255"/>
      <c r="H29" s="255"/>
      <c r="I29" s="255"/>
      <c r="J29" s="255"/>
      <c r="K29" s="255"/>
      <c r="L29" s="255"/>
      <c r="M29" s="255"/>
      <c r="N29" s="255"/>
      <c r="O29" s="255"/>
      <c r="P29" s="255"/>
      <c r="Q29" s="255"/>
    </row>
    <row r="30" spans="1:17" x14ac:dyDescent="0.25">
      <c r="A30" s="258" t="s">
        <v>524</v>
      </c>
      <c r="B30" s="258"/>
      <c r="C30" s="301">
        <v>0</v>
      </c>
      <c r="D30" s="269" t="s">
        <v>525</v>
      </c>
      <c r="E30" s="301">
        <v>0</v>
      </c>
      <c r="F30" s="255"/>
      <c r="G30" s="273"/>
      <c r="H30" s="269"/>
      <c r="I30" s="255"/>
      <c r="J30" s="255"/>
      <c r="K30" s="255"/>
      <c r="L30" s="255"/>
      <c r="M30" s="255"/>
      <c r="N30" s="255"/>
      <c r="O30" s="255"/>
      <c r="P30" s="255"/>
      <c r="Q30" s="269"/>
    </row>
    <row r="31" spans="1:17" x14ac:dyDescent="0.25">
      <c r="A31" s="255" t="s">
        <v>526</v>
      </c>
      <c r="B31" s="255"/>
      <c r="C31" s="302">
        <v>0</v>
      </c>
      <c r="D31" s="255"/>
      <c r="E31" s="255"/>
      <c r="F31" s="255"/>
      <c r="G31" s="255"/>
      <c r="H31" s="255"/>
      <c r="I31" s="255"/>
      <c r="J31" s="255"/>
      <c r="K31" s="255"/>
      <c r="L31" s="255"/>
      <c r="M31" s="255"/>
      <c r="N31" s="255"/>
      <c r="O31" s="255"/>
      <c r="P31" s="255"/>
      <c r="Q31" s="255"/>
    </row>
    <row r="32" spans="1:17" x14ac:dyDescent="0.25">
      <c r="A32" s="255"/>
      <c r="B32" s="255"/>
      <c r="C32" s="255"/>
      <c r="D32" s="255"/>
      <c r="E32" s="255"/>
      <c r="F32" s="255"/>
      <c r="G32" s="255"/>
      <c r="H32" s="255"/>
      <c r="I32" s="255"/>
      <c r="J32" s="255"/>
      <c r="K32" s="255"/>
      <c r="L32" s="255"/>
      <c r="M32" s="255"/>
      <c r="N32" s="255"/>
      <c r="O32" s="255"/>
      <c r="P32" s="255"/>
      <c r="Q32" s="255"/>
    </row>
    <row r="33" spans="1:17" x14ac:dyDescent="0.25">
      <c r="A33" s="255" t="s">
        <v>527</v>
      </c>
      <c r="B33" s="255"/>
      <c r="C33" s="255"/>
      <c r="D33" s="255"/>
      <c r="E33" s="255"/>
      <c r="F33" s="255"/>
      <c r="G33" s="255"/>
      <c r="H33" s="255"/>
      <c r="I33" s="255"/>
      <c r="J33" s="255"/>
      <c r="K33" s="255"/>
      <c r="L33" s="255"/>
      <c r="M33" s="255"/>
      <c r="N33" s="255"/>
      <c r="O33" s="255"/>
      <c r="P33" s="255"/>
      <c r="Q33" s="255"/>
    </row>
    <row r="34" spans="1:17" x14ac:dyDescent="0.25">
      <c r="A34" s="258" t="s">
        <v>513</v>
      </c>
      <c r="B34" s="258"/>
      <c r="C34" s="273"/>
      <c r="D34" s="303" t="s">
        <v>514</v>
      </c>
      <c r="E34" s="269" t="s">
        <v>515</v>
      </c>
      <c r="F34" s="255"/>
      <c r="G34" s="255"/>
      <c r="H34" s="255"/>
      <c r="I34" s="255"/>
      <c r="J34" s="255"/>
      <c r="K34" s="255"/>
      <c r="L34" s="255"/>
      <c r="M34" s="255"/>
      <c r="N34" s="255"/>
      <c r="O34" s="255"/>
      <c r="P34" s="255"/>
      <c r="Q34" s="255"/>
    </row>
    <row r="35" spans="1:17" x14ac:dyDescent="0.25">
      <c r="A35" s="255" t="s">
        <v>517</v>
      </c>
      <c r="B35" s="255"/>
      <c r="C35" s="304">
        <v>0</v>
      </c>
      <c r="D35" s="305">
        <v>0</v>
      </c>
      <c r="E35" s="306" t="s">
        <v>504</v>
      </c>
      <c r="F35" s="255"/>
      <c r="G35" s="255"/>
      <c r="H35" s="255"/>
      <c r="I35" s="255"/>
      <c r="J35" s="255"/>
      <c r="K35" s="255"/>
      <c r="L35" s="255"/>
      <c r="M35" s="255"/>
      <c r="N35" s="255"/>
      <c r="O35" s="255"/>
      <c r="P35" s="255"/>
      <c r="Q35" s="255"/>
    </row>
    <row r="36" spans="1:17" x14ac:dyDescent="0.25">
      <c r="A36" s="255" t="s">
        <v>518</v>
      </c>
      <c r="B36" s="255"/>
      <c r="C36" s="304">
        <v>0</v>
      </c>
      <c r="D36" s="305">
        <v>0</v>
      </c>
      <c r="E36" s="306" t="s">
        <v>505</v>
      </c>
      <c r="F36" s="255"/>
      <c r="G36" s="255"/>
      <c r="H36" s="255"/>
      <c r="I36" s="255"/>
      <c r="J36" s="255"/>
      <c r="K36" s="255"/>
      <c r="L36" s="255"/>
      <c r="M36" s="255"/>
      <c r="N36" s="255"/>
      <c r="O36" s="255"/>
      <c r="P36" s="255"/>
      <c r="Q36" s="255"/>
    </row>
    <row r="37" spans="1:17" x14ac:dyDescent="0.25">
      <c r="A37" s="255" t="s">
        <v>519</v>
      </c>
      <c r="B37" s="255"/>
      <c r="C37" s="304">
        <v>0</v>
      </c>
      <c r="D37" s="305">
        <v>0</v>
      </c>
      <c r="E37" s="306" t="s">
        <v>503</v>
      </c>
      <c r="F37" s="255"/>
      <c r="G37" s="255"/>
      <c r="H37" s="255"/>
      <c r="I37" s="255"/>
      <c r="J37" s="255"/>
      <c r="K37" s="255"/>
      <c r="L37" s="255"/>
      <c r="M37" s="255"/>
      <c r="N37" s="255"/>
      <c r="O37" s="255"/>
      <c r="P37" s="255"/>
      <c r="Q37" s="255"/>
    </row>
    <row r="38" spans="1:17" x14ac:dyDescent="0.25">
      <c r="A38" s="255" t="s">
        <v>520</v>
      </c>
      <c r="B38" s="255"/>
      <c r="C38" s="304">
        <v>0</v>
      </c>
      <c r="D38" s="305">
        <v>0</v>
      </c>
      <c r="E38" s="306" t="s">
        <v>502</v>
      </c>
      <c r="F38" s="255"/>
      <c r="G38" s="255"/>
      <c r="H38" s="255"/>
      <c r="I38" s="255"/>
      <c r="J38" s="255"/>
      <c r="K38" s="255"/>
      <c r="L38" s="255"/>
      <c r="M38" s="255"/>
      <c r="N38" s="255"/>
      <c r="O38" s="255"/>
      <c r="P38" s="255"/>
      <c r="Q38" s="255"/>
    </row>
    <row r="39" spans="1:17" x14ac:dyDescent="0.25">
      <c r="A39" s="255"/>
      <c r="B39" s="255"/>
      <c r="C39" s="303"/>
      <c r="D39" s="303"/>
      <c r="E39" s="269"/>
      <c r="F39" s="255"/>
      <c r="G39" s="255"/>
      <c r="H39" s="255"/>
      <c r="I39" s="255"/>
      <c r="J39" s="255"/>
      <c r="K39" s="255"/>
      <c r="L39" s="255"/>
      <c r="M39" s="255"/>
      <c r="N39" s="255"/>
      <c r="O39" s="255"/>
      <c r="P39" s="255"/>
      <c r="Q39" s="255"/>
    </row>
    <row r="40" spans="1:17" x14ac:dyDescent="0.25">
      <c r="A40" s="258" t="s">
        <v>521</v>
      </c>
      <c r="B40" s="258"/>
      <c r="C40" s="273"/>
      <c r="D40" s="303"/>
      <c r="E40" s="269"/>
      <c r="F40" s="255"/>
      <c r="G40" s="255"/>
      <c r="H40" s="255"/>
      <c r="I40" s="255"/>
      <c r="J40" s="255"/>
      <c r="K40" s="255"/>
      <c r="L40" s="255"/>
      <c r="M40" s="255"/>
      <c r="N40" s="255"/>
      <c r="O40" s="255"/>
      <c r="P40" s="255"/>
      <c r="Q40" s="255"/>
    </row>
    <row r="41" spans="1:17" x14ac:dyDescent="0.25">
      <c r="A41" s="255" t="s">
        <v>517</v>
      </c>
      <c r="B41" s="255"/>
      <c r="C41" s="307">
        <v>0</v>
      </c>
      <c r="D41" s="305"/>
      <c r="E41" s="306" t="s">
        <v>504</v>
      </c>
      <c r="F41" s="255"/>
      <c r="G41" s="255"/>
      <c r="H41" s="255"/>
      <c r="I41" s="255"/>
      <c r="J41" s="255"/>
      <c r="K41" s="255"/>
      <c r="L41" s="255"/>
      <c r="M41" s="255"/>
      <c r="N41" s="255"/>
      <c r="O41" s="255"/>
      <c r="P41" s="255"/>
      <c r="Q41" s="255"/>
    </row>
    <row r="42" spans="1:17" x14ac:dyDescent="0.25">
      <c r="A42" s="255" t="s">
        <v>518</v>
      </c>
      <c r="B42" s="255"/>
      <c r="C42" s="307">
        <v>0</v>
      </c>
      <c r="D42" s="305"/>
      <c r="E42" s="306" t="s">
        <v>505</v>
      </c>
      <c r="F42" s="255"/>
      <c r="G42" s="255"/>
      <c r="H42" s="255"/>
      <c r="I42" s="255"/>
      <c r="J42" s="255"/>
      <c r="K42" s="255"/>
      <c r="L42" s="255"/>
      <c r="M42" s="255"/>
      <c r="N42" s="255"/>
      <c r="O42" s="255"/>
      <c r="P42" s="255"/>
      <c r="Q42" s="255"/>
    </row>
    <row r="43" spans="1:17" x14ac:dyDescent="0.25">
      <c r="A43" s="255" t="s">
        <v>519</v>
      </c>
      <c r="B43" s="255"/>
      <c r="C43" s="307">
        <v>0</v>
      </c>
      <c r="D43" s="305"/>
      <c r="E43" s="306" t="s">
        <v>503</v>
      </c>
      <c r="F43" s="255"/>
      <c r="G43" s="255"/>
      <c r="H43" s="255"/>
      <c r="I43" s="255"/>
      <c r="J43" s="255"/>
      <c r="K43" s="255"/>
      <c r="L43" s="255"/>
      <c r="M43" s="255"/>
      <c r="N43" s="255"/>
      <c r="O43" s="255"/>
      <c r="P43" s="255"/>
      <c r="Q43" s="255"/>
    </row>
    <row r="44" spans="1:17" x14ac:dyDescent="0.25">
      <c r="A44" s="255" t="s">
        <v>520</v>
      </c>
      <c r="B44" s="255"/>
      <c r="C44" s="307">
        <v>0</v>
      </c>
      <c r="D44" s="305"/>
      <c r="E44" s="306" t="s">
        <v>502</v>
      </c>
      <c r="F44" s="255"/>
      <c r="G44" s="255"/>
      <c r="H44" s="255"/>
      <c r="I44" s="255"/>
      <c r="J44" s="255"/>
      <c r="K44" s="255"/>
      <c r="L44" s="255"/>
      <c r="M44" s="255"/>
      <c r="N44" s="255"/>
      <c r="O44" s="255"/>
      <c r="P44" s="255"/>
      <c r="Q44" s="255"/>
    </row>
    <row r="45" spans="1:17" x14ac:dyDescent="0.25">
      <c r="A45" s="255"/>
      <c r="B45" s="255"/>
      <c r="C45" s="269"/>
      <c r="D45" s="303"/>
      <c r="E45" s="269"/>
      <c r="F45" s="255"/>
      <c r="G45" s="255"/>
      <c r="H45" s="255"/>
      <c r="I45" s="255"/>
      <c r="J45" s="255"/>
      <c r="K45" s="255"/>
      <c r="L45" s="255"/>
      <c r="M45" s="255"/>
      <c r="N45" s="255"/>
      <c r="O45" s="255"/>
      <c r="P45" s="255"/>
      <c r="Q45" s="255"/>
    </row>
    <row r="46" spans="1:17" x14ac:dyDescent="0.25">
      <c r="A46" s="258" t="s">
        <v>522</v>
      </c>
      <c r="B46" s="258"/>
      <c r="C46" s="269"/>
      <c r="D46" s="303"/>
      <c r="E46" s="269"/>
      <c r="F46" s="255"/>
      <c r="G46" s="255"/>
      <c r="H46" s="255"/>
      <c r="I46" s="255"/>
      <c r="J46" s="255"/>
      <c r="K46" s="255"/>
      <c r="L46" s="255"/>
      <c r="M46" s="255"/>
      <c r="N46" s="255"/>
      <c r="O46" s="255"/>
      <c r="P46" s="255"/>
      <c r="Q46" s="255"/>
    </row>
    <row r="47" spans="1:17" x14ac:dyDescent="0.25">
      <c r="A47" s="255" t="s">
        <v>517</v>
      </c>
      <c r="B47" s="255"/>
      <c r="C47" s="307">
        <v>0</v>
      </c>
      <c r="D47" s="305"/>
      <c r="E47" s="306" t="s">
        <v>504</v>
      </c>
      <c r="F47" s="255"/>
      <c r="G47" s="255"/>
      <c r="H47" s="255"/>
      <c r="I47" s="255"/>
      <c r="J47" s="255"/>
      <c r="K47" s="255"/>
      <c r="L47" s="255"/>
      <c r="M47" s="255"/>
      <c r="N47" s="255"/>
      <c r="O47" s="255"/>
      <c r="P47" s="255"/>
      <c r="Q47" s="255"/>
    </row>
    <row r="48" spans="1:17" x14ac:dyDescent="0.25">
      <c r="A48" s="255" t="s">
        <v>518</v>
      </c>
      <c r="B48" s="255"/>
      <c r="C48" s="307">
        <v>0</v>
      </c>
      <c r="D48" s="305"/>
      <c r="E48" s="306" t="s">
        <v>505</v>
      </c>
      <c r="F48" s="255"/>
      <c r="G48" s="255"/>
      <c r="H48" s="255"/>
      <c r="I48" s="255"/>
      <c r="J48" s="255"/>
      <c r="K48" s="255"/>
      <c r="L48" s="255"/>
      <c r="M48" s="255"/>
      <c r="N48" s="255"/>
      <c r="O48" s="255"/>
      <c r="P48" s="255"/>
      <c r="Q48" s="255"/>
    </row>
    <row r="49" spans="1:17" x14ac:dyDescent="0.25">
      <c r="A49" s="255" t="s">
        <v>519</v>
      </c>
      <c r="B49" s="255"/>
      <c r="C49" s="307">
        <v>0</v>
      </c>
      <c r="D49" s="305"/>
      <c r="E49" s="306" t="s">
        <v>503</v>
      </c>
      <c r="F49" s="255"/>
      <c r="G49" s="255"/>
      <c r="H49" s="255"/>
      <c r="I49" s="255"/>
      <c r="J49" s="255"/>
      <c r="K49" s="255"/>
      <c r="L49" s="255"/>
      <c r="M49" s="255"/>
      <c r="N49" s="255"/>
      <c r="O49" s="255"/>
      <c r="P49" s="255"/>
      <c r="Q49" s="255"/>
    </row>
    <row r="50" spans="1:17" x14ac:dyDescent="0.25">
      <c r="A50" s="255" t="s">
        <v>520</v>
      </c>
      <c r="B50" s="255"/>
      <c r="C50" s="307">
        <v>0</v>
      </c>
      <c r="D50" s="305"/>
      <c r="E50" s="306" t="s">
        <v>502</v>
      </c>
      <c r="F50" s="255"/>
      <c r="G50" s="255"/>
      <c r="H50" s="255"/>
      <c r="I50" s="255"/>
      <c r="J50" s="255"/>
      <c r="K50" s="255"/>
      <c r="L50" s="255"/>
      <c r="M50" s="255"/>
      <c r="N50" s="255"/>
      <c r="O50" s="255"/>
      <c r="P50" s="255"/>
      <c r="Q50" s="255"/>
    </row>
    <row r="51" spans="1:17" x14ac:dyDescent="0.25">
      <c r="A51" s="255"/>
      <c r="B51" s="255"/>
      <c r="C51" s="255"/>
      <c r="D51" s="255"/>
      <c r="E51" s="255"/>
      <c r="F51" s="255"/>
      <c r="G51" s="255"/>
      <c r="H51" s="255"/>
      <c r="I51" s="255"/>
      <c r="J51" s="255"/>
      <c r="K51" s="255"/>
      <c r="L51" s="255"/>
      <c r="M51" s="255"/>
      <c r="N51" s="255"/>
      <c r="O51" s="255"/>
      <c r="P51" s="255"/>
      <c r="Q51" s="255"/>
    </row>
    <row r="52" spans="1:17" x14ac:dyDescent="0.25">
      <c r="A52" s="258" t="s">
        <v>523</v>
      </c>
      <c r="B52" s="255"/>
      <c r="C52" s="255"/>
      <c r="D52" s="255"/>
      <c r="E52" s="255"/>
      <c r="F52" s="255"/>
      <c r="G52" s="255"/>
      <c r="H52" s="255"/>
      <c r="I52" s="255"/>
      <c r="J52" s="255"/>
      <c r="K52" s="255"/>
      <c r="L52" s="255"/>
      <c r="M52" s="255"/>
      <c r="N52" s="255"/>
      <c r="O52" s="255"/>
      <c r="P52" s="255"/>
      <c r="Q52" s="255"/>
    </row>
    <row r="53" spans="1:17" x14ac:dyDescent="0.25">
      <c r="A53" s="255" t="s">
        <v>517</v>
      </c>
      <c r="B53" s="255"/>
      <c r="C53" s="306">
        <v>0</v>
      </c>
      <c r="D53" s="305"/>
      <c r="E53" s="306" t="s">
        <v>504</v>
      </c>
      <c r="F53" s="255"/>
      <c r="G53" s="255"/>
      <c r="H53" s="255"/>
      <c r="I53" s="255"/>
      <c r="J53" s="255"/>
      <c r="K53" s="255"/>
      <c r="L53" s="255"/>
      <c r="M53" s="255"/>
      <c r="N53" s="255"/>
      <c r="O53" s="255"/>
      <c r="P53" s="255"/>
      <c r="Q53" s="255"/>
    </row>
    <row r="54" spans="1:17" x14ac:dyDescent="0.25">
      <c r="A54" s="255" t="s">
        <v>518</v>
      </c>
      <c r="B54" s="255"/>
      <c r="C54" s="306">
        <v>0</v>
      </c>
      <c r="D54" s="305"/>
      <c r="E54" s="306" t="s">
        <v>505</v>
      </c>
      <c r="F54" s="255"/>
      <c r="G54" s="255"/>
      <c r="H54" s="255"/>
      <c r="I54" s="255"/>
      <c r="J54" s="255"/>
      <c r="K54" s="255"/>
      <c r="L54" s="255"/>
      <c r="M54" s="255"/>
      <c r="N54" s="255"/>
      <c r="O54" s="255"/>
      <c r="P54" s="255"/>
      <c r="Q54" s="255"/>
    </row>
    <row r="55" spans="1:17" x14ac:dyDescent="0.25">
      <c r="A55" s="255" t="s">
        <v>519</v>
      </c>
      <c r="B55" s="255"/>
      <c r="C55" s="306">
        <v>0</v>
      </c>
      <c r="D55" s="305"/>
      <c r="E55" s="306" t="s">
        <v>503</v>
      </c>
      <c r="F55" s="255"/>
      <c r="G55" s="255"/>
      <c r="H55" s="255"/>
      <c r="I55" s="255"/>
      <c r="J55" s="255"/>
      <c r="K55" s="255"/>
      <c r="L55" s="255"/>
      <c r="M55" s="255"/>
      <c r="N55" s="255"/>
      <c r="O55" s="255"/>
      <c r="P55" s="255"/>
      <c r="Q55" s="255"/>
    </row>
    <row r="56" spans="1:17" x14ac:dyDescent="0.25">
      <c r="A56" s="255" t="s">
        <v>520</v>
      </c>
      <c r="B56" s="255"/>
      <c r="C56" s="306">
        <v>0</v>
      </c>
      <c r="D56" s="305"/>
      <c r="E56" s="306" t="s">
        <v>502</v>
      </c>
      <c r="F56" s="255"/>
      <c r="G56" s="255"/>
      <c r="H56" s="255"/>
      <c r="I56" s="255"/>
      <c r="J56" s="255"/>
      <c r="K56" s="255"/>
      <c r="L56" s="255"/>
      <c r="M56" s="255"/>
      <c r="N56" s="255"/>
      <c r="O56" s="255"/>
      <c r="P56" s="255"/>
      <c r="Q56" s="255"/>
    </row>
    <row r="57" spans="1:17" x14ac:dyDescent="0.25">
      <c r="A57" s="255"/>
      <c r="B57" s="255"/>
      <c r="C57" s="308"/>
      <c r="D57" s="308"/>
      <c r="E57" s="308"/>
      <c r="F57" s="255"/>
      <c r="G57" s="255"/>
      <c r="H57" s="255"/>
      <c r="I57" s="255"/>
      <c r="J57" s="255"/>
      <c r="K57" s="255"/>
      <c r="L57" s="255"/>
      <c r="M57" s="255"/>
      <c r="N57" s="255"/>
      <c r="O57" s="255"/>
      <c r="P57" s="255"/>
      <c r="Q57" s="255"/>
    </row>
    <row r="58" spans="1:17" x14ac:dyDescent="0.25">
      <c r="A58" s="258" t="s">
        <v>524</v>
      </c>
      <c r="B58" s="258"/>
      <c r="C58" s="301">
        <v>0.5</v>
      </c>
      <c r="D58" s="306" t="s">
        <v>525</v>
      </c>
      <c r="E58" s="301">
        <v>0.03</v>
      </c>
      <c r="F58" s="255"/>
      <c r="G58" s="255"/>
      <c r="H58" s="255"/>
      <c r="I58" s="255"/>
      <c r="J58" s="255"/>
      <c r="K58" s="255"/>
      <c r="L58" s="255"/>
      <c r="M58" s="255"/>
      <c r="N58" s="255"/>
      <c r="O58" s="255"/>
      <c r="P58" s="255"/>
      <c r="Q58" s="255"/>
    </row>
    <row r="59" spans="1:17" x14ac:dyDescent="0.25">
      <c r="A59" s="255"/>
      <c r="B59" s="255"/>
      <c r="C59" s="308"/>
      <c r="D59" s="308"/>
      <c r="E59" s="308"/>
      <c r="F59" s="255"/>
      <c r="G59" s="255"/>
      <c r="H59" s="255"/>
      <c r="I59" s="255"/>
      <c r="J59" s="255"/>
      <c r="K59" s="255"/>
      <c r="L59" s="255"/>
      <c r="M59" s="255"/>
      <c r="N59" s="255"/>
      <c r="O59" s="255"/>
      <c r="P59" s="255"/>
      <c r="Q59" s="255"/>
    </row>
    <row r="60" spans="1:17" x14ac:dyDescent="0.25">
      <c r="A60" s="258" t="s">
        <v>528</v>
      </c>
      <c r="B60" s="255"/>
      <c r="C60" s="299">
        <v>0.02</v>
      </c>
      <c r="D60" s="308"/>
      <c r="E60" s="308"/>
      <c r="F60" s="255"/>
      <c r="G60" s="255"/>
      <c r="H60" s="255"/>
      <c r="I60" s="255"/>
      <c r="J60" s="255"/>
      <c r="K60" s="255"/>
      <c r="L60" s="255"/>
      <c r="M60" s="255"/>
      <c r="N60" s="255"/>
      <c r="O60" s="255"/>
      <c r="P60" s="255"/>
      <c r="Q60" s="255"/>
    </row>
    <row r="61" spans="1:17" x14ac:dyDescent="0.25">
      <c r="A61" s="255"/>
      <c r="B61" s="255"/>
      <c r="C61" s="308"/>
      <c r="D61" s="308"/>
      <c r="E61" s="308"/>
      <c r="F61" s="255"/>
      <c r="G61" s="255"/>
      <c r="H61" s="255"/>
      <c r="I61" s="255"/>
      <c r="J61" s="255"/>
      <c r="K61" s="255"/>
      <c r="L61" s="255"/>
      <c r="M61" s="255"/>
      <c r="N61" s="255"/>
      <c r="O61" s="255"/>
      <c r="P61" s="255"/>
      <c r="Q61" s="255"/>
    </row>
    <row r="62" spans="1:17" x14ac:dyDescent="0.25">
      <c r="A62" s="255"/>
      <c r="B62" s="255"/>
      <c r="C62" s="255"/>
      <c r="D62" s="255"/>
      <c r="E62" s="255"/>
      <c r="F62" s="255"/>
      <c r="G62" s="255"/>
      <c r="H62" s="255"/>
      <c r="I62" s="255"/>
      <c r="J62" s="255"/>
      <c r="K62" s="255"/>
      <c r="L62" s="255"/>
      <c r="M62" s="255"/>
      <c r="N62" s="255"/>
      <c r="O62" s="255"/>
      <c r="P62" s="255"/>
      <c r="Q62" s="255"/>
    </row>
    <row r="63" spans="1:17" x14ac:dyDescent="0.25">
      <c r="A63" s="255"/>
      <c r="B63" s="255"/>
      <c r="C63" s="255"/>
      <c r="D63" s="255"/>
      <c r="E63" s="255"/>
      <c r="F63" s="255"/>
      <c r="G63" s="255"/>
      <c r="H63" s="255"/>
      <c r="I63" s="255"/>
      <c r="J63" s="255"/>
      <c r="K63" s="255"/>
      <c r="L63" s="255"/>
      <c r="M63" s="255"/>
      <c r="N63" s="255"/>
      <c r="O63" s="255"/>
      <c r="P63" s="255"/>
      <c r="Q63" s="255"/>
    </row>
    <row r="64" spans="1:17" x14ac:dyDescent="0.25">
      <c r="A64" s="255"/>
      <c r="B64" s="255"/>
      <c r="C64" s="255"/>
      <c r="D64" s="255"/>
      <c r="E64" s="255"/>
      <c r="F64" s="255"/>
      <c r="G64" s="255"/>
      <c r="H64" s="255"/>
      <c r="I64" s="255"/>
      <c r="J64" s="255"/>
      <c r="K64" s="255"/>
      <c r="L64" s="255"/>
      <c r="M64" s="255"/>
      <c r="N64" s="255"/>
      <c r="O64" s="255"/>
      <c r="P64" s="255"/>
      <c r="Q64" s="255"/>
    </row>
    <row r="65" spans="1:17" x14ac:dyDescent="0.25">
      <c r="A65" s="255"/>
      <c r="B65" s="255"/>
      <c r="C65" s="255"/>
      <c r="D65" s="255"/>
      <c r="E65" s="255"/>
      <c r="F65" s="255"/>
      <c r="G65" s="255"/>
      <c r="H65" s="255"/>
      <c r="I65" s="255"/>
      <c r="J65" s="255"/>
      <c r="K65" s="255"/>
      <c r="L65" s="255"/>
      <c r="M65" s="255"/>
      <c r="N65" s="255"/>
      <c r="O65" s="255"/>
      <c r="P65" s="255"/>
      <c r="Q65" s="255"/>
    </row>
  </sheetData>
  <mergeCells count="3">
    <mergeCell ref="A1:B1"/>
    <mergeCell ref="G3:Q3"/>
    <mergeCell ref="F6:Q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77692-74B5-4442-96AE-4462AEDA0C16}">
  <dimension ref="A1:D21"/>
  <sheetViews>
    <sheetView topLeftCell="A12" workbookViewId="0">
      <selection activeCell="E12" sqref="E12"/>
    </sheetView>
  </sheetViews>
  <sheetFormatPr defaultColWidth="15.140625" defaultRowHeight="15" x14ac:dyDescent="0.25"/>
  <cols>
    <col min="1" max="3" width="15.140625" style="143"/>
    <col min="4" max="4" width="106.7109375" style="143" customWidth="1"/>
    <col min="5" max="16384" width="15.140625" style="143"/>
  </cols>
  <sheetData>
    <row r="1" spans="1:4" x14ac:dyDescent="0.25">
      <c r="A1" s="215" t="s">
        <v>428</v>
      </c>
      <c r="B1" s="215" t="s">
        <v>429</v>
      </c>
      <c r="C1" s="216" t="s">
        <v>266</v>
      </c>
      <c r="D1" s="216" t="s">
        <v>266</v>
      </c>
    </row>
    <row r="2" spans="1:4" ht="30" x14ac:dyDescent="0.25">
      <c r="A2" s="217" t="s">
        <v>293</v>
      </c>
      <c r="B2" s="217" t="s">
        <v>430</v>
      </c>
      <c r="C2" s="222" t="s">
        <v>431</v>
      </c>
      <c r="D2" s="218" t="s">
        <v>432</v>
      </c>
    </row>
    <row r="3" spans="1:4" x14ac:dyDescent="0.25">
      <c r="A3" s="219"/>
      <c r="B3" s="219"/>
      <c r="C3" s="222" t="s">
        <v>433</v>
      </c>
      <c r="D3" s="218" t="s">
        <v>434</v>
      </c>
    </row>
    <row r="4" spans="1:4" ht="45" x14ac:dyDescent="0.25">
      <c r="A4" s="217" t="s">
        <v>294</v>
      </c>
      <c r="B4" s="217" t="s">
        <v>435</v>
      </c>
      <c r="C4" s="222" t="s">
        <v>431</v>
      </c>
      <c r="D4" s="218" t="s">
        <v>436</v>
      </c>
    </row>
    <row r="5" spans="1:4" ht="30" x14ac:dyDescent="0.25">
      <c r="A5" s="219"/>
      <c r="B5" s="219"/>
      <c r="C5" s="222" t="s">
        <v>433</v>
      </c>
      <c r="D5" s="218" t="s">
        <v>437</v>
      </c>
    </row>
    <row r="6" spans="1:4" ht="51" x14ac:dyDescent="0.25">
      <c r="A6" s="220" t="s">
        <v>438</v>
      </c>
      <c r="B6" s="220" t="s">
        <v>439</v>
      </c>
      <c r="C6" s="222" t="s">
        <v>431</v>
      </c>
      <c r="D6" s="218" t="s">
        <v>466</v>
      </c>
    </row>
    <row r="7" spans="1:4" ht="45" x14ac:dyDescent="0.25">
      <c r="A7" s="221"/>
      <c r="B7" s="221"/>
      <c r="C7" s="222" t="s">
        <v>433</v>
      </c>
      <c r="D7" s="218" t="s">
        <v>440</v>
      </c>
    </row>
    <row r="8" spans="1:4" ht="60" x14ac:dyDescent="0.25">
      <c r="A8" s="220" t="s">
        <v>441</v>
      </c>
      <c r="B8" s="220" t="s">
        <v>442</v>
      </c>
      <c r="C8" s="222" t="s">
        <v>431</v>
      </c>
      <c r="D8" s="218" t="s">
        <v>443</v>
      </c>
    </row>
    <row r="9" spans="1:4" ht="45" x14ac:dyDescent="0.25">
      <c r="A9" s="221"/>
      <c r="B9" s="221"/>
      <c r="C9" s="222" t="s">
        <v>433</v>
      </c>
      <c r="D9" s="218" t="s">
        <v>444</v>
      </c>
    </row>
    <row r="10" spans="1:4" ht="89.25" x14ac:dyDescent="0.25">
      <c r="A10" s="220" t="s">
        <v>295</v>
      </c>
      <c r="B10" s="220" t="s">
        <v>445</v>
      </c>
      <c r="C10" s="222" t="s">
        <v>431</v>
      </c>
      <c r="D10" s="218" t="s">
        <v>446</v>
      </c>
    </row>
    <row r="11" spans="1:4" ht="45" x14ac:dyDescent="0.25">
      <c r="A11" s="221"/>
      <c r="B11" s="221"/>
      <c r="C11" s="222" t="s">
        <v>433</v>
      </c>
      <c r="D11" s="218" t="s">
        <v>447</v>
      </c>
    </row>
    <row r="12" spans="1:4" ht="255" x14ac:dyDescent="0.25">
      <c r="A12" s="220" t="s">
        <v>448</v>
      </c>
      <c r="B12" s="220" t="s">
        <v>449</v>
      </c>
      <c r="C12" s="222" t="s">
        <v>431</v>
      </c>
      <c r="D12" s="218" t="s">
        <v>450</v>
      </c>
    </row>
    <row r="13" spans="1:4" ht="45" x14ac:dyDescent="0.25">
      <c r="A13" s="221"/>
      <c r="B13" s="221"/>
      <c r="C13" s="222" t="s">
        <v>433</v>
      </c>
      <c r="D13" s="218" t="s">
        <v>451</v>
      </c>
    </row>
    <row r="14" spans="1:4" ht="75" x14ac:dyDescent="0.25">
      <c r="A14" s="220" t="s">
        <v>452</v>
      </c>
      <c r="B14" s="220" t="s">
        <v>453</v>
      </c>
      <c r="C14" s="222" t="s">
        <v>431</v>
      </c>
      <c r="D14" s="218" t="s">
        <v>454</v>
      </c>
    </row>
    <row r="15" spans="1:4" ht="45" x14ac:dyDescent="0.25">
      <c r="A15" s="221"/>
      <c r="B15" s="221"/>
      <c r="C15" s="222" t="s">
        <v>433</v>
      </c>
      <c r="D15" s="218" t="s">
        <v>455</v>
      </c>
    </row>
    <row r="16" spans="1:4" ht="60" x14ac:dyDescent="0.25">
      <c r="A16" s="220" t="s">
        <v>296</v>
      </c>
      <c r="B16" s="220" t="s">
        <v>456</v>
      </c>
      <c r="C16" s="222" t="s">
        <v>431</v>
      </c>
      <c r="D16" s="218" t="s">
        <v>457</v>
      </c>
    </row>
    <row r="17" spans="1:4" ht="90" x14ac:dyDescent="0.25">
      <c r="A17" s="221"/>
      <c r="B17" s="221"/>
      <c r="C17" s="222" t="s">
        <v>433</v>
      </c>
      <c r="D17" s="218" t="s">
        <v>458</v>
      </c>
    </row>
    <row r="18" spans="1:4" ht="63.75" x14ac:dyDescent="0.25">
      <c r="A18" s="220" t="s">
        <v>387</v>
      </c>
      <c r="B18" s="220" t="s">
        <v>459</v>
      </c>
      <c r="C18" s="222" t="s">
        <v>431</v>
      </c>
      <c r="D18" s="143" t="s">
        <v>460</v>
      </c>
    </row>
    <row r="19" spans="1:4" ht="75" x14ac:dyDescent="0.25">
      <c r="A19" s="221"/>
      <c r="B19" s="221"/>
      <c r="C19" s="222" t="s">
        <v>433</v>
      </c>
      <c r="D19" s="218" t="s">
        <v>461</v>
      </c>
    </row>
    <row r="20" spans="1:4" ht="60" x14ac:dyDescent="0.25">
      <c r="A20" s="217" t="s">
        <v>462</v>
      </c>
      <c r="B20" s="217" t="s">
        <v>463</v>
      </c>
      <c r="C20" s="222" t="s">
        <v>431</v>
      </c>
      <c r="D20" s="218" t="s">
        <v>464</v>
      </c>
    </row>
    <row r="21" spans="1:4" ht="30" x14ac:dyDescent="0.25">
      <c r="A21" s="219"/>
      <c r="B21" s="219"/>
      <c r="C21" s="222" t="s">
        <v>433</v>
      </c>
      <c r="D21" s="218" t="s">
        <v>465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6BBB64AB129D40B264883555AC968D" ma:contentTypeVersion="11" ma:contentTypeDescription="Create a new document." ma:contentTypeScope="" ma:versionID="d3a29d9a10ef927d1d7b755ae3d4b07e">
  <xsd:schema xmlns:xsd="http://www.w3.org/2001/XMLSchema" xmlns:xs="http://www.w3.org/2001/XMLSchema" xmlns:p="http://schemas.microsoft.com/office/2006/metadata/properties" xmlns:ns2="681e95b5-db9f-4e3a-aed9-cc98f1a7852e" xmlns:ns3="5cb90862-af47-47a5-875d-1ff6d97c7140" targetNamespace="http://schemas.microsoft.com/office/2006/metadata/properties" ma:root="true" ma:fieldsID="268e53d4b72f2f29c1571a98e03899a2" ns2:_="" ns3:_="">
    <xsd:import namespace="681e95b5-db9f-4e3a-aed9-cc98f1a7852e"/>
    <xsd:import namespace="5cb90862-af47-47a5-875d-1ff6d97c714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1e95b5-db9f-4e3a-aed9-cc98f1a785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cb90862-af47-47a5-875d-1ff6d97c7140"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876C7E9-6993-449A-AE2A-7039211961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1e95b5-db9f-4e3a-aed9-cc98f1a7852e"/>
    <ds:schemaRef ds:uri="5cb90862-af47-47a5-875d-1ff6d97c7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00DDF5-D5B0-4D63-9BDC-5F084FD721B3}">
  <ds:schemaRefs>
    <ds:schemaRef ds:uri="http://schemas.microsoft.com/sharepoint/v3/contenttype/forms"/>
  </ds:schemaRefs>
</ds:datastoreItem>
</file>

<file path=customXml/itemProps3.xml><?xml version="1.0" encoding="utf-8"?>
<ds:datastoreItem xmlns:ds="http://schemas.openxmlformats.org/officeDocument/2006/customXml" ds:itemID="{EF9B787C-7EB2-418E-9C56-D04CEFA462B6}">
  <ds:schemaRefs>
    <ds:schemaRef ds:uri="http://purl.org/dc/dcmitype/"/>
    <ds:schemaRef ds:uri="http://schemas.microsoft.com/office/infopath/2007/PartnerControls"/>
    <ds:schemaRef ds:uri="http://schemas.microsoft.com/office/2006/documentManagement/types"/>
    <ds:schemaRef ds:uri="http://schemas.microsoft.com/office/2006/metadata/properties"/>
    <ds:schemaRef ds:uri="681e95b5-db9f-4e3a-aed9-cc98f1a7852e"/>
    <ds:schemaRef ds:uri="5cb90862-af47-47a5-875d-1ff6d97c7140"/>
    <ds:schemaRef ds:uri="http://purl.org/dc/terms/"/>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README</vt:lpstr>
      <vt:lpstr>graphs</vt:lpstr>
      <vt:lpstr>Summary</vt:lpstr>
      <vt:lpstr>Data Sources</vt:lpstr>
      <vt:lpstr>Inputs</vt:lpstr>
      <vt:lpstr>Project Equity %</vt:lpstr>
      <vt:lpstr>CapEx</vt:lpstr>
      <vt:lpstr>Financials Yearly</vt:lpstr>
      <vt:lpstr>Quarterly</vt:lpstr>
      <vt:lpstr>Financials</vt:lpstr>
      <vt:lpstr>Capital Contributions</vt:lpstr>
      <vt:lpstr>Insurance</vt:lpstr>
      <vt:lpstr>Cash Drawdown schedule</vt:lpstr>
      <vt:lpstr>NPV IRR</vt:lpstr>
      <vt:lpstr>Power Production</vt:lpstr>
      <vt:lpstr>Calc Summary</vt:lpstr>
      <vt:lpstr>Stage 1 Mass Balance</vt:lpstr>
      <vt:lpstr>Stage 2 Mass Balance</vt:lpstr>
      <vt:lpstr>Stage 3 Power Opt</vt:lpstr>
      <vt:lpstr>Stage 3 Gas Opt</vt:lpstr>
      <vt:lpstr>RDF Makeup</vt:lpstr>
      <vt:lpstr>TDF Makeup</vt:lpstr>
      <vt:lpstr>Plant Salaries</vt:lpstr>
      <vt:lpstr>Emp Labor Cost</vt:lpstr>
      <vt:lpstr>Benefits Cost</vt:lpstr>
      <vt:lpstr>Job Descriptions</vt:lpstr>
      <vt:lpstr>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Spanel</dc:creator>
  <cp:lastModifiedBy>Joe Yavorski</cp:lastModifiedBy>
  <cp:lastPrinted>2020-10-05T20:26:06Z</cp:lastPrinted>
  <dcterms:created xsi:type="dcterms:W3CDTF">2019-03-06T18:54:10Z</dcterms:created>
  <dcterms:modified xsi:type="dcterms:W3CDTF">2025-11-17T18:42:19Z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0x010100716BBB64AB129D40B264883555AC968D</vt:lpwstr>
  </property>
</Properties>
</file>