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1.xml" ContentType="application/vnd.openxmlformats-officedocument.drawingml.chart+xml"/>
  <Override PartName="/xl/charts/style3.xml" ContentType="application/vnd.ms-office.chartstyle+xml"/>
  <Override PartName="/xl/charts/colors3.xml" ContentType="application/vnd.ms-office.chartcolorstyle+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d.docs.live.net/384447e1d053caad/Documents/"/>
    </mc:Choice>
  </mc:AlternateContent>
  <xr:revisionPtr revIDLastSave="4" documentId="8_{0E98BE7F-959C-451B-96B7-7EC0BA9AB901}" xr6:coauthVersionLast="47" xr6:coauthVersionMax="47" xr10:uidLastSave="{0C43A7C9-24F2-4B3D-9F3C-9B91F9F2EBD8}"/>
  <bookViews>
    <workbookView xWindow="-108" yWindow="-108" windowWidth="23256" windowHeight="12456" firstSheet="1" activeTab="7" xr2:uid="{BD8D8D4D-E1C5-490F-BB99-AEBE1BBB9DD2}"/>
  </bookViews>
  <sheets>
    <sheet name="nz-staff" sheetId="1" r:id="rId1"/>
    <sheet name="ind-staff" sheetId="2" r:id="rId2"/>
    <sheet name="staff" sheetId="3" r:id="rId3"/>
    <sheet name="male vs female" sheetId="4" r:id="rId4"/>
    <sheet name="salary spread" sheetId="5" r:id="rId5"/>
    <sheet name="dashboard design" sheetId="9" r:id="rId6"/>
    <sheet name="salary vs rating" sheetId="6" r:id="rId7"/>
    <sheet name="Sheet8" sheetId="8" r:id="rId8"/>
    <sheet name="Sheet10" sheetId="10" r:id="rId9"/>
    <sheet name="Sheet7" sheetId="7" r:id="rId10"/>
  </sheets>
  <definedNames>
    <definedName name="_xlchart.v1.0" hidden="1">staff!$G$4</definedName>
    <definedName name="_xlchart.v1.1" hidden="1">staff!$G$5:$G$208</definedName>
    <definedName name="_xlchart.v1.2" hidden="1">staff!$G$4</definedName>
    <definedName name="_xlchart.v1.3" hidden="1">staff!$G$5:$G$208</definedName>
    <definedName name="_xlcn.WorksheetConnection_Book1staff1" hidden="1">staff[]</definedName>
    <definedName name="ExternalData_1" localSheetId="2" hidden="1">staff!$A$4:$H$187</definedName>
    <definedName name="Slicer_Country">#N/A</definedName>
  </definedNames>
  <calcPr calcId="191029"/>
  <pivotCaches>
    <pivotCache cacheId="266" r:id="rId11"/>
    <pivotCache cacheId="267" r:id="rId12"/>
    <pivotCache cacheId="268" r:id="rId13"/>
    <pivotCache cacheId="269" r:id="rId14"/>
    <pivotCache cacheId="270" r:id="rId15"/>
  </pivotCaches>
  <extLst>
    <ext xmlns:x14="http://schemas.microsoft.com/office/spreadsheetml/2009/9/main" uri="{876F7934-8845-4945-9796-88D515C7AA90}">
      <x14:pivotCaches>
        <pivotCache cacheId="271" r:id="rId16"/>
      </x14:pivotCaches>
    </ext>
    <ext xmlns:x14="http://schemas.microsoft.com/office/spreadsheetml/2009/9/main" uri="{BBE1A952-AA13-448e-AADC-164F8A28A991}">
      <x14:slicerCaches>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taff" name="staff" connection="WorksheetConnection_Book1!staff"/>
        </x15:modelTables>
        <x15:extLst>
          <ext xmlns:x16="http://schemas.microsoft.com/office/spreadsheetml/2014/11/main" uri="{9835A34E-60A6-4A7C-AAB8-D5F71C897F49}">
            <x16:modelTimeGroupings>
              <x16:modelTimeGrouping tableName="staff" columnName="Date Joined" columnId="Date Joined">
                <x16:calculatedTimeColumn columnName="Date Joined (Year)" columnId="Date Joined (Year)" contentType="years" isSelected="1"/>
                <x16:calculatedTimeColumn columnName="Date Joined (Quarter)" columnId="Date Joined (Quarter)" contentType="quarters" isSelected="1"/>
                <x16:calculatedTimeColumn columnName="Date Joined (Month Index)" columnId="Date Joined (Month Index)" contentType="monthsindex" isSelected="1"/>
                <x16:calculatedTimeColumn columnName="Date Joined (Month)" columnId="Date Joined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3" i="9" l="1"/>
  <c r="D3" i="9" s="1"/>
  <c r="L3" i="9"/>
  <c r="J3" i="9"/>
  <c r="H3" i="9"/>
  <c r="F3" i="9"/>
  <c r="Q5" i="8"/>
  <c r="Q6" i="8"/>
  <c r="Q7" i="8"/>
  <c r="Q8" i="8"/>
  <c r="Q9" i="8"/>
  <c r="Q10" i="8"/>
  <c r="Q11" i="8"/>
  <c r="Q12" i="8"/>
  <c r="Q13" i="8"/>
  <c r="Q14" i="8"/>
  <c r="Q15" i="8"/>
  <c r="Q16" i="8"/>
  <c r="Q17" i="8"/>
  <c r="Q18" i="8"/>
  <c r="Q19" i="8"/>
  <c r="Q20" i="8"/>
  <c r="Q21" i="8"/>
  <c r="Q22" i="8"/>
  <c r="Q23" i="8"/>
  <c r="Q24" i="8"/>
  <c r="Q25" i="8"/>
  <c r="Q26" i="8"/>
  <c r="Q27" i="8"/>
  <c r="Q28" i="8"/>
  <c r="Q29" i="8"/>
  <c r="Q30" i="8"/>
  <c r="Q31" i="8"/>
  <c r="Q32" i="8"/>
  <c r="Q33" i="8"/>
  <c r="Q34" i="8"/>
  <c r="Q35" i="8"/>
  <c r="Q36" i="8"/>
  <c r="Q37" i="8"/>
  <c r="Q38" i="8"/>
  <c r="Q39" i="8"/>
  <c r="Q4" i="8"/>
  <c r="P10" i="8"/>
  <c r="P11" i="8"/>
  <c r="P12" i="8"/>
  <c r="P13" i="8"/>
  <c r="P14" i="8"/>
  <c r="P15" i="8"/>
  <c r="P16" i="8"/>
  <c r="P17" i="8"/>
  <c r="P18" i="8"/>
  <c r="P19" i="8"/>
  <c r="P20" i="8"/>
  <c r="P21" i="8"/>
  <c r="P22" i="8"/>
  <c r="P23" i="8"/>
  <c r="P24" i="8"/>
  <c r="P25" i="8"/>
  <c r="P26" i="8"/>
  <c r="P27" i="8"/>
  <c r="P28" i="8"/>
  <c r="P29" i="8"/>
  <c r="P30" i="8"/>
  <c r="P31" i="8"/>
  <c r="P32" i="8"/>
  <c r="P33" i="8"/>
  <c r="P34" i="8"/>
  <c r="P35" i="8"/>
  <c r="P36" i="8"/>
  <c r="P37" i="8"/>
  <c r="P38" i="8"/>
  <c r="P39" i="8"/>
  <c r="P5" i="8"/>
  <c r="P6" i="8"/>
  <c r="P7" i="8"/>
  <c r="P8" i="8"/>
  <c r="P9" i="8"/>
  <c r="P4" i="8"/>
  <c r="O4" i="8" a="1"/>
  <c r="O4" i="8" s="1"/>
  <c r="N4" i="8" a="1"/>
  <c r="N4" i="8" s="1"/>
  <c r="K5" i="3"/>
  <c r="K6" i="3"/>
  <c r="K7" i="3"/>
  <c r="K8" i="3"/>
  <c r="K9" i="3"/>
  <c r="K10" i="3"/>
  <c r="K11" i="3"/>
  <c r="K12" i="3"/>
  <c r="K13" i="3"/>
  <c r="K14" i="3"/>
  <c r="K15" i="3"/>
  <c r="K16" i="3"/>
  <c r="K17" i="3"/>
  <c r="K18" i="3"/>
  <c r="K19" i="3"/>
  <c r="K20" i="3"/>
  <c r="K21" i="3"/>
  <c r="K22" i="3"/>
  <c r="K23" i="3"/>
  <c r="K24" i="3"/>
  <c r="K25" i="3"/>
  <c r="K26" i="3"/>
  <c r="K27" i="3"/>
  <c r="K28" i="3"/>
  <c r="K29" i="3"/>
  <c r="K30" i="3"/>
  <c r="K31" i="3"/>
  <c r="K32" i="3"/>
  <c r="K33" i="3"/>
  <c r="K34" i="3"/>
  <c r="K35" i="3"/>
  <c r="K36" i="3"/>
  <c r="K37" i="3"/>
  <c r="K38" i="3"/>
  <c r="K39" i="3"/>
  <c r="K40" i="3"/>
  <c r="K41" i="3"/>
  <c r="K42" i="3"/>
  <c r="K43" i="3"/>
  <c r="K44" i="3"/>
  <c r="K45" i="3"/>
  <c r="K46" i="3"/>
  <c r="K47" i="3"/>
  <c r="K48" i="3"/>
  <c r="K49" i="3"/>
  <c r="K50" i="3"/>
  <c r="K51" i="3"/>
  <c r="K52" i="3"/>
  <c r="K53" i="3"/>
  <c r="K54" i="3"/>
  <c r="K55" i="3"/>
  <c r="K56" i="3"/>
  <c r="K57" i="3"/>
  <c r="K58" i="3"/>
  <c r="K59" i="3"/>
  <c r="K60" i="3"/>
  <c r="K61" i="3"/>
  <c r="K62" i="3"/>
  <c r="K63" i="3"/>
  <c r="K64" i="3"/>
  <c r="K65" i="3"/>
  <c r="K66" i="3"/>
  <c r="K67" i="3"/>
  <c r="K68" i="3"/>
  <c r="K69" i="3"/>
  <c r="K70" i="3"/>
  <c r="K71" i="3"/>
  <c r="K72" i="3"/>
  <c r="K73" i="3"/>
  <c r="K74" i="3"/>
  <c r="K75" i="3"/>
  <c r="K76" i="3"/>
  <c r="K77" i="3"/>
  <c r="K78" i="3"/>
  <c r="K79" i="3"/>
  <c r="K80" i="3"/>
  <c r="K81" i="3"/>
  <c r="K82" i="3"/>
  <c r="K83" i="3"/>
  <c r="K84" i="3"/>
  <c r="K85" i="3"/>
  <c r="K86" i="3"/>
  <c r="K87" i="3"/>
  <c r="K88" i="3"/>
  <c r="K89" i="3"/>
  <c r="K90" i="3"/>
  <c r="K91" i="3"/>
  <c r="K92" i="3"/>
  <c r="K93" i="3"/>
  <c r="K94" i="3"/>
  <c r="K95" i="3"/>
  <c r="K96" i="3"/>
  <c r="K97" i="3"/>
  <c r="K98" i="3"/>
  <c r="K99" i="3"/>
  <c r="K100" i="3"/>
  <c r="K101" i="3"/>
  <c r="K102" i="3"/>
  <c r="K103" i="3"/>
  <c r="K104" i="3"/>
  <c r="K105" i="3"/>
  <c r="K106" i="3"/>
  <c r="K107" i="3"/>
  <c r="K108" i="3"/>
  <c r="K109" i="3"/>
  <c r="K110" i="3"/>
  <c r="K111" i="3"/>
  <c r="K112" i="3"/>
  <c r="K113" i="3"/>
  <c r="K114" i="3"/>
  <c r="K115" i="3"/>
  <c r="K116" i="3"/>
  <c r="K117" i="3"/>
  <c r="K118" i="3"/>
  <c r="K119" i="3"/>
  <c r="K120" i="3"/>
  <c r="K121" i="3"/>
  <c r="K122" i="3"/>
  <c r="K123" i="3"/>
  <c r="K124" i="3"/>
  <c r="K125" i="3"/>
  <c r="K126" i="3"/>
  <c r="K127" i="3"/>
  <c r="K128" i="3"/>
  <c r="K129" i="3"/>
  <c r="K130" i="3"/>
  <c r="K131" i="3"/>
  <c r="K132" i="3"/>
  <c r="K133" i="3"/>
  <c r="K134" i="3"/>
  <c r="K135" i="3"/>
  <c r="K136" i="3"/>
  <c r="K137" i="3"/>
  <c r="K138" i="3"/>
  <c r="K139" i="3"/>
  <c r="K140" i="3"/>
  <c r="K141" i="3"/>
  <c r="K142" i="3"/>
  <c r="K143" i="3"/>
  <c r="K144" i="3"/>
  <c r="K145" i="3"/>
  <c r="K146" i="3"/>
  <c r="K147" i="3"/>
  <c r="K148" i="3"/>
  <c r="K149" i="3"/>
  <c r="K150" i="3"/>
  <c r="K151" i="3"/>
  <c r="K152" i="3"/>
  <c r="K153" i="3"/>
  <c r="K154" i="3"/>
  <c r="K155" i="3"/>
  <c r="K156" i="3"/>
  <c r="K157" i="3"/>
  <c r="K158" i="3"/>
  <c r="K159" i="3"/>
  <c r="K160" i="3"/>
  <c r="K161" i="3"/>
  <c r="K162" i="3"/>
  <c r="K163" i="3"/>
  <c r="K164" i="3"/>
  <c r="K165" i="3"/>
  <c r="K166" i="3"/>
  <c r="K167" i="3"/>
  <c r="K168" i="3"/>
  <c r="K169" i="3"/>
  <c r="K170" i="3"/>
  <c r="K171" i="3"/>
  <c r="K172" i="3"/>
  <c r="K173" i="3"/>
  <c r="K174" i="3"/>
  <c r="K175" i="3"/>
  <c r="K176" i="3"/>
  <c r="K177" i="3"/>
  <c r="K178" i="3"/>
  <c r="K179" i="3"/>
  <c r="K180" i="3"/>
  <c r="K181" i="3"/>
  <c r="K182" i="3"/>
  <c r="K183" i="3"/>
  <c r="K184" i="3"/>
  <c r="K185" i="3"/>
  <c r="K186" i="3"/>
  <c r="K187" i="3"/>
  <c r="P7" i="3"/>
  <c r="O11" i="3"/>
  <c r="I5" i="3"/>
  <c r="J5" i="3" s="1"/>
  <c r="I6" i="3"/>
  <c r="O19" i="3" s="1" a="1"/>
  <c r="O19" i="3" s="1"/>
  <c r="I7" i="3"/>
  <c r="J7" i="3" s="1"/>
  <c r="I8" i="3"/>
  <c r="J8" i="3" s="1"/>
  <c r="I9" i="3"/>
  <c r="J9" i="3" s="1"/>
  <c r="I10" i="3"/>
  <c r="J10" i="3" s="1"/>
  <c r="I11" i="3"/>
  <c r="J11" i="3" s="1"/>
  <c r="I12" i="3"/>
  <c r="J12" i="3" s="1"/>
  <c r="I13" i="3"/>
  <c r="J13" i="3" s="1"/>
  <c r="I14" i="3"/>
  <c r="J14" i="3" s="1"/>
  <c r="I15" i="3"/>
  <c r="J15" i="3" s="1"/>
  <c r="I16" i="3"/>
  <c r="J16" i="3" s="1"/>
  <c r="I17" i="3"/>
  <c r="J17" i="3" s="1"/>
  <c r="I18" i="3"/>
  <c r="J18" i="3" s="1"/>
  <c r="I19" i="3"/>
  <c r="J19" i="3" s="1"/>
  <c r="I20" i="3"/>
  <c r="J20" i="3" s="1"/>
  <c r="I21" i="3"/>
  <c r="J21" i="3" s="1"/>
  <c r="I22" i="3"/>
  <c r="J22" i="3" s="1"/>
  <c r="I23" i="3"/>
  <c r="J23" i="3" s="1"/>
  <c r="I24" i="3"/>
  <c r="J24" i="3" s="1"/>
  <c r="I25" i="3"/>
  <c r="J25" i="3" s="1"/>
  <c r="I26" i="3"/>
  <c r="J26" i="3" s="1"/>
  <c r="I27" i="3"/>
  <c r="J27" i="3" s="1"/>
  <c r="I28" i="3"/>
  <c r="J28" i="3" s="1"/>
  <c r="I29" i="3"/>
  <c r="J29" i="3" s="1"/>
  <c r="I30" i="3"/>
  <c r="J30" i="3" s="1"/>
  <c r="I31" i="3"/>
  <c r="J31" i="3" s="1"/>
  <c r="I32" i="3"/>
  <c r="J32" i="3" s="1"/>
  <c r="I33" i="3"/>
  <c r="J33" i="3" s="1"/>
  <c r="I34" i="3"/>
  <c r="J34" i="3" s="1"/>
  <c r="I35" i="3"/>
  <c r="J35" i="3" s="1"/>
  <c r="I36" i="3"/>
  <c r="J36" i="3" s="1"/>
  <c r="I37" i="3"/>
  <c r="J37" i="3" s="1"/>
  <c r="I38" i="3"/>
  <c r="J38" i="3" s="1"/>
  <c r="I39" i="3"/>
  <c r="J39" i="3" s="1"/>
  <c r="I40" i="3"/>
  <c r="J40" i="3" s="1"/>
  <c r="I41" i="3"/>
  <c r="J41" i="3" s="1"/>
  <c r="I42" i="3"/>
  <c r="J42" i="3" s="1"/>
  <c r="I43" i="3"/>
  <c r="J43" i="3" s="1"/>
  <c r="I44" i="3"/>
  <c r="J44" i="3" s="1"/>
  <c r="I45" i="3"/>
  <c r="J45" i="3" s="1"/>
  <c r="I46" i="3"/>
  <c r="J46" i="3" s="1"/>
  <c r="I47" i="3"/>
  <c r="J47" i="3" s="1"/>
  <c r="I48" i="3"/>
  <c r="J48" i="3" s="1"/>
  <c r="I49" i="3"/>
  <c r="J49" i="3" s="1"/>
  <c r="I50" i="3"/>
  <c r="J50" i="3" s="1"/>
  <c r="I51" i="3"/>
  <c r="J51" i="3" s="1"/>
  <c r="I52" i="3"/>
  <c r="J52" i="3" s="1"/>
  <c r="I53" i="3"/>
  <c r="J53" i="3" s="1"/>
  <c r="I54" i="3"/>
  <c r="J54" i="3" s="1"/>
  <c r="I55" i="3"/>
  <c r="J55" i="3" s="1"/>
  <c r="I56" i="3"/>
  <c r="J56" i="3" s="1"/>
  <c r="I57" i="3"/>
  <c r="J57" i="3" s="1"/>
  <c r="I58" i="3"/>
  <c r="J58" i="3" s="1"/>
  <c r="I59" i="3"/>
  <c r="J59" i="3" s="1"/>
  <c r="I60" i="3"/>
  <c r="J60" i="3" s="1"/>
  <c r="I61" i="3"/>
  <c r="J61" i="3" s="1"/>
  <c r="I62" i="3"/>
  <c r="J62" i="3" s="1"/>
  <c r="I63" i="3"/>
  <c r="J63" i="3" s="1"/>
  <c r="I64" i="3"/>
  <c r="J64" i="3" s="1"/>
  <c r="I65" i="3"/>
  <c r="J65" i="3" s="1"/>
  <c r="I66" i="3"/>
  <c r="J66" i="3" s="1"/>
  <c r="I67" i="3"/>
  <c r="J67" i="3" s="1"/>
  <c r="I68" i="3"/>
  <c r="J68" i="3" s="1"/>
  <c r="I69" i="3"/>
  <c r="J69" i="3" s="1"/>
  <c r="I70" i="3"/>
  <c r="J70" i="3" s="1"/>
  <c r="I71" i="3"/>
  <c r="J71" i="3" s="1"/>
  <c r="I72" i="3"/>
  <c r="J72" i="3" s="1"/>
  <c r="I73" i="3"/>
  <c r="J73" i="3" s="1"/>
  <c r="I74" i="3"/>
  <c r="J74" i="3" s="1"/>
  <c r="I75" i="3"/>
  <c r="J75" i="3" s="1"/>
  <c r="I76" i="3"/>
  <c r="J76" i="3" s="1"/>
  <c r="I77" i="3"/>
  <c r="J77" i="3" s="1"/>
  <c r="I78" i="3"/>
  <c r="J78" i="3" s="1"/>
  <c r="I79" i="3"/>
  <c r="J79" i="3" s="1"/>
  <c r="I80" i="3"/>
  <c r="J80" i="3" s="1"/>
  <c r="I81" i="3"/>
  <c r="J81" i="3" s="1"/>
  <c r="I82" i="3"/>
  <c r="J82" i="3" s="1"/>
  <c r="I83" i="3"/>
  <c r="J83" i="3" s="1"/>
  <c r="I84" i="3"/>
  <c r="J84" i="3" s="1"/>
  <c r="I85" i="3"/>
  <c r="J85" i="3" s="1"/>
  <c r="I86" i="3"/>
  <c r="J86" i="3" s="1"/>
  <c r="I87" i="3"/>
  <c r="J87" i="3" s="1"/>
  <c r="I88" i="3"/>
  <c r="J88" i="3" s="1"/>
  <c r="I89" i="3"/>
  <c r="J89" i="3" s="1"/>
  <c r="I90" i="3"/>
  <c r="J90" i="3" s="1"/>
  <c r="I91" i="3"/>
  <c r="J91" i="3" s="1"/>
  <c r="I92" i="3"/>
  <c r="J92" i="3" s="1"/>
  <c r="I93" i="3"/>
  <c r="J93" i="3" s="1"/>
  <c r="I94" i="3"/>
  <c r="J94" i="3" s="1"/>
  <c r="I95" i="3"/>
  <c r="J95" i="3" s="1"/>
  <c r="I96" i="3"/>
  <c r="J96" i="3" s="1"/>
  <c r="I97" i="3"/>
  <c r="J97" i="3" s="1"/>
  <c r="I98" i="3"/>
  <c r="J98" i="3" s="1"/>
  <c r="I99" i="3"/>
  <c r="J99" i="3" s="1"/>
  <c r="I100" i="3"/>
  <c r="J100" i="3" s="1"/>
  <c r="I101" i="3"/>
  <c r="J101" i="3" s="1"/>
  <c r="I102" i="3"/>
  <c r="J102" i="3" s="1"/>
  <c r="I103" i="3"/>
  <c r="J103" i="3" s="1"/>
  <c r="I104" i="3"/>
  <c r="J104" i="3" s="1"/>
  <c r="I105" i="3"/>
  <c r="J105" i="3" s="1"/>
  <c r="I106" i="3"/>
  <c r="J106" i="3" s="1"/>
  <c r="I107" i="3"/>
  <c r="J107" i="3" s="1"/>
  <c r="I108" i="3"/>
  <c r="J108" i="3" s="1"/>
  <c r="I109" i="3"/>
  <c r="J109" i="3" s="1"/>
  <c r="I110" i="3"/>
  <c r="J110" i="3" s="1"/>
  <c r="I111" i="3"/>
  <c r="J111" i="3" s="1"/>
  <c r="I112" i="3"/>
  <c r="J112" i="3" s="1"/>
  <c r="I113" i="3"/>
  <c r="J113" i="3" s="1"/>
  <c r="I114" i="3"/>
  <c r="J114" i="3" s="1"/>
  <c r="I115" i="3"/>
  <c r="J115" i="3" s="1"/>
  <c r="I116" i="3"/>
  <c r="J116" i="3" s="1"/>
  <c r="I117" i="3"/>
  <c r="J117" i="3" s="1"/>
  <c r="I118" i="3"/>
  <c r="J118" i="3" s="1"/>
  <c r="I119" i="3"/>
  <c r="J119" i="3" s="1"/>
  <c r="I120" i="3"/>
  <c r="J120" i="3" s="1"/>
  <c r="I121" i="3"/>
  <c r="J121" i="3" s="1"/>
  <c r="I122" i="3"/>
  <c r="J122" i="3" s="1"/>
  <c r="I123" i="3"/>
  <c r="J123" i="3" s="1"/>
  <c r="I124" i="3"/>
  <c r="J124" i="3" s="1"/>
  <c r="I125" i="3"/>
  <c r="J125" i="3" s="1"/>
  <c r="I126" i="3"/>
  <c r="J126" i="3" s="1"/>
  <c r="I127" i="3"/>
  <c r="J127" i="3" s="1"/>
  <c r="I128" i="3"/>
  <c r="J128" i="3" s="1"/>
  <c r="I129" i="3"/>
  <c r="J129" i="3" s="1"/>
  <c r="I130" i="3"/>
  <c r="J130" i="3" s="1"/>
  <c r="I131" i="3"/>
  <c r="J131" i="3" s="1"/>
  <c r="I132" i="3"/>
  <c r="J132" i="3" s="1"/>
  <c r="I133" i="3"/>
  <c r="J133" i="3" s="1"/>
  <c r="I134" i="3"/>
  <c r="J134" i="3" s="1"/>
  <c r="I135" i="3"/>
  <c r="J135" i="3" s="1"/>
  <c r="I136" i="3"/>
  <c r="J136" i="3" s="1"/>
  <c r="I137" i="3"/>
  <c r="J137" i="3" s="1"/>
  <c r="I138" i="3"/>
  <c r="J138" i="3" s="1"/>
  <c r="I139" i="3"/>
  <c r="J139" i="3" s="1"/>
  <c r="I140" i="3"/>
  <c r="J140" i="3" s="1"/>
  <c r="I141" i="3"/>
  <c r="J141" i="3" s="1"/>
  <c r="I142" i="3"/>
  <c r="J142" i="3" s="1"/>
  <c r="I143" i="3"/>
  <c r="J143" i="3" s="1"/>
  <c r="I144" i="3"/>
  <c r="J144" i="3" s="1"/>
  <c r="I145" i="3"/>
  <c r="J145" i="3" s="1"/>
  <c r="I146" i="3"/>
  <c r="J146" i="3" s="1"/>
  <c r="I147" i="3"/>
  <c r="J147" i="3" s="1"/>
  <c r="I148" i="3"/>
  <c r="J148" i="3" s="1"/>
  <c r="I149" i="3"/>
  <c r="J149" i="3" s="1"/>
  <c r="I150" i="3"/>
  <c r="J150" i="3" s="1"/>
  <c r="I151" i="3"/>
  <c r="J151" i="3" s="1"/>
  <c r="I152" i="3"/>
  <c r="J152" i="3" s="1"/>
  <c r="I153" i="3"/>
  <c r="J153" i="3" s="1"/>
  <c r="I154" i="3"/>
  <c r="J154" i="3" s="1"/>
  <c r="I155" i="3"/>
  <c r="J155" i="3" s="1"/>
  <c r="I156" i="3"/>
  <c r="J156" i="3" s="1"/>
  <c r="I157" i="3"/>
  <c r="J157" i="3" s="1"/>
  <c r="I158" i="3"/>
  <c r="J158" i="3" s="1"/>
  <c r="I159" i="3"/>
  <c r="J159" i="3" s="1"/>
  <c r="I160" i="3"/>
  <c r="J160" i="3" s="1"/>
  <c r="I161" i="3"/>
  <c r="J161" i="3" s="1"/>
  <c r="I162" i="3"/>
  <c r="J162" i="3" s="1"/>
  <c r="I163" i="3"/>
  <c r="J163" i="3" s="1"/>
  <c r="I164" i="3"/>
  <c r="J164" i="3" s="1"/>
  <c r="I165" i="3"/>
  <c r="J165" i="3" s="1"/>
  <c r="I166" i="3"/>
  <c r="J166" i="3" s="1"/>
  <c r="I167" i="3"/>
  <c r="J167" i="3" s="1"/>
  <c r="I168" i="3"/>
  <c r="J168" i="3" s="1"/>
  <c r="I169" i="3"/>
  <c r="J169" i="3" s="1"/>
  <c r="I170" i="3"/>
  <c r="J170" i="3" s="1"/>
  <c r="I171" i="3"/>
  <c r="J171" i="3" s="1"/>
  <c r="I172" i="3"/>
  <c r="J172" i="3" s="1"/>
  <c r="I173" i="3"/>
  <c r="J173" i="3" s="1"/>
  <c r="I174" i="3"/>
  <c r="J174" i="3" s="1"/>
  <c r="I175" i="3"/>
  <c r="J175" i="3" s="1"/>
  <c r="I176" i="3"/>
  <c r="J176" i="3" s="1"/>
  <c r="I177" i="3"/>
  <c r="J177" i="3" s="1"/>
  <c r="I178" i="3"/>
  <c r="J178" i="3" s="1"/>
  <c r="I179" i="3"/>
  <c r="J179" i="3" s="1"/>
  <c r="I180" i="3"/>
  <c r="J180" i="3" s="1"/>
  <c r="I181" i="3"/>
  <c r="J181" i="3" s="1"/>
  <c r="I182" i="3"/>
  <c r="J182" i="3" s="1"/>
  <c r="I183" i="3"/>
  <c r="J183" i="3" s="1"/>
  <c r="I184" i="3"/>
  <c r="J184" i="3" s="1"/>
  <c r="I185" i="3"/>
  <c r="J185" i="3" s="1"/>
  <c r="I186" i="3"/>
  <c r="J186" i="3" s="1"/>
  <c r="I187" i="3"/>
  <c r="J187" i="3" s="1"/>
  <c r="P8" i="3"/>
  <c r="O8" i="3"/>
  <c r="O7" i="3"/>
  <c r="O6" i="3"/>
  <c r="C119" i="2"/>
  <c r="G119" i="2"/>
  <c r="D106" i="1"/>
  <c r="F106" i="1"/>
  <c r="G106" i="1"/>
  <c r="J6" i="3" l="1"/>
  <c r="O12" i="3"/>
  <c r="O9" i="3"/>
  <c r="N34" i="3" a="1"/>
  <c r="N34" i="3"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06B5BE2-CA22-4126-8B88-392DD9D1E035}" keepAlive="1" name="Query - ind-staff" description="Connection to the 'ind-staff' query in the workbook." type="5" refreshedVersion="0" background="1">
    <dbPr connection="Provider=Microsoft.Mashup.OleDb.1;Data Source=$Workbook$;Location=ind-staff;Extended Properties=&quot;&quot;" command="SELECT * FROM [ind-staff]"/>
  </connection>
  <connection id="2" xr16:uid="{F5F5C112-D7A9-42AA-A423-756872FC3291}" keepAlive="1" name="Query - nz-staff" description="Connection to the 'nz-staff' query in the workbook." type="5" refreshedVersion="0" background="1">
    <dbPr connection="Provider=Microsoft.Mashup.OleDb.1;Data Source=$Workbook$;Location=nz-staff;Extended Properties=&quot;&quot;" command="SELECT * FROM [nz-staff]"/>
  </connection>
  <connection id="3" xr16:uid="{D917C435-2AED-4E7F-811D-E49384914F36}" keepAlive="1" name="Query - staff" description="Connection to the 'staff' query in the workbook." type="5" refreshedVersion="8" background="1" saveData="1">
    <dbPr connection="Provider=Microsoft.Mashup.OleDb.1;Data Source=$Workbook$;Location=staff;Extended Properties=&quot;&quot;" command="SELECT * FROM [staff]"/>
  </connection>
  <connection id="4" xr16:uid="{32E06B3F-9638-4665-9276-157CDA790CBD}"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5" xr16:uid="{CFF916C9-ECBB-4C28-98EF-36D34DA43A68}" name="WorksheetConnection_Book1!staff" type="102" refreshedVersion="8" minRefreshableVersion="5">
    <extLst>
      <ext xmlns:x15="http://schemas.microsoft.com/office/spreadsheetml/2010/11/main" uri="{DE250136-89BD-433C-8126-D09CA5730AF9}">
        <x15:connection id="staff" autoDelete="1">
          <x15:rangePr sourceName="_xlcn.WorksheetConnection_Book1staff1"/>
        </x15:connection>
      </ext>
    </extLst>
  </connection>
</connections>
</file>

<file path=xl/metadata.xml><?xml version="1.0" encoding="utf-8"?>
<metadata xmlns="http://schemas.openxmlformats.org/spreadsheetml/2006/main" xmlns:xda="http://schemas.microsoft.com/office/spreadsheetml/2017/dynamicarray">
  <metadataTypes count="2">
    <metadataType name="XLMDX"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metadataStrings count="3">
    <s v="ThisWorkbookDataModel"/>
    <s v="{[staff].[Country].&amp;[ind]}"/>
    <s v="{[staff].[Country].&amp;[nz]}"/>
  </metadataStrings>
  <mdxMetadata count="2">
    <mdx n="0" f="s">
      <ms ns="1" c="0"/>
    </mdx>
    <mdx n="0" f="s">
      <ms ns="2" c="0"/>
    </mdx>
  </mdxMetadata>
  <futureMetadata name="XLDAPR" count="1">
    <bk>
      <extLst>
        <ext uri="{bdbb8cdc-fa1e-496e-a857-3c3f30c029c3}">
          <xda:dynamicArrayProperties fDynamic="1" fCollapsed="0"/>
        </ext>
      </extLst>
    </bk>
  </futureMetadata>
  <cellMetadata count="1">
    <bk>
      <rc t="2" v="0"/>
    </bk>
  </cellMetadata>
  <valueMetadata count="2">
    <bk>
      <rc t="1" v="0"/>
    </bk>
    <bk>
      <rc t="1" v="1"/>
    </bk>
  </valueMetadata>
</metadata>
</file>

<file path=xl/sharedStrings.xml><?xml version="1.0" encoding="utf-8"?>
<sst xmlns="http://schemas.openxmlformats.org/spreadsheetml/2006/main" count="1855" uniqueCount="246">
  <si>
    <t>Name</t>
  </si>
  <si>
    <t>Gender</t>
  </si>
  <si>
    <t>Department</t>
  </si>
  <si>
    <t>Age</t>
  </si>
  <si>
    <t>Date Joined</t>
  </si>
  <si>
    <t>Salary</t>
  </si>
  <si>
    <t>Rating</t>
  </si>
  <si>
    <t>Lindy Guillet</t>
  </si>
  <si>
    <t>Male</t>
  </si>
  <si>
    <t>Sales</t>
  </si>
  <si>
    <t>Above average</t>
  </si>
  <si>
    <t>Ambros Murthwaite</t>
  </si>
  <si>
    <t>Procurement</t>
  </si>
  <si>
    <t>Average</t>
  </si>
  <si>
    <t>Tatum Hush</t>
  </si>
  <si>
    <t>Female</t>
  </si>
  <si>
    <t>Benny Karolovsky</t>
  </si>
  <si>
    <t>Finance</t>
  </si>
  <si>
    <t>Poor</t>
  </si>
  <si>
    <t>Hoyt D'Alesco</t>
  </si>
  <si>
    <t>Halimeda Kuscha</t>
  </si>
  <si>
    <t>Erin Androsik</t>
  </si>
  <si>
    <t>Vic Radolf</t>
  </si>
  <si>
    <t>Website</t>
  </si>
  <si>
    <t>William Reeveley</t>
  </si>
  <si>
    <t>Ewart Laphorn</t>
  </si>
  <si>
    <t>HR</t>
  </si>
  <si>
    <t>Bev Lashley</t>
  </si>
  <si>
    <t>Kath Bletsoe</t>
  </si>
  <si>
    <t>Murry Dryburgh</t>
  </si>
  <si>
    <t>Kaine Padly</t>
  </si>
  <si>
    <t>Kassi Jonson</t>
  </si>
  <si>
    <t>Simon Kembery</t>
  </si>
  <si>
    <t>Orton Livick</t>
  </si>
  <si>
    <t>Kelci Walkden</t>
  </si>
  <si>
    <t>Dotty Strutley</t>
  </si>
  <si>
    <t>Shari McNee</t>
  </si>
  <si>
    <t>Oby Sorrel</t>
  </si>
  <si>
    <t>Husein Augar</t>
  </si>
  <si>
    <t>Brien Boise</t>
  </si>
  <si>
    <t>Esmaria Denecamp</t>
  </si>
  <si>
    <t>Curtice Advani</t>
  </si>
  <si>
    <t>Barr Faughny</t>
  </si>
  <si>
    <t>Exceptional</t>
  </si>
  <si>
    <t>Merrilee Plenty</t>
  </si>
  <si>
    <t>Niall Selesnick</t>
  </si>
  <si>
    <t>Beverie Moffet</t>
  </si>
  <si>
    <t>Jehu Rudeforth</t>
  </si>
  <si>
    <t>Camilla Castle</t>
  </si>
  <si>
    <t>Very poor</t>
  </si>
  <si>
    <t>Roddy Speechley</t>
  </si>
  <si>
    <t>Gray Seamon</t>
  </si>
  <si>
    <t>Madelene Upcott</t>
  </si>
  <si>
    <t>Violante Courtonne</t>
  </si>
  <si>
    <t>Bernie Gorges</t>
  </si>
  <si>
    <t>Torrance Collier</t>
  </si>
  <si>
    <t>Dyna Doucette</t>
  </si>
  <si>
    <t>Gunar Cockshoot</t>
  </si>
  <si>
    <t>Kaye Crocroft</t>
  </si>
  <si>
    <t>Allene Gobbet</t>
  </si>
  <si>
    <t>Sibyl Dunkirk</t>
  </si>
  <si>
    <t>Agnes Collicott</t>
  </si>
  <si>
    <t>Leilah Yesinin</t>
  </si>
  <si>
    <t>Mollie Hanway</t>
  </si>
  <si>
    <t>Kellsie Waby</t>
  </si>
  <si>
    <t>Hyacinthie Braybrooke</t>
  </si>
  <si>
    <t>Van Tuxwell</t>
  </si>
  <si>
    <t>Lilyan Klimpt</t>
  </si>
  <si>
    <t>Tawnya Tickel</t>
  </si>
  <si>
    <t>Jan Morforth</t>
  </si>
  <si>
    <t>Florinda Crace</t>
  </si>
  <si>
    <t>Tracy Renad</t>
  </si>
  <si>
    <t>Myer McCory</t>
  </si>
  <si>
    <t>Bennie Pepis</t>
  </si>
  <si>
    <t>Rafaelita Blaksland</t>
  </si>
  <si>
    <t>Mahalia Larcher</t>
  </si>
  <si>
    <t>Andria Kimpton</t>
  </si>
  <si>
    <t>Valentia Etteridge</t>
  </si>
  <si>
    <t>Virginia McConville</t>
  </si>
  <si>
    <t>Wilone O'Kielt</t>
  </si>
  <si>
    <t>Madge McCloughen</t>
  </si>
  <si>
    <t>Janene Hairsine</t>
  </si>
  <si>
    <t>Alta Kaszper</t>
  </si>
  <si>
    <t>Dennison Crosswaite</t>
  </si>
  <si>
    <t>Oran Buxcy</t>
  </si>
  <si>
    <t>Hinda Label</t>
  </si>
  <si>
    <t>Marney O'Breen</t>
  </si>
  <si>
    <t>Dell Molloy</t>
  </si>
  <si>
    <t>Mallorie Waber</t>
  </si>
  <si>
    <t>Cherlyn Barter</t>
  </si>
  <si>
    <t>Ches Bonnell</t>
  </si>
  <si>
    <t>Collin Jagson</t>
  </si>
  <si>
    <t>Hogan Iles</t>
  </si>
  <si>
    <t>Gretchen Callow</t>
  </si>
  <si>
    <t>Kissiah Maydway</t>
  </si>
  <si>
    <t>Archibald Filliskirk</t>
  </si>
  <si>
    <t>Enoch Dowrey</t>
  </si>
  <si>
    <t>Bili Sizey</t>
  </si>
  <si>
    <t>Caro Chappel</t>
  </si>
  <si>
    <t>Constantino Espley</t>
  </si>
  <si>
    <t>Karlen McCaffrey</t>
  </si>
  <si>
    <t>Drusy MacCombe</t>
  </si>
  <si>
    <t>My Hanscome</t>
  </si>
  <si>
    <t>Teressa Udden</t>
  </si>
  <si>
    <t>Crissie Cordel</t>
  </si>
  <si>
    <t>Elia Cockton</t>
  </si>
  <si>
    <t>Gigi Bohling</t>
  </si>
  <si>
    <t>Ebonee Roxburgh</t>
  </si>
  <si>
    <t>Shayne Stegel</t>
  </si>
  <si>
    <t>Zach Polon</t>
  </si>
  <si>
    <t>Deepali Charan</t>
  </si>
  <si>
    <t>Yagna Sujeev</t>
  </si>
  <si>
    <t>Satyendra Venkatadri</t>
  </si>
  <si>
    <t>Madhavdas Buhpathi</t>
  </si>
  <si>
    <t>Sahila Chandrasekhar</t>
  </si>
  <si>
    <t>Mirium Seemantini Shivakumar</t>
  </si>
  <si>
    <t>Purnendu Vijayarangan</t>
  </si>
  <si>
    <t>Rukma Vinita</t>
  </si>
  <si>
    <t>Yauvani Tarpa</t>
  </si>
  <si>
    <t>Damayanti Thangavadivelu</t>
  </si>
  <si>
    <t>Manjusri Ruchi</t>
  </si>
  <si>
    <t>Mithil Nadkarni</t>
  </si>
  <si>
    <t>Ardhendu Abhichandra Jayakar</t>
  </si>
  <si>
    <t>Akbar Sorabhjee</t>
  </si>
  <si>
    <t>Bandhula Sathyanna</t>
  </si>
  <si>
    <t>Daruka Ghazali</t>
  </si>
  <si>
    <t>Heer Pennathur</t>
  </si>
  <si>
    <t>Shekhar Eswara</t>
  </si>
  <si>
    <t>Udyan Lanka</t>
  </si>
  <si>
    <t>Shreela Ramasubraman</t>
  </si>
  <si>
    <t>Sanchali Shirish</t>
  </si>
  <si>
    <t>Gangadutt Ragha</t>
  </si>
  <si>
    <t>Waheeda Vasuman</t>
  </si>
  <si>
    <t>Nanak Sapna</t>
  </si>
  <si>
    <t>Shobhana Samuel</t>
  </si>
  <si>
    <t>Amlankusum Rajabhushan</t>
  </si>
  <si>
    <t>Pratigya Rema</t>
  </si>
  <si>
    <t>Ramnath Ravuri</t>
  </si>
  <si>
    <t>Prerana Nishita</t>
  </si>
  <si>
    <t>Makshi Vinutha</t>
  </si>
  <si>
    <t>Shiuli Sapna</t>
  </si>
  <si>
    <t>Agrata Rajarama</t>
  </si>
  <si>
    <t>Vasu Nandin</t>
  </si>
  <si>
    <t>Bhuvan Pals</t>
  </si>
  <si>
    <t>Gumwant Veera</t>
  </si>
  <si>
    <t>Narois Motiwala</t>
  </si>
  <si>
    <t>Anjushri Chandiramani</t>
  </si>
  <si>
    <t>Krishnakanta Vellanki</t>
  </si>
  <si>
    <t>Dhruv Manjunath</t>
  </si>
  <si>
    <t>Vanmala Shriharsha</t>
  </si>
  <si>
    <t>Sameer Shashank Sapra</t>
  </si>
  <si>
    <t>Anumati Shyamari Meherhomji</t>
  </si>
  <si>
    <t>Tarala Vishaal</t>
  </si>
  <si>
    <t>Shubhra Potla</t>
  </si>
  <si>
    <t>Hemavati Muthiah</t>
  </si>
  <si>
    <t>Krittika Gaekwad</t>
  </si>
  <si>
    <t>Shevantilal Muppala</t>
  </si>
  <si>
    <t>Shattesh Utpat</t>
  </si>
  <si>
    <t>Kamalakshi Mukundan</t>
  </si>
  <si>
    <t>Chandana Sannidhi Surnilla</t>
  </si>
  <si>
    <t>Indu Varada Sumedh</t>
  </si>
  <si>
    <t>Karuna Pashupathy</t>
  </si>
  <si>
    <t>Mardav Ramaswami</t>
  </si>
  <si>
    <t>Sarayu Ragunathan</t>
  </si>
  <si>
    <t>Kevalkumar Solanki</t>
  </si>
  <si>
    <t>Upendra Swati</t>
  </si>
  <si>
    <t>Deepit Ranjana</t>
  </si>
  <si>
    <t>Amal Nimesh</t>
  </si>
  <si>
    <t>Kunja Prashanta Vibha</t>
  </si>
  <si>
    <t>Godavari Veena</t>
  </si>
  <si>
    <t>Devasree Fullara Saurin</t>
  </si>
  <si>
    <t>Geena Raghavanpillai</t>
  </si>
  <si>
    <t>Rupak Mehra</t>
  </si>
  <si>
    <t>Sawini Chandan</t>
  </si>
  <si>
    <t>Baruna Ogale</t>
  </si>
  <si>
    <t>Jagajeet Viraj</t>
  </si>
  <si>
    <t>Kulbhushan Moorthy</t>
  </si>
  <si>
    <t>Ilesh Dasgupta</t>
  </si>
  <si>
    <t>Madhumati Gazala Soumitra</t>
  </si>
  <si>
    <t>Chitrasen Laul</t>
  </si>
  <si>
    <t>Jaishree Atasi Yavatkar</t>
  </si>
  <si>
    <t>Kantimoy Pritish</t>
  </si>
  <si>
    <t>Rameshwari Chikodi</t>
  </si>
  <si>
    <t>Lalit Kothari</t>
  </si>
  <si>
    <t>Sahas Sanabhi Shrikant</t>
  </si>
  <si>
    <t>Kaishori Harathi Kateel</t>
  </si>
  <si>
    <t>Rushil Kripa</t>
  </si>
  <si>
    <t>Sarojini Naueshwara</t>
  </si>
  <si>
    <t>Sartaj Probal</t>
  </si>
  <si>
    <t>Mahindra Sreedharan</t>
  </si>
  <si>
    <t>Suchira Bhanupriya Tapti</t>
  </si>
  <si>
    <t>Fullara Sushanti Mokate</t>
  </si>
  <si>
    <t>Hridaynath Tendulkar</t>
  </si>
  <si>
    <t>Abhaya Priyavardhan</t>
  </si>
  <si>
    <t>Ayog Chakrabarti</t>
  </si>
  <si>
    <t>Pragya Nilufar</t>
  </si>
  <si>
    <t>Shulabh Qutub Sundaramoorthy</t>
  </si>
  <si>
    <t>Vinanti Choudhari</t>
  </si>
  <si>
    <t>Ranajay Kailashnath Richa</t>
  </si>
  <si>
    <t>Asija Pothireddy</t>
  </si>
  <si>
    <t>Piyali Mahanthapa</t>
  </si>
  <si>
    <t>Sukhdev Nageshwar</t>
  </si>
  <si>
    <t>Total</t>
  </si>
  <si>
    <t>Country</t>
  </si>
  <si>
    <t>ind</t>
  </si>
  <si>
    <t>others</t>
  </si>
  <si>
    <t>nz</t>
  </si>
  <si>
    <t>average tenure</t>
  </si>
  <si>
    <t>female ratio</t>
  </si>
  <si>
    <t>count of employees</t>
  </si>
  <si>
    <t>average salary</t>
  </si>
  <si>
    <t>average age</t>
  </si>
  <si>
    <t>tenure</t>
  </si>
  <si>
    <t>female count</t>
  </si>
  <si>
    <t>ratio</t>
  </si>
  <si>
    <t>gender</t>
  </si>
  <si>
    <t>age</t>
  </si>
  <si>
    <t>rating</t>
  </si>
  <si>
    <t>date of join</t>
  </si>
  <si>
    <t>department</t>
  </si>
  <si>
    <t>salary</t>
  </si>
  <si>
    <t>country</t>
  </si>
  <si>
    <t>department name</t>
  </si>
  <si>
    <t>Column1</t>
  </si>
  <si>
    <t>Male vs Female</t>
  </si>
  <si>
    <t>Row Labels</t>
  </si>
  <si>
    <t>Grand Total</t>
  </si>
  <si>
    <t>Column Labels</t>
  </si>
  <si>
    <t>Count of Name</t>
  </si>
  <si>
    <t>Values</t>
  </si>
  <si>
    <t>Average of Age</t>
  </si>
  <si>
    <t>Average of Salary</t>
  </si>
  <si>
    <t>Average of tenure</t>
  </si>
  <si>
    <t>BONUS</t>
  </si>
  <si>
    <t>rating as number</t>
  </si>
  <si>
    <t>Column2</t>
  </si>
  <si>
    <t>2020</t>
  </si>
  <si>
    <t>2021</t>
  </si>
  <si>
    <t>2022</t>
  </si>
  <si>
    <t>2023</t>
  </si>
  <si>
    <t>month</t>
  </si>
  <si>
    <t>head count</t>
  </si>
  <si>
    <t>running total</t>
  </si>
  <si>
    <t>Headcount by Department</t>
  </si>
  <si>
    <t>New Zealand</t>
  </si>
  <si>
    <t>India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</si>
</sst>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8" formatCode="&quot;₹&quot;\ #,##0.00;[Red]&quot;₹&quot;\ \-#,##0.00"/>
    <numFmt numFmtId="164" formatCode="&quot;₹&quot;\ #,##0.00"/>
    <numFmt numFmtId="165" formatCode="[$$-1009]#,##0.00"/>
    <numFmt numFmtId="166" formatCode="[$$-1009]#,##0"/>
    <numFmt numFmtId="167" formatCode="[$$-1009]#,##0.00;[Red]\-[$$-1009]#,##0.00"/>
    <numFmt numFmtId="168" formatCode="[$-14009]dd/mm/yyyy;@"/>
    <numFmt numFmtId="169" formatCode="[$$-1009]#,##0;[Red]\-[$$-1009]#,##0"/>
  </numFmts>
  <fonts count="6" x14ac:knownFonts="1">
    <font>
      <sz val="11"/>
      <color theme="1"/>
      <name val="Calibri"/>
      <family val="2"/>
      <scheme val="minor"/>
    </font>
    <font>
      <sz val="14"/>
      <color theme="1"/>
      <name val="Calibri"/>
      <family val="2"/>
      <scheme val="minor"/>
    </font>
    <font>
      <sz val="18"/>
      <color theme="1"/>
      <name val="Calibri"/>
      <family val="2"/>
      <scheme val="minor"/>
    </font>
    <font>
      <b/>
      <sz val="24"/>
      <color theme="0"/>
      <name val="Calibri"/>
      <family val="2"/>
      <scheme val="minor"/>
    </font>
    <font>
      <b/>
      <sz val="36"/>
      <color theme="0"/>
      <name val="Calibri"/>
      <family val="2"/>
      <scheme val="minor"/>
    </font>
    <font>
      <sz val="16"/>
      <color theme="0"/>
      <name val="Calibri"/>
      <family val="2"/>
      <scheme val="minor"/>
    </font>
  </fonts>
  <fills count="10">
    <fill>
      <patternFill patternType="none"/>
    </fill>
    <fill>
      <patternFill patternType="gray125"/>
    </fill>
    <fill>
      <patternFill patternType="solid">
        <fgColor theme="9" tint="0.79998168889431442"/>
        <bgColor theme="9" tint="0.79998168889431442"/>
      </patternFill>
    </fill>
    <fill>
      <patternFill patternType="solid">
        <fgColor theme="5"/>
        <bgColor indexed="64"/>
      </patternFill>
    </fill>
    <fill>
      <patternFill patternType="solid">
        <fgColor theme="4" tint="0.39997558519241921"/>
        <bgColor indexed="64"/>
      </patternFill>
    </fill>
    <fill>
      <patternFill patternType="solid">
        <fgColor theme="5" tint="-0.249977111117893"/>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2"/>
        <bgColor indexed="64"/>
      </patternFill>
    </fill>
    <fill>
      <patternFill patternType="solid">
        <fgColor theme="4" tint="-0.249977111117893"/>
        <bgColor indexed="64"/>
      </patternFill>
    </fill>
  </fills>
  <borders count="12">
    <border>
      <left/>
      <right/>
      <top/>
      <bottom/>
      <diagonal/>
    </border>
    <border>
      <left/>
      <right/>
      <top style="thin">
        <color theme="9" tint="0.39997558519241921"/>
      </top>
      <bottom style="thin">
        <color theme="9" tint="0.39997558519241921"/>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right/>
      <top style="thin">
        <color indexed="64"/>
      </top>
      <bottom/>
      <diagonal/>
    </border>
    <border>
      <left/>
      <right/>
      <top/>
      <bottom style="thin">
        <color indexed="64"/>
      </bottom>
      <diagonal/>
    </border>
  </borders>
  <cellStyleXfs count="1">
    <xf numFmtId="0" fontId="0" fillId="0" borderId="0"/>
  </cellStyleXfs>
  <cellXfs count="42">
    <xf numFmtId="0" fontId="0" fillId="0" borderId="0" xfId="0"/>
    <xf numFmtId="15" fontId="0" fillId="0" borderId="0" xfId="0" applyNumberFormat="1"/>
    <xf numFmtId="8" fontId="0" fillId="0" borderId="0" xfId="0" applyNumberFormat="1"/>
    <xf numFmtId="22" fontId="0" fillId="0" borderId="0" xfId="0" applyNumberFormat="1"/>
    <xf numFmtId="14" fontId="0" fillId="0" borderId="0" xfId="0" applyNumberFormat="1"/>
    <xf numFmtId="1" fontId="0" fillId="0" borderId="0" xfId="0" applyNumberFormat="1"/>
    <xf numFmtId="2" fontId="0" fillId="0" borderId="0" xfId="0" applyNumberFormat="1"/>
    <xf numFmtId="9" fontId="0" fillId="0" borderId="0" xfId="0" applyNumberFormat="1"/>
    <xf numFmtId="0" fontId="0" fillId="3" borderId="0" xfId="0" applyFill="1" applyAlignment="1">
      <alignment horizontal="center"/>
    </xf>
    <xf numFmtId="0" fontId="0" fillId="0" borderId="0" xfId="0" applyAlignment="1">
      <alignment horizontal="left"/>
    </xf>
    <xf numFmtId="0" fontId="0" fillId="4" borderId="0" xfId="0" applyFill="1"/>
    <xf numFmtId="0" fontId="0" fillId="5" borderId="0" xfId="0" applyFill="1" applyAlignment="1">
      <alignment horizontal="center"/>
    </xf>
    <xf numFmtId="0" fontId="0" fillId="2" borderId="1" xfId="0" applyFill="1" applyBorder="1"/>
    <xf numFmtId="0" fontId="0" fillId="6" borderId="0" xfId="0" applyFill="1"/>
    <xf numFmtId="0" fontId="0" fillId="0" borderId="0" xfId="0" pivotButton="1"/>
    <xf numFmtId="164" fontId="0" fillId="0" borderId="0" xfId="0" applyNumberFormat="1"/>
    <xf numFmtId="165" fontId="0" fillId="0" borderId="0" xfId="0" applyNumberFormat="1"/>
    <xf numFmtId="166" fontId="0" fillId="0" borderId="0" xfId="0" applyNumberFormat="1"/>
    <xf numFmtId="167" fontId="0" fillId="0" borderId="0" xfId="0" applyNumberFormat="1"/>
    <xf numFmtId="0" fontId="0" fillId="7" borderId="0" xfId="0" applyFill="1"/>
    <xf numFmtId="0" fontId="0" fillId="0" borderId="2" xfId="0" applyBorder="1" applyAlignment="1">
      <alignment horizontal="left"/>
    </xf>
    <xf numFmtId="0" fontId="0" fillId="0" borderId="3" xfId="0" applyBorder="1"/>
    <xf numFmtId="0" fontId="0" fillId="0" borderId="4" xfId="0" applyBorder="1" applyAlignment="1">
      <alignment horizontal="left"/>
    </xf>
    <xf numFmtId="0" fontId="0" fillId="0" borderId="5" xfId="0" applyBorder="1"/>
    <xf numFmtId="0" fontId="0" fillId="0" borderId="6" xfId="0" applyBorder="1" applyAlignment="1">
      <alignment horizontal="left"/>
    </xf>
    <xf numFmtId="0" fontId="0" fillId="0" borderId="7" xfId="0" applyBorder="1"/>
    <xf numFmtId="0" fontId="0" fillId="0" borderId="6" xfId="0" applyBorder="1"/>
    <xf numFmtId="0" fontId="0" fillId="0" borderId="8" xfId="0" applyBorder="1"/>
    <xf numFmtId="0" fontId="0" fillId="0" borderId="9" xfId="0" applyBorder="1"/>
    <xf numFmtId="0" fontId="0" fillId="0" borderId="4" xfId="0" applyBorder="1"/>
    <xf numFmtId="168" fontId="0" fillId="0" borderId="0" xfId="0" applyNumberFormat="1"/>
    <xf numFmtId="0" fontId="0" fillId="0" borderId="10" xfId="0" applyBorder="1"/>
    <xf numFmtId="0" fontId="0" fillId="0" borderId="11" xfId="0" applyBorder="1"/>
    <xf numFmtId="9" fontId="3" fillId="9" borderId="0" xfId="0" applyNumberFormat="1" applyFont="1" applyFill="1" applyAlignment="1">
      <alignment horizontal="center" vertical="center"/>
    </xf>
    <xf numFmtId="0" fontId="4" fillId="9" borderId="0" xfId="0" applyFont="1" applyFill="1" applyAlignment="1">
      <alignment horizontal="center" vertical="center"/>
    </xf>
    <xf numFmtId="169" fontId="5" fillId="9" borderId="0" xfId="0" applyNumberFormat="1" applyFont="1" applyFill="1" applyAlignment="1">
      <alignment horizontal="center" vertical="center"/>
    </xf>
    <xf numFmtId="0" fontId="4" fillId="5" borderId="0" xfId="0" applyFont="1" applyFill="1" applyAlignment="1">
      <alignment horizontal="center" vertical="center"/>
    </xf>
    <xf numFmtId="9" fontId="3" fillId="5" borderId="0" xfId="0" applyNumberFormat="1" applyFont="1" applyFill="1" applyAlignment="1">
      <alignment horizontal="center" vertical="center"/>
    </xf>
    <xf numFmtId="169" fontId="5" fillId="5" borderId="0" xfId="0" applyNumberFormat="1" applyFont="1" applyFill="1" applyAlignment="1">
      <alignment horizontal="center" vertical="center"/>
    </xf>
    <xf numFmtId="0" fontId="1" fillId="8" borderId="0" xfId="0" applyFont="1" applyFill="1" applyAlignment="1">
      <alignment horizontal="center" vertical="center"/>
    </xf>
    <xf numFmtId="0" fontId="2" fillId="0" borderId="0" xfId="0" applyFont="1" applyAlignment="1">
      <alignment horizontal="center"/>
    </xf>
    <xf numFmtId="0" fontId="0" fillId="0" borderId="0" xfId="0" applyAlignment="1">
      <alignment horizontal="center"/>
    </xf>
  </cellXfs>
  <cellStyles count="1">
    <cellStyle name="Normal" xfId="0" builtinId="0"/>
  </cellStyles>
  <dxfs count="30">
    <dxf>
      <border diagonalUp="0" diagonalDown="0">
        <left style="thin">
          <color indexed="64"/>
        </left>
        <right/>
        <top style="thin">
          <color indexed="64"/>
        </top>
        <bottom style="thin">
          <color indexed="64"/>
        </bottom>
        <vertical/>
        <horizontal/>
      </border>
    </dxf>
    <dxf>
      <alignment horizontal="left"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bottom/>
      </border>
    </dxf>
    <dxf>
      <numFmt numFmtId="166" formatCode="[$$-1009]#,##0"/>
    </dxf>
    <dxf>
      <numFmt numFmtId="166" formatCode="[$$-1009]#,##0"/>
    </dxf>
    <dxf>
      <numFmt numFmtId="4" formatCode="#,##0.00"/>
    </dxf>
    <dxf>
      <numFmt numFmtId="164" formatCode="&quot;₹&quot;\ #,##0.00"/>
    </dxf>
    <dxf>
      <numFmt numFmtId="2" formatCode="0.00"/>
    </dxf>
    <dxf>
      <numFmt numFmtId="2" formatCode="0.00"/>
    </dxf>
    <dxf>
      <numFmt numFmtId="164" formatCode="&quot;₹&quot;\ #,##0.00"/>
    </dxf>
    <dxf>
      <numFmt numFmtId="2" formatCode="0.00"/>
    </dxf>
    <dxf>
      <numFmt numFmtId="2" formatCode="0.00"/>
    </dxf>
    <dxf>
      <numFmt numFmtId="164" formatCode="&quot;₹&quot;\ #,##0.00"/>
    </dxf>
    <dxf>
      <numFmt numFmtId="2" formatCode="0.00"/>
    </dxf>
    <dxf>
      <numFmt numFmtId="1" formatCode="0"/>
    </dxf>
    <dxf>
      <numFmt numFmtId="165" formatCode="[$$-1009]#,##0.00"/>
    </dxf>
    <dxf>
      <numFmt numFmtId="2" formatCode="0.00"/>
    </dxf>
    <dxf>
      <numFmt numFmtId="165" formatCode="[$$-1009]#,##0.00"/>
    </dxf>
    <dxf>
      <numFmt numFmtId="0" formatCode="General"/>
    </dxf>
    <dxf>
      <numFmt numFmtId="19" formatCode="dd/mm/yyyy"/>
    </dxf>
    <dxf>
      <numFmt numFmtId="0" formatCode="General"/>
    </dxf>
    <dxf>
      <numFmt numFmtId="0" formatCode="General"/>
    </dxf>
    <dxf>
      <numFmt numFmtId="165" formatCode="[$$-1009]#,##0.00"/>
    </dxf>
    <dxf>
      <numFmt numFmtId="165" formatCode="[$$-1009]#,##0.00"/>
    </dxf>
    <dxf>
      <numFmt numFmtId="20" formatCode="dd/mmm/yy"/>
    </dxf>
    <dxf>
      <numFmt numFmtId="12" formatCode="&quot;₹&quot;\ #,##0.00;[Red]&quot;₹&quot;\ \-#,##0.00"/>
    </dxf>
    <dxf>
      <numFmt numFmtId="167" formatCode="[$$-1009]#,##0.00;[Red]\-[$$-1009]#,##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microsoft.com/office/2007/relationships/slicerCache" Target="slicerCaches/slicerCache1.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pivotCacheDefinition" Target="pivotCache/pivotCacheDefinition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pivotCacheDefinition" Target="pivotCache/pivotCacheDefinition5.xml"/><Relationship Id="rId23" Type="http://schemas.openxmlformats.org/officeDocument/2006/relationships/powerPivotData" Target="model/item.data"/><Relationship Id="rId10" Type="http://schemas.openxmlformats.org/officeDocument/2006/relationships/worksheet" Target="worksheets/sheet10.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4.xml"/><Relationship Id="rId22"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[AWESOME CHOCOLATES.xlsx]Sheet10!PivotTable4</c:name>
    <c:fmtId val="10"/>
  </c:pivotSource>
  <c:chart>
    <c:autoTitleDeleted val="1"/>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Sheet10!$C$5</c:f>
              <c:strCache>
                <c:ptCount val="1"/>
                <c:pt idx="0">
                  <c:v>Total</c:v>
                </c:pt>
              </c:strCache>
            </c:strRef>
          </c:tx>
          <c:spPr>
            <a:solidFill>
              <a:schemeClr val="accent2"/>
            </a:solidFill>
            <a:ln>
              <a:noFill/>
            </a:ln>
            <a:effectLst/>
          </c:spPr>
          <c:invertIfNegative val="0"/>
          <c:cat>
            <c:strRef>
              <c:f>Sheet10!$B$6:$B$11</c:f>
              <c:strCache>
                <c:ptCount val="5"/>
                <c:pt idx="0">
                  <c:v>Procurement</c:v>
                </c:pt>
                <c:pt idx="1">
                  <c:v>Website</c:v>
                </c:pt>
                <c:pt idx="2">
                  <c:v>Finance</c:v>
                </c:pt>
                <c:pt idx="3">
                  <c:v>Sales</c:v>
                </c:pt>
                <c:pt idx="4">
                  <c:v>HR</c:v>
                </c:pt>
              </c:strCache>
            </c:strRef>
          </c:cat>
          <c:val>
            <c:numRef>
              <c:f>Sheet10!$C$6:$C$11</c:f>
              <c:numCache>
                <c:formatCode>General</c:formatCode>
                <c:ptCount val="5"/>
                <c:pt idx="0">
                  <c:v>28</c:v>
                </c:pt>
                <c:pt idx="1">
                  <c:v>27</c:v>
                </c:pt>
                <c:pt idx="2">
                  <c:v>19</c:v>
                </c:pt>
                <c:pt idx="3">
                  <c:v>14</c:v>
                </c:pt>
                <c:pt idx="4">
                  <c:v>4</c:v>
                </c:pt>
              </c:numCache>
            </c:numRef>
          </c:val>
          <c:extLst>
            <c:ext xmlns:c16="http://schemas.microsoft.com/office/drawing/2014/chart" uri="{C3380CC4-5D6E-409C-BE32-E72D297353CC}">
              <c16:uniqueId val="{00000000-13E5-4D49-9389-B10C71135130}"/>
            </c:ext>
          </c:extLst>
        </c:ser>
        <c:dLbls>
          <c:showLegendKey val="0"/>
          <c:showVal val="0"/>
          <c:showCatName val="0"/>
          <c:showSerName val="0"/>
          <c:showPercent val="0"/>
          <c:showBubbleSize val="0"/>
        </c:dLbls>
        <c:gapWidth val="30"/>
        <c:axId val="240495391"/>
        <c:axId val="240501839"/>
      </c:barChart>
      <c:catAx>
        <c:axId val="240495391"/>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0501839"/>
        <c:crosses val="autoZero"/>
        <c:auto val="1"/>
        <c:lblAlgn val="ctr"/>
        <c:lblOffset val="100"/>
        <c:noMultiLvlLbl val="0"/>
      </c:catAx>
      <c:valAx>
        <c:axId val="240501839"/>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04953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[AWESOME CHOCOLATES.xlsx]Sheet10!PivotTable5</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Sheet10!$F$5</c:f>
              <c:strCache>
                <c:ptCount val="1"/>
                <c:pt idx="0">
                  <c:v>Total</c:v>
                </c:pt>
              </c:strCache>
            </c:strRef>
          </c:tx>
          <c:spPr>
            <a:solidFill>
              <a:schemeClr val="accent1"/>
            </a:solidFill>
            <a:ln>
              <a:noFill/>
            </a:ln>
            <a:effectLst/>
          </c:spPr>
          <c:invertIfNegative val="0"/>
          <c:cat>
            <c:strRef>
              <c:f>Sheet10!$E$6:$E$11</c:f>
              <c:strCache>
                <c:ptCount val="5"/>
                <c:pt idx="0">
                  <c:v>Website</c:v>
                </c:pt>
                <c:pt idx="1">
                  <c:v>Procurement</c:v>
                </c:pt>
                <c:pt idx="2">
                  <c:v>Finance</c:v>
                </c:pt>
                <c:pt idx="3">
                  <c:v>Sales</c:v>
                </c:pt>
                <c:pt idx="4">
                  <c:v>HR</c:v>
                </c:pt>
              </c:strCache>
            </c:strRef>
          </c:cat>
          <c:val>
            <c:numRef>
              <c:f>Sheet10!$F$6:$F$11</c:f>
              <c:numCache>
                <c:formatCode>General</c:formatCode>
                <c:ptCount val="5"/>
                <c:pt idx="0">
                  <c:v>27</c:v>
                </c:pt>
                <c:pt idx="1">
                  <c:v>27</c:v>
                </c:pt>
                <c:pt idx="2">
                  <c:v>19</c:v>
                </c:pt>
                <c:pt idx="3">
                  <c:v>14</c:v>
                </c:pt>
                <c:pt idx="4">
                  <c:v>4</c:v>
                </c:pt>
              </c:numCache>
            </c:numRef>
          </c:val>
          <c:extLst>
            <c:ext xmlns:c16="http://schemas.microsoft.com/office/drawing/2014/chart" uri="{C3380CC4-5D6E-409C-BE32-E72D297353CC}">
              <c16:uniqueId val="{00000000-0F2D-419B-B317-EFE2FCEDB695}"/>
            </c:ext>
          </c:extLst>
        </c:ser>
        <c:dLbls>
          <c:showLegendKey val="0"/>
          <c:showVal val="0"/>
          <c:showCatName val="0"/>
          <c:showSerName val="0"/>
          <c:showPercent val="0"/>
          <c:showBubbleSize val="0"/>
        </c:dLbls>
        <c:gapWidth val="30"/>
        <c:axId val="240496383"/>
        <c:axId val="240486463"/>
      </c:barChart>
      <c:catAx>
        <c:axId val="240496383"/>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0486463"/>
        <c:crosses val="autoZero"/>
        <c:auto val="1"/>
        <c:lblAlgn val="ctr"/>
        <c:lblOffset val="100"/>
        <c:noMultiLvlLbl val="0"/>
      </c:catAx>
      <c:valAx>
        <c:axId val="240486463"/>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04963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salary vs 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staff!$K$4</c:f>
              <c:strCache>
                <c:ptCount val="1"/>
                <c:pt idx="0">
                  <c:v>rating as number</c:v>
                </c:pt>
              </c:strCache>
            </c:strRef>
          </c:tx>
          <c:spPr>
            <a:ln w="19050" cap="rnd">
              <a:noFill/>
              <a:round/>
            </a:ln>
            <a:effectLst/>
          </c:spPr>
          <c:marker>
            <c:symbol val="circle"/>
            <c:size val="5"/>
            <c:spPr>
              <a:solidFill>
                <a:schemeClr val="accent1"/>
              </a:solidFill>
              <a:ln w="9525">
                <a:solidFill>
                  <a:schemeClr val="accent1"/>
                </a:solidFill>
              </a:ln>
              <a:effectLst/>
            </c:spPr>
          </c:marker>
          <c:xVal>
            <c:numRef>
              <c:f>staff!$G$5:$G$208</c:f>
              <c:numCache>
                <c:formatCode>[$$-1009]#,##0.00</c:formatCode>
                <c:ptCount val="204"/>
                <c:pt idx="0">
                  <c:v>112650</c:v>
                </c:pt>
                <c:pt idx="1">
                  <c:v>43840</c:v>
                </c:pt>
                <c:pt idx="2">
                  <c:v>103550</c:v>
                </c:pt>
                <c:pt idx="3">
                  <c:v>45510</c:v>
                </c:pt>
                <c:pt idx="4">
                  <c:v>115440</c:v>
                </c:pt>
                <c:pt idx="5">
                  <c:v>56870</c:v>
                </c:pt>
                <c:pt idx="6">
                  <c:v>92700</c:v>
                </c:pt>
                <c:pt idx="7">
                  <c:v>91310</c:v>
                </c:pt>
                <c:pt idx="8">
                  <c:v>74550</c:v>
                </c:pt>
                <c:pt idx="9">
                  <c:v>109190</c:v>
                </c:pt>
                <c:pt idx="10">
                  <c:v>104410</c:v>
                </c:pt>
                <c:pt idx="11">
                  <c:v>96800</c:v>
                </c:pt>
                <c:pt idx="12">
                  <c:v>48170</c:v>
                </c:pt>
                <c:pt idx="13">
                  <c:v>37920</c:v>
                </c:pt>
                <c:pt idx="14">
                  <c:v>112650</c:v>
                </c:pt>
                <c:pt idx="15">
                  <c:v>49630</c:v>
                </c:pt>
                <c:pt idx="16">
                  <c:v>118840</c:v>
                </c:pt>
                <c:pt idx="17">
                  <c:v>69710</c:v>
                </c:pt>
                <c:pt idx="18">
                  <c:v>79570</c:v>
                </c:pt>
                <c:pt idx="19">
                  <c:v>76900</c:v>
                </c:pt>
                <c:pt idx="20">
                  <c:v>54970</c:v>
                </c:pt>
                <c:pt idx="21">
                  <c:v>88050</c:v>
                </c:pt>
                <c:pt idx="22">
                  <c:v>36040</c:v>
                </c:pt>
                <c:pt idx="23">
                  <c:v>75000</c:v>
                </c:pt>
                <c:pt idx="24">
                  <c:v>40400</c:v>
                </c:pt>
                <c:pt idx="25">
                  <c:v>100420</c:v>
                </c:pt>
                <c:pt idx="26">
                  <c:v>58100</c:v>
                </c:pt>
                <c:pt idx="27">
                  <c:v>114870</c:v>
                </c:pt>
                <c:pt idx="28">
                  <c:v>41570</c:v>
                </c:pt>
                <c:pt idx="29">
                  <c:v>112570</c:v>
                </c:pt>
                <c:pt idx="30">
                  <c:v>47360</c:v>
                </c:pt>
                <c:pt idx="31">
                  <c:v>65920</c:v>
                </c:pt>
                <c:pt idx="32">
                  <c:v>99970</c:v>
                </c:pt>
                <c:pt idx="33">
                  <c:v>80700</c:v>
                </c:pt>
                <c:pt idx="34">
                  <c:v>52610</c:v>
                </c:pt>
                <c:pt idx="35">
                  <c:v>112110</c:v>
                </c:pt>
                <c:pt idx="36">
                  <c:v>119110</c:v>
                </c:pt>
                <c:pt idx="37">
                  <c:v>112780</c:v>
                </c:pt>
                <c:pt idx="38">
                  <c:v>114890</c:v>
                </c:pt>
                <c:pt idx="39">
                  <c:v>48980</c:v>
                </c:pt>
                <c:pt idx="40">
                  <c:v>75880</c:v>
                </c:pt>
                <c:pt idx="41">
                  <c:v>53240</c:v>
                </c:pt>
                <c:pt idx="42">
                  <c:v>85000</c:v>
                </c:pt>
                <c:pt idx="43">
                  <c:v>33920</c:v>
                </c:pt>
                <c:pt idx="44">
                  <c:v>75280</c:v>
                </c:pt>
                <c:pt idx="45">
                  <c:v>58940</c:v>
                </c:pt>
                <c:pt idx="46">
                  <c:v>104770</c:v>
                </c:pt>
                <c:pt idx="47">
                  <c:v>57090</c:v>
                </c:pt>
                <c:pt idx="48">
                  <c:v>91650</c:v>
                </c:pt>
                <c:pt idx="49">
                  <c:v>70270</c:v>
                </c:pt>
                <c:pt idx="50">
                  <c:v>75970</c:v>
                </c:pt>
                <c:pt idx="51">
                  <c:v>90700</c:v>
                </c:pt>
                <c:pt idx="52">
                  <c:v>60570</c:v>
                </c:pt>
                <c:pt idx="53">
                  <c:v>115920</c:v>
                </c:pt>
                <c:pt idx="54">
                  <c:v>65360</c:v>
                </c:pt>
                <c:pt idx="55">
                  <c:v>64000</c:v>
                </c:pt>
                <c:pt idx="56">
                  <c:v>92450</c:v>
                </c:pt>
                <c:pt idx="57">
                  <c:v>48950</c:v>
                </c:pt>
                <c:pt idx="58">
                  <c:v>83750</c:v>
                </c:pt>
                <c:pt idx="59">
                  <c:v>87620</c:v>
                </c:pt>
                <c:pt idx="60">
                  <c:v>68900</c:v>
                </c:pt>
                <c:pt idx="61">
                  <c:v>53540</c:v>
                </c:pt>
                <c:pt idx="62">
                  <c:v>43510</c:v>
                </c:pt>
                <c:pt idx="63">
                  <c:v>109160</c:v>
                </c:pt>
                <c:pt idx="64">
                  <c:v>99750</c:v>
                </c:pt>
                <c:pt idx="65">
                  <c:v>41980</c:v>
                </c:pt>
                <c:pt idx="66">
                  <c:v>71380</c:v>
                </c:pt>
                <c:pt idx="67">
                  <c:v>113280</c:v>
                </c:pt>
                <c:pt idx="68">
                  <c:v>86570</c:v>
                </c:pt>
                <c:pt idx="69">
                  <c:v>53540</c:v>
                </c:pt>
                <c:pt idx="70">
                  <c:v>69070</c:v>
                </c:pt>
                <c:pt idx="71">
                  <c:v>67910</c:v>
                </c:pt>
                <c:pt idx="72">
                  <c:v>69120</c:v>
                </c:pt>
                <c:pt idx="73">
                  <c:v>60130</c:v>
                </c:pt>
                <c:pt idx="74">
                  <c:v>106460</c:v>
                </c:pt>
                <c:pt idx="75">
                  <c:v>118100</c:v>
                </c:pt>
                <c:pt idx="76">
                  <c:v>78390</c:v>
                </c:pt>
                <c:pt idx="77">
                  <c:v>114180</c:v>
                </c:pt>
                <c:pt idx="78">
                  <c:v>104120</c:v>
                </c:pt>
                <c:pt idx="79">
                  <c:v>67950</c:v>
                </c:pt>
                <c:pt idx="80">
                  <c:v>34980</c:v>
                </c:pt>
                <c:pt idx="81">
                  <c:v>62780</c:v>
                </c:pt>
                <c:pt idx="82">
                  <c:v>107700</c:v>
                </c:pt>
                <c:pt idx="83">
                  <c:v>65700</c:v>
                </c:pt>
                <c:pt idx="84">
                  <c:v>75480</c:v>
                </c:pt>
                <c:pt idx="85">
                  <c:v>53870</c:v>
                </c:pt>
                <c:pt idx="86">
                  <c:v>78540</c:v>
                </c:pt>
                <c:pt idx="87">
                  <c:v>58960</c:v>
                </c:pt>
                <c:pt idx="88">
                  <c:v>70610</c:v>
                </c:pt>
                <c:pt idx="89">
                  <c:v>59430</c:v>
                </c:pt>
                <c:pt idx="90">
                  <c:v>48530</c:v>
                </c:pt>
                <c:pt idx="91">
                  <c:v>96140</c:v>
                </c:pt>
                <c:pt idx="92">
                  <c:v>112780</c:v>
                </c:pt>
                <c:pt idx="93">
                  <c:v>70610</c:v>
                </c:pt>
                <c:pt idx="94">
                  <c:v>53240</c:v>
                </c:pt>
                <c:pt idx="95">
                  <c:v>115440</c:v>
                </c:pt>
                <c:pt idx="96">
                  <c:v>53540</c:v>
                </c:pt>
                <c:pt idx="97">
                  <c:v>112570</c:v>
                </c:pt>
                <c:pt idx="98">
                  <c:v>48530</c:v>
                </c:pt>
                <c:pt idx="99">
                  <c:v>62780</c:v>
                </c:pt>
                <c:pt idx="100">
                  <c:v>53870</c:v>
                </c:pt>
                <c:pt idx="101">
                  <c:v>119110</c:v>
                </c:pt>
                <c:pt idx="102">
                  <c:v>112110</c:v>
                </c:pt>
                <c:pt idx="103">
                  <c:v>65700</c:v>
                </c:pt>
                <c:pt idx="104">
                  <c:v>69070</c:v>
                </c:pt>
                <c:pt idx="105">
                  <c:v>107700</c:v>
                </c:pt>
                <c:pt idx="106">
                  <c:v>43840</c:v>
                </c:pt>
                <c:pt idx="107">
                  <c:v>99750</c:v>
                </c:pt>
                <c:pt idx="108">
                  <c:v>37920</c:v>
                </c:pt>
                <c:pt idx="109">
                  <c:v>57090</c:v>
                </c:pt>
                <c:pt idx="110">
                  <c:v>41980</c:v>
                </c:pt>
                <c:pt idx="111">
                  <c:v>75880</c:v>
                </c:pt>
                <c:pt idx="112">
                  <c:v>58940</c:v>
                </c:pt>
                <c:pt idx="113">
                  <c:v>67910</c:v>
                </c:pt>
                <c:pt idx="114">
                  <c:v>58100</c:v>
                </c:pt>
                <c:pt idx="115">
                  <c:v>48980</c:v>
                </c:pt>
                <c:pt idx="116">
                  <c:v>64000</c:v>
                </c:pt>
                <c:pt idx="117">
                  <c:v>75000</c:v>
                </c:pt>
                <c:pt idx="118">
                  <c:v>87620</c:v>
                </c:pt>
                <c:pt idx="119">
                  <c:v>34980</c:v>
                </c:pt>
                <c:pt idx="120">
                  <c:v>75970</c:v>
                </c:pt>
                <c:pt idx="121">
                  <c:v>60130</c:v>
                </c:pt>
                <c:pt idx="122">
                  <c:v>75480</c:v>
                </c:pt>
                <c:pt idx="123">
                  <c:v>115920</c:v>
                </c:pt>
                <c:pt idx="124">
                  <c:v>78540</c:v>
                </c:pt>
                <c:pt idx="125">
                  <c:v>109190</c:v>
                </c:pt>
                <c:pt idx="126">
                  <c:v>49630</c:v>
                </c:pt>
                <c:pt idx="127">
                  <c:v>99970</c:v>
                </c:pt>
                <c:pt idx="128">
                  <c:v>96140</c:v>
                </c:pt>
                <c:pt idx="129">
                  <c:v>103550</c:v>
                </c:pt>
                <c:pt idx="130">
                  <c:v>48950</c:v>
                </c:pt>
                <c:pt idx="131">
                  <c:v>52610</c:v>
                </c:pt>
                <c:pt idx="132">
                  <c:v>78390</c:v>
                </c:pt>
                <c:pt idx="133">
                  <c:v>86570</c:v>
                </c:pt>
                <c:pt idx="134">
                  <c:v>83750</c:v>
                </c:pt>
                <c:pt idx="135">
                  <c:v>92450</c:v>
                </c:pt>
                <c:pt idx="136">
                  <c:v>112650</c:v>
                </c:pt>
                <c:pt idx="137">
                  <c:v>79570</c:v>
                </c:pt>
                <c:pt idx="138">
                  <c:v>68900</c:v>
                </c:pt>
                <c:pt idx="139">
                  <c:v>80700</c:v>
                </c:pt>
                <c:pt idx="140">
                  <c:v>58960</c:v>
                </c:pt>
                <c:pt idx="141">
                  <c:v>118840</c:v>
                </c:pt>
                <c:pt idx="142">
                  <c:v>48170</c:v>
                </c:pt>
                <c:pt idx="143">
                  <c:v>45510</c:v>
                </c:pt>
                <c:pt idx="144">
                  <c:v>114890</c:v>
                </c:pt>
                <c:pt idx="145">
                  <c:v>69710</c:v>
                </c:pt>
                <c:pt idx="146">
                  <c:v>71380</c:v>
                </c:pt>
                <c:pt idx="147">
                  <c:v>109160</c:v>
                </c:pt>
                <c:pt idx="148">
                  <c:v>113280</c:v>
                </c:pt>
                <c:pt idx="149">
                  <c:v>69120</c:v>
                </c:pt>
                <c:pt idx="150">
                  <c:v>118100</c:v>
                </c:pt>
                <c:pt idx="151">
                  <c:v>76900</c:v>
                </c:pt>
                <c:pt idx="152">
                  <c:v>114870</c:v>
                </c:pt>
                <c:pt idx="153">
                  <c:v>91310</c:v>
                </c:pt>
                <c:pt idx="154">
                  <c:v>104770</c:v>
                </c:pt>
                <c:pt idx="155">
                  <c:v>54970</c:v>
                </c:pt>
                <c:pt idx="156">
                  <c:v>90700</c:v>
                </c:pt>
                <c:pt idx="157">
                  <c:v>56870</c:v>
                </c:pt>
                <c:pt idx="158">
                  <c:v>92700</c:v>
                </c:pt>
                <c:pt idx="159">
                  <c:v>65920</c:v>
                </c:pt>
                <c:pt idx="160">
                  <c:v>47360</c:v>
                </c:pt>
                <c:pt idx="161">
                  <c:v>60570</c:v>
                </c:pt>
                <c:pt idx="162">
                  <c:v>104120</c:v>
                </c:pt>
                <c:pt idx="163">
                  <c:v>88050</c:v>
                </c:pt>
                <c:pt idx="164">
                  <c:v>100420</c:v>
                </c:pt>
                <c:pt idx="165">
                  <c:v>114180</c:v>
                </c:pt>
                <c:pt idx="166">
                  <c:v>33920</c:v>
                </c:pt>
                <c:pt idx="167">
                  <c:v>106460</c:v>
                </c:pt>
                <c:pt idx="168">
                  <c:v>40400</c:v>
                </c:pt>
                <c:pt idx="169">
                  <c:v>91650</c:v>
                </c:pt>
                <c:pt idx="170">
                  <c:v>36040</c:v>
                </c:pt>
                <c:pt idx="171">
                  <c:v>104410</c:v>
                </c:pt>
                <c:pt idx="172">
                  <c:v>96800</c:v>
                </c:pt>
                <c:pt idx="173">
                  <c:v>85000</c:v>
                </c:pt>
                <c:pt idx="174">
                  <c:v>43510</c:v>
                </c:pt>
                <c:pt idx="175">
                  <c:v>59430</c:v>
                </c:pt>
                <c:pt idx="176">
                  <c:v>65360</c:v>
                </c:pt>
                <c:pt idx="177">
                  <c:v>41570</c:v>
                </c:pt>
                <c:pt idx="178">
                  <c:v>75280</c:v>
                </c:pt>
                <c:pt idx="179">
                  <c:v>74550</c:v>
                </c:pt>
                <c:pt idx="180">
                  <c:v>67950</c:v>
                </c:pt>
                <c:pt idx="181">
                  <c:v>70270</c:v>
                </c:pt>
                <c:pt idx="182">
                  <c:v>53540</c:v>
                </c:pt>
              </c:numCache>
            </c:numRef>
          </c:xVal>
          <c:yVal>
            <c:numRef>
              <c:f>staff!$K$5:$K$208</c:f>
              <c:numCache>
                <c:formatCode>0</c:formatCode>
                <c:ptCount val="204"/>
                <c:pt idx="0">
                  <c:v>3</c:v>
                </c:pt>
                <c:pt idx="1">
                  <c:v>4</c:v>
                </c:pt>
                <c:pt idx="2">
                  <c:v>3</c:v>
                </c:pt>
                <c:pt idx="3">
                  <c:v>3</c:v>
                </c:pt>
                <c:pt idx="4">
                  <c:v>2</c:v>
                </c:pt>
                <c:pt idx="5">
                  <c:v>4</c:v>
                </c:pt>
                <c:pt idx="6">
                  <c:v>3</c:v>
                </c:pt>
                <c:pt idx="7">
                  <c:v>3</c:v>
                </c:pt>
                <c:pt idx="8">
                  <c:v>3</c:v>
                </c:pt>
                <c:pt idx="9">
                  <c:v>4</c:v>
                </c:pt>
                <c:pt idx="10">
                  <c:v>3</c:v>
                </c:pt>
                <c:pt idx="11">
                  <c:v>3</c:v>
                </c:pt>
                <c:pt idx="12">
                  <c:v>4</c:v>
                </c:pt>
                <c:pt idx="13">
                  <c:v>3</c:v>
                </c:pt>
                <c:pt idx="14">
                  <c:v>3</c:v>
                </c:pt>
                <c:pt idx="15">
                  <c:v>2</c:v>
                </c:pt>
                <c:pt idx="16">
                  <c:v>3</c:v>
                </c:pt>
                <c:pt idx="17">
                  <c:v>3</c:v>
                </c:pt>
                <c:pt idx="18">
                  <c:v>3</c:v>
                </c:pt>
                <c:pt idx="19">
                  <c:v>4</c:v>
                </c:pt>
                <c:pt idx="20">
                  <c:v>3</c:v>
                </c:pt>
                <c:pt idx="21">
                  <c:v>2</c:v>
                </c:pt>
                <c:pt idx="22">
                  <c:v>3</c:v>
                </c:pt>
                <c:pt idx="23">
                  <c:v>5</c:v>
                </c:pt>
                <c:pt idx="24">
                  <c:v>3</c:v>
                </c:pt>
                <c:pt idx="25">
                  <c:v>3</c:v>
                </c:pt>
                <c:pt idx="26">
                  <c:v>3</c:v>
                </c:pt>
                <c:pt idx="27">
                  <c:v>3</c:v>
                </c:pt>
                <c:pt idx="28">
                  <c:v>3</c:v>
                </c:pt>
                <c:pt idx="29">
                  <c:v>3</c:v>
                </c:pt>
                <c:pt idx="30">
                  <c:v>3</c:v>
                </c:pt>
                <c:pt idx="31">
                  <c:v>3</c:v>
                </c:pt>
                <c:pt idx="32">
                  <c:v>3</c:v>
                </c:pt>
                <c:pt idx="33">
                  <c:v>4</c:v>
                </c:pt>
                <c:pt idx="34">
                  <c:v>2</c:v>
                </c:pt>
                <c:pt idx="35">
                  <c:v>2</c:v>
                </c:pt>
                <c:pt idx="36">
                  <c:v>3</c:v>
                </c:pt>
                <c:pt idx="37">
                  <c:v>4</c:v>
                </c:pt>
                <c:pt idx="38">
                  <c:v>3</c:v>
                </c:pt>
                <c:pt idx="39">
                  <c:v>3</c:v>
                </c:pt>
                <c:pt idx="40">
                  <c:v>3</c:v>
                </c:pt>
                <c:pt idx="41">
                  <c:v>3</c:v>
                </c:pt>
                <c:pt idx="42">
                  <c:v>3</c:v>
                </c:pt>
                <c:pt idx="43">
                  <c:v>3</c:v>
                </c:pt>
                <c:pt idx="44">
                  <c:v>3</c:v>
                </c:pt>
                <c:pt idx="45">
                  <c:v>3</c:v>
                </c:pt>
                <c:pt idx="46">
                  <c:v>3</c:v>
                </c:pt>
                <c:pt idx="47">
                  <c:v>3</c:v>
                </c:pt>
                <c:pt idx="48">
                  <c:v>4</c:v>
                </c:pt>
                <c:pt idx="49">
                  <c:v>2</c:v>
                </c:pt>
                <c:pt idx="50">
                  <c:v>3</c:v>
                </c:pt>
                <c:pt idx="51">
                  <c:v>4</c:v>
                </c:pt>
                <c:pt idx="52">
                  <c:v>3</c:v>
                </c:pt>
                <c:pt idx="53">
                  <c:v>3</c:v>
                </c:pt>
                <c:pt idx="54">
                  <c:v>3</c:v>
                </c:pt>
                <c:pt idx="55">
                  <c:v>3</c:v>
                </c:pt>
                <c:pt idx="56">
                  <c:v>3</c:v>
                </c:pt>
                <c:pt idx="57">
                  <c:v>3</c:v>
                </c:pt>
                <c:pt idx="58">
                  <c:v>3</c:v>
                </c:pt>
                <c:pt idx="59">
                  <c:v>3</c:v>
                </c:pt>
                <c:pt idx="60">
                  <c:v>2</c:v>
                </c:pt>
                <c:pt idx="61">
                  <c:v>3</c:v>
                </c:pt>
                <c:pt idx="62">
                  <c:v>1</c:v>
                </c:pt>
                <c:pt idx="63">
                  <c:v>5</c:v>
                </c:pt>
                <c:pt idx="64">
                  <c:v>3</c:v>
                </c:pt>
                <c:pt idx="65">
                  <c:v>3</c:v>
                </c:pt>
                <c:pt idx="66">
                  <c:v>3</c:v>
                </c:pt>
                <c:pt idx="67">
                  <c:v>1</c:v>
                </c:pt>
                <c:pt idx="68">
                  <c:v>3</c:v>
                </c:pt>
                <c:pt idx="69">
                  <c:v>3</c:v>
                </c:pt>
                <c:pt idx="70">
                  <c:v>3</c:v>
                </c:pt>
                <c:pt idx="71">
                  <c:v>2</c:v>
                </c:pt>
                <c:pt idx="72">
                  <c:v>3</c:v>
                </c:pt>
                <c:pt idx="73">
                  <c:v>3</c:v>
                </c:pt>
                <c:pt idx="74">
                  <c:v>3</c:v>
                </c:pt>
                <c:pt idx="75">
                  <c:v>3</c:v>
                </c:pt>
                <c:pt idx="76">
                  <c:v>3</c:v>
                </c:pt>
                <c:pt idx="77">
                  <c:v>3</c:v>
                </c:pt>
                <c:pt idx="78">
                  <c:v>3</c:v>
                </c:pt>
                <c:pt idx="79">
                  <c:v>3</c:v>
                </c:pt>
                <c:pt idx="80">
                  <c:v>3</c:v>
                </c:pt>
                <c:pt idx="81">
                  <c:v>3</c:v>
                </c:pt>
                <c:pt idx="82">
                  <c:v>3</c:v>
                </c:pt>
                <c:pt idx="83">
                  <c:v>3</c:v>
                </c:pt>
                <c:pt idx="84">
                  <c:v>1</c:v>
                </c:pt>
                <c:pt idx="85">
                  <c:v>3</c:v>
                </c:pt>
                <c:pt idx="86">
                  <c:v>3</c:v>
                </c:pt>
                <c:pt idx="87">
                  <c:v>3</c:v>
                </c:pt>
                <c:pt idx="88">
                  <c:v>3</c:v>
                </c:pt>
                <c:pt idx="89">
                  <c:v>3</c:v>
                </c:pt>
                <c:pt idx="90">
                  <c:v>4</c:v>
                </c:pt>
                <c:pt idx="91">
                  <c:v>3</c:v>
                </c:pt>
                <c:pt idx="92">
                  <c:v>4</c:v>
                </c:pt>
                <c:pt idx="93">
                  <c:v>3</c:v>
                </c:pt>
                <c:pt idx="94">
                  <c:v>3</c:v>
                </c:pt>
                <c:pt idx="95">
                  <c:v>2</c:v>
                </c:pt>
                <c:pt idx="96">
                  <c:v>3</c:v>
                </c:pt>
                <c:pt idx="97">
                  <c:v>3</c:v>
                </c:pt>
                <c:pt idx="98">
                  <c:v>4</c:v>
                </c:pt>
                <c:pt idx="99">
                  <c:v>3</c:v>
                </c:pt>
                <c:pt idx="100">
                  <c:v>3</c:v>
                </c:pt>
                <c:pt idx="101">
                  <c:v>3</c:v>
                </c:pt>
                <c:pt idx="102">
                  <c:v>2</c:v>
                </c:pt>
                <c:pt idx="103">
                  <c:v>3</c:v>
                </c:pt>
                <c:pt idx="104">
                  <c:v>3</c:v>
                </c:pt>
                <c:pt idx="105">
                  <c:v>3</c:v>
                </c:pt>
                <c:pt idx="106">
                  <c:v>4</c:v>
                </c:pt>
                <c:pt idx="107">
                  <c:v>3</c:v>
                </c:pt>
                <c:pt idx="108">
                  <c:v>3</c:v>
                </c:pt>
                <c:pt idx="109">
                  <c:v>3</c:v>
                </c:pt>
                <c:pt idx="110">
                  <c:v>3</c:v>
                </c:pt>
                <c:pt idx="111">
                  <c:v>3</c:v>
                </c:pt>
                <c:pt idx="112">
                  <c:v>3</c:v>
                </c:pt>
                <c:pt idx="113">
                  <c:v>2</c:v>
                </c:pt>
                <c:pt idx="114">
                  <c:v>3</c:v>
                </c:pt>
                <c:pt idx="115">
                  <c:v>3</c:v>
                </c:pt>
                <c:pt idx="116">
                  <c:v>3</c:v>
                </c:pt>
                <c:pt idx="117">
                  <c:v>5</c:v>
                </c:pt>
                <c:pt idx="118">
                  <c:v>3</c:v>
                </c:pt>
                <c:pt idx="119">
                  <c:v>3</c:v>
                </c:pt>
                <c:pt idx="120">
                  <c:v>3</c:v>
                </c:pt>
                <c:pt idx="121">
                  <c:v>3</c:v>
                </c:pt>
                <c:pt idx="122">
                  <c:v>1</c:v>
                </c:pt>
                <c:pt idx="123">
                  <c:v>3</c:v>
                </c:pt>
                <c:pt idx="124">
                  <c:v>3</c:v>
                </c:pt>
                <c:pt idx="125">
                  <c:v>4</c:v>
                </c:pt>
                <c:pt idx="126">
                  <c:v>2</c:v>
                </c:pt>
                <c:pt idx="127">
                  <c:v>3</c:v>
                </c:pt>
                <c:pt idx="128">
                  <c:v>3</c:v>
                </c:pt>
                <c:pt idx="129">
                  <c:v>3</c:v>
                </c:pt>
                <c:pt idx="130">
                  <c:v>3</c:v>
                </c:pt>
                <c:pt idx="131">
                  <c:v>2</c:v>
                </c:pt>
                <c:pt idx="132">
                  <c:v>3</c:v>
                </c:pt>
                <c:pt idx="133">
                  <c:v>3</c:v>
                </c:pt>
                <c:pt idx="134">
                  <c:v>3</c:v>
                </c:pt>
                <c:pt idx="135">
                  <c:v>3</c:v>
                </c:pt>
                <c:pt idx="136">
                  <c:v>3</c:v>
                </c:pt>
                <c:pt idx="137">
                  <c:v>3</c:v>
                </c:pt>
                <c:pt idx="138">
                  <c:v>2</c:v>
                </c:pt>
                <c:pt idx="139">
                  <c:v>4</c:v>
                </c:pt>
                <c:pt idx="140">
                  <c:v>3</c:v>
                </c:pt>
                <c:pt idx="141">
                  <c:v>3</c:v>
                </c:pt>
                <c:pt idx="142">
                  <c:v>4</c:v>
                </c:pt>
                <c:pt idx="143">
                  <c:v>3</c:v>
                </c:pt>
                <c:pt idx="144">
                  <c:v>3</c:v>
                </c:pt>
                <c:pt idx="145">
                  <c:v>3</c:v>
                </c:pt>
                <c:pt idx="146">
                  <c:v>3</c:v>
                </c:pt>
                <c:pt idx="147">
                  <c:v>5</c:v>
                </c:pt>
                <c:pt idx="148">
                  <c:v>1</c:v>
                </c:pt>
                <c:pt idx="149">
                  <c:v>3</c:v>
                </c:pt>
                <c:pt idx="150">
                  <c:v>3</c:v>
                </c:pt>
                <c:pt idx="151">
                  <c:v>4</c:v>
                </c:pt>
                <c:pt idx="152">
                  <c:v>3</c:v>
                </c:pt>
                <c:pt idx="153">
                  <c:v>3</c:v>
                </c:pt>
                <c:pt idx="154">
                  <c:v>3</c:v>
                </c:pt>
                <c:pt idx="155">
                  <c:v>3</c:v>
                </c:pt>
                <c:pt idx="156">
                  <c:v>4</c:v>
                </c:pt>
                <c:pt idx="157">
                  <c:v>4</c:v>
                </c:pt>
                <c:pt idx="158">
                  <c:v>3</c:v>
                </c:pt>
                <c:pt idx="159">
                  <c:v>3</c:v>
                </c:pt>
                <c:pt idx="160">
                  <c:v>3</c:v>
                </c:pt>
                <c:pt idx="161">
                  <c:v>3</c:v>
                </c:pt>
                <c:pt idx="162">
                  <c:v>3</c:v>
                </c:pt>
                <c:pt idx="163">
                  <c:v>2</c:v>
                </c:pt>
                <c:pt idx="164">
                  <c:v>3</c:v>
                </c:pt>
                <c:pt idx="165">
                  <c:v>3</c:v>
                </c:pt>
                <c:pt idx="166">
                  <c:v>3</c:v>
                </c:pt>
                <c:pt idx="167">
                  <c:v>3</c:v>
                </c:pt>
                <c:pt idx="168">
                  <c:v>3</c:v>
                </c:pt>
                <c:pt idx="169">
                  <c:v>4</c:v>
                </c:pt>
                <c:pt idx="170">
                  <c:v>3</c:v>
                </c:pt>
                <c:pt idx="171">
                  <c:v>3</c:v>
                </c:pt>
                <c:pt idx="172">
                  <c:v>3</c:v>
                </c:pt>
                <c:pt idx="173">
                  <c:v>3</c:v>
                </c:pt>
                <c:pt idx="174">
                  <c:v>1</c:v>
                </c:pt>
                <c:pt idx="175">
                  <c:v>3</c:v>
                </c:pt>
                <c:pt idx="176">
                  <c:v>3</c:v>
                </c:pt>
                <c:pt idx="177">
                  <c:v>3</c:v>
                </c:pt>
                <c:pt idx="178">
                  <c:v>3</c:v>
                </c:pt>
                <c:pt idx="179">
                  <c:v>3</c:v>
                </c:pt>
                <c:pt idx="180">
                  <c:v>3</c:v>
                </c:pt>
                <c:pt idx="181">
                  <c:v>2</c:v>
                </c:pt>
                <c:pt idx="182">
                  <c:v>3</c:v>
                </c:pt>
              </c:numCache>
            </c:numRef>
          </c:yVal>
          <c:smooth val="0"/>
          <c:extLst>
            <c:ext xmlns:c16="http://schemas.microsoft.com/office/drawing/2014/chart" uri="{C3380CC4-5D6E-409C-BE32-E72D297353CC}">
              <c16:uniqueId val="{00000000-A590-4795-9059-5B9D2CB1B0C4}"/>
            </c:ext>
          </c:extLst>
        </c:ser>
        <c:dLbls>
          <c:showLegendKey val="0"/>
          <c:showVal val="0"/>
          <c:showCatName val="0"/>
          <c:showSerName val="0"/>
          <c:showPercent val="0"/>
          <c:showBubbleSize val="0"/>
        </c:dLbls>
        <c:axId val="1009936512"/>
        <c:axId val="1009937008"/>
      </c:scatterChart>
      <c:valAx>
        <c:axId val="1009936512"/>
        <c:scaling>
          <c:orientation val="minMax"/>
        </c:scaling>
        <c:delete val="0"/>
        <c:axPos val="b"/>
        <c:majorGridlines>
          <c:spPr>
            <a:ln w="9525" cap="flat" cmpd="sng" algn="ctr">
              <a:solidFill>
                <a:schemeClr val="tx1">
                  <a:lumMod val="15000"/>
                  <a:lumOff val="85000"/>
                </a:schemeClr>
              </a:solidFill>
              <a:round/>
            </a:ln>
            <a:effectLst/>
          </c:spPr>
        </c:majorGridlines>
        <c:numFmt formatCode="[$$-1009]#,##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9937008"/>
        <c:crosses val="autoZero"/>
        <c:crossBetween val="midCat"/>
      </c:valAx>
      <c:valAx>
        <c:axId val="10099370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993651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[AWESOME CHOCOLATES.xlsx]Sheet8!PivotTable3</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Sheet8!$B$3</c:f>
              <c:strCache>
                <c:ptCount val="1"/>
                <c:pt idx="0">
                  <c:v>Total</c:v>
                </c:pt>
              </c:strCache>
            </c:strRef>
          </c:tx>
          <c:spPr>
            <a:ln w="28575" cap="rnd">
              <a:solidFill>
                <a:schemeClr val="accent1"/>
              </a:solidFill>
              <a:round/>
            </a:ln>
            <a:effectLst/>
          </c:spPr>
          <c:marker>
            <c:symbol val="none"/>
          </c:marker>
          <c:cat>
            <c:strRef>
              <c:f>Sheet8!$A$4:$A$8</c:f>
              <c:strCache>
                <c:ptCount val="4"/>
                <c:pt idx="0">
                  <c:v>2020</c:v>
                </c:pt>
                <c:pt idx="1">
                  <c:v>2021</c:v>
                </c:pt>
                <c:pt idx="2">
                  <c:v>2022</c:v>
                </c:pt>
                <c:pt idx="3">
                  <c:v>2023</c:v>
                </c:pt>
              </c:strCache>
            </c:strRef>
          </c:cat>
          <c:val>
            <c:numRef>
              <c:f>Sheet8!$B$4:$B$8</c:f>
              <c:numCache>
                <c:formatCode>General</c:formatCode>
                <c:ptCount val="4"/>
                <c:pt idx="0">
                  <c:v>37</c:v>
                </c:pt>
                <c:pt idx="1">
                  <c:v>82</c:v>
                </c:pt>
                <c:pt idx="2">
                  <c:v>62</c:v>
                </c:pt>
                <c:pt idx="3">
                  <c:v>2</c:v>
                </c:pt>
              </c:numCache>
            </c:numRef>
          </c:val>
          <c:smooth val="0"/>
          <c:extLst>
            <c:ext xmlns:c16="http://schemas.microsoft.com/office/drawing/2014/chart" uri="{C3380CC4-5D6E-409C-BE32-E72D297353CC}">
              <c16:uniqueId val="{00000000-E28F-4A92-A185-46B7ABDA3850}"/>
            </c:ext>
          </c:extLst>
        </c:ser>
        <c:dLbls>
          <c:showLegendKey val="0"/>
          <c:showVal val="0"/>
          <c:showCatName val="0"/>
          <c:showSerName val="0"/>
          <c:showPercent val="0"/>
          <c:showBubbleSize val="0"/>
        </c:dLbls>
        <c:smooth val="0"/>
        <c:axId val="1942906656"/>
        <c:axId val="545936640"/>
      </c:lineChart>
      <c:catAx>
        <c:axId val="1942906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5936640"/>
        <c:crosses val="autoZero"/>
        <c:auto val="1"/>
        <c:lblAlgn val="ctr"/>
        <c:lblOffset val="100"/>
        <c:noMultiLvlLbl val="0"/>
      </c:catAx>
      <c:valAx>
        <c:axId val="5459366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29066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Sheet8!$Q$3</c:f>
              <c:strCache>
                <c:ptCount val="1"/>
                <c:pt idx="0">
                  <c:v>running 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Sheet8!$O$4:$O$213</c:f>
              <c:numCache>
                <c:formatCode>[$-14009]dd/mm/yyyy;@</c:formatCode>
                <c:ptCount val="210"/>
                <c:pt idx="0">
                  <c:v>43983</c:v>
                </c:pt>
                <c:pt idx="1">
                  <c:v>44013</c:v>
                </c:pt>
                <c:pt idx="2">
                  <c:v>44044</c:v>
                </c:pt>
                <c:pt idx="3">
                  <c:v>44075</c:v>
                </c:pt>
                <c:pt idx="4">
                  <c:v>44105</c:v>
                </c:pt>
                <c:pt idx="5">
                  <c:v>44136</c:v>
                </c:pt>
                <c:pt idx="6">
                  <c:v>44166</c:v>
                </c:pt>
                <c:pt idx="7">
                  <c:v>44197</c:v>
                </c:pt>
                <c:pt idx="8">
                  <c:v>44228</c:v>
                </c:pt>
                <c:pt idx="9">
                  <c:v>44256</c:v>
                </c:pt>
                <c:pt idx="10">
                  <c:v>44287</c:v>
                </c:pt>
                <c:pt idx="11">
                  <c:v>44317</c:v>
                </c:pt>
                <c:pt idx="12">
                  <c:v>44348</c:v>
                </c:pt>
                <c:pt idx="13">
                  <c:v>44378</c:v>
                </c:pt>
                <c:pt idx="14">
                  <c:v>44409</c:v>
                </c:pt>
                <c:pt idx="15">
                  <c:v>44440</c:v>
                </c:pt>
                <c:pt idx="16">
                  <c:v>44470</c:v>
                </c:pt>
                <c:pt idx="17">
                  <c:v>44501</c:v>
                </c:pt>
                <c:pt idx="18">
                  <c:v>44531</c:v>
                </c:pt>
                <c:pt idx="19">
                  <c:v>44562</c:v>
                </c:pt>
                <c:pt idx="20">
                  <c:v>44593</c:v>
                </c:pt>
                <c:pt idx="21">
                  <c:v>44621</c:v>
                </c:pt>
                <c:pt idx="22">
                  <c:v>44652</c:v>
                </c:pt>
                <c:pt idx="23">
                  <c:v>44682</c:v>
                </c:pt>
                <c:pt idx="24">
                  <c:v>44713</c:v>
                </c:pt>
                <c:pt idx="25">
                  <c:v>44743</c:v>
                </c:pt>
                <c:pt idx="26">
                  <c:v>44774</c:v>
                </c:pt>
                <c:pt idx="27">
                  <c:v>44805</c:v>
                </c:pt>
                <c:pt idx="28">
                  <c:v>44835</c:v>
                </c:pt>
                <c:pt idx="29">
                  <c:v>44866</c:v>
                </c:pt>
                <c:pt idx="30">
                  <c:v>44896</c:v>
                </c:pt>
                <c:pt idx="31">
                  <c:v>44927</c:v>
                </c:pt>
                <c:pt idx="32">
                  <c:v>44958</c:v>
                </c:pt>
                <c:pt idx="33">
                  <c:v>44986</c:v>
                </c:pt>
                <c:pt idx="34">
                  <c:v>45017</c:v>
                </c:pt>
                <c:pt idx="35">
                  <c:v>45047</c:v>
                </c:pt>
              </c:numCache>
            </c:numRef>
          </c:cat>
          <c:val>
            <c:numRef>
              <c:f>Sheet8!$Q$4:$Q$213</c:f>
              <c:numCache>
                <c:formatCode>General</c:formatCode>
                <c:ptCount val="210"/>
                <c:pt idx="0">
                  <c:v>1</c:v>
                </c:pt>
                <c:pt idx="1">
                  <c:v>6</c:v>
                </c:pt>
                <c:pt idx="2">
                  <c:v>9</c:v>
                </c:pt>
                <c:pt idx="3">
                  <c:v>15</c:v>
                </c:pt>
                <c:pt idx="4">
                  <c:v>21</c:v>
                </c:pt>
                <c:pt idx="5">
                  <c:v>27</c:v>
                </c:pt>
                <c:pt idx="6">
                  <c:v>34</c:v>
                </c:pt>
                <c:pt idx="7">
                  <c:v>40</c:v>
                </c:pt>
                <c:pt idx="8">
                  <c:v>44</c:v>
                </c:pt>
                <c:pt idx="9">
                  <c:v>53</c:v>
                </c:pt>
                <c:pt idx="10">
                  <c:v>58</c:v>
                </c:pt>
                <c:pt idx="11">
                  <c:v>68</c:v>
                </c:pt>
                <c:pt idx="12">
                  <c:v>74</c:v>
                </c:pt>
                <c:pt idx="13">
                  <c:v>87</c:v>
                </c:pt>
                <c:pt idx="14">
                  <c:v>91</c:v>
                </c:pt>
                <c:pt idx="15">
                  <c:v>102</c:v>
                </c:pt>
                <c:pt idx="16">
                  <c:v>105</c:v>
                </c:pt>
                <c:pt idx="17">
                  <c:v>109</c:v>
                </c:pt>
                <c:pt idx="18">
                  <c:v>116</c:v>
                </c:pt>
                <c:pt idx="19">
                  <c:v>119</c:v>
                </c:pt>
                <c:pt idx="20">
                  <c:v>129</c:v>
                </c:pt>
                <c:pt idx="21">
                  <c:v>138</c:v>
                </c:pt>
                <c:pt idx="22">
                  <c:v>147</c:v>
                </c:pt>
                <c:pt idx="23">
                  <c:v>156</c:v>
                </c:pt>
                <c:pt idx="24">
                  <c:v>163</c:v>
                </c:pt>
                <c:pt idx="25">
                  <c:v>168</c:v>
                </c:pt>
                <c:pt idx="26">
                  <c:v>173</c:v>
                </c:pt>
                <c:pt idx="27">
                  <c:v>175</c:v>
                </c:pt>
                <c:pt idx="28">
                  <c:v>178</c:v>
                </c:pt>
                <c:pt idx="29">
                  <c:v>178</c:v>
                </c:pt>
                <c:pt idx="30">
                  <c:v>178</c:v>
                </c:pt>
                <c:pt idx="31">
                  <c:v>178</c:v>
                </c:pt>
                <c:pt idx="32">
                  <c:v>179</c:v>
                </c:pt>
                <c:pt idx="33">
                  <c:v>179</c:v>
                </c:pt>
                <c:pt idx="34">
                  <c:v>180</c:v>
                </c:pt>
                <c:pt idx="35">
                  <c:v>180</c:v>
                </c:pt>
              </c:numCache>
            </c:numRef>
          </c:val>
          <c:smooth val="0"/>
          <c:extLst>
            <c:ext xmlns:c16="http://schemas.microsoft.com/office/drawing/2014/chart" uri="{C3380CC4-5D6E-409C-BE32-E72D297353CC}">
              <c16:uniqueId val="{00000000-7ACF-49C1-938E-E01C09CCF0BD}"/>
            </c:ext>
          </c:extLst>
        </c:ser>
        <c:dLbls>
          <c:showLegendKey val="0"/>
          <c:showVal val="0"/>
          <c:showCatName val="0"/>
          <c:showSerName val="0"/>
          <c:showPercent val="0"/>
          <c:showBubbleSize val="0"/>
        </c:dLbls>
        <c:marker val="1"/>
        <c:smooth val="0"/>
        <c:axId val="1938983792"/>
        <c:axId val="1939003136"/>
      </c:lineChart>
      <c:dateAx>
        <c:axId val="1938983792"/>
        <c:scaling>
          <c:orientation val="minMax"/>
        </c:scaling>
        <c:delete val="0"/>
        <c:axPos val="b"/>
        <c:numFmt formatCode="[$-14009]dd/mm/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9003136"/>
        <c:crosses val="autoZero"/>
        <c:auto val="1"/>
        <c:lblOffset val="100"/>
        <c:baseTimeUnit val="months"/>
      </c:dateAx>
      <c:valAx>
        <c:axId val="19390031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89837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salary spread by $10k</cx:v>
        </cx:txData>
      </cx:tx>
      <cx:spPr>
        <a:solidFill>
          <a:schemeClr val="accent6">
            <a:lumMod val="60000"/>
            <a:lumOff val="40000"/>
          </a:schemeClr>
        </a:solidFill>
      </cx:spPr>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spread by $10k</a:t>
          </a:r>
        </a:p>
      </cx:txPr>
    </cx:title>
    <cx:plotArea>
      <cx:plotAreaRegion>
        <cx:series layoutId="clusteredColumn" uniqueId="{616102F1-AF6C-433E-A2EA-7DDD040CF00A}">
          <cx:tx>
            <cx:txData>
              <cx:f>_xlchart.v1.0</cx:f>
              <cx:v>Salary</cx:v>
            </cx:txData>
          </cx:tx>
          <cx:dataId val="0"/>
          <cx:layoutPr>
            <cx:binning intervalClosed="r" underflow="40000">
              <cx:binSize val="10000"/>
            </cx:binning>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txData>
          <cx:v>salary spread-Boxplot</cx:v>
        </cx:txData>
      </cx:tx>
      <cx:spPr>
        <a:solidFill>
          <a:schemeClr val="accent6">
            <a:lumMod val="60000"/>
            <a:lumOff val="40000"/>
          </a:schemeClr>
        </a:solidFill>
      </cx:spPr>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spread-Boxplot</a:t>
          </a:r>
        </a:p>
      </cx:txPr>
    </cx:title>
    <cx:plotArea>
      <cx:plotAreaRegion>
        <cx:series layoutId="boxWhisker" uniqueId="{05290CC1-AAAA-454C-9FDF-3D037C6E6B73}">
          <cx:tx>
            <cx:txData>
              <cx:f>_xlchart.v1.2</cx:f>
              <cx:v>Salary</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4</xdr:col>
      <xdr:colOff>198120</xdr:colOff>
      <xdr:row>1</xdr:row>
      <xdr:rowOff>1</xdr:rowOff>
    </xdr:from>
    <xdr:to>
      <xdr:col>6</xdr:col>
      <xdr:colOff>381000</xdr:colOff>
      <xdr:row>8</xdr:row>
      <xdr:rowOff>160021</xdr:rowOff>
    </xdr:to>
    <mc:AlternateContent xmlns:mc="http://schemas.openxmlformats.org/markup-compatibility/2006" xmlns:a14="http://schemas.microsoft.com/office/drawing/2010/main">
      <mc:Choice Requires="a14">
        <xdr:graphicFrame macro="">
          <xdr:nvGraphicFramePr>
            <xdr:cNvPr id="2" name="Country">
              <a:extLst>
                <a:ext uri="{FF2B5EF4-FFF2-40B4-BE49-F238E27FC236}">
                  <a16:creationId xmlns:a16="http://schemas.microsoft.com/office/drawing/2014/main" id="{4CE11D2E-5B60-268C-4D8B-230328A820C9}"/>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3665220" y="182881"/>
              <a:ext cx="1828800" cy="14401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365760</xdr:colOff>
      <xdr:row>2</xdr:row>
      <xdr:rowOff>137160</xdr:rowOff>
    </xdr:from>
    <xdr:to>
      <xdr:col>8</xdr:col>
      <xdr:colOff>449580</xdr:colOff>
      <xdr:row>23</xdr:row>
      <xdr:rowOff>175260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1C67D8AF-BDED-40AE-B2AA-AFE248F8B7D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65760" y="502920"/>
              <a:ext cx="4960620" cy="387858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228600</xdr:colOff>
      <xdr:row>2</xdr:row>
      <xdr:rowOff>152400</xdr:rowOff>
    </xdr:from>
    <xdr:to>
      <xdr:col>16</xdr:col>
      <xdr:colOff>586740</xdr:colOff>
      <xdr:row>25</xdr:row>
      <xdr:rowOff>7620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E2E390AA-C049-42B3-B420-A4D1D326E0D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5715000" y="518160"/>
              <a:ext cx="4625340" cy="406146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7</xdr:col>
      <xdr:colOff>0</xdr:colOff>
      <xdr:row>7</xdr:row>
      <xdr:rowOff>0</xdr:rowOff>
    </xdr:from>
    <xdr:to>
      <xdr:col>12</xdr:col>
      <xdr:colOff>53340</xdr:colOff>
      <xdr:row>22</xdr:row>
      <xdr:rowOff>0</xdr:rowOff>
    </xdr:to>
    <xdr:graphicFrame macro="">
      <xdr:nvGraphicFramePr>
        <xdr:cNvPr id="5" name="Chart 4">
          <a:extLst>
            <a:ext uri="{FF2B5EF4-FFF2-40B4-BE49-F238E27FC236}">
              <a16:creationId xmlns:a16="http://schemas.microsoft.com/office/drawing/2014/main" id="{E18DD5EE-B760-46FA-A9CA-FE81934BE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7</xdr:row>
      <xdr:rowOff>0</xdr:rowOff>
    </xdr:from>
    <xdr:to>
      <xdr:col>6</xdr:col>
      <xdr:colOff>7620</xdr:colOff>
      <xdr:row>22</xdr:row>
      <xdr:rowOff>0</xdr:rowOff>
    </xdr:to>
    <xdr:graphicFrame macro="">
      <xdr:nvGraphicFramePr>
        <xdr:cNvPr id="6" name="Chart 5">
          <a:extLst>
            <a:ext uri="{FF2B5EF4-FFF2-40B4-BE49-F238E27FC236}">
              <a16:creationId xmlns:a16="http://schemas.microsoft.com/office/drawing/2014/main" id="{81B6E47C-BF9E-4C16-8BEA-98DAD94408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594360</xdr:colOff>
      <xdr:row>9</xdr:row>
      <xdr:rowOff>22860</xdr:rowOff>
    </xdr:from>
    <xdr:to>
      <xdr:col>6</xdr:col>
      <xdr:colOff>403860</xdr:colOff>
      <xdr:row>24</xdr:row>
      <xdr:rowOff>167640</xdr:rowOff>
    </xdr:to>
    <xdr:graphicFrame macro="">
      <xdr:nvGraphicFramePr>
        <xdr:cNvPr id="2" name="Chart 1">
          <a:extLst>
            <a:ext uri="{FF2B5EF4-FFF2-40B4-BE49-F238E27FC236}">
              <a16:creationId xmlns:a16="http://schemas.microsoft.com/office/drawing/2014/main" id="{24315BD4-2B29-4DFF-A327-A0AE074E3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601980</xdr:colOff>
      <xdr:row>1</xdr:row>
      <xdr:rowOff>179070</xdr:rowOff>
    </xdr:from>
    <xdr:to>
      <xdr:col>10</xdr:col>
      <xdr:colOff>297180</xdr:colOff>
      <xdr:row>16</xdr:row>
      <xdr:rowOff>179070</xdr:rowOff>
    </xdr:to>
    <xdr:graphicFrame macro="">
      <xdr:nvGraphicFramePr>
        <xdr:cNvPr id="2" name="Chart 1">
          <a:extLst>
            <a:ext uri="{FF2B5EF4-FFF2-40B4-BE49-F238E27FC236}">
              <a16:creationId xmlns:a16="http://schemas.microsoft.com/office/drawing/2014/main" id="{21D5845F-D13D-C706-0C4F-6EA4CF3D1E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579120</xdr:colOff>
      <xdr:row>17</xdr:row>
      <xdr:rowOff>102870</xdr:rowOff>
    </xdr:from>
    <xdr:to>
      <xdr:col>10</xdr:col>
      <xdr:colOff>274320</xdr:colOff>
      <xdr:row>32</xdr:row>
      <xdr:rowOff>102870</xdr:rowOff>
    </xdr:to>
    <xdr:graphicFrame macro="">
      <xdr:nvGraphicFramePr>
        <xdr:cNvPr id="3" name="Chart 2">
          <a:extLst>
            <a:ext uri="{FF2B5EF4-FFF2-40B4-BE49-F238E27FC236}">
              <a16:creationId xmlns:a16="http://schemas.microsoft.com/office/drawing/2014/main" id="{15FF5198-36C4-DA9D-74D5-A1EE570D6B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ik leeyaz" refreshedDate="45373.942745138891" backgroundQuery="1" createdVersion="8" refreshedVersion="8" minRefreshableVersion="3" recordCount="0" supportSubquery="1" supportAdvancedDrill="1" xr:uid="{16D66744-CC19-4F93-A73A-77878315A475}">
  <cacheSource type="external" connectionId="4"/>
  <cacheFields count="3">
    <cacheField name="[staff].[Rating].[Rating]" caption="Rating" numFmtId="0" hierarchy="3" level="1">
      <sharedItems count="5">
        <s v="Above average"/>
        <s v="Average"/>
        <s v="Exceptional"/>
        <s v="Poor"/>
        <s v="Very poor"/>
      </sharedItems>
    </cacheField>
    <cacheField name="[Measures].[Count of Name]" caption="Count of Name" numFmtId="0" hierarchy="15" level="32767"/>
    <cacheField name="[Measures].[Average of Salary]" caption="Average of Salary" numFmtId="0" hierarchy="20" level="32767"/>
  </cacheFields>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2" memberValueDatatype="130" unbalanced="0">
      <fieldsUsage count="2">
        <fieldUsage x="-1"/>
        <fieldUsage x="0"/>
      </fieldsUsage>
    </cacheHierarchy>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Salary]" caption="Average of Salary" measure="1" displayFolder="" measureGroup="staff" count="0" oneField="1" hidden="1">
      <fieldsUsage count="1">
        <fieldUsage x="2"/>
      </fieldsUsage>
      <extLst>
        <ext xmlns:x15="http://schemas.microsoft.com/office/spreadsheetml/2010/11/main" uri="{B97F6D7D-B522-45F9-BDA1-12C45D357490}">
          <x15:cacheHierarchy aggregatedColumn="6"/>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ik leeyaz" refreshedDate="45373.942746875" backgroundQuery="1" createdVersion="8" refreshedVersion="8" minRefreshableVersion="3" recordCount="0" supportSubquery="1" supportAdvancedDrill="1" xr:uid="{330DFADD-8173-4EBD-928A-8A58C2E1EE36}">
  <cacheSource type="external" connectionId="4"/>
  <cacheFields count="6">
    <cacheField name="[staff].[Gender].[Gender]" caption="Gender" numFmtId="0" hierarchy="1" level="1">
      <sharedItems count="2">
        <s v="Female"/>
        <s v="Male"/>
      </sharedItems>
    </cacheField>
    <cacheField name="[Measures].[Count of Name]" caption="Count of Name" numFmtId="0" hierarchy="15" level="32767"/>
    <cacheField name="[Measures].[Average of Age]" caption="Average of Age" numFmtId="0" hierarchy="17" level="32767"/>
    <cacheField name="[Measures].[Average of Salary]" caption="Average of Salary" numFmtId="0" hierarchy="20" level="32767"/>
    <cacheField name="[Measures].[Average of tenure]" caption="Average of tenure" numFmtId="0" hierarchy="21" level="32767"/>
    <cacheField name="[staff].[Country].[Country]" caption="Country" numFmtId="0" hierarchy="7" level="1">
      <sharedItems containsSemiMixedTypes="0" containsNonDate="0" containsString="0"/>
    </cacheField>
  </cacheFields>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2" memberValueDatatype="130" unbalanced="0">
      <fieldsUsage count="2">
        <fieldUsage x="-1"/>
        <fieldUsage x="0"/>
      </fieldsUsage>
    </cacheHierarchy>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5"/>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oneField="1" hidden="1">
      <fieldsUsage count="1">
        <fieldUsage x="2"/>
      </fieldsUsage>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Salary]" caption="Average of Salary" measure="1" displayFolder="" measureGroup="staff" count="0" oneField="1" hidden="1">
      <fieldsUsage count="1">
        <fieldUsage x="3"/>
      </fieldsUsage>
      <extLst>
        <ext xmlns:x15="http://schemas.microsoft.com/office/spreadsheetml/2010/11/main" uri="{B97F6D7D-B522-45F9-BDA1-12C45D357490}">
          <x15:cacheHierarchy aggregatedColumn="6"/>
        </ext>
      </extLst>
    </cacheHierarchy>
    <cacheHierarchy uniqueName="[Measures].[Average of tenure]" caption="Average of tenure" measure="1" displayFolder="" measureGroup="staff" count="0" oneField="1" hidden="1">
      <fieldsUsage count="1">
        <fieldUsage x="4"/>
      </fieldsUsage>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ik leeyaz" refreshedDate="45373.944916087959" backgroundQuery="1" createdVersion="8" refreshedVersion="8" minRefreshableVersion="3" recordCount="0" supportSubquery="1" supportAdvancedDrill="1" xr:uid="{FC6F324E-A7FB-4410-AF41-D0292E749D70}">
  <cacheSource type="external" connectionId="4"/>
  <cacheFields count="4">
    <cacheField name="[staff].[Date Joined (Month)].[Date Joined (Month)]" caption="Date Joined (Month)" numFmtId="0" hierarchy="11" level="1">
      <sharedItems count="3">
        <s v="May"/>
        <s v="Jun"/>
        <s v="Apr"/>
      </sharedItems>
    </cacheField>
    <cacheField name="[staff].[Date Joined (Quarter)].[Date Joined (Quarter)]" caption="Date Joined (Quarter)" numFmtId="0" hierarchy="10" level="1">
      <sharedItems count="4">
        <s v="Qtr1"/>
        <s v="Qtr2"/>
        <s v="Qtr3"/>
        <s v="Qtr4"/>
      </sharedItems>
    </cacheField>
    <cacheField name="[staff].[Date Joined (Year)].[Date Joined (Year)]" caption="Date Joined (Year)" numFmtId="0" hierarchy="9" level="1">
      <sharedItems count="4">
        <s v="2020"/>
        <s v="2021"/>
        <s v="2022"/>
        <s v="2023"/>
      </sharedItems>
    </cacheField>
    <cacheField name="[Measures].[Count of Name]" caption="Count of Name" numFmtId="0" hierarchy="15" level="32767"/>
  </cacheFields>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2"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2" memberValueDatatype="130" unbalanced="0">
      <fieldsUsage count="2">
        <fieldUsage x="-1"/>
        <fieldUsage x="2"/>
      </fieldsUsage>
    </cacheHierarchy>
    <cacheHierarchy uniqueName="[staff].[Date Joined (Quarter)]" caption="Date Joined (Quarter)" attribute="1" defaultMemberUniqueName="[staff].[Date Joined (Quarter)].[All]" allUniqueName="[staff].[Date Joined (Quarter)].[All]" dimensionUniqueName="[staff]" displayFolder="" count="2" memberValueDatatype="130" unbalanced="0">
      <fieldsUsage count="2">
        <fieldUsage x="-1"/>
        <fieldUsage x="1"/>
      </fieldsUsage>
    </cacheHierarchy>
    <cacheHierarchy uniqueName="[staff].[Date Joined (Month)]" caption="Date Joined (Month)" attribute="1" defaultMemberUniqueName="[staff].[Date Joined (Month)].[All]" allUniqueName="[staff].[Date Joined (Month)].[All]" dimensionUniqueName="[staff]" displayFolder="" count="2" memberValueDatatype="130" unbalanced="0">
      <fieldsUsage count="2">
        <fieldUsage x="-1"/>
        <fieldUsage x="0"/>
      </fieldsUsage>
    </cacheHierarchy>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3"/>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ik leeyaz" refreshedDate="45373.990893518516" backgroundQuery="1" createdVersion="8" refreshedVersion="8" minRefreshableVersion="3" recordCount="0" supportSubquery="1" supportAdvancedDrill="1" xr:uid="{0EA0A6CB-5CAB-4F57-852A-E13EA052C2E7}">
  <cacheSource type="external" connectionId="4"/>
  <cacheFields count="3">
    <cacheField name="[staff].[Department].[Department]" caption="Department" numFmtId="0" hierarchy="5" level="1">
      <sharedItems count="5">
        <s v="Finance"/>
        <s v="HR"/>
        <s v="Procurement"/>
        <s v="Sales"/>
        <s v="Website"/>
      </sharedItems>
    </cacheField>
    <cacheField name="[staff].[Country].[Country]" caption="Country" numFmtId="0" hierarchy="7" level="1">
      <sharedItems containsSemiMixedTypes="0" containsNonDate="0" containsString="0"/>
    </cacheField>
    <cacheField name="[Measures].[Count of Name]" caption="Count of Name" numFmtId="0" hierarchy="15" level="32767"/>
  </cacheFields>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1"/>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ik leeyaz" refreshedDate="45373.990965046294" backgroundQuery="1" createdVersion="8" refreshedVersion="8" minRefreshableVersion="3" recordCount="0" supportSubquery="1" supportAdvancedDrill="1" xr:uid="{60BD0F4A-255E-4893-B665-338C2088CC71}">
  <cacheSource type="external" connectionId="4"/>
  <cacheFields count="3">
    <cacheField name="[staff].[Department].[Department]" caption="Department" numFmtId="0" hierarchy="5" level="1">
      <sharedItems count="5">
        <s v="Finance"/>
        <s v="HR"/>
        <s v="Procurement"/>
        <s v="Sales"/>
        <s v="Website"/>
      </sharedItems>
    </cacheField>
    <cacheField name="[staff].[Country].[Country]" caption="Country" numFmtId="0" hierarchy="7" level="1">
      <sharedItems containsSemiMixedTypes="0" containsNonDate="0" containsString="0"/>
    </cacheField>
    <cacheField name="[Measures].[Count of Name]" caption="Count of Name" numFmtId="0" hierarchy="15" level="32767"/>
  </cacheFields>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1"/>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ik leeyaz" refreshedDate="45373.942745949076" backgroundQuery="1" createdVersion="3" refreshedVersion="8" minRefreshableVersion="3" recordCount="0" supportSubquery="1" supportAdvancedDrill="1" xr:uid="{974ED5E3-9B6F-415C-A9B3-11317A08DA4A}">
  <cacheSource type="external" connectionId="4">
    <extLst>
      <ext xmlns:x14="http://schemas.microsoft.com/office/spreadsheetml/2009/9/main" uri="{F057638F-6D5F-4e77-A914-E7F072B9BCA8}">
        <x14:sourceConnection name="ThisWorkbookDataModel"/>
      </ext>
    </extLst>
  </cacheSource>
  <cacheFields count="0"/>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hidden="1">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extLst>
    <ext xmlns:x14="http://schemas.microsoft.com/office/spreadsheetml/2009/9/main" uri="{725AE2AE-9491-48be-B2B4-4EB974FC3084}">
      <x14:pivotCacheDefinition slicerData="1" pivotCacheId="1714774453"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9192BB7-B55E-48E0-BA1A-CDC02606EF14}" name="PivotTable1" cacheId="267" dataOnRows="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B4:D9" firstHeaderRow="1" firstDataRow="2" firstDataCol="1"/>
  <pivotFields count="6">
    <pivotField axis="axisCol" allDrilled="1" subtotalTop="0" showAll="0" dataSourceSort="1" defaultSubtotal="0" defaultAttributeDrillState="1">
      <items count="2">
        <item s="1" x="0"/>
        <item s="1" x="1"/>
      </items>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2"/>
  </rowFields>
  <rowItems count="4">
    <i>
      <x/>
    </i>
    <i i="1">
      <x v="1"/>
    </i>
    <i i="2">
      <x v="2"/>
    </i>
    <i i="3">
      <x v="3"/>
    </i>
  </rowItems>
  <colFields count="1">
    <field x="0"/>
  </colFields>
  <colItems count="2">
    <i>
      <x/>
    </i>
    <i>
      <x v="1"/>
    </i>
  </colItems>
  <dataFields count="4">
    <dataField name="Count of Name" fld="1" subtotal="count" baseField="0" baseItem="0"/>
    <dataField name="Average of Age" fld="2" subtotal="average" baseField="0" baseItem="0"/>
    <dataField name="Average of Salary" fld="3" subtotal="average" baseField="0" baseItem="0"/>
    <dataField name="Average of tenure" fld="4" subtotal="average" baseField="0" baseItem="0"/>
  </dataFields>
  <formats count="9">
    <format dxfId="16">
      <pivotArea collapsedLevelsAreSubtotals="1" fieldPosition="0">
        <references count="2">
          <reference field="4294967294" count="1">
            <x v="1"/>
          </reference>
          <reference field="0" count="1" selected="0">
            <x v="0"/>
          </reference>
        </references>
      </pivotArea>
    </format>
    <format dxfId="15">
      <pivotArea collapsedLevelsAreSubtotals="1" fieldPosition="0">
        <references count="2">
          <reference field="4294967294" count="1">
            <x v="2"/>
          </reference>
          <reference field="0" count="1" selected="0">
            <x v="0"/>
          </reference>
        </references>
      </pivotArea>
    </format>
    <format dxfId="14">
      <pivotArea collapsedLevelsAreSubtotals="1" fieldPosition="0">
        <references count="2">
          <reference field="4294967294" count="1">
            <x v="3"/>
          </reference>
          <reference field="0" count="1" selected="0">
            <x v="0"/>
          </reference>
        </references>
      </pivotArea>
    </format>
    <format dxfId="13">
      <pivotArea collapsedLevelsAreSubtotals="1" fieldPosition="0">
        <references count="2">
          <reference field="4294967294" count="1">
            <x v="3"/>
          </reference>
          <reference field="0" count="1" selected="0">
            <x v="1"/>
          </reference>
        </references>
      </pivotArea>
    </format>
    <format dxfId="12">
      <pivotArea collapsedLevelsAreSubtotals="1" fieldPosition="0">
        <references count="2">
          <reference field="4294967294" count="1">
            <x v="2"/>
          </reference>
          <reference field="0" count="1" selected="0">
            <x v="1"/>
          </reference>
        </references>
      </pivotArea>
    </format>
    <format dxfId="11">
      <pivotArea collapsedLevelsAreSubtotals="1" fieldPosition="0">
        <references count="2">
          <reference field="4294967294" count="1">
            <x v="1"/>
          </reference>
          <reference field="0" count="1" selected="0">
            <x v="1"/>
          </reference>
        </references>
      </pivotArea>
    </format>
    <format dxfId="10">
      <pivotArea field="0" grandCol="1" collapsedLevelsAreSubtotals="1" axis="axisCol" fieldPosition="0">
        <references count="1">
          <reference field="4294967294" count="1">
            <x v="3"/>
          </reference>
        </references>
      </pivotArea>
    </format>
    <format dxfId="9">
      <pivotArea field="0" grandCol="1" collapsedLevelsAreSubtotals="1" axis="axisCol" fieldPosition="0">
        <references count="1">
          <reference field="4294967294" count="1">
            <x v="2"/>
          </reference>
        </references>
      </pivotArea>
    </format>
    <format dxfId="8">
      <pivotArea field="0" grandCol="1" collapsedLevelsAreSubtotals="1" axis="axisCol" fieldPosition="0">
        <references count="1">
          <reference field="4294967294" count="1">
            <x v="1"/>
          </reference>
        </references>
      </pivotArea>
    </format>
  </formats>
  <pivotHierarchies count="22">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staff].[Country].&amp;[nz]"/>
      </members>
    </pivotHierarchy>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89E4FC8-3446-4C58-A067-5D7FB7909253}" name="PivotTable2" cacheId="26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2:D8" firstHeaderRow="0" firstDataRow="1" firstDataCol="1"/>
  <pivotFields count="3">
    <pivotField axis="axisRow" allDrilled="1" subtotalTop="0" showAll="0" defaultSubtotal="0" defaultAttributeDrillState="1">
      <items count="5">
        <item x="2"/>
        <item x="0"/>
        <item x="1"/>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name="Count of Name" fld="1" subtotal="count" baseField="0" baseItem="0"/>
    <dataField name="Average of Salary" fld="2" subtotal="average" baseField="0" baseItem="0" numFmtId="166"/>
  </dataFields>
  <formats count="2">
    <format dxfId="7">
      <pivotArea outline="0" collapsedLevelsAreSubtotals="1" fieldPosition="0">
        <references count="1">
          <reference field="4294967294" count="1" selected="0">
            <x v="1"/>
          </reference>
        </references>
      </pivotArea>
    </format>
    <format dxfId="6">
      <pivotArea dataOnly="0" labelOnly="1" outline="0" fieldPosition="0">
        <references count="1">
          <reference field="4294967294" count="1">
            <x v="1"/>
          </reference>
        </references>
      </pivotArea>
    </format>
  </formats>
  <conditionalFormats count="1">
    <conditionalFormat scope="field" priority="1">
      <pivotAreas count="1">
        <pivotArea outline="0" collapsedLevelsAreSubtotals="1" fieldPosition="0">
          <references count="2">
            <reference field="4294967294" count="1" selected="0">
              <x v="1"/>
            </reference>
            <reference field="0" count="0" selected="0"/>
          </references>
        </pivotArea>
      </pivotAreas>
    </conditionalFormat>
  </conditionalFormats>
  <pivotHierarchies count="2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E51F21-5F6F-4AFE-A545-B1FFA5B40782}" name="PivotTable3" cacheId="26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8" firstHeaderRow="1" firstDataRow="1" firstDataCol="1"/>
  <pivotFields count="4">
    <pivotField axis="axisRow" allDrilled="1" subtotalTop="0" showAll="0" dataSourceSort="1" defaultSubtotal="0">
      <items count="3">
        <item x="0" e="0"/>
        <item x="1" e="0"/>
        <item x="2" e="0"/>
      </items>
    </pivotField>
    <pivotField axis="axisRow" allDrilled="1" subtotalTop="0" showAll="0" dataSourceSort="1" defaultSubtotal="0">
      <items count="4">
        <item x="0" e="0"/>
        <item x="1" e="0"/>
        <item x="2" e="0"/>
        <item x="3" e="0"/>
      </items>
    </pivotField>
    <pivotField axis="axisRow" allDrilled="1" subtotalTop="0" showAll="0" dataSourceSort="1" defaultSubtotal="0">
      <items count="4">
        <item x="0" e="0"/>
        <item x="1" e="0"/>
        <item x="2" e="0"/>
        <item x="3" e="0"/>
      </items>
    </pivotField>
    <pivotField dataField="1" subtotalTop="0" showAll="0" defaultSubtotal="0"/>
  </pivotFields>
  <rowFields count="3">
    <field x="2"/>
    <field x="1"/>
    <field x="0"/>
  </rowFields>
  <rowItems count="5">
    <i>
      <x/>
    </i>
    <i>
      <x v="1"/>
    </i>
    <i>
      <x v="2"/>
    </i>
    <i>
      <x v="3"/>
    </i>
    <i t="grand">
      <x/>
    </i>
  </rowItems>
  <colItems count="1">
    <i/>
  </colItems>
  <dataFields count="1">
    <dataField name="Count of Name" fld="3" subtotal="count" baseField="0" baseItem="0"/>
  </dataFields>
  <chartFormats count="1">
    <chartFormat chart="2" format="0" series="1">
      <pivotArea type="data" outline="0" fieldPosition="0">
        <references count="1">
          <reference field="4294967294" count="1" selected="0">
            <x v="0"/>
          </reference>
        </references>
      </pivotArea>
    </chartFormat>
  </chartFormats>
  <pivotHierarchies count="2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3">
    <rowHierarchyUsage hierarchyUsage="9"/>
    <rowHierarchyUsage hierarchyUsage="10"/>
    <rowHierarchyUsage hierarchyUsage="1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1F5126C-5D0F-4772-856E-A3D6E50D64CB}" name="PivotTable5" cacheId="27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E5:F11" firstHeaderRow="1" firstDataRow="1" firstDataCol="1" rowPageCount="1" colPageCount="1"/>
  <pivotFields count="3">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axis="axisPage" allDrilled="1" subtotalTop="0" showAll="0" dataSourceSort="1" defaultSubtotal="0" defaultAttributeDrillState="1"/>
    <pivotField dataField="1" subtotalTop="0" showAll="0" defaultSubtotal="0"/>
  </pivotFields>
  <rowFields count="1">
    <field x="0"/>
  </rowFields>
  <rowItems count="6">
    <i>
      <x v="4"/>
    </i>
    <i>
      <x v="2"/>
    </i>
    <i>
      <x/>
    </i>
    <i>
      <x v="3"/>
    </i>
    <i>
      <x v="1"/>
    </i>
    <i t="grand">
      <x/>
    </i>
  </rowItems>
  <colItems count="1">
    <i/>
  </colItems>
  <pageFields count="1">
    <pageField fld="1" hier="7" name="[staff].[Country].&amp;[nz]" cap="nz"/>
  </pageFields>
  <dataFields count="1">
    <dataField name="Count of Name" fld="2" subtotal="count" baseField="0" baseItem="0"/>
  </dataFields>
  <chartFormats count="2">
    <chartFormat chart="3"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Hierarchies count="2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F1E793B-9228-40E2-B15F-5533E73974D2}" name="PivotTable4" cacheId="26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B5:C11" firstHeaderRow="1" firstDataRow="1" firstDataCol="1" rowPageCount="1" colPageCount="1"/>
  <pivotFields count="3">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axis="axisPage" allDrilled="1" subtotalTop="0" showAll="0" dataSourceSort="1" defaultSubtotal="0" defaultAttributeDrillState="1"/>
    <pivotField dataField="1" subtotalTop="0" showAll="0" defaultSubtotal="0"/>
  </pivotFields>
  <rowFields count="1">
    <field x="0"/>
  </rowFields>
  <rowItems count="6">
    <i>
      <x v="2"/>
    </i>
    <i>
      <x v="4"/>
    </i>
    <i>
      <x/>
    </i>
    <i>
      <x v="3"/>
    </i>
    <i>
      <x v="1"/>
    </i>
    <i t="grand">
      <x/>
    </i>
  </rowItems>
  <colItems count="1">
    <i/>
  </colItems>
  <pageFields count="1">
    <pageField fld="1" hier="7" name="[staff].[Country].&amp;[ind]" cap="ind"/>
  </pageFields>
  <dataFields count="1">
    <dataField name="Count of Name" fld="2" subtotal="count" baseField="0" baseItem="0"/>
  </dataFields>
  <chartFormats count="2">
    <chartFormat chart="4"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Hierarchies count="2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7360BC47-C72F-452F-BB39-0D0F9326ABC1}" autoFormatId="16" applyNumberFormats="0" applyBorderFormats="0" applyFontFormats="0" applyPatternFormats="0" applyAlignmentFormats="0" applyWidthHeightFormats="0">
  <queryTableRefresh nextId="13" unboundColumnsRight="3">
    <queryTableFields count="11">
      <queryTableField id="1" name="Name" tableColumnId="1"/>
      <queryTableField id="2" name="Gender" tableColumnId="2"/>
      <queryTableField id="3" name="Age" tableColumnId="3"/>
      <queryTableField id="4" name="Rating" tableColumnId="4"/>
      <queryTableField id="5" name="Date Joined" tableColumnId="5"/>
      <queryTableField id="6" name="Department" tableColumnId="6"/>
      <queryTableField id="7" name="Salary" tableColumnId="7"/>
      <queryTableField id="8" name="Country" tableColumnId="8"/>
      <queryTableField id="9" dataBound="0" tableColumnId="9"/>
      <queryTableField id="10" dataBound="0" tableColumnId="10"/>
      <queryTableField id="12" dataBound="0" tableColumnId="1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24F903D7-E9A5-4B6A-B403-9F22C8FE8EF3}" sourceName="[staff].[Country]">
  <pivotTables>
    <pivotTable tabId="4" name="PivotTable1"/>
  </pivotTables>
  <data>
    <olap pivotCacheId="1714774453">
      <levels count="2">
        <level uniqueName="[staff].[Country].[(All)]" sourceCaption="(All)" count="0"/>
        <level uniqueName="[staff].[Country].[Country]" sourceCaption="Country" count="2">
          <ranges>
            <range startItem="0">
              <i n="[staff].[Country].&amp;[ind]" c="ind"/>
              <i n="[staff].[Country].&amp;[nz]" c="nz"/>
            </range>
          </ranges>
        </level>
      </levels>
      <selections count="1">
        <selection n="[staff].[Country].&amp;[nz]"/>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29E19FDF-4AE8-47E6-9408-4AB841732738}" cache="Slicer_Country" caption="Country" level="1" rowHeight="23495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462FFDD-6CEF-4D42-A732-BC7548896EA1}" name="Table1" displayName="Table1" ref="A5:G106" totalsRowCount="1">
  <autoFilter ref="A5:G105" xr:uid="{9462FFDD-6CEF-4D42-A732-BC7548896EA1}"/>
  <tableColumns count="7">
    <tableColumn id="1" xr3:uid="{1286E010-B102-4227-8F2D-21875FF9B74E}" name="Name" totalsRowLabel="Total"/>
    <tableColumn id="2" xr3:uid="{7ECEBEFD-234F-4523-879C-7BC852157545}" name="Gender"/>
    <tableColumn id="3" xr3:uid="{23E1F516-C713-48E2-B9A2-3FE73C721F02}" name="Department"/>
    <tableColumn id="4" xr3:uid="{BEC6DA7F-7E7F-4CEA-9129-2498B02EB17A}" name="Age" totalsRowFunction="average"/>
    <tableColumn id="5" xr3:uid="{4CD7BE8C-FABA-4044-A14A-FBEC6D092ACD}" name="Date Joined"/>
    <tableColumn id="6" xr3:uid="{C80B8E8D-D317-4AAF-B34E-5DDD1C00C73E}" name="Salary" totalsRowFunction="sum" dataDxfId="29" totalsRowDxfId="28"/>
    <tableColumn id="7" xr3:uid="{7499DBDA-E3B9-4E4F-9573-F691434CCE6B}" name="Rating" totalsRowFunction="cou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7F0FF2-1D00-4593-9921-1C3AD2F02DD0}" name="Table2" displayName="Table2" ref="A6:G119" totalsRowCount="1">
  <autoFilter ref="A6:G118" xr:uid="{5E7F0FF2-1D00-4593-9921-1C3AD2F02DD0}"/>
  <tableColumns count="7">
    <tableColumn id="1" xr3:uid="{AA5FCF45-9AAB-43EE-9426-05B7342EC899}" name="Name" totalsRowLabel="Total"/>
    <tableColumn id="2" xr3:uid="{E176A9A9-FB24-41FC-8CF9-7D941F018CE0}" name="Gender"/>
    <tableColumn id="3" xr3:uid="{B6615332-5487-4F97-9B8B-49B8744440E9}" name="Age" totalsRowFunction="average"/>
    <tableColumn id="4" xr3:uid="{82E24758-3B4B-41BF-AD33-199E39BBBBDB}" name="Rating"/>
    <tableColumn id="5" xr3:uid="{8A2F782A-E843-409D-BA83-7750C913CFC0}" name="Date Joined" dataDxfId="27"/>
    <tableColumn id="6" xr3:uid="{F4ACCFBD-848F-4C6C-8335-DA607585667F}" name="Department"/>
    <tableColumn id="7" xr3:uid="{7E423FE1-5902-4BDC-ADDE-B8B4E0158408}" name="Salary" totalsRowFunction="sum" dataDxfId="26" totalsRowDxfId="25"/>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7D5C973-481F-403C-8D0E-7CD6AB68916F}" name="staff" displayName="staff" ref="A4:K187" tableType="queryTable" totalsRowShown="0">
  <autoFilter ref="A4:K187" xr:uid="{37D5C973-481F-403C-8D0E-7CD6AB68916F}"/>
  <tableColumns count="11">
    <tableColumn id="1" xr3:uid="{31AF08DC-FE45-4742-A8B4-67615FC90B6C}" uniqueName="1" name="Name" queryTableFieldId="1" dataDxfId="24"/>
    <tableColumn id="2" xr3:uid="{B5E1EF4A-C4A7-4C49-BB11-A03299FA64DA}" uniqueName="2" name="Gender" queryTableFieldId="2" dataDxfId="23"/>
    <tableColumn id="3" xr3:uid="{43C81284-B703-4310-84A5-F5B7A036F1CE}" uniqueName="3" name="Age" queryTableFieldId="3"/>
    <tableColumn id="4" xr3:uid="{B43B6270-5791-4EA0-8C14-6AF765667747}" uniqueName="4" name="Rating" queryTableFieldId="4"/>
    <tableColumn id="5" xr3:uid="{1A8D276F-7E88-4A46-805F-183A4586CADF}" uniqueName="5" name="Date Joined" queryTableFieldId="5" dataDxfId="22"/>
    <tableColumn id="6" xr3:uid="{2F966801-6D8A-4810-A6B1-BF5EF8FE4AF3}" uniqueName="6" name="Department" queryTableFieldId="6" dataDxfId="21"/>
    <tableColumn id="7" xr3:uid="{E9A6047C-471F-4F99-8BDE-0C4D59FDB388}" uniqueName="7" name="Salary" queryTableFieldId="7" dataDxfId="20"/>
    <tableColumn id="8" xr3:uid="{A550D99E-8411-4F69-A734-635D52FDC357}" uniqueName="8" name="Country" queryTableFieldId="8"/>
    <tableColumn id="9" xr3:uid="{5770B198-704E-46FD-A0FF-F1164DC4D341}" uniqueName="9" name="tenure" queryTableFieldId="9" dataDxfId="19">
      <calculatedColumnFormula>(TODAY()-staff[[#This Row],[Date Joined]])/365</calculatedColumnFormula>
    </tableColumn>
    <tableColumn id="10" xr3:uid="{4FB0DBBF-9A89-440D-AB15-9DFB0C27F35A}" uniqueName="10" name="BONUS" queryTableFieldId="10" dataDxfId="18">
      <calculatedColumnFormula>ROUNDUP(IF(staff[[#This Row],[tenure]]&gt;2,3%,2%)*staff[[#This Row],[Salary]],0)</calculatedColumnFormula>
    </tableColumn>
    <tableColumn id="12" xr3:uid="{363A0CD4-D67B-46D8-A0BF-4A6D6E5A8D96}" uniqueName="12" name="rating as number" queryTableFieldId="12" dataDxfId="17">
      <calculatedColumnFormula>_xlfn.XLOOKUP(staff[[#This Row],[Rating]],Table5[Column1],Table5[Column2])</calculatedColumnFormula>
    </tableColumn>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550CEB3-1DF4-42BC-9BC8-68EDBE247186}" name="Table5" displayName="Table5" ref="B3:C8" totalsRowShown="0" headerRowDxfId="5" headerRowBorderDxfId="4" tableBorderDxfId="3" totalsRowBorderDxfId="2">
  <autoFilter ref="B3:C8" xr:uid="{B550CEB3-1DF4-42BC-9BC8-68EDBE247186}"/>
  <tableColumns count="2">
    <tableColumn id="1" xr3:uid="{63F4A118-4DEC-45E0-80AA-408487A00F0E}" name="Column1" dataDxfId="1"/>
    <tableColumn id="2" xr3:uid="{81C5DAAC-A511-4DCD-A165-2E1D8F60D422}" name="Column2"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EC615-8A08-4E12-B8CE-A78303A662A5}">
  <sheetPr>
    <tabColor theme="4" tint="-0.499984740745262"/>
  </sheetPr>
  <dimension ref="A5:G106"/>
  <sheetViews>
    <sheetView workbookViewId="0">
      <selection activeCell="H15" sqref="H15"/>
    </sheetView>
  </sheetViews>
  <sheetFormatPr defaultRowHeight="14.4" x14ac:dyDescent="0.3"/>
  <cols>
    <col min="1" max="1" width="19.6640625" bestFit="1" customWidth="1"/>
    <col min="5" max="5" width="13" bestFit="1" customWidth="1"/>
    <col min="6" max="6" width="13.21875" bestFit="1" customWidth="1"/>
    <col min="7" max="7" width="13.109375" bestFit="1" customWidth="1"/>
  </cols>
  <sheetData>
    <row r="5" spans="1:7" x14ac:dyDescent="0.3">
      <c r="A5" t="s">
        <v>0</v>
      </c>
      <c r="B5" t="s">
        <v>1</v>
      </c>
      <c r="C5" t="s">
        <v>2</v>
      </c>
      <c r="D5" t="s">
        <v>3</v>
      </c>
      <c r="E5" s="1" t="s">
        <v>4</v>
      </c>
      <c r="F5" t="s">
        <v>5</v>
      </c>
      <c r="G5" t="s">
        <v>6</v>
      </c>
    </row>
    <row r="6" spans="1:7" x14ac:dyDescent="0.3">
      <c r="A6" t="s">
        <v>7</v>
      </c>
      <c r="B6" t="s">
        <v>8</v>
      </c>
      <c r="C6" t="s">
        <v>9</v>
      </c>
      <c r="D6">
        <v>22</v>
      </c>
      <c r="E6" s="1">
        <v>44446</v>
      </c>
      <c r="F6" s="18">
        <v>112780</v>
      </c>
      <c r="G6" t="s">
        <v>10</v>
      </c>
    </row>
    <row r="7" spans="1:7" x14ac:dyDescent="0.3">
      <c r="A7" t="s">
        <v>11</v>
      </c>
      <c r="B7" t="s">
        <v>8</v>
      </c>
      <c r="C7" t="s">
        <v>12</v>
      </c>
      <c r="D7">
        <v>46</v>
      </c>
      <c r="E7" s="1">
        <v>44758</v>
      </c>
      <c r="F7" s="18">
        <v>70610</v>
      </c>
      <c r="G7" t="s">
        <v>13</v>
      </c>
    </row>
    <row r="8" spans="1:7" x14ac:dyDescent="0.3">
      <c r="A8" t="s">
        <v>14</v>
      </c>
      <c r="B8" t="s">
        <v>15</v>
      </c>
      <c r="C8" t="s">
        <v>9</v>
      </c>
      <c r="D8">
        <v>28</v>
      </c>
      <c r="E8" s="1">
        <v>44357</v>
      </c>
      <c r="F8" s="18">
        <v>53240</v>
      </c>
      <c r="G8" t="s">
        <v>13</v>
      </c>
    </row>
    <row r="9" spans="1:7" x14ac:dyDescent="0.3">
      <c r="A9" t="s">
        <v>16</v>
      </c>
      <c r="C9" t="s">
        <v>17</v>
      </c>
      <c r="D9">
        <v>37</v>
      </c>
      <c r="E9" s="1">
        <v>44146</v>
      </c>
      <c r="F9" s="18">
        <v>115440</v>
      </c>
      <c r="G9" t="s">
        <v>18</v>
      </c>
    </row>
    <row r="10" spans="1:7" x14ac:dyDescent="0.3">
      <c r="A10" t="s">
        <v>19</v>
      </c>
      <c r="B10" t="s">
        <v>8</v>
      </c>
      <c r="C10" t="s">
        <v>9</v>
      </c>
      <c r="D10">
        <v>32</v>
      </c>
      <c r="E10" s="1">
        <v>44465</v>
      </c>
      <c r="F10" s="18">
        <v>53540</v>
      </c>
      <c r="G10" t="s">
        <v>13</v>
      </c>
    </row>
    <row r="11" spans="1:7" x14ac:dyDescent="0.3">
      <c r="A11" t="s">
        <v>20</v>
      </c>
      <c r="B11" t="s">
        <v>15</v>
      </c>
      <c r="C11" t="s">
        <v>12</v>
      </c>
      <c r="D11">
        <v>30</v>
      </c>
      <c r="E11" s="1">
        <v>44861</v>
      </c>
      <c r="F11" s="18">
        <v>112570</v>
      </c>
      <c r="G11" t="s">
        <v>13</v>
      </c>
    </row>
    <row r="12" spans="1:7" x14ac:dyDescent="0.3">
      <c r="A12" t="s">
        <v>21</v>
      </c>
      <c r="B12" t="s">
        <v>8</v>
      </c>
      <c r="C12" t="s">
        <v>12</v>
      </c>
      <c r="D12">
        <v>33</v>
      </c>
      <c r="E12" s="1">
        <v>44701</v>
      </c>
      <c r="F12" s="18">
        <v>48530</v>
      </c>
      <c r="G12" t="s">
        <v>10</v>
      </c>
    </row>
    <row r="13" spans="1:7" x14ac:dyDescent="0.3">
      <c r="A13" t="s">
        <v>22</v>
      </c>
      <c r="B13" t="s">
        <v>15</v>
      </c>
      <c r="C13" t="s">
        <v>23</v>
      </c>
      <c r="D13">
        <v>24</v>
      </c>
      <c r="E13" s="1">
        <v>44148</v>
      </c>
      <c r="F13" s="18">
        <v>62780</v>
      </c>
      <c r="G13" t="s">
        <v>13</v>
      </c>
    </row>
    <row r="14" spans="1:7" x14ac:dyDescent="0.3">
      <c r="A14" t="s">
        <v>24</v>
      </c>
      <c r="B14" t="s">
        <v>8</v>
      </c>
      <c r="C14" t="s">
        <v>23</v>
      </c>
      <c r="D14">
        <v>33</v>
      </c>
      <c r="E14" s="1">
        <v>44509</v>
      </c>
      <c r="F14" s="18">
        <v>53870</v>
      </c>
      <c r="G14" t="s">
        <v>13</v>
      </c>
    </row>
    <row r="15" spans="1:7" x14ac:dyDescent="0.3">
      <c r="A15" t="s">
        <v>25</v>
      </c>
      <c r="B15" t="s">
        <v>15</v>
      </c>
      <c r="C15" t="s">
        <v>26</v>
      </c>
      <c r="D15">
        <v>27</v>
      </c>
      <c r="E15" s="1">
        <v>44122</v>
      </c>
      <c r="F15" s="18">
        <v>119110</v>
      </c>
      <c r="G15" t="s">
        <v>13</v>
      </c>
    </row>
    <row r="16" spans="1:7" x14ac:dyDescent="0.3">
      <c r="A16" t="s">
        <v>27</v>
      </c>
      <c r="B16" t="s">
        <v>8</v>
      </c>
      <c r="C16" t="s">
        <v>23</v>
      </c>
      <c r="D16">
        <v>29</v>
      </c>
      <c r="E16" s="1">
        <v>44180</v>
      </c>
      <c r="F16" s="18">
        <v>112110</v>
      </c>
      <c r="G16" t="s">
        <v>18</v>
      </c>
    </row>
    <row r="17" spans="1:7" x14ac:dyDescent="0.3">
      <c r="A17" t="s">
        <v>28</v>
      </c>
      <c r="B17" t="s">
        <v>8</v>
      </c>
      <c r="C17" t="s">
        <v>9</v>
      </c>
      <c r="D17">
        <v>25</v>
      </c>
      <c r="E17" s="1">
        <v>44383</v>
      </c>
      <c r="F17" s="18">
        <v>65700</v>
      </c>
      <c r="G17" t="s">
        <v>13</v>
      </c>
    </row>
    <row r="18" spans="1:7" x14ac:dyDescent="0.3">
      <c r="A18" t="s">
        <v>29</v>
      </c>
      <c r="B18" t="s">
        <v>8</v>
      </c>
      <c r="C18" t="s">
        <v>23</v>
      </c>
      <c r="D18">
        <v>37</v>
      </c>
      <c r="E18" s="1">
        <v>44701</v>
      </c>
      <c r="F18" s="18">
        <v>69070</v>
      </c>
      <c r="G18" t="s">
        <v>13</v>
      </c>
    </row>
    <row r="19" spans="1:7" x14ac:dyDescent="0.3">
      <c r="A19" t="s">
        <v>30</v>
      </c>
      <c r="B19" t="s">
        <v>8</v>
      </c>
      <c r="C19" t="s">
        <v>23</v>
      </c>
      <c r="D19">
        <v>20</v>
      </c>
      <c r="E19" s="1">
        <v>44459</v>
      </c>
      <c r="F19" s="18">
        <v>107700</v>
      </c>
      <c r="G19" t="s">
        <v>13</v>
      </c>
    </row>
    <row r="20" spans="1:7" x14ac:dyDescent="0.3">
      <c r="A20" t="s">
        <v>31</v>
      </c>
      <c r="B20" t="s">
        <v>15</v>
      </c>
      <c r="C20" t="s">
        <v>23</v>
      </c>
      <c r="D20">
        <v>32</v>
      </c>
      <c r="E20" s="1">
        <v>44354</v>
      </c>
      <c r="F20" s="18">
        <v>43840</v>
      </c>
      <c r="G20" t="s">
        <v>10</v>
      </c>
    </row>
    <row r="21" spans="1:7" x14ac:dyDescent="0.3">
      <c r="A21" t="s">
        <v>32</v>
      </c>
      <c r="B21" t="s">
        <v>8</v>
      </c>
      <c r="C21" t="s">
        <v>12</v>
      </c>
      <c r="D21">
        <v>40</v>
      </c>
      <c r="E21" s="1">
        <v>44263</v>
      </c>
      <c r="F21" s="18">
        <v>99750</v>
      </c>
      <c r="G21" t="s">
        <v>13</v>
      </c>
    </row>
    <row r="22" spans="1:7" x14ac:dyDescent="0.3">
      <c r="A22" t="s">
        <v>33</v>
      </c>
      <c r="B22" t="s">
        <v>8</v>
      </c>
      <c r="C22" t="s">
        <v>12</v>
      </c>
      <c r="D22">
        <v>21</v>
      </c>
      <c r="E22" s="1">
        <v>44104</v>
      </c>
      <c r="F22" s="18">
        <v>37920</v>
      </c>
      <c r="G22" t="s">
        <v>13</v>
      </c>
    </row>
    <row r="23" spans="1:7" x14ac:dyDescent="0.3">
      <c r="A23" t="s">
        <v>34</v>
      </c>
      <c r="B23" t="s">
        <v>8</v>
      </c>
      <c r="C23" t="s">
        <v>12</v>
      </c>
      <c r="D23">
        <v>21</v>
      </c>
      <c r="E23" s="1">
        <v>44762</v>
      </c>
      <c r="F23" s="18">
        <v>57090</v>
      </c>
      <c r="G23" t="s">
        <v>13</v>
      </c>
    </row>
    <row r="24" spans="1:7" x14ac:dyDescent="0.3">
      <c r="A24" t="s">
        <v>35</v>
      </c>
      <c r="B24" t="s">
        <v>15</v>
      </c>
      <c r="C24" t="s">
        <v>23</v>
      </c>
      <c r="D24">
        <v>31</v>
      </c>
      <c r="E24" s="1">
        <v>44145</v>
      </c>
      <c r="F24" s="18">
        <v>41980</v>
      </c>
      <c r="G24" t="s">
        <v>13</v>
      </c>
    </row>
    <row r="25" spans="1:7" x14ac:dyDescent="0.3">
      <c r="A25" t="s">
        <v>36</v>
      </c>
      <c r="B25" t="s">
        <v>8</v>
      </c>
      <c r="C25" t="s">
        <v>26</v>
      </c>
      <c r="D25">
        <v>21</v>
      </c>
      <c r="E25" s="1">
        <v>44242</v>
      </c>
      <c r="F25" s="18">
        <v>75880</v>
      </c>
      <c r="G25" t="s">
        <v>13</v>
      </c>
    </row>
    <row r="26" spans="1:7" x14ac:dyDescent="0.3">
      <c r="A26" t="s">
        <v>37</v>
      </c>
      <c r="B26" t="s">
        <v>15</v>
      </c>
      <c r="C26" t="s">
        <v>17</v>
      </c>
      <c r="D26">
        <v>34</v>
      </c>
      <c r="E26" s="1">
        <v>44653</v>
      </c>
      <c r="F26" s="18">
        <v>58940</v>
      </c>
      <c r="G26" t="s">
        <v>13</v>
      </c>
    </row>
    <row r="27" spans="1:7" x14ac:dyDescent="0.3">
      <c r="A27" t="s">
        <v>38</v>
      </c>
      <c r="B27" t="s">
        <v>15</v>
      </c>
      <c r="C27" t="s">
        <v>17</v>
      </c>
      <c r="D27">
        <v>30</v>
      </c>
      <c r="E27" s="1">
        <v>44389</v>
      </c>
      <c r="F27" s="18">
        <v>67910</v>
      </c>
      <c r="G27" t="s">
        <v>18</v>
      </c>
    </row>
    <row r="28" spans="1:7" x14ac:dyDescent="0.3">
      <c r="A28" t="s">
        <v>39</v>
      </c>
      <c r="B28" t="s">
        <v>15</v>
      </c>
      <c r="C28" t="s">
        <v>23</v>
      </c>
      <c r="D28">
        <v>31</v>
      </c>
      <c r="E28" s="1">
        <v>44663</v>
      </c>
      <c r="F28" s="18">
        <v>58100</v>
      </c>
      <c r="G28" t="s">
        <v>13</v>
      </c>
    </row>
    <row r="29" spans="1:7" x14ac:dyDescent="0.3">
      <c r="A29" t="s">
        <v>40</v>
      </c>
      <c r="B29" t="s">
        <v>8</v>
      </c>
      <c r="C29" t="s">
        <v>17</v>
      </c>
      <c r="D29">
        <v>27</v>
      </c>
      <c r="E29" s="1">
        <v>44567</v>
      </c>
      <c r="F29" s="18">
        <v>48980</v>
      </c>
      <c r="G29" t="s">
        <v>13</v>
      </c>
    </row>
    <row r="30" spans="1:7" x14ac:dyDescent="0.3">
      <c r="A30" t="s">
        <v>41</v>
      </c>
      <c r="C30" t="s">
        <v>17</v>
      </c>
      <c r="D30">
        <v>30</v>
      </c>
      <c r="E30" s="1">
        <v>44597</v>
      </c>
      <c r="F30" s="18">
        <v>64000</v>
      </c>
      <c r="G30" t="s">
        <v>13</v>
      </c>
    </row>
    <row r="31" spans="1:7" x14ac:dyDescent="0.3">
      <c r="A31" t="s">
        <v>42</v>
      </c>
      <c r="B31" t="s">
        <v>15</v>
      </c>
      <c r="C31" t="s">
        <v>12</v>
      </c>
      <c r="D31">
        <v>42</v>
      </c>
      <c r="E31" s="1">
        <v>44779</v>
      </c>
      <c r="F31" s="18">
        <v>75000</v>
      </c>
      <c r="G31" t="s">
        <v>43</v>
      </c>
    </row>
    <row r="32" spans="1:7" x14ac:dyDescent="0.3">
      <c r="A32" t="s">
        <v>44</v>
      </c>
      <c r="B32" t="s">
        <v>15</v>
      </c>
      <c r="C32" t="s">
        <v>23</v>
      </c>
      <c r="D32">
        <v>40</v>
      </c>
      <c r="E32" s="1">
        <v>44337</v>
      </c>
      <c r="F32" s="18">
        <v>87620</v>
      </c>
      <c r="G32" t="s">
        <v>13</v>
      </c>
    </row>
    <row r="33" spans="1:7" x14ac:dyDescent="0.3">
      <c r="A33" t="s">
        <v>45</v>
      </c>
      <c r="B33" t="s">
        <v>15</v>
      </c>
      <c r="C33" t="s">
        <v>23</v>
      </c>
      <c r="D33">
        <v>29</v>
      </c>
      <c r="E33" s="1">
        <v>44023</v>
      </c>
      <c r="F33" s="18">
        <v>34980</v>
      </c>
      <c r="G33" t="s">
        <v>13</v>
      </c>
    </row>
    <row r="34" spans="1:7" x14ac:dyDescent="0.3">
      <c r="A34" t="s">
        <v>46</v>
      </c>
      <c r="B34" t="s">
        <v>15</v>
      </c>
      <c r="C34" t="s">
        <v>17</v>
      </c>
      <c r="D34">
        <v>28</v>
      </c>
      <c r="E34" s="1">
        <v>44185</v>
      </c>
      <c r="F34" s="18">
        <v>75970</v>
      </c>
      <c r="G34" t="s">
        <v>13</v>
      </c>
    </row>
    <row r="35" spans="1:7" x14ac:dyDescent="0.3">
      <c r="A35" t="s">
        <v>47</v>
      </c>
      <c r="B35" t="s">
        <v>15</v>
      </c>
      <c r="C35" t="s">
        <v>17</v>
      </c>
      <c r="D35">
        <v>34</v>
      </c>
      <c r="E35" s="1">
        <v>44612</v>
      </c>
      <c r="F35" s="18">
        <v>60130</v>
      </c>
      <c r="G35" t="s">
        <v>13</v>
      </c>
    </row>
    <row r="36" spans="1:7" x14ac:dyDescent="0.3">
      <c r="A36" t="s">
        <v>48</v>
      </c>
      <c r="B36" t="s">
        <v>15</v>
      </c>
      <c r="C36" t="s">
        <v>23</v>
      </c>
      <c r="D36">
        <v>33</v>
      </c>
      <c r="E36" s="1">
        <v>44374</v>
      </c>
      <c r="F36" s="18">
        <v>75480</v>
      </c>
      <c r="G36" t="s">
        <v>49</v>
      </c>
    </row>
    <row r="37" spans="1:7" x14ac:dyDescent="0.3">
      <c r="A37" t="s">
        <v>50</v>
      </c>
      <c r="B37" t="s">
        <v>8</v>
      </c>
      <c r="C37" t="s">
        <v>12</v>
      </c>
      <c r="D37">
        <v>33</v>
      </c>
      <c r="E37" s="1">
        <v>44164</v>
      </c>
      <c r="F37" s="18">
        <v>115920</v>
      </c>
      <c r="G37" t="s">
        <v>13</v>
      </c>
    </row>
    <row r="38" spans="1:7" x14ac:dyDescent="0.3">
      <c r="A38" t="s">
        <v>51</v>
      </c>
      <c r="B38" t="s">
        <v>15</v>
      </c>
      <c r="C38" t="s">
        <v>9</v>
      </c>
      <c r="D38">
        <v>36</v>
      </c>
      <c r="E38" s="1">
        <v>44494</v>
      </c>
      <c r="F38" s="18">
        <v>78540</v>
      </c>
      <c r="G38" t="s">
        <v>13</v>
      </c>
    </row>
    <row r="39" spans="1:7" x14ac:dyDescent="0.3">
      <c r="A39" t="s">
        <v>52</v>
      </c>
      <c r="B39" t="s">
        <v>8</v>
      </c>
      <c r="C39" t="s">
        <v>12</v>
      </c>
      <c r="D39">
        <v>25</v>
      </c>
      <c r="E39" s="1">
        <v>44726</v>
      </c>
      <c r="F39" s="18">
        <v>109190</v>
      </c>
      <c r="G39" t="s">
        <v>10</v>
      </c>
    </row>
    <row r="40" spans="1:7" x14ac:dyDescent="0.3">
      <c r="A40" t="s">
        <v>53</v>
      </c>
      <c r="B40" t="s">
        <v>15</v>
      </c>
      <c r="C40" t="s">
        <v>9</v>
      </c>
      <c r="D40">
        <v>34</v>
      </c>
      <c r="E40" s="1">
        <v>44721</v>
      </c>
      <c r="F40" s="18">
        <v>49630</v>
      </c>
      <c r="G40" t="s">
        <v>18</v>
      </c>
    </row>
    <row r="41" spans="1:7" x14ac:dyDescent="0.3">
      <c r="A41" t="s">
        <v>54</v>
      </c>
      <c r="B41" t="s">
        <v>15</v>
      </c>
      <c r="C41" t="s">
        <v>12</v>
      </c>
      <c r="D41">
        <v>28</v>
      </c>
      <c r="E41" s="1">
        <v>44630</v>
      </c>
      <c r="F41" s="18">
        <v>99970</v>
      </c>
      <c r="G41" t="s">
        <v>13</v>
      </c>
    </row>
    <row r="42" spans="1:7" x14ac:dyDescent="0.3">
      <c r="A42" t="s">
        <v>55</v>
      </c>
      <c r="B42" t="s">
        <v>15</v>
      </c>
      <c r="C42" t="s">
        <v>23</v>
      </c>
      <c r="D42">
        <v>33</v>
      </c>
      <c r="E42" s="1">
        <v>44190</v>
      </c>
      <c r="F42" s="18">
        <v>96140</v>
      </c>
      <c r="G42" t="s">
        <v>13</v>
      </c>
    </row>
    <row r="43" spans="1:7" x14ac:dyDescent="0.3">
      <c r="A43" t="s">
        <v>56</v>
      </c>
      <c r="B43" t="s">
        <v>8</v>
      </c>
      <c r="C43" t="s">
        <v>12</v>
      </c>
      <c r="D43">
        <v>31</v>
      </c>
      <c r="E43" s="1">
        <v>44724</v>
      </c>
      <c r="F43" s="18">
        <v>103550</v>
      </c>
      <c r="G43" t="s">
        <v>13</v>
      </c>
    </row>
    <row r="44" spans="1:7" x14ac:dyDescent="0.3">
      <c r="A44" t="s">
        <v>57</v>
      </c>
      <c r="B44" t="s">
        <v>8</v>
      </c>
      <c r="C44" t="s">
        <v>23</v>
      </c>
      <c r="D44">
        <v>31</v>
      </c>
      <c r="E44" s="1">
        <v>44511</v>
      </c>
      <c r="F44" s="18">
        <v>48950</v>
      </c>
      <c r="G44" t="s">
        <v>13</v>
      </c>
    </row>
    <row r="45" spans="1:7" x14ac:dyDescent="0.3">
      <c r="A45" t="s">
        <v>58</v>
      </c>
      <c r="B45" t="s">
        <v>8</v>
      </c>
      <c r="C45" t="s">
        <v>17</v>
      </c>
      <c r="D45">
        <v>24</v>
      </c>
      <c r="E45" s="1">
        <v>44436</v>
      </c>
      <c r="F45" s="18">
        <v>52610</v>
      </c>
      <c r="G45" t="s">
        <v>18</v>
      </c>
    </row>
    <row r="46" spans="1:7" x14ac:dyDescent="0.3">
      <c r="A46" t="s">
        <v>59</v>
      </c>
      <c r="B46" t="s">
        <v>15</v>
      </c>
      <c r="C46" t="s">
        <v>12</v>
      </c>
      <c r="D46">
        <v>36</v>
      </c>
      <c r="E46" s="1">
        <v>44529</v>
      </c>
      <c r="F46" s="18">
        <v>78390</v>
      </c>
      <c r="G46" t="s">
        <v>13</v>
      </c>
    </row>
    <row r="47" spans="1:7" x14ac:dyDescent="0.3">
      <c r="A47" t="s">
        <v>60</v>
      </c>
      <c r="B47" t="s">
        <v>15</v>
      </c>
      <c r="C47" t="s">
        <v>17</v>
      </c>
      <c r="D47">
        <v>33</v>
      </c>
      <c r="E47" s="1">
        <v>44809</v>
      </c>
      <c r="F47" s="18">
        <v>86570</v>
      </c>
      <c r="G47" t="s">
        <v>13</v>
      </c>
    </row>
    <row r="48" spans="1:7" x14ac:dyDescent="0.3">
      <c r="A48" t="s">
        <v>61</v>
      </c>
      <c r="B48" t="s">
        <v>15</v>
      </c>
      <c r="C48" t="s">
        <v>23</v>
      </c>
      <c r="D48">
        <v>27</v>
      </c>
      <c r="E48" s="1">
        <v>44686</v>
      </c>
      <c r="F48" s="18">
        <v>83750</v>
      </c>
      <c r="G48" t="s">
        <v>13</v>
      </c>
    </row>
    <row r="49" spans="1:7" x14ac:dyDescent="0.3">
      <c r="A49" t="s">
        <v>62</v>
      </c>
      <c r="B49" t="s">
        <v>15</v>
      </c>
      <c r="C49" t="s">
        <v>17</v>
      </c>
      <c r="D49">
        <v>34</v>
      </c>
      <c r="E49" s="1">
        <v>44445</v>
      </c>
      <c r="F49" s="18">
        <v>92450</v>
      </c>
      <c r="G49" t="s">
        <v>13</v>
      </c>
    </row>
    <row r="50" spans="1:7" x14ac:dyDescent="0.3">
      <c r="A50" t="s">
        <v>63</v>
      </c>
      <c r="B50" t="s">
        <v>8</v>
      </c>
      <c r="C50" t="s">
        <v>23</v>
      </c>
      <c r="D50">
        <v>20</v>
      </c>
      <c r="E50" s="1">
        <v>44183</v>
      </c>
      <c r="F50" s="18">
        <v>112650</v>
      </c>
      <c r="G50" t="s">
        <v>13</v>
      </c>
    </row>
    <row r="51" spans="1:7" x14ac:dyDescent="0.3">
      <c r="A51" t="s">
        <v>64</v>
      </c>
      <c r="B51" t="s">
        <v>8</v>
      </c>
      <c r="C51" t="s">
        <v>12</v>
      </c>
      <c r="D51">
        <v>20</v>
      </c>
      <c r="E51" s="1">
        <v>44744</v>
      </c>
      <c r="F51" s="18">
        <v>79570</v>
      </c>
      <c r="G51" t="s">
        <v>13</v>
      </c>
    </row>
    <row r="52" spans="1:7" x14ac:dyDescent="0.3">
      <c r="A52" t="s">
        <v>65</v>
      </c>
      <c r="B52" t="s">
        <v>15</v>
      </c>
      <c r="C52" t="s">
        <v>9</v>
      </c>
      <c r="D52">
        <v>20</v>
      </c>
      <c r="E52" s="1">
        <v>44537</v>
      </c>
      <c r="F52" s="18">
        <v>68900</v>
      </c>
      <c r="G52" t="s">
        <v>18</v>
      </c>
    </row>
    <row r="53" spans="1:7" x14ac:dyDescent="0.3">
      <c r="A53" t="s">
        <v>66</v>
      </c>
      <c r="B53" t="s">
        <v>15</v>
      </c>
      <c r="C53" t="s">
        <v>23</v>
      </c>
      <c r="D53">
        <v>25</v>
      </c>
      <c r="E53" s="1">
        <v>44694</v>
      </c>
      <c r="F53" s="18">
        <v>80700</v>
      </c>
      <c r="G53" t="s">
        <v>10</v>
      </c>
    </row>
    <row r="54" spans="1:7" x14ac:dyDescent="0.3">
      <c r="A54" t="s">
        <v>67</v>
      </c>
      <c r="B54" t="s">
        <v>8</v>
      </c>
      <c r="C54" t="s">
        <v>12</v>
      </c>
      <c r="D54">
        <v>19</v>
      </c>
      <c r="E54" s="1">
        <v>44277</v>
      </c>
      <c r="F54" s="18">
        <v>58960</v>
      </c>
      <c r="G54" t="s">
        <v>13</v>
      </c>
    </row>
    <row r="55" spans="1:7" x14ac:dyDescent="0.3">
      <c r="A55" t="s">
        <v>68</v>
      </c>
      <c r="B55" t="s">
        <v>8</v>
      </c>
      <c r="C55" t="s">
        <v>23</v>
      </c>
      <c r="D55">
        <v>36</v>
      </c>
      <c r="E55" s="1">
        <v>44019</v>
      </c>
      <c r="F55" s="18">
        <v>118840</v>
      </c>
      <c r="G55" t="s">
        <v>13</v>
      </c>
    </row>
    <row r="56" spans="1:7" x14ac:dyDescent="0.3">
      <c r="A56" t="s">
        <v>69</v>
      </c>
      <c r="B56" t="s">
        <v>8</v>
      </c>
      <c r="C56" t="s">
        <v>17</v>
      </c>
      <c r="D56">
        <v>28</v>
      </c>
      <c r="E56" s="1">
        <v>44041</v>
      </c>
      <c r="F56" s="18">
        <v>48170</v>
      </c>
      <c r="G56" t="s">
        <v>10</v>
      </c>
    </row>
    <row r="57" spans="1:7" x14ac:dyDescent="0.3">
      <c r="A57" t="s">
        <v>70</v>
      </c>
      <c r="B57" t="s">
        <v>15</v>
      </c>
      <c r="C57" t="s">
        <v>26</v>
      </c>
      <c r="D57">
        <v>32</v>
      </c>
      <c r="E57" s="1">
        <v>44400</v>
      </c>
      <c r="F57" s="18">
        <v>45510</v>
      </c>
      <c r="G57" t="s">
        <v>13</v>
      </c>
    </row>
    <row r="58" spans="1:7" x14ac:dyDescent="0.3">
      <c r="A58" t="s">
        <v>63</v>
      </c>
      <c r="B58" t="s">
        <v>8</v>
      </c>
      <c r="C58" t="s">
        <v>12</v>
      </c>
      <c r="D58">
        <v>34</v>
      </c>
      <c r="E58" s="1">
        <v>44703</v>
      </c>
      <c r="F58" s="18">
        <v>112650</v>
      </c>
      <c r="G58" t="s">
        <v>13</v>
      </c>
    </row>
    <row r="59" spans="1:7" x14ac:dyDescent="0.3">
      <c r="A59" t="s">
        <v>71</v>
      </c>
      <c r="B59" t="s">
        <v>15</v>
      </c>
      <c r="C59" t="s">
        <v>12</v>
      </c>
      <c r="D59">
        <v>36</v>
      </c>
      <c r="E59" s="1">
        <v>44085</v>
      </c>
      <c r="F59" s="18">
        <v>114890</v>
      </c>
      <c r="G59" t="s">
        <v>13</v>
      </c>
    </row>
    <row r="60" spans="1:7" x14ac:dyDescent="0.3">
      <c r="A60" t="s">
        <v>72</v>
      </c>
      <c r="B60" t="s">
        <v>8</v>
      </c>
      <c r="C60" t="s">
        <v>23</v>
      </c>
      <c r="D60">
        <v>30</v>
      </c>
      <c r="E60" s="1">
        <v>44850</v>
      </c>
      <c r="F60" s="18">
        <v>69710</v>
      </c>
      <c r="G60" t="s">
        <v>13</v>
      </c>
    </row>
    <row r="61" spans="1:7" x14ac:dyDescent="0.3">
      <c r="A61" t="s">
        <v>73</v>
      </c>
      <c r="B61" t="s">
        <v>8</v>
      </c>
      <c r="C61" t="s">
        <v>17</v>
      </c>
      <c r="D61">
        <v>36</v>
      </c>
      <c r="E61" s="1">
        <v>44333</v>
      </c>
      <c r="F61" s="18">
        <v>71380</v>
      </c>
      <c r="G61" t="s">
        <v>13</v>
      </c>
    </row>
    <row r="62" spans="1:7" x14ac:dyDescent="0.3">
      <c r="A62" t="s">
        <v>74</v>
      </c>
      <c r="B62" t="s">
        <v>15</v>
      </c>
      <c r="C62" t="s">
        <v>9</v>
      </c>
      <c r="D62">
        <v>38</v>
      </c>
      <c r="E62" s="1">
        <v>44377</v>
      </c>
      <c r="F62" s="18">
        <v>109160</v>
      </c>
      <c r="G62" t="s">
        <v>43</v>
      </c>
    </row>
    <row r="63" spans="1:7" x14ac:dyDescent="0.3">
      <c r="A63" t="s">
        <v>75</v>
      </c>
      <c r="B63" t="s">
        <v>8</v>
      </c>
      <c r="C63" t="s">
        <v>12</v>
      </c>
      <c r="D63">
        <v>27</v>
      </c>
      <c r="E63" s="1">
        <v>44609</v>
      </c>
      <c r="F63" s="18">
        <v>113280</v>
      </c>
      <c r="G63" t="s">
        <v>49</v>
      </c>
    </row>
    <row r="64" spans="1:7" x14ac:dyDescent="0.3">
      <c r="A64" t="s">
        <v>76</v>
      </c>
      <c r="B64" t="s">
        <v>8</v>
      </c>
      <c r="C64" t="s">
        <v>23</v>
      </c>
      <c r="D64">
        <v>30</v>
      </c>
      <c r="E64" s="1">
        <v>44273</v>
      </c>
      <c r="F64" s="18">
        <v>69120</v>
      </c>
      <c r="G64" t="s">
        <v>13</v>
      </c>
    </row>
    <row r="65" spans="1:7" x14ac:dyDescent="0.3">
      <c r="A65" t="s">
        <v>77</v>
      </c>
      <c r="B65" t="s">
        <v>15</v>
      </c>
      <c r="C65" t="s">
        <v>26</v>
      </c>
      <c r="D65">
        <v>37</v>
      </c>
      <c r="E65" s="1">
        <v>44451</v>
      </c>
      <c r="F65" s="18">
        <v>118100</v>
      </c>
      <c r="G65" t="s">
        <v>13</v>
      </c>
    </row>
    <row r="66" spans="1:7" x14ac:dyDescent="0.3">
      <c r="A66" t="s">
        <v>78</v>
      </c>
      <c r="B66" t="s">
        <v>15</v>
      </c>
      <c r="C66" t="s">
        <v>12</v>
      </c>
      <c r="D66">
        <v>22</v>
      </c>
      <c r="E66" s="1">
        <v>44450</v>
      </c>
      <c r="F66" s="18">
        <v>76900</v>
      </c>
      <c r="G66" t="s">
        <v>10</v>
      </c>
    </row>
    <row r="67" spans="1:7" x14ac:dyDescent="0.3">
      <c r="A67" t="s">
        <v>79</v>
      </c>
      <c r="B67" t="s">
        <v>15</v>
      </c>
      <c r="C67" t="s">
        <v>23</v>
      </c>
      <c r="D67">
        <v>43</v>
      </c>
      <c r="E67" s="1">
        <v>45045</v>
      </c>
      <c r="F67" s="18">
        <v>114870</v>
      </c>
      <c r="G67" t="s">
        <v>13</v>
      </c>
    </row>
    <row r="68" spans="1:7" x14ac:dyDescent="0.3">
      <c r="A68" t="s">
        <v>80</v>
      </c>
      <c r="C68" t="s">
        <v>23</v>
      </c>
      <c r="D68">
        <v>32</v>
      </c>
      <c r="E68" s="1">
        <v>44774</v>
      </c>
      <c r="F68" s="18">
        <v>91310</v>
      </c>
      <c r="G68" t="s">
        <v>13</v>
      </c>
    </row>
    <row r="69" spans="1:7" x14ac:dyDescent="0.3">
      <c r="A69" t="s">
        <v>81</v>
      </c>
      <c r="B69" t="s">
        <v>15</v>
      </c>
      <c r="C69" t="s">
        <v>12</v>
      </c>
      <c r="D69">
        <v>28</v>
      </c>
      <c r="E69" s="1">
        <v>44486</v>
      </c>
      <c r="F69" s="18">
        <v>104770</v>
      </c>
      <c r="G69" t="s">
        <v>13</v>
      </c>
    </row>
    <row r="70" spans="1:7" x14ac:dyDescent="0.3">
      <c r="A70" t="s">
        <v>82</v>
      </c>
      <c r="B70" t="s">
        <v>8</v>
      </c>
      <c r="C70" t="s">
        <v>9</v>
      </c>
      <c r="D70">
        <v>27</v>
      </c>
      <c r="E70" s="1">
        <v>44134</v>
      </c>
      <c r="F70" s="18">
        <v>54970</v>
      </c>
      <c r="G70" t="s">
        <v>13</v>
      </c>
    </row>
    <row r="71" spans="1:7" x14ac:dyDescent="0.3">
      <c r="A71" t="s">
        <v>83</v>
      </c>
      <c r="C71" t="s">
        <v>23</v>
      </c>
      <c r="D71">
        <v>26</v>
      </c>
      <c r="E71" s="1">
        <v>44271</v>
      </c>
      <c r="F71" s="18">
        <v>90700</v>
      </c>
      <c r="G71" t="s">
        <v>10</v>
      </c>
    </row>
    <row r="72" spans="1:7" x14ac:dyDescent="0.3">
      <c r="A72" t="s">
        <v>84</v>
      </c>
      <c r="B72" t="s">
        <v>15</v>
      </c>
      <c r="C72" t="s">
        <v>9</v>
      </c>
      <c r="D72">
        <v>38</v>
      </c>
      <c r="E72" s="1">
        <v>44329</v>
      </c>
      <c r="F72" s="18">
        <v>56870</v>
      </c>
      <c r="G72" t="s">
        <v>10</v>
      </c>
    </row>
    <row r="73" spans="1:7" x14ac:dyDescent="0.3">
      <c r="A73" t="s">
        <v>85</v>
      </c>
      <c r="B73" t="s">
        <v>15</v>
      </c>
      <c r="C73" t="s">
        <v>9</v>
      </c>
      <c r="D73">
        <v>25</v>
      </c>
      <c r="E73" s="1">
        <v>44205</v>
      </c>
      <c r="F73" s="18">
        <v>92700</v>
      </c>
      <c r="G73" t="s">
        <v>13</v>
      </c>
    </row>
    <row r="74" spans="1:7" x14ac:dyDescent="0.3">
      <c r="A74" t="s">
        <v>86</v>
      </c>
      <c r="B74" t="s">
        <v>15</v>
      </c>
      <c r="C74" t="s">
        <v>17</v>
      </c>
      <c r="D74">
        <v>21</v>
      </c>
      <c r="E74" s="1">
        <v>44317</v>
      </c>
      <c r="F74" s="18">
        <v>65920</v>
      </c>
      <c r="G74" t="s">
        <v>13</v>
      </c>
    </row>
    <row r="75" spans="1:7" x14ac:dyDescent="0.3">
      <c r="A75" t="s">
        <v>87</v>
      </c>
      <c r="B75" t="s">
        <v>8</v>
      </c>
      <c r="C75" t="s">
        <v>12</v>
      </c>
      <c r="D75">
        <v>26</v>
      </c>
      <c r="E75" s="1">
        <v>44225</v>
      </c>
      <c r="F75" s="18">
        <v>47360</v>
      </c>
      <c r="G75" t="s">
        <v>13</v>
      </c>
    </row>
    <row r="76" spans="1:7" x14ac:dyDescent="0.3">
      <c r="A76" t="s">
        <v>88</v>
      </c>
      <c r="B76" t="s">
        <v>8</v>
      </c>
      <c r="C76" t="s">
        <v>12</v>
      </c>
      <c r="D76">
        <v>30</v>
      </c>
      <c r="E76" s="1">
        <v>44666</v>
      </c>
      <c r="F76" s="18">
        <v>60570</v>
      </c>
      <c r="G76" t="s">
        <v>13</v>
      </c>
    </row>
    <row r="77" spans="1:7" x14ac:dyDescent="0.3">
      <c r="A77" t="s">
        <v>89</v>
      </c>
      <c r="B77" t="s">
        <v>15</v>
      </c>
      <c r="C77" t="s">
        <v>12</v>
      </c>
      <c r="D77">
        <v>28</v>
      </c>
      <c r="E77" s="1">
        <v>44649</v>
      </c>
      <c r="F77" s="18">
        <v>104120</v>
      </c>
      <c r="G77" t="s">
        <v>13</v>
      </c>
    </row>
    <row r="78" spans="1:7" x14ac:dyDescent="0.3">
      <c r="A78" t="s">
        <v>90</v>
      </c>
      <c r="B78" t="s">
        <v>8</v>
      </c>
      <c r="C78" t="s">
        <v>23</v>
      </c>
      <c r="D78">
        <v>37</v>
      </c>
      <c r="E78" s="1">
        <v>44338</v>
      </c>
      <c r="F78" s="18">
        <v>88050</v>
      </c>
      <c r="G78" t="s">
        <v>18</v>
      </c>
    </row>
    <row r="79" spans="1:7" x14ac:dyDescent="0.3">
      <c r="A79" t="s">
        <v>91</v>
      </c>
      <c r="B79" t="s">
        <v>8</v>
      </c>
      <c r="C79" t="s">
        <v>23</v>
      </c>
      <c r="D79">
        <v>24</v>
      </c>
      <c r="E79" s="1">
        <v>44686</v>
      </c>
      <c r="F79" s="18">
        <v>100420</v>
      </c>
      <c r="G79" t="s">
        <v>13</v>
      </c>
    </row>
    <row r="80" spans="1:7" x14ac:dyDescent="0.3">
      <c r="A80" t="s">
        <v>92</v>
      </c>
      <c r="B80" t="s">
        <v>15</v>
      </c>
      <c r="C80" t="s">
        <v>12</v>
      </c>
      <c r="D80">
        <v>30</v>
      </c>
      <c r="E80" s="1">
        <v>44850</v>
      </c>
      <c r="F80" s="18">
        <v>114180</v>
      </c>
      <c r="G80" t="s">
        <v>13</v>
      </c>
    </row>
    <row r="81" spans="1:7" x14ac:dyDescent="0.3">
      <c r="A81" t="s">
        <v>93</v>
      </c>
      <c r="B81" t="s">
        <v>15</v>
      </c>
      <c r="C81" t="s">
        <v>23</v>
      </c>
      <c r="D81">
        <v>21</v>
      </c>
      <c r="E81" s="1">
        <v>44678</v>
      </c>
      <c r="F81" s="18">
        <v>33920</v>
      </c>
      <c r="G81" t="s">
        <v>13</v>
      </c>
    </row>
    <row r="82" spans="1:7" x14ac:dyDescent="0.3">
      <c r="A82" t="s">
        <v>94</v>
      </c>
      <c r="B82" t="s">
        <v>8</v>
      </c>
      <c r="C82" t="s">
        <v>12</v>
      </c>
      <c r="D82">
        <v>23</v>
      </c>
      <c r="E82" s="1">
        <v>44440</v>
      </c>
      <c r="F82" s="18">
        <v>106460</v>
      </c>
      <c r="G82" t="s">
        <v>13</v>
      </c>
    </row>
    <row r="83" spans="1:7" x14ac:dyDescent="0.3">
      <c r="A83" t="s">
        <v>95</v>
      </c>
      <c r="B83" t="s">
        <v>8</v>
      </c>
      <c r="C83" t="s">
        <v>12</v>
      </c>
      <c r="D83">
        <v>35</v>
      </c>
      <c r="E83" s="1">
        <v>44727</v>
      </c>
      <c r="F83" s="18">
        <v>40400</v>
      </c>
      <c r="G83" t="s">
        <v>13</v>
      </c>
    </row>
    <row r="84" spans="1:7" x14ac:dyDescent="0.3">
      <c r="A84" t="s">
        <v>96</v>
      </c>
      <c r="B84" t="s">
        <v>8</v>
      </c>
      <c r="C84" t="s">
        <v>17</v>
      </c>
      <c r="D84">
        <v>27</v>
      </c>
      <c r="E84" s="1">
        <v>44236</v>
      </c>
      <c r="F84" s="18">
        <v>91650</v>
      </c>
      <c r="G84" t="s">
        <v>10</v>
      </c>
    </row>
    <row r="85" spans="1:7" x14ac:dyDescent="0.3">
      <c r="A85" t="s">
        <v>97</v>
      </c>
      <c r="B85" t="s">
        <v>8</v>
      </c>
      <c r="C85" t="s">
        <v>9</v>
      </c>
      <c r="D85">
        <v>43</v>
      </c>
      <c r="E85" s="1">
        <v>44620</v>
      </c>
      <c r="F85" s="18">
        <v>36040</v>
      </c>
      <c r="G85" t="s">
        <v>13</v>
      </c>
    </row>
    <row r="86" spans="1:7" x14ac:dyDescent="0.3">
      <c r="A86" t="s">
        <v>98</v>
      </c>
      <c r="B86" t="s">
        <v>15</v>
      </c>
      <c r="C86" t="s">
        <v>23</v>
      </c>
      <c r="D86">
        <v>40</v>
      </c>
      <c r="E86" s="1">
        <v>44381</v>
      </c>
      <c r="F86" s="18">
        <v>104410</v>
      </c>
      <c r="G86" t="s">
        <v>13</v>
      </c>
    </row>
    <row r="87" spans="1:7" x14ac:dyDescent="0.3">
      <c r="A87" t="s">
        <v>99</v>
      </c>
      <c r="B87" t="s">
        <v>8</v>
      </c>
      <c r="C87" t="s">
        <v>17</v>
      </c>
      <c r="D87">
        <v>30</v>
      </c>
      <c r="E87" s="1">
        <v>44606</v>
      </c>
      <c r="F87" s="18">
        <v>96800</v>
      </c>
      <c r="G87" t="s">
        <v>13</v>
      </c>
    </row>
    <row r="88" spans="1:7" x14ac:dyDescent="0.3">
      <c r="A88" t="s">
        <v>100</v>
      </c>
      <c r="B88" t="s">
        <v>15</v>
      </c>
      <c r="C88" t="s">
        <v>17</v>
      </c>
      <c r="D88">
        <v>34</v>
      </c>
      <c r="E88" s="1">
        <v>44459</v>
      </c>
      <c r="F88" s="18">
        <v>85000</v>
      </c>
      <c r="G88" t="s">
        <v>13</v>
      </c>
    </row>
    <row r="89" spans="1:7" x14ac:dyDescent="0.3">
      <c r="A89" t="s">
        <v>101</v>
      </c>
      <c r="B89" t="s">
        <v>8</v>
      </c>
      <c r="C89" t="s">
        <v>9</v>
      </c>
      <c r="D89">
        <v>28</v>
      </c>
      <c r="E89" s="1">
        <v>44820</v>
      </c>
      <c r="F89" s="18">
        <v>43510</v>
      </c>
      <c r="G89" t="s">
        <v>49</v>
      </c>
    </row>
    <row r="90" spans="1:7" x14ac:dyDescent="0.3">
      <c r="A90" t="s">
        <v>102</v>
      </c>
      <c r="B90" t="s">
        <v>8</v>
      </c>
      <c r="C90" t="s">
        <v>17</v>
      </c>
      <c r="D90">
        <v>33</v>
      </c>
      <c r="E90" s="1">
        <v>44243</v>
      </c>
      <c r="F90" s="18">
        <v>59430</v>
      </c>
      <c r="G90" t="s">
        <v>13</v>
      </c>
    </row>
    <row r="91" spans="1:7" x14ac:dyDescent="0.3">
      <c r="A91" t="s">
        <v>103</v>
      </c>
      <c r="B91" t="s">
        <v>15</v>
      </c>
      <c r="C91" t="s">
        <v>17</v>
      </c>
      <c r="D91">
        <v>33</v>
      </c>
      <c r="E91" s="1">
        <v>44067</v>
      </c>
      <c r="F91" s="18">
        <v>65360</v>
      </c>
      <c r="G91" t="s">
        <v>13</v>
      </c>
    </row>
    <row r="92" spans="1:7" x14ac:dyDescent="0.3">
      <c r="A92" t="s">
        <v>104</v>
      </c>
      <c r="B92" t="s">
        <v>15</v>
      </c>
      <c r="C92" t="s">
        <v>12</v>
      </c>
      <c r="D92">
        <v>32</v>
      </c>
      <c r="E92" s="1">
        <v>44611</v>
      </c>
      <c r="F92" s="18">
        <v>41570</v>
      </c>
      <c r="G92" t="s">
        <v>13</v>
      </c>
    </row>
    <row r="93" spans="1:7" x14ac:dyDescent="0.3">
      <c r="A93" t="s">
        <v>105</v>
      </c>
      <c r="B93" t="s">
        <v>15</v>
      </c>
      <c r="C93" t="s">
        <v>23</v>
      </c>
      <c r="D93">
        <v>33</v>
      </c>
      <c r="E93" s="1">
        <v>44312</v>
      </c>
      <c r="F93" s="18">
        <v>75280</v>
      </c>
      <c r="G93" t="s">
        <v>13</v>
      </c>
    </row>
    <row r="94" spans="1:7" x14ac:dyDescent="0.3">
      <c r="A94" t="s">
        <v>106</v>
      </c>
      <c r="B94" t="s">
        <v>8</v>
      </c>
      <c r="C94" t="s">
        <v>9</v>
      </c>
      <c r="D94">
        <v>33</v>
      </c>
      <c r="E94" s="1">
        <v>44385</v>
      </c>
      <c r="F94" s="18">
        <v>74550</v>
      </c>
      <c r="G94" t="s">
        <v>13</v>
      </c>
    </row>
    <row r="95" spans="1:7" x14ac:dyDescent="0.3">
      <c r="A95" t="s">
        <v>107</v>
      </c>
      <c r="B95" t="s">
        <v>8</v>
      </c>
      <c r="C95" t="s">
        <v>12</v>
      </c>
      <c r="D95">
        <v>30</v>
      </c>
      <c r="E95" s="1">
        <v>44701</v>
      </c>
      <c r="F95" s="18">
        <v>67950</v>
      </c>
      <c r="G95" t="s">
        <v>13</v>
      </c>
    </row>
    <row r="96" spans="1:7" x14ac:dyDescent="0.3">
      <c r="A96" t="s">
        <v>108</v>
      </c>
      <c r="B96" t="s">
        <v>8</v>
      </c>
      <c r="C96" t="s">
        <v>17</v>
      </c>
      <c r="D96">
        <v>42</v>
      </c>
      <c r="E96" s="1">
        <v>44731</v>
      </c>
      <c r="F96" s="18">
        <v>70270</v>
      </c>
      <c r="G96" t="s">
        <v>18</v>
      </c>
    </row>
    <row r="97" spans="1:7" x14ac:dyDescent="0.3">
      <c r="A97" t="s">
        <v>109</v>
      </c>
      <c r="B97" t="s">
        <v>8</v>
      </c>
      <c r="C97" t="s">
        <v>12</v>
      </c>
      <c r="D97">
        <v>26</v>
      </c>
      <c r="E97" s="1">
        <v>44411</v>
      </c>
      <c r="F97" s="18">
        <v>53540</v>
      </c>
      <c r="G97" t="s">
        <v>13</v>
      </c>
    </row>
    <row r="98" spans="1:7" x14ac:dyDescent="0.3">
      <c r="A98" t="s">
        <v>7</v>
      </c>
      <c r="B98" t="s">
        <v>8</v>
      </c>
      <c r="C98" t="s">
        <v>9</v>
      </c>
      <c r="D98">
        <v>22</v>
      </c>
      <c r="E98" s="1">
        <v>44446</v>
      </c>
      <c r="F98" s="18">
        <v>112780</v>
      </c>
      <c r="G98" t="s">
        <v>10</v>
      </c>
    </row>
    <row r="99" spans="1:7" x14ac:dyDescent="0.3">
      <c r="A99" t="s">
        <v>11</v>
      </c>
      <c r="B99" t="s">
        <v>8</v>
      </c>
      <c r="C99" t="s">
        <v>12</v>
      </c>
      <c r="D99">
        <v>46</v>
      </c>
      <c r="E99" s="1">
        <v>44758</v>
      </c>
      <c r="F99" s="18">
        <v>70610</v>
      </c>
      <c r="G99" t="s">
        <v>13</v>
      </c>
    </row>
    <row r="100" spans="1:7" x14ac:dyDescent="0.3">
      <c r="A100" t="s">
        <v>14</v>
      </c>
      <c r="B100" t="s">
        <v>15</v>
      </c>
      <c r="C100" t="s">
        <v>9</v>
      </c>
      <c r="D100">
        <v>28</v>
      </c>
      <c r="E100" s="1">
        <v>44357</v>
      </c>
      <c r="F100" s="18">
        <v>53240</v>
      </c>
      <c r="G100" t="s">
        <v>13</v>
      </c>
    </row>
    <row r="101" spans="1:7" x14ac:dyDescent="0.3">
      <c r="A101" t="s">
        <v>16</v>
      </c>
      <c r="C101" t="s">
        <v>17</v>
      </c>
      <c r="D101">
        <v>37</v>
      </c>
      <c r="E101" s="1">
        <v>44146</v>
      </c>
      <c r="F101" s="18">
        <v>115440</v>
      </c>
      <c r="G101" t="s">
        <v>18</v>
      </c>
    </row>
    <row r="102" spans="1:7" x14ac:dyDescent="0.3">
      <c r="A102" t="s">
        <v>19</v>
      </c>
      <c r="B102" t="s">
        <v>8</v>
      </c>
      <c r="C102" t="s">
        <v>9</v>
      </c>
      <c r="D102">
        <v>32</v>
      </c>
      <c r="E102" s="1">
        <v>44465</v>
      </c>
      <c r="F102" s="18">
        <v>53540</v>
      </c>
      <c r="G102" t="s">
        <v>13</v>
      </c>
    </row>
    <row r="103" spans="1:7" x14ac:dyDescent="0.3">
      <c r="A103" t="s">
        <v>20</v>
      </c>
      <c r="B103" t="s">
        <v>15</v>
      </c>
      <c r="C103" t="s">
        <v>12</v>
      </c>
      <c r="D103">
        <v>30</v>
      </c>
      <c r="E103" s="1">
        <v>44861</v>
      </c>
      <c r="F103" s="18">
        <v>112570</v>
      </c>
      <c r="G103" t="s">
        <v>13</v>
      </c>
    </row>
    <row r="104" spans="1:7" x14ac:dyDescent="0.3">
      <c r="A104" t="s">
        <v>21</v>
      </c>
      <c r="B104" t="s">
        <v>8</v>
      </c>
      <c r="C104" t="s">
        <v>12</v>
      </c>
      <c r="D104">
        <v>33</v>
      </c>
      <c r="E104" s="1">
        <v>44701</v>
      </c>
      <c r="F104" s="18">
        <v>48530</v>
      </c>
      <c r="G104" t="s">
        <v>10</v>
      </c>
    </row>
    <row r="105" spans="1:7" x14ac:dyDescent="0.3">
      <c r="A105" t="s">
        <v>22</v>
      </c>
      <c r="B105" t="s">
        <v>15</v>
      </c>
      <c r="C105" t="s">
        <v>23</v>
      </c>
      <c r="D105">
        <v>24</v>
      </c>
      <c r="E105" s="1">
        <v>44148</v>
      </c>
      <c r="F105" s="18">
        <v>62780</v>
      </c>
      <c r="G105" t="s">
        <v>13</v>
      </c>
    </row>
    <row r="106" spans="1:7" x14ac:dyDescent="0.3">
      <c r="A106" t="s">
        <v>202</v>
      </c>
      <c r="D106">
        <f>SUBTOTAL(101,Table1[Age])</f>
        <v>30.52</v>
      </c>
      <c r="F106" s="2">
        <f>SUBTOTAL(109,Table1[Salary])</f>
        <v>7747210</v>
      </c>
      <c r="G106">
        <f>SUBTOTAL(103,Table1[Rating])</f>
        <v>100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008C5-E15A-44F7-9222-BBC014041074}">
  <sheetPr>
    <tabColor theme="5" tint="-0.249977111117893"/>
  </sheetPr>
  <dimension ref="A6:G119"/>
  <sheetViews>
    <sheetView workbookViewId="0">
      <selection activeCell="A15" sqref="A15"/>
    </sheetView>
  </sheetViews>
  <sheetFormatPr defaultRowHeight="14.4" x14ac:dyDescent="0.3"/>
  <cols>
    <col min="1" max="1" width="27.21875" bestFit="1" customWidth="1"/>
    <col min="4" max="4" width="13.109375" bestFit="1" customWidth="1"/>
    <col min="5" max="5" width="13" bestFit="1" customWidth="1"/>
    <col min="6" max="6" width="13.33203125" bestFit="1" customWidth="1"/>
    <col min="7" max="7" width="13.21875" style="16" bestFit="1" customWidth="1"/>
  </cols>
  <sheetData>
    <row r="6" spans="1:7" x14ac:dyDescent="0.3">
      <c r="A6" t="s">
        <v>0</v>
      </c>
      <c r="B6" t="s">
        <v>1</v>
      </c>
      <c r="C6" t="s">
        <v>3</v>
      </c>
      <c r="D6" t="s">
        <v>6</v>
      </c>
      <c r="E6" t="s">
        <v>4</v>
      </c>
      <c r="F6" t="s">
        <v>2</v>
      </c>
      <c r="G6" s="16" t="s">
        <v>5</v>
      </c>
    </row>
    <row r="7" spans="1:7" x14ac:dyDescent="0.3">
      <c r="A7" t="s">
        <v>110</v>
      </c>
      <c r="B7" t="s">
        <v>8</v>
      </c>
      <c r="C7">
        <v>20</v>
      </c>
      <c r="D7" t="s">
        <v>13</v>
      </c>
      <c r="E7" s="1">
        <v>44122</v>
      </c>
      <c r="F7" t="s">
        <v>23</v>
      </c>
      <c r="G7" s="16">
        <v>112650</v>
      </c>
    </row>
    <row r="8" spans="1:7" x14ac:dyDescent="0.3">
      <c r="A8" t="s">
        <v>111</v>
      </c>
      <c r="B8" t="s">
        <v>15</v>
      </c>
      <c r="C8">
        <v>32</v>
      </c>
      <c r="D8" t="s">
        <v>10</v>
      </c>
      <c r="E8" s="1">
        <v>44293</v>
      </c>
      <c r="F8" t="s">
        <v>23</v>
      </c>
      <c r="G8" s="16">
        <v>43840</v>
      </c>
    </row>
    <row r="9" spans="1:7" x14ac:dyDescent="0.3">
      <c r="A9" t="s">
        <v>112</v>
      </c>
      <c r="B9" t="s">
        <v>8</v>
      </c>
      <c r="C9">
        <v>31</v>
      </c>
      <c r="D9" t="s">
        <v>13</v>
      </c>
      <c r="E9" s="1">
        <v>44663</v>
      </c>
      <c r="F9" t="s">
        <v>12</v>
      </c>
      <c r="G9" s="16">
        <v>103550</v>
      </c>
    </row>
    <row r="10" spans="1:7" x14ac:dyDescent="0.3">
      <c r="A10" t="s">
        <v>113</v>
      </c>
      <c r="B10" t="s">
        <v>15</v>
      </c>
      <c r="C10">
        <v>32</v>
      </c>
      <c r="D10" t="s">
        <v>13</v>
      </c>
      <c r="E10" s="1">
        <v>44339</v>
      </c>
      <c r="F10" t="s">
        <v>26</v>
      </c>
      <c r="G10" s="16">
        <v>45510</v>
      </c>
    </row>
    <row r="11" spans="1:7" x14ac:dyDescent="0.3">
      <c r="A11" t="s">
        <v>114</v>
      </c>
      <c r="C11">
        <v>37</v>
      </c>
      <c r="D11" t="s">
        <v>18</v>
      </c>
      <c r="E11" s="1">
        <v>44085</v>
      </c>
      <c r="F11" t="s">
        <v>17</v>
      </c>
      <c r="G11" s="16">
        <v>115440</v>
      </c>
    </row>
    <row r="12" spans="1:7" x14ac:dyDescent="0.3">
      <c r="A12" t="s">
        <v>115</v>
      </c>
      <c r="B12" t="s">
        <v>15</v>
      </c>
      <c r="C12">
        <v>38</v>
      </c>
      <c r="D12" t="s">
        <v>10</v>
      </c>
      <c r="E12" s="1">
        <v>44268</v>
      </c>
      <c r="F12" t="s">
        <v>9</v>
      </c>
      <c r="G12" s="16">
        <v>56870</v>
      </c>
    </row>
    <row r="13" spans="1:7" x14ac:dyDescent="0.3">
      <c r="A13" t="s">
        <v>116</v>
      </c>
      <c r="B13" t="s">
        <v>15</v>
      </c>
      <c r="C13">
        <v>25</v>
      </c>
      <c r="D13" t="s">
        <v>13</v>
      </c>
      <c r="E13" s="1">
        <v>44144</v>
      </c>
      <c r="F13" t="s">
        <v>9</v>
      </c>
      <c r="G13" s="16">
        <v>92700</v>
      </c>
    </row>
    <row r="14" spans="1:7" x14ac:dyDescent="0.3">
      <c r="A14" t="s">
        <v>117</v>
      </c>
      <c r="C14">
        <v>32</v>
      </c>
      <c r="D14" t="s">
        <v>13</v>
      </c>
      <c r="E14" s="1">
        <v>44713</v>
      </c>
      <c r="F14" t="s">
        <v>23</v>
      </c>
      <c r="G14" s="16">
        <v>91310</v>
      </c>
    </row>
    <row r="15" spans="1:7" x14ac:dyDescent="0.3">
      <c r="A15" t="s">
        <v>118</v>
      </c>
      <c r="B15" t="s">
        <v>8</v>
      </c>
      <c r="C15">
        <v>33</v>
      </c>
      <c r="D15" t="s">
        <v>13</v>
      </c>
      <c r="E15" s="1">
        <v>44324</v>
      </c>
      <c r="F15" t="s">
        <v>9</v>
      </c>
      <c r="G15" s="16">
        <v>74550</v>
      </c>
    </row>
    <row r="16" spans="1:7" x14ac:dyDescent="0.3">
      <c r="A16" t="s">
        <v>119</v>
      </c>
      <c r="B16" t="s">
        <v>8</v>
      </c>
      <c r="C16">
        <v>25</v>
      </c>
      <c r="D16" t="s">
        <v>10</v>
      </c>
      <c r="E16" s="1">
        <v>44665</v>
      </c>
      <c r="F16" t="s">
        <v>12</v>
      </c>
      <c r="G16" s="16">
        <v>109190</v>
      </c>
    </row>
    <row r="17" spans="1:7" x14ac:dyDescent="0.3">
      <c r="A17" t="s">
        <v>120</v>
      </c>
      <c r="B17" t="s">
        <v>15</v>
      </c>
      <c r="C17">
        <v>40</v>
      </c>
      <c r="D17" t="s">
        <v>13</v>
      </c>
      <c r="E17" s="1">
        <v>44320</v>
      </c>
      <c r="F17" t="s">
        <v>23</v>
      </c>
      <c r="G17" s="16">
        <v>104410</v>
      </c>
    </row>
    <row r="18" spans="1:7" x14ac:dyDescent="0.3">
      <c r="A18" t="s">
        <v>121</v>
      </c>
      <c r="B18" t="s">
        <v>8</v>
      </c>
      <c r="C18">
        <v>30</v>
      </c>
      <c r="D18" t="s">
        <v>13</v>
      </c>
      <c r="E18" s="1">
        <v>44544</v>
      </c>
      <c r="F18" t="s">
        <v>17</v>
      </c>
      <c r="G18" s="16">
        <v>96800</v>
      </c>
    </row>
    <row r="19" spans="1:7" x14ac:dyDescent="0.3">
      <c r="A19" t="s">
        <v>122</v>
      </c>
      <c r="B19" t="s">
        <v>8</v>
      </c>
      <c r="C19">
        <v>28</v>
      </c>
      <c r="D19" t="s">
        <v>10</v>
      </c>
      <c r="E19" s="1">
        <v>43980</v>
      </c>
      <c r="F19" t="s">
        <v>17</v>
      </c>
      <c r="G19" s="16">
        <v>48170</v>
      </c>
    </row>
    <row r="20" spans="1:7" x14ac:dyDescent="0.3">
      <c r="A20" t="s">
        <v>123</v>
      </c>
      <c r="B20" t="s">
        <v>8</v>
      </c>
      <c r="C20">
        <v>21</v>
      </c>
      <c r="D20" t="s">
        <v>13</v>
      </c>
      <c r="E20" s="1">
        <v>44042</v>
      </c>
      <c r="F20" t="s">
        <v>12</v>
      </c>
      <c r="G20" s="16">
        <v>37920</v>
      </c>
    </row>
    <row r="21" spans="1:7" x14ac:dyDescent="0.3">
      <c r="A21" t="s">
        <v>124</v>
      </c>
      <c r="B21" t="s">
        <v>8</v>
      </c>
      <c r="C21">
        <v>34</v>
      </c>
      <c r="D21" t="s">
        <v>13</v>
      </c>
      <c r="E21" s="1">
        <v>44642</v>
      </c>
      <c r="F21" t="s">
        <v>12</v>
      </c>
      <c r="G21" s="16">
        <v>112650</v>
      </c>
    </row>
    <row r="22" spans="1:7" x14ac:dyDescent="0.3">
      <c r="A22" t="s">
        <v>125</v>
      </c>
      <c r="B22" t="s">
        <v>15</v>
      </c>
      <c r="C22">
        <v>34</v>
      </c>
      <c r="D22" t="s">
        <v>18</v>
      </c>
      <c r="E22" s="1">
        <v>44660</v>
      </c>
      <c r="F22" t="s">
        <v>9</v>
      </c>
      <c r="G22" s="16">
        <v>49630</v>
      </c>
    </row>
    <row r="23" spans="1:7" x14ac:dyDescent="0.3">
      <c r="A23" t="s">
        <v>126</v>
      </c>
      <c r="B23" t="s">
        <v>8</v>
      </c>
      <c r="C23">
        <v>36</v>
      </c>
      <c r="D23" t="s">
        <v>13</v>
      </c>
      <c r="E23" s="1">
        <v>43958</v>
      </c>
      <c r="F23" t="s">
        <v>23</v>
      </c>
      <c r="G23" s="16">
        <v>118840</v>
      </c>
    </row>
    <row r="24" spans="1:7" x14ac:dyDescent="0.3">
      <c r="A24" t="s">
        <v>127</v>
      </c>
      <c r="B24" t="s">
        <v>8</v>
      </c>
      <c r="C24">
        <v>30</v>
      </c>
      <c r="D24" t="s">
        <v>13</v>
      </c>
      <c r="E24" s="1">
        <v>44789</v>
      </c>
      <c r="F24" t="s">
        <v>23</v>
      </c>
      <c r="G24" s="16">
        <v>69710</v>
      </c>
    </row>
    <row r="25" spans="1:7" x14ac:dyDescent="0.3">
      <c r="A25" t="s">
        <v>128</v>
      </c>
      <c r="B25" t="s">
        <v>8</v>
      </c>
      <c r="C25">
        <v>20</v>
      </c>
      <c r="D25" t="s">
        <v>13</v>
      </c>
      <c r="E25" s="1">
        <v>44683</v>
      </c>
      <c r="F25" t="s">
        <v>12</v>
      </c>
      <c r="G25" s="16">
        <v>79570</v>
      </c>
    </row>
    <row r="26" spans="1:7" x14ac:dyDescent="0.3">
      <c r="A26" t="s">
        <v>129</v>
      </c>
      <c r="B26" t="s">
        <v>15</v>
      </c>
      <c r="C26">
        <v>22</v>
      </c>
      <c r="D26" t="s">
        <v>10</v>
      </c>
      <c r="E26" s="1">
        <v>44388</v>
      </c>
      <c r="F26" t="s">
        <v>12</v>
      </c>
      <c r="G26" s="16">
        <v>76900</v>
      </c>
    </row>
    <row r="27" spans="1:7" x14ac:dyDescent="0.3">
      <c r="A27" t="s">
        <v>130</v>
      </c>
      <c r="B27" t="s">
        <v>8</v>
      </c>
      <c r="C27">
        <v>27</v>
      </c>
      <c r="D27" t="s">
        <v>13</v>
      </c>
      <c r="E27" s="1">
        <v>44073</v>
      </c>
      <c r="F27" t="s">
        <v>9</v>
      </c>
      <c r="G27" s="16">
        <v>54970</v>
      </c>
    </row>
    <row r="28" spans="1:7" x14ac:dyDescent="0.3">
      <c r="A28" t="s">
        <v>131</v>
      </c>
      <c r="B28" t="s">
        <v>8</v>
      </c>
      <c r="C28">
        <v>37</v>
      </c>
      <c r="D28" t="s">
        <v>18</v>
      </c>
      <c r="E28" s="1">
        <v>44277</v>
      </c>
      <c r="F28" t="s">
        <v>23</v>
      </c>
      <c r="G28" s="16">
        <v>88050</v>
      </c>
    </row>
    <row r="29" spans="1:7" x14ac:dyDescent="0.3">
      <c r="A29" t="s">
        <v>132</v>
      </c>
      <c r="B29" t="s">
        <v>8</v>
      </c>
      <c r="C29">
        <v>43</v>
      </c>
      <c r="D29" t="s">
        <v>13</v>
      </c>
      <c r="E29" s="1">
        <v>44558</v>
      </c>
      <c r="F29" t="s">
        <v>9</v>
      </c>
      <c r="G29" s="16">
        <v>36040</v>
      </c>
    </row>
    <row r="30" spans="1:7" x14ac:dyDescent="0.3">
      <c r="A30" t="s">
        <v>133</v>
      </c>
      <c r="B30" t="s">
        <v>15</v>
      </c>
      <c r="C30">
        <v>42</v>
      </c>
      <c r="D30" t="s">
        <v>43</v>
      </c>
      <c r="E30" s="1">
        <v>44718</v>
      </c>
      <c r="F30" t="s">
        <v>12</v>
      </c>
      <c r="G30" s="16">
        <v>75000</v>
      </c>
    </row>
    <row r="31" spans="1:7" x14ac:dyDescent="0.3">
      <c r="A31" t="s">
        <v>134</v>
      </c>
      <c r="B31" t="s">
        <v>8</v>
      </c>
      <c r="C31">
        <v>35</v>
      </c>
      <c r="D31" t="s">
        <v>13</v>
      </c>
      <c r="E31" s="1">
        <v>44666</v>
      </c>
      <c r="F31" t="s">
        <v>12</v>
      </c>
      <c r="G31" s="16">
        <v>40400</v>
      </c>
    </row>
    <row r="32" spans="1:7" x14ac:dyDescent="0.3">
      <c r="A32" t="s">
        <v>135</v>
      </c>
      <c r="B32" t="s">
        <v>8</v>
      </c>
      <c r="C32">
        <v>24</v>
      </c>
      <c r="D32" t="s">
        <v>13</v>
      </c>
      <c r="E32" s="1">
        <v>44625</v>
      </c>
      <c r="F32" t="s">
        <v>23</v>
      </c>
      <c r="G32" s="16">
        <v>100420</v>
      </c>
    </row>
    <row r="33" spans="1:7" x14ac:dyDescent="0.3">
      <c r="A33" t="s">
        <v>136</v>
      </c>
      <c r="B33" t="s">
        <v>15</v>
      </c>
      <c r="C33">
        <v>31</v>
      </c>
      <c r="D33" t="s">
        <v>13</v>
      </c>
      <c r="E33" s="1">
        <v>44604</v>
      </c>
      <c r="F33" t="s">
        <v>23</v>
      </c>
      <c r="G33" s="16">
        <v>58100</v>
      </c>
    </row>
    <row r="34" spans="1:7" x14ac:dyDescent="0.3">
      <c r="A34" t="s">
        <v>137</v>
      </c>
      <c r="B34" t="s">
        <v>15</v>
      </c>
      <c r="C34">
        <v>44</v>
      </c>
      <c r="D34" t="s">
        <v>13</v>
      </c>
      <c r="E34" s="1">
        <v>44985</v>
      </c>
      <c r="F34" t="s">
        <v>23</v>
      </c>
      <c r="G34" s="16">
        <v>114870</v>
      </c>
    </row>
    <row r="35" spans="1:7" x14ac:dyDescent="0.3">
      <c r="A35" t="s">
        <v>138</v>
      </c>
      <c r="B35" t="s">
        <v>15</v>
      </c>
      <c r="C35">
        <v>32</v>
      </c>
      <c r="D35" t="s">
        <v>13</v>
      </c>
      <c r="E35" s="1">
        <v>44549</v>
      </c>
      <c r="F35" t="s">
        <v>12</v>
      </c>
      <c r="G35" s="16">
        <v>41570</v>
      </c>
    </row>
    <row r="36" spans="1:7" x14ac:dyDescent="0.3">
      <c r="A36" t="s">
        <v>139</v>
      </c>
      <c r="B36" t="s">
        <v>15</v>
      </c>
      <c r="C36">
        <v>30</v>
      </c>
      <c r="D36" t="s">
        <v>13</v>
      </c>
      <c r="E36" s="1">
        <v>44800</v>
      </c>
      <c r="F36" t="s">
        <v>12</v>
      </c>
      <c r="G36" s="16">
        <v>112570</v>
      </c>
    </row>
    <row r="37" spans="1:7" x14ac:dyDescent="0.3">
      <c r="A37" t="s">
        <v>140</v>
      </c>
      <c r="B37" t="s">
        <v>8</v>
      </c>
      <c r="C37">
        <v>26</v>
      </c>
      <c r="D37" t="s">
        <v>13</v>
      </c>
      <c r="E37" s="1">
        <v>44164</v>
      </c>
      <c r="F37" t="s">
        <v>12</v>
      </c>
      <c r="G37" s="16">
        <v>47360</v>
      </c>
    </row>
    <row r="38" spans="1:7" x14ac:dyDescent="0.3">
      <c r="A38" t="s">
        <v>141</v>
      </c>
      <c r="B38" t="s">
        <v>15</v>
      </c>
      <c r="C38">
        <v>21</v>
      </c>
      <c r="D38" t="s">
        <v>13</v>
      </c>
      <c r="E38" s="1">
        <v>44256</v>
      </c>
      <c r="F38" t="s">
        <v>17</v>
      </c>
      <c r="G38" s="16">
        <v>65920</v>
      </c>
    </row>
    <row r="39" spans="1:7" x14ac:dyDescent="0.3">
      <c r="A39" t="s">
        <v>142</v>
      </c>
      <c r="B39" t="s">
        <v>15</v>
      </c>
      <c r="C39">
        <v>28</v>
      </c>
      <c r="D39" t="s">
        <v>13</v>
      </c>
      <c r="E39" s="1">
        <v>44571</v>
      </c>
      <c r="F39" t="s">
        <v>12</v>
      </c>
      <c r="G39" s="16">
        <v>99970</v>
      </c>
    </row>
    <row r="40" spans="1:7" x14ac:dyDescent="0.3">
      <c r="A40" t="s">
        <v>143</v>
      </c>
      <c r="B40" t="s">
        <v>15</v>
      </c>
      <c r="C40">
        <v>25</v>
      </c>
      <c r="D40" t="s">
        <v>10</v>
      </c>
      <c r="E40" s="1">
        <v>44633</v>
      </c>
      <c r="F40" t="s">
        <v>23</v>
      </c>
      <c r="G40" s="16">
        <v>80700</v>
      </c>
    </row>
    <row r="41" spans="1:7" x14ac:dyDescent="0.3">
      <c r="A41" t="s">
        <v>144</v>
      </c>
      <c r="B41" t="s">
        <v>8</v>
      </c>
      <c r="C41">
        <v>24</v>
      </c>
      <c r="D41" t="s">
        <v>18</v>
      </c>
      <c r="E41" s="1">
        <v>44375</v>
      </c>
      <c r="F41" t="s">
        <v>17</v>
      </c>
      <c r="G41" s="16">
        <v>52610</v>
      </c>
    </row>
    <row r="42" spans="1:7" x14ac:dyDescent="0.3">
      <c r="A42" t="s">
        <v>145</v>
      </c>
      <c r="B42" t="s">
        <v>8</v>
      </c>
      <c r="C42">
        <v>29</v>
      </c>
      <c r="D42" t="s">
        <v>18</v>
      </c>
      <c r="E42" s="1">
        <v>44119</v>
      </c>
      <c r="F42" t="s">
        <v>23</v>
      </c>
      <c r="G42" s="16">
        <v>112110</v>
      </c>
    </row>
    <row r="43" spans="1:7" x14ac:dyDescent="0.3">
      <c r="A43" t="s">
        <v>146</v>
      </c>
      <c r="B43" t="s">
        <v>15</v>
      </c>
      <c r="C43">
        <v>27</v>
      </c>
      <c r="D43" t="s">
        <v>13</v>
      </c>
      <c r="E43" s="1">
        <v>44061</v>
      </c>
      <c r="F43" t="s">
        <v>26</v>
      </c>
      <c r="G43" s="16">
        <v>119110</v>
      </c>
    </row>
    <row r="44" spans="1:7" x14ac:dyDescent="0.3">
      <c r="A44" t="s">
        <v>147</v>
      </c>
      <c r="B44" t="s">
        <v>8</v>
      </c>
      <c r="C44">
        <v>22</v>
      </c>
      <c r="D44" t="s">
        <v>10</v>
      </c>
      <c r="E44" s="1">
        <v>44384</v>
      </c>
      <c r="F44" t="s">
        <v>9</v>
      </c>
      <c r="G44" s="16">
        <v>112780</v>
      </c>
    </row>
    <row r="45" spans="1:7" x14ac:dyDescent="0.3">
      <c r="A45" t="s">
        <v>148</v>
      </c>
      <c r="B45" t="s">
        <v>15</v>
      </c>
      <c r="C45">
        <v>36</v>
      </c>
      <c r="D45" t="s">
        <v>13</v>
      </c>
      <c r="E45" s="1">
        <v>44023</v>
      </c>
      <c r="F45" t="s">
        <v>12</v>
      </c>
      <c r="G45" s="16">
        <v>114890</v>
      </c>
    </row>
    <row r="46" spans="1:7" x14ac:dyDescent="0.3">
      <c r="A46" t="s">
        <v>149</v>
      </c>
      <c r="B46" t="s">
        <v>8</v>
      </c>
      <c r="C46">
        <v>27</v>
      </c>
      <c r="D46" t="s">
        <v>13</v>
      </c>
      <c r="E46" s="1">
        <v>44506</v>
      </c>
      <c r="F46" t="s">
        <v>17</v>
      </c>
      <c r="G46" s="16">
        <v>48980</v>
      </c>
    </row>
    <row r="47" spans="1:7" x14ac:dyDescent="0.3">
      <c r="A47" t="s">
        <v>150</v>
      </c>
      <c r="B47" t="s">
        <v>8</v>
      </c>
      <c r="C47">
        <v>21</v>
      </c>
      <c r="D47" t="s">
        <v>13</v>
      </c>
      <c r="E47" s="1">
        <v>44180</v>
      </c>
      <c r="F47" t="s">
        <v>26</v>
      </c>
      <c r="G47" s="16">
        <v>75880</v>
      </c>
    </row>
    <row r="48" spans="1:7" x14ac:dyDescent="0.3">
      <c r="A48" t="s">
        <v>151</v>
      </c>
      <c r="B48" t="s">
        <v>15</v>
      </c>
      <c r="C48">
        <v>28</v>
      </c>
      <c r="D48" t="s">
        <v>13</v>
      </c>
      <c r="E48" s="1">
        <v>44296</v>
      </c>
      <c r="F48" t="s">
        <v>9</v>
      </c>
      <c r="G48" s="16">
        <v>53240</v>
      </c>
    </row>
    <row r="49" spans="1:7" x14ac:dyDescent="0.3">
      <c r="A49" t="s">
        <v>152</v>
      </c>
      <c r="B49" t="s">
        <v>15</v>
      </c>
      <c r="C49">
        <v>34</v>
      </c>
      <c r="D49" t="s">
        <v>13</v>
      </c>
      <c r="E49" s="1">
        <v>44397</v>
      </c>
      <c r="F49" t="s">
        <v>17</v>
      </c>
      <c r="G49" s="16">
        <v>85000</v>
      </c>
    </row>
    <row r="50" spans="1:7" x14ac:dyDescent="0.3">
      <c r="A50" t="s">
        <v>153</v>
      </c>
      <c r="B50" t="s">
        <v>15</v>
      </c>
      <c r="C50">
        <v>21</v>
      </c>
      <c r="D50" t="s">
        <v>13</v>
      </c>
      <c r="E50" s="1">
        <v>44619</v>
      </c>
      <c r="F50" t="s">
        <v>23</v>
      </c>
      <c r="G50" s="16">
        <v>33920</v>
      </c>
    </row>
    <row r="51" spans="1:7" x14ac:dyDescent="0.3">
      <c r="A51" t="s">
        <v>154</v>
      </c>
      <c r="B51" t="s">
        <v>15</v>
      </c>
      <c r="C51">
        <v>33</v>
      </c>
      <c r="D51" t="s">
        <v>13</v>
      </c>
      <c r="E51" s="1">
        <v>44253</v>
      </c>
      <c r="F51" t="s">
        <v>23</v>
      </c>
      <c r="G51" s="16">
        <v>75280</v>
      </c>
    </row>
    <row r="52" spans="1:7" x14ac:dyDescent="0.3">
      <c r="A52" t="s">
        <v>155</v>
      </c>
      <c r="B52" t="s">
        <v>15</v>
      </c>
      <c r="C52">
        <v>34</v>
      </c>
      <c r="D52" t="s">
        <v>13</v>
      </c>
      <c r="E52" s="1">
        <v>44594</v>
      </c>
      <c r="F52" t="s">
        <v>17</v>
      </c>
      <c r="G52" s="16">
        <v>58940</v>
      </c>
    </row>
    <row r="53" spans="1:7" x14ac:dyDescent="0.3">
      <c r="A53" t="s">
        <v>156</v>
      </c>
      <c r="B53" t="s">
        <v>15</v>
      </c>
      <c r="C53">
        <v>28</v>
      </c>
      <c r="D53" t="s">
        <v>13</v>
      </c>
      <c r="E53" s="1">
        <v>44425</v>
      </c>
      <c r="F53" t="s">
        <v>12</v>
      </c>
      <c r="G53" s="16">
        <v>104770</v>
      </c>
    </row>
    <row r="54" spans="1:7" x14ac:dyDescent="0.3">
      <c r="A54" t="s">
        <v>157</v>
      </c>
      <c r="B54" t="s">
        <v>8</v>
      </c>
      <c r="C54">
        <v>21</v>
      </c>
      <c r="D54" t="s">
        <v>13</v>
      </c>
      <c r="E54" s="1">
        <v>44701</v>
      </c>
      <c r="F54" t="s">
        <v>12</v>
      </c>
      <c r="G54" s="16">
        <v>57090</v>
      </c>
    </row>
    <row r="55" spans="1:7" x14ac:dyDescent="0.3">
      <c r="A55" t="s">
        <v>158</v>
      </c>
      <c r="B55" t="s">
        <v>8</v>
      </c>
      <c r="C55">
        <v>27</v>
      </c>
      <c r="D55" t="s">
        <v>10</v>
      </c>
      <c r="E55" s="1">
        <v>44174</v>
      </c>
      <c r="F55" t="s">
        <v>17</v>
      </c>
      <c r="G55" s="16">
        <v>91650</v>
      </c>
    </row>
    <row r="56" spans="1:7" x14ac:dyDescent="0.3">
      <c r="A56" t="s">
        <v>159</v>
      </c>
      <c r="B56" t="s">
        <v>8</v>
      </c>
      <c r="C56">
        <v>42</v>
      </c>
      <c r="D56" t="s">
        <v>18</v>
      </c>
      <c r="E56" s="1">
        <v>44670</v>
      </c>
      <c r="F56" t="s">
        <v>17</v>
      </c>
      <c r="G56" s="16">
        <v>70270</v>
      </c>
    </row>
    <row r="57" spans="1:7" x14ac:dyDescent="0.3">
      <c r="A57" t="s">
        <v>160</v>
      </c>
      <c r="B57" t="s">
        <v>15</v>
      </c>
      <c r="C57">
        <v>28</v>
      </c>
      <c r="D57" t="s">
        <v>13</v>
      </c>
      <c r="E57" s="1">
        <v>44124</v>
      </c>
      <c r="F57" t="s">
        <v>17</v>
      </c>
      <c r="G57" s="16">
        <v>75970</v>
      </c>
    </row>
    <row r="58" spans="1:7" x14ac:dyDescent="0.3">
      <c r="A58" t="s">
        <v>161</v>
      </c>
      <c r="C58">
        <v>27</v>
      </c>
      <c r="D58" t="s">
        <v>10</v>
      </c>
      <c r="E58" s="1">
        <v>44212</v>
      </c>
      <c r="F58" t="s">
        <v>23</v>
      </c>
      <c r="G58" s="16">
        <v>90700</v>
      </c>
    </row>
    <row r="59" spans="1:7" x14ac:dyDescent="0.3">
      <c r="A59" t="s">
        <v>162</v>
      </c>
      <c r="B59" t="s">
        <v>8</v>
      </c>
      <c r="C59">
        <v>30</v>
      </c>
      <c r="D59" t="s">
        <v>13</v>
      </c>
      <c r="E59" s="1">
        <v>44607</v>
      </c>
      <c r="F59" t="s">
        <v>12</v>
      </c>
      <c r="G59" s="16">
        <v>60570</v>
      </c>
    </row>
    <row r="60" spans="1:7" x14ac:dyDescent="0.3">
      <c r="A60" t="s">
        <v>163</v>
      </c>
      <c r="B60" t="s">
        <v>8</v>
      </c>
      <c r="C60">
        <v>33</v>
      </c>
      <c r="D60" t="s">
        <v>13</v>
      </c>
      <c r="E60" s="1">
        <v>44103</v>
      </c>
      <c r="F60" t="s">
        <v>12</v>
      </c>
      <c r="G60" s="16">
        <v>115920</v>
      </c>
    </row>
    <row r="61" spans="1:7" x14ac:dyDescent="0.3">
      <c r="A61" t="s">
        <v>164</v>
      </c>
      <c r="B61" t="s">
        <v>15</v>
      </c>
      <c r="C61">
        <v>33</v>
      </c>
      <c r="D61" t="s">
        <v>13</v>
      </c>
      <c r="E61" s="1">
        <v>44006</v>
      </c>
      <c r="F61" t="s">
        <v>17</v>
      </c>
      <c r="G61" s="16">
        <v>65360</v>
      </c>
    </row>
    <row r="62" spans="1:7" x14ac:dyDescent="0.3">
      <c r="A62" t="s">
        <v>165</v>
      </c>
      <c r="C62">
        <v>30</v>
      </c>
      <c r="D62" t="s">
        <v>13</v>
      </c>
      <c r="E62" s="1">
        <v>44535</v>
      </c>
      <c r="F62" t="s">
        <v>17</v>
      </c>
      <c r="G62" s="16">
        <v>64000</v>
      </c>
    </row>
    <row r="63" spans="1:7" x14ac:dyDescent="0.3">
      <c r="A63" t="s">
        <v>166</v>
      </c>
      <c r="B63" t="s">
        <v>15</v>
      </c>
      <c r="C63">
        <v>34</v>
      </c>
      <c r="D63" t="s">
        <v>13</v>
      </c>
      <c r="E63" s="1">
        <v>44383</v>
      </c>
      <c r="F63" t="s">
        <v>17</v>
      </c>
      <c r="G63" s="16">
        <v>92450</v>
      </c>
    </row>
    <row r="64" spans="1:7" x14ac:dyDescent="0.3">
      <c r="A64" t="s">
        <v>167</v>
      </c>
      <c r="B64" t="s">
        <v>8</v>
      </c>
      <c r="C64">
        <v>31</v>
      </c>
      <c r="D64" t="s">
        <v>13</v>
      </c>
      <c r="E64" s="1">
        <v>44450</v>
      </c>
      <c r="F64" t="s">
        <v>23</v>
      </c>
      <c r="G64" s="16">
        <v>48950</v>
      </c>
    </row>
    <row r="65" spans="1:7" x14ac:dyDescent="0.3">
      <c r="A65" t="s">
        <v>168</v>
      </c>
      <c r="B65" t="s">
        <v>15</v>
      </c>
      <c r="C65">
        <v>27</v>
      </c>
      <c r="D65" t="s">
        <v>13</v>
      </c>
      <c r="E65" s="1">
        <v>44625</v>
      </c>
      <c r="F65" t="s">
        <v>23</v>
      </c>
      <c r="G65" s="16">
        <v>83750</v>
      </c>
    </row>
    <row r="66" spans="1:7" x14ac:dyDescent="0.3">
      <c r="A66" t="s">
        <v>169</v>
      </c>
      <c r="B66" t="s">
        <v>15</v>
      </c>
      <c r="C66">
        <v>40</v>
      </c>
      <c r="D66" t="s">
        <v>13</v>
      </c>
      <c r="E66" s="1">
        <v>44276</v>
      </c>
      <c r="F66" t="s">
        <v>23</v>
      </c>
      <c r="G66" s="16">
        <v>87620</v>
      </c>
    </row>
    <row r="67" spans="1:7" x14ac:dyDescent="0.3">
      <c r="A67" t="s">
        <v>170</v>
      </c>
      <c r="B67" t="s">
        <v>15</v>
      </c>
      <c r="C67">
        <v>20</v>
      </c>
      <c r="D67" t="s">
        <v>18</v>
      </c>
      <c r="E67" s="1">
        <v>44476</v>
      </c>
      <c r="F67" t="s">
        <v>9</v>
      </c>
      <c r="G67" s="16">
        <v>68900</v>
      </c>
    </row>
    <row r="68" spans="1:7" x14ac:dyDescent="0.3">
      <c r="A68" t="s">
        <v>171</v>
      </c>
      <c r="B68" t="s">
        <v>8</v>
      </c>
      <c r="C68">
        <v>32</v>
      </c>
      <c r="D68" t="s">
        <v>13</v>
      </c>
      <c r="E68" s="1">
        <v>44403</v>
      </c>
      <c r="F68" t="s">
        <v>9</v>
      </c>
      <c r="G68" s="16">
        <v>53540</v>
      </c>
    </row>
    <row r="69" spans="1:7" x14ac:dyDescent="0.3">
      <c r="A69" t="s">
        <v>172</v>
      </c>
      <c r="B69" t="s">
        <v>8</v>
      </c>
      <c r="C69">
        <v>28</v>
      </c>
      <c r="D69" t="s">
        <v>49</v>
      </c>
      <c r="E69" s="1">
        <v>44758</v>
      </c>
      <c r="F69" t="s">
        <v>9</v>
      </c>
      <c r="G69" s="16">
        <v>43510</v>
      </c>
    </row>
    <row r="70" spans="1:7" x14ac:dyDescent="0.3">
      <c r="A70" t="s">
        <v>173</v>
      </c>
      <c r="B70" t="s">
        <v>15</v>
      </c>
      <c r="C70">
        <v>38</v>
      </c>
      <c r="D70" t="s">
        <v>43</v>
      </c>
      <c r="E70" s="1">
        <v>44316</v>
      </c>
      <c r="F70" t="s">
        <v>9</v>
      </c>
      <c r="G70" s="16">
        <v>109160</v>
      </c>
    </row>
    <row r="71" spans="1:7" x14ac:dyDescent="0.3">
      <c r="A71" t="s">
        <v>174</v>
      </c>
      <c r="B71" t="s">
        <v>8</v>
      </c>
      <c r="C71">
        <v>40</v>
      </c>
      <c r="D71" t="s">
        <v>13</v>
      </c>
      <c r="E71" s="1">
        <v>44204</v>
      </c>
      <c r="F71" t="s">
        <v>12</v>
      </c>
      <c r="G71" s="16">
        <v>99750</v>
      </c>
    </row>
    <row r="72" spans="1:7" x14ac:dyDescent="0.3">
      <c r="A72" t="s">
        <v>175</v>
      </c>
      <c r="B72" t="s">
        <v>15</v>
      </c>
      <c r="C72">
        <v>31</v>
      </c>
      <c r="D72" t="s">
        <v>13</v>
      </c>
      <c r="E72" s="1">
        <v>44084</v>
      </c>
      <c r="F72" t="s">
        <v>23</v>
      </c>
      <c r="G72" s="16">
        <v>41980</v>
      </c>
    </row>
    <row r="73" spans="1:7" x14ac:dyDescent="0.3">
      <c r="A73" t="s">
        <v>176</v>
      </c>
      <c r="B73" t="s">
        <v>8</v>
      </c>
      <c r="C73">
        <v>36</v>
      </c>
      <c r="D73" t="s">
        <v>13</v>
      </c>
      <c r="E73" s="1">
        <v>44272</v>
      </c>
      <c r="F73" t="s">
        <v>17</v>
      </c>
      <c r="G73" s="16">
        <v>71380</v>
      </c>
    </row>
    <row r="74" spans="1:7" x14ac:dyDescent="0.3">
      <c r="A74" t="s">
        <v>177</v>
      </c>
      <c r="B74" t="s">
        <v>8</v>
      </c>
      <c r="C74">
        <v>27</v>
      </c>
      <c r="D74" t="s">
        <v>49</v>
      </c>
      <c r="E74" s="1">
        <v>44547</v>
      </c>
      <c r="F74" t="s">
        <v>12</v>
      </c>
      <c r="G74" s="16">
        <v>113280</v>
      </c>
    </row>
    <row r="75" spans="1:7" x14ac:dyDescent="0.3">
      <c r="A75" t="s">
        <v>178</v>
      </c>
      <c r="B75" t="s">
        <v>15</v>
      </c>
      <c r="C75">
        <v>33</v>
      </c>
      <c r="D75" t="s">
        <v>13</v>
      </c>
      <c r="E75" s="1">
        <v>44747</v>
      </c>
      <c r="F75" t="s">
        <v>17</v>
      </c>
      <c r="G75" s="16">
        <v>86570</v>
      </c>
    </row>
    <row r="76" spans="1:7" x14ac:dyDescent="0.3">
      <c r="A76" t="s">
        <v>179</v>
      </c>
      <c r="B76" t="s">
        <v>8</v>
      </c>
      <c r="C76">
        <v>26</v>
      </c>
      <c r="D76" t="s">
        <v>13</v>
      </c>
      <c r="E76" s="1">
        <v>44350</v>
      </c>
      <c r="F76" t="s">
        <v>12</v>
      </c>
      <c r="G76" s="16">
        <v>53540</v>
      </c>
    </row>
    <row r="77" spans="1:7" x14ac:dyDescent="0.3">
      <c r="A77" t="s">
        <v>180</v>
      </c>
      <c r="B77" t="s">
        <v>8</v>
      </c>
      <c r="C77">
        <v>37</v>
      </c>
      <c r="D77" t="s">
        <v>13</v>
      </c>
      <c r="E77" s="1">
        <v>44640</v>
      </c>
      <c r="F77" t="s">
        <v>23</v>
      </c>
      <c r="G77" s="16">
        <v>69070</v>
      </c>
    </row>
    <row r="78" spans="1:7" x14ac:dyDescent="0.3">
      <c r="A78" t="s">
        <v>181</v>
      </c>
      <c r="B78" t="s">
        <v>15</v>
      </c>
      <c r="C78">
        <v>30</v>
      </c>
      <c r="D78" t="s">
        <v>18</v>
      </c>
      <c r="E78" s="1">
        <v>44328</v>
      </c>
      <c r="F78" t="s">
        <v>17</v>
      </c>
      <c r="G78" s="16">
        <v>67910</v>
      </c>
    </row>
    <row r="79" spans="1:7" x14ac:dyDescent="0.3">
      <c r="A79" t="s">
        <v>182</v>
      </c>
      <c r="B79" t="s">
        <v>8</v>
      </c>
      <c r="C79">
        <v>30</v>
      </c>
      <c r="D79" t="s">
        <v>13</v>
      </c>
      <c r="E79" s="1">
        <v>44214</v>
      </c>
      <c r="F79" t="s">
        <v>23</v>
      </c>
      <c r="G79" s="16">
        <v>69120</v>
      </c>
    </row>
    <row r="80" spans="1:7" x14ac:dyDescent="0.3">
      <c r="A80" t="s">
        <v>183</v>
      </c>
      <c r="B80" t="s">
        <v>15</v>
      </c>
      <c r="C80">
        <v>34</v>
      </c>
      <c r="D80" t="s">
        <v>13</v>
      </c>
      <c r="E80" s="1">
        <v>44550</v>
      </c>
      <c r="F80" t="s">
        <v>17</v>
      </c>
      <c r="G80" s="16">
        <v>60130</v>
      </c>
    </row>
    <row r="81" spans="1:7" x14ac:dyDescent="0.3">
      <c r="A81" t="s">
        <v>184</v>
      </c>
      <c r="B81" t="s">
        <v>8</v>
      </c>
      <c r="C81">
        <v>23</v>
      </c>
      <c r="D81" t="s">
        <v>13</v>
      </c>
      <c r="E81" s="1">
        <v>44378</v>
      </c>
      <c r="F81" t="s">
        <v>12</v>
      </c>
      <c r="G81" s="16">
        <v>106460</v>
      </c>
    </row>
    <row r="82" spans="1:7" x14ac:dyDescent="0.3">
      <c r="A82" t="s">
        <v>185</v>
      </c>
      <c r="B82" t="s">
        <v>15</v>
      </c>
      <c r="C82">
        <v>37</v>
      </c>
      <c r="D82" t="s">
        <v>13</v>
      </c>
      <c r="E82" s="1">
        <v>44389</v>
      </c>
      <c r="F82" t="s">
        <v>26</v>
      </c>
      <c r="G82" s="16">
        <v>118100</v>
      </c>
    </row>
    <row r="83" spans="1:7" x14ac:dyDescent="0.3">
      <c r="A83" t="s">
        <v>186</v>
      </c>
      <c r="B83" t="s">
        <v>15</v>
      </c>
      <c r="C83">
        <v>36</v>
      </c>
      <c r="D83" t="s">
        <v>13</v>
      </c>
      <c r="E83" s="1">
        <v>44468</v>
      </c>
      <c r="F83" t="s">
        <v>12</v>
      </c>
      <c r="G83" s="16">
        <v>78390</v>
      </c>
    </row>
    <row r="84" spans="1:7" x14ac:dyDescent="0.3">
      <c r="A84" t="s">
        <v>187</v>
      </c>
      <c r="B84" t="s">
        <v>15</v>
      </c>
      <c r="C84">
        <v>30</v>
      </c>
      <c r="D84" t="s">
        <v>13</v>
      </c>
      <c r="E84" s="1">
        <v>44789</v>
      </c>
      <c r="F84" t="s">
        <v>12</v>
      </c>
      <c r="G84" s="16">
        <v>114180</v>
      </c>
    </row>
    <row r="85" spans="1:7" x14ac:dyDescent="0.3">
      <c r="A85" t="s">
        <v>188</v>
      </c>
      <c r="B85" t="s">
        <v>15</v>
      </c>
      <c r="C85">
        <v>28</v>
      </c>
      <c r="D85" t="s">
        <v>13</v>
      </c>
      <c r="E85" s="1">
        <v>44590</v>
      </c>
      <c r="F85" t="s">
        <v>12</v>
      </c>
      <c r="G85" s="16">
        <v>104120</v>
      </c>
    </row>
    <row r="86" spans="1:7" x14ac:dyDescent="0.3">
      <c r="A86" t="s">
        <v>189</v>
      </c>
      <c r="B86" t="s">
        <v>8</v>
      </c>
      <c r="C86">
        <v>30</v>
      </c>
      <c r="D86" t="s">
        <v>13</v>
      </c>
      <c r="E86" s="1">
        <v>44640</v>
      </c>
      <c r="F86" t="s">
        <v>12</v>
      </c>
      <c r="G86" s="16">
        <v>67950</v>
      </c>
    </row>
    <row r="87" spans="1:7" x14ac:dyDescent="0.3">
      <c r="A87" t="s">
        <v>190</v>
      </c>
      <c r="B87" t="s">
        <v>15</v>
      </c>
      <c r="C87">
        <v>29</v>
      </c>
      <c r="D87" t="s">
        <v>13</v>
      </c>
      <c r="E87" s="1">
        <v>43962</v>
      </c>
      <c r="F87" t="s">
        <v>23</v>
      </c>
      <c r="G87" s="16">
        <v>34980</v>
      </c>
    </row>
    <row r="88" spans="1:7" x14ac:dyDescent="0.3">
      <c r="A88" t="s">
        <v>191</v>
      </c>
      <c r="B88" t="s">
        <v>15</v>
      </c>
      <c r="C88">
        <v>24</v>
      </c>
      <c r="D88" t="s">
        <v>13</v>
      </c>
      <c r="E88" s="1">
        <v>44087</v>
      </c>
      <c r="F88" t="s">
        <v>23</v>
      </c>
      <c r="G88" s="16">
        <v>62780</v>
      </c>
    </row>
    <row r="89" spans="1:7" x14ac:dyDescent="0.3">
      <c r="A89" t="s">
        <v>192</v>
      </c>
      <c r="B89" t="s">
        <v>8</v>
      </c>
      <c r="C89">
        <v>20</v>
      </c>
      <c r="D89" t="s">
        <v>13</v>
      </c>
      <c r="E89" s="1">
        <v>44397</v>
      </c>
      <c r="F89" t="s">
        <v>23</v>
      </c>
      <c r="G89" s="16">
        <v>107700</v>
      </c>
    </row>
    <row r="90" spans="1:7" x14ac:dyDescent="0.3">
      <c r="A90" t="s">
        <v>193</v>
      </c>
      <c r="B90" t="s">
        <v>8</v>
      </c>
      <c r="C90">
        <v>25</v>
      </c>
      <c r="D90" t="s">
        <v>13</v>
      </c>
      <c r="E90" s="1">
        <v>44322</v>
      </c>
      <c r="F90" t="s">
        <v>9</v>
      </c>
      <c r="G90" s="16">
        <v>65700</v>
      </c>
    </row>
    <row r="91" spans="1:7" x14ac:dyDescent="0.3">
      <c r="A91" t="s">
        <v>194</v>
      </c>
      <c r="B91" t="s">
        <v>15</v>
      </c>
      <c r="C91">
        <v>33</v>
      </c>
      <c r="D91" t="s">
        <v>49</v>
      </c>
      <c r="E91" s="1">
        <v>44313</v>
      </c>
      <c r="F91" t="s">
        <v>23</v>
      </c>
      <c r="G91" s="16">
        <v>75480</v>
      </c>
    </row>
    <row r="92" spans="1:7" x14ac:dyDescent="0.3">
      <c r="A92" t="s">
        <v>195</v>
      </c>
      <c r="B92" t="s">
        <v>8</v>
      </c>
      <c r="C92">
        <v>33</v>
      </c>
      <c r="D92" t="s">
        <v>13</v>
      </c>
      <c r="E92" s="1">
        <v>44448</v>
      </c>
      <c r="F92" t="s">
        <v>23</v>
      </c>
      <c r="G92" s="16">
        <v>53870</v>
      </c>
    </row>
    <row r="93" spans="1:7" x14ac:dyDescent="0.3">
      <c r="A93" t="s">
        <v>196</v>
      </c>
      <c r="B93" t="s">
        <v>15</v>
      </c>
      <c r="C93">
        <v>36</v>
      </c>
      <c r="D93" t="s">
        <v>13</v>
      </c>
      <c r="E93" s="1">
        <v>44433</v>
      </c>
      <c r="F93" t="s">
        <v>9</v>
      </c>
      <c r="G93" s="16">
        <v>78540</v>
      </c>
    </row>
    <row r="94" spans="1:7" x14ac:dyDescent="0.3">
      <c r="A94" t="s">
        <v>197</v>
      </c>
      <c r="B94" t="s">
        <v>8</v>
      </c>
      <c r="C94">
        <v>19</v>
      </c>
      <c r="D94" t="s">
        <v>13</v>
      </c>
      <c r="E94" s="1">
        <v>44218</v>
      </c>
      <c r="F94" t="s">
        <v>12</v>
      </c>
      <c r="G94" s="16">
        <v>58960</v>
      </c>
    </row>
    <row r="95" spans="1:7" x14ac:dyDescent="0.3">
      <c r="A95" t="s">
        <v>198</v>
      </c>
      <c r="B95" t="s">
        <v>8</v>
      </c>
      <c r="C95">
        <v>46</v>
      </c>
      <c r="D95" t="s">
        <v>13</v>
      </c>
      <c r="E95" s="1">
        <v>44697</v>
      </c>
      <c r="F95" t="s">
        <v>12</v>
      </c>
      <c r="G95" s="16">
        <v>70610</v>
      </c>
    </row>
    <row r="96" spans="1:7" x14ac:dyDescent="0.3">
      <c r="A96" t="s">
        <v>199</v>
      </c>
      <c r="B96" t="s">
        <v>8</v>
      </c>
      <c r="C96">
        <v>33</v>
      </c>
      <c r="D96" t="s">
        <v>13</v>
      </c>
      <c r="E96" s="1">
        <v>44181</v>
      </c>
      <c r="F96" t="s">
        <v>17</v>
      </c>
      <c r="G96" s="16">
        <v>59430</v>
      </c>
    </row>
    <row r="97" spans="1:7" x14ac:dyDescent="0.3">
      <c r="A97" t="s">
        <v>200</v>
      </c>
      <c r="B97" t="s">
        <v>8</v>
      </c>
      <c r="C97">
        <v>33</v>
      </c>
      <c r="D97" t="s">
        <v>10</v>
      </c>
      <c r="E97" s="1">
        <v>44640</v>
      </c>
      <c r="F97" t="s">
        <v>12</v>
      </c>
      <c r="G97" s="16">
        <v>48530</v>
      </c>
    </row>
    <row r="98" spans="1:7" x14ac:dyDescent="0.3">
      <c r="A98" t="s">
        <v>201</v>
      </c>
      <c r="B98" t="s">
        <v>15</v>
      </c>
      <c r="C98">
        <v>33</v>
      </c>
      <c r="D98" t="s">
        <v>13</v>
      </c>
      <c r="E98" s="1">
        <v>44129</v>
      </c>
      <c r="F98" t="s">
        <v>23</v>
      </c>
      <c r="G98" s="16">
        <v>96140</v>
      </c>
    </row>
    <row r="99" spans="1:7" x14ac:dyDescent="0.3">
      <c r="A99" t="s">
        <v>110</v>
      </c>
      <c r="B99" t="s">
        <v>8</v>
      </c>
      <c r="C99">
        <v>20</v>
      </c>
      <c r="D99" t="s">
        <v>13</v>
      </c>
      <c r="E99" s="1">
        <v>44122</v>
      </c>
      <c r="F99" t="s">
        <v>23</v>
      </c>
      <c r="G99" s="16">
        <v>112650</v>
      </c>
    </row>
    <row r="100" spans="1:7" x14ac:dyDescent="0.3">
      <c r="A100" t="s">
        <v>111</v>
      </c>
      <c r="B100" t="s">
        <v>15</v>
      </c>
      <c r="C100">
        <v>32</v>
      </c>
      <c r="D100" t="s">
        <v>10</v>
      </c>
      <c r="E100" s="1">
        <v>44293</v>
      </c>
      <c r="F100" t="s">
        <v>23</v>
      </c>
      <c r="G100" s="16">
        <v>43840</v>
      </c>
    </row>
    <row r="101" spans="1:7" x14ac:dyDescent="0.3">
      <c r="A101" t="s">
        <v>112</v>
      </c>
      <c r="B101" t="s">
        <v>8</v>
      </c>
      <c r="C101">
        <v>31</v>
      </c>
      <c r="D101" t="s">
        <v>13</v>
      </c>
      <c r="E101" s="1">
        <v>44663</v>
      </c>
      <c r="F101" t="s">
        <v>12</v>
      </c>
      <c r="G101" s="16">
        <v>103550</v>
      </c>
    </row>
    <row r="102" spans="1:7" x14ac:dyDescent="0.3">
      <c r="A102" t="s">
        <v>113</v>
      </c>
      <c r="B102" t="s">
        <v>15</v>
      </c>
      <c r="C102">
        <v>32</v>
      </c>
      <c r="D102" t="s">
        <v>13</v>
      </c>
      <c r="E102" s="1">
        <v>44339</v>
      </c>
      <c r="F102" t="s">
        <v>26</v>
      </c>
      <c r="G102" s="16">
        <v>45510</v>
      </c>
    </row>
    <row r="103" spans="1:7" x14ac:dyDescent="0.3">
      <c r="A103" t="s">
        <v>114</v>
      </c>
      <c r="C103">
        <v>37</v>
      </c>
      <c r="D103" t="s">
        <v>18</v>
      </c>
      <c r="E103" s="1">
        <v>44085</v>
      </c>
      <c r="F103" t="s">
        <v>17</v>
      </c>
      <c r="G103" s="16">
        <v>115440</v>
      </c>
    </row>
    <row r="104" spans="1:7" x14ac:dyDescent="0.3">
      <c r="A104" t="s">
        <v>115</v>
      </c>
      <c r="B104" t="s">
        <v>15</v>
      </c>
      <c r="C104">
        <v>38</v>
      </c>
      <c r="D104" t="s">
        <v>10</v>
      </c>
      <c r="E104" s="1">
        <v>44268</v>
      </c>
      <c r="F104" t="s">
        <v>9</v>
      </c>
      <c r="G104" s="16">
        <v>56870</v>
      </c>
    </row>
    <row r="105" spans="1:7" x14ac:dyDescent="0.3">
      <c r="A105" t="s">
        <v>116</v>
      </c>
      <c r="B105" t="s">
        <v>15</v>
      </c>
      <c r="C105">
        <v>25</v>
      </c>
      <c r="D105" t="s">
        <v>13</v>
      </c>
      <c r="E105" s="1">
        <v>44144</v>
      </c>
      <c r="F105" t="s">
        <v>9</v>
      </c>
      <c r="G105" s="16">
        <v>92700</v>
      </c>
    </row>
    <row r="106" spans="1:7" x14ac:dyDescent="0.3">
      <c r="A106" t="s">
        <v>117</v>
      </c>
      <c r="C106">
        <v>32</v>
      </c>
      <c r="D106" t="s">
        <v>13</v>
      </c>
      <c r="E106" s="1">
        <v>44713</v>
      </c>
      <c r="F106" t="s">
        <v>23</v>
      </c>
      <c r="G106" s="16">
        <v>91310</v>
      </c>
    </row>
    <row r="107" spans="1:7" x14ac:dyDescent="0.3">
      <c r="A107" t="s">
        <v>118</v>
      </c>
      <c r="B107" t="s">
        <v>8</v>
      </c>
      <c r="C107">
        <v>33</v>
      </c>
      <c r="D107" t="s">
        <v>13</v>
      </c>
      <c r="E107" s="1">
        <v>44324</v>
      </c>
      <c r="F107" t="s">
        <v>9</v>
      </c>
      <c r="G107" s="16">
        <v>74550</v>
      </c>
    </row>
    <row r="108" spans="1:7" x14ac:dyDescent="0.3">
      <c r="A108" t="s">
        <v>119</v>
      </c>
      <c r="B108" t="s">
        <v>8</v>
      </c>
      <c r="C108">
        <v>25</v>
      </c>
      <c r="D108" t="s">
        <v>10</v>
      </c>
      <c r="E108" s="1">
        <v>44665</v>
      </c>
      <c r="F108" t="s">
        <v>12</v>
      </c>
      <c r="G108" s="16">
        <v>109190</v>
      </c>
    </row>
    <row r="109" spans="1:7" x14ac:dyDescent="0.3">
      <c r="A109" t="s">
        <v>120</v>
      </c>
      <c r="B109" t="s">
        <v>15</v>
      </c>
      <c r="C109">
        <v>40</v>
      </c>
      <c r="D109" t="s">
        <v>13</v>
      </c>
      <c r="E109" s="1">
        <v>44320</v>
      </c>
      <c r="F109" t="s">
        <v>23</v>
      </c>
      <c r="G109" s="16">
        <v>104410</v>
      </c>
    </row>
    <row r="110" spans="1:7" x14ac:dyDescent="0.3">
      <c r="A110" t="s">
        <v>121</v>
      </c>
      <c r="B110" t="s">
        <v>8</v>
      </c>
      <c r="C110">
        <v>30</v>
      </c>
      <c r="D110" t="s">
        <v>13</v>
      </c>
      <c r="E110" s="1">
        <v>44544</v>
      </c>
      <c r="F110" t="s">
        <v>17</v>
      </c>
      <c r="G110" s="16">
        <v>96800</v>
      </c>
    </row>
    <row r="111" spans="1:7" x14ac:dyDescent="0.3">
      <c r="A111" t="s">
        <v>122</v>
      </c>
      <c r="B111" t="s">
        <v>8</v>
      </c>
      <c r="C111">
        <v>28</v>
      </c>
      <c r="D111" t="s">
        <v>10</v>
      </c>
      <c r="E111" s="1">
        <v>43980</v>
      </c>
      <c r="F111" t="s">
        <v>17</v>
      </c>
      <c r="G111" s="16">
        <v>48170</v>
      </c>
    </row>
    <row r="112" spans="1:7" x14ac:dyDescent="0.3">
      <c r="A112" t="s">
        <v>123</v>
      </c>
      <c r="B112" t="s">
        <v>8</v>
      </c>
      <c r="C112">
        <v>21</v>
      </c>
      <c r="D112" t="s">
        <v>13</v>
      </c>
      <c r="E112" s="1">
        <v>44042</v>
      </c>
      <c r="F112" t="s">
        <v>12</v>
      </c>
      <c r="G112" s="16">
        <v>37920</v>
      </c>
    </row>
    <row r="113" spans="1:7" x14ac:dyDescent="0.3">
      <c r="A113" t="s">
        <v>124</v>
      </c>
      <c r="B113" t="s">
        <v>8</v>
      </c>
      <c r="C113">
        <v>34</v>
      </c>
      <c r="D113" t="s">
        <v>13</v>
      </c>
      <c r="E113" s="1">
        <v>44642</v>
      </c>
      <c r="F113" t="s">
        <v>12</v>
      </c>
      <c r="G113" s="16">
        <v>112650</v>
      </c>
    </row>
    <row r="114" spans="1:7" x14ac:dyDescent="0.3">
      <c r="A114" t="s">
        <v>125</v>
      </c>
      <c r="B114" t="s">
        <v>15</v>
      </c>
      <c r="C114">
        <v>34</v>
      </c>
      <c r="D114" t="s">
        <v>18</v>
      </c>
      <c r="E114" s="1">
        <v>44660</v>
      </c>
      <c r="F114" t="s">
        <v>9</v>
      </c>
      <c r="G114" s="16">
        <v>49630</v>
      </c>
    </row>
    <row r="115" spans="1:7" x14ac:dyDescent="0.3">
      <c r="A115" t="s">
        <v>126</v>
      </c>
      <c r="B115" t="s">
        <v>8</v>
      </c>
      <c r="C115">
        <v>36</v>
      </c>
      <c r="D115" t="s">
        <v>13</v>
      </c>
      <c r="E115" s="1">
        <v>43958</v>
      </c>
      <c r="F115" t="s">
        <v>23</v>
      </c>
      <c r="G115" s="16">
        <v>118840</v>
      </c>
    </row>
    <row r="116" spans="1:7" x14ac:dyDescent="0.3">
      <c r="A116" t="s">
        <v>127</v>
      </c>
      <c r="B116" t="s">
        <v>8</v>
      </c>
      <c r="C116">
        <v>30</v>
      </c>
      <c r="D116" t="s">
        <v>13</v>
      </c>
      <c r="E116" s="1">
        <v>44789</v>
      </c>
      <c r="F116" t="s">
        <v>23</v>
      </c>
      <c r="G116" s="16">
        <v>69710</v>
      </c>
    </row>
    <row r="117" spans="1:7" x14ac:dyDescent="0.3">
      <c r="A117" t="s">
        <v>128</v>
      </c>
      <c r="B117" t="s">
        <v>8</v>
      </c>
      <c r="C117">
        <v>20</v>
      </c>
      <c r="D117" t="s">
        <v>13</v>
      </c>
      <c r="E117" s="1">
        <v>44683</v>
      </c>
      <c r="F117" t="s">
        <v>12</v>
      </c>
      <c r="G117" s="16">
        <v>79570</v>
      </c>
    </row>
    <row r="118" spans="1:7" x14ac:dyDescent="0.3">
      <c r="A118" t="s">
        <v>129</v>
      </c>
      <c r="B118" t="s">
        <v>15</v>
      </c>
      <c r="C118">
        <v>22</v>
      </c>
      <c r="D118" t="s">
        <v>10</v>
      </c>
      <c r="E118" s="1">
        <v>44388</v>
      </c>
      <c r="F118" t="s">
        <v>12</v>
      </c>
      <c r="G118" s="16">
        <v>76900</v>
      </c>
    </row>
    <row r="119" spans="1:7" x14ac:dyDescent="0.3">
      <c r="A119" t="s">
        <v>202</v>
      </c>
      <c r="C119">
        <f>SUBTOTAL(101,Table2[Age])</f>
        <v>30.375</v>
      </c>
      <c r="G119" s="16">
        <f>SUBTOTAL(109,Table2[Salary])</f>
        <v>8757930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6F582-A419-4825-9BE3-5DFAD8F7A998}">
  <sheetPr>
    <tabColor rgb="FFC00000"/>
  </sheetPr>
  <dimension ref="A4:X203"/>
  <sheetViews>
    <sheetView workbookViewId="0">
      <selection activeCell="L3" sqref="L3"/>
    </sheetView>
  </sheetViews>
  <sheetFormatPr defaultRowHeight="14.4" x14ac:dyDescent="0.3"/>
  <cols>
    <col min="1" max="1" width="27.21875" bestFit="1" customWidth="1"/>
    <col min="2" max="2" width="9.33203125" bestFit="1" customWidth="1"/>
    <col min="3" max="3" width="6.44140625" bestFit="1" customWidth="1"/>
    <col min="4" max="4" width="13.109375" bestFit="1" customWidth="1"/>
    <col min="5" max="5" width="13" bestFit="1" customWidth="1"/>
    <col min="6" max="6" width="13.33203125" bestFit="1" customWidth="1"/>
    <col min="7" max="7" width="11.88671875" style="16" bestFit="1" customWidth="1"/>
    <col min="8" max="8" width="10" bestFit="1" customWidth="1"/>
    <col min="9" max="9" width="10.33203125" bestFit="1" customWidth="1"/>
    <col min="10" max="10" width="10.33203125" style="16" customWidth="1"/>
    <col min="11" max="11" width="10.33203125" style="5" customWidth="1"/>
    <col min="12" max="12" width="10.33203125" style="16" customWidth="1"/>
    <col min="13" max="14" width="17.33203125" bestFit="1" customWidth="1"/>
    <col min="15" max="15" width="13.109375" bestFit="1" customWidth="1"/>
    <col min="16" max="16" width="10" bestFit="1" customWidth="1"/>
    <col min="17" max="17" width="13.109375" bestFit="1" customWidth="1"/>
    <col min="18" max="18" width="13.109375" style="4" bestFit="1" customWidth="1"/>
    <col min="19" max="19" width="15.44140625" bestFit="1" customWidth="1"/>
    <col min="20" max="20" width="13.33203125" bestFit="1" customWidth="1"/>
    <col min="21" max="21" width="8.33203125" bestFit="1" customWidth="1"/>
    <col min="22" max="22" width="7.109375" style="6" customWidth="1"/>
  </cols>
  <sheetData>
    <row r="4" spans="1:22" x14ac:dyDescent="0.3">
      <c r="A4" t="s">
        <v>0</v>
      </c>
      <c r="B4" t="s">
        <v>1</v>
      </c>
      <c r="C4" t="s">
        <v>3</v>
      </c>
      <c r="D4" t="s">
        <v>6</v>
      </c>
      <c r="E4" t="s">
        <v>4</v>
      </c>
      <c r="F4" t="s">
        <v>2</v>
      </c>
      <c r="G4" s="16" t="s">
        <v>5</v>
      </c>
      <c r="H4" t="s">
        <v>203</v>
      </c>
      <c r="I4" t="s">
        <v>212</v>
      </c>
      <c r="J4" s="16" t="s">
        <v>233</v>
      </c>
      <c r="K4" s="5" t="s">
        <v>234</v>
      </c>
    </row>
    <row r="5" spans="1:22" x14ac:dyDescent="0.3">
      <c r="A5" t="s">
        <v>110</v>
      </c>
      <c r="B5" t="s">
        <v>8</v>
      </c>
      <c r="C5">
        <v>20</v>
      </c>
      <c r="D5" t="s">
        <v>13</v>
      </c>
      <c r="E5" s="4">
        <v>44122</v>
      </c>
      <c r="F5" t="s">
        <v>23</v>
      </c>
      <c r="G5" s="16">
        <v>112650</v>
      </c>
      <c r="H5" t="s">
        <v>204</v>
      </c>
      <c r="I5" s="6">
        <f ca="1">(TODAY()-staff[[#This Row],[Date Joined]])/365</f>
        <v>3.43013698630137</v>
      </c>
      <c r="J5" s="16">
        <f ca="1">ROUNDUP(IF(staff[[#This Row],[tenure]]&gt;2,3%,2%)*staff[[#This Row],[Salary]],0)</f>
        <v>3380</v>
      </c>
      <c r="K5" s="5">
        <f>_xlfn.XLOOKUP(staff[[#This Row],[Rating]],Table5[Column1],Table5[Column2])</f>
        <v>3</v>
      </c>
      <c r="N5" s="8">
        <v>1</v>
      </c>
    </row>
    <row r="6" spans="1:22" x14ac:dyDescent="0.3">
      <c r="A6" t="s">
        <v>111</v>
      </c>
      <c r="B6" t="s">
        <v>15</v>
      </c>
      <c r="C6">
        <v>32</v>
      </c>
      <c r="D6" t="s">
        <v>10</v>
      </c>
      <c r="E6" s="4">
        <v>44293</v>
      </c>
      <c r="F6" t="s">
        <v>23</v>
      </c>
      <c r="G6" s="16">
        <v>43840</v>
      </c>
      <c r="H6" t="s">
        <v>204</v>
      </c>
      <c r="I6" s="6">
        <f ca="1">(TODAY()-staff[[#This Row],[Date Joined]])/365</f>
        <v>2.9616438356164383</v>
      </c>
      <c r="J6" s="16">
        <f ca="1">ROUNDUP(IF(staff[[#This Row],[tenure]]&gt;2,3%,2%)*staff[[#This Row],[Salary]],0)</f>
        <v>1316</v>
      </c>
      <c r="K6" s="5">
        <f>_xlfn.XLOOKUP(staff[[#This Row],[Rating]],Table5[Column1],Table5[Column2])</f>
        <v>4</v>
      </c>
      <c r="N6" t="s">
        <v>209</v>
      </c>
      <c r="O6">
        <f>COUNTA(staff[Name])</f>
        <v>183</v>
      </c>
    </row>
    <row r="7" spans="1:22" x14ac:dyDescent="0.3">
      <c r="A7" t="s">
        <v>112</v>
      </c>
      <c r="B7" t="s">
        <v>8</v>
      </c>
      <c r="C7">
        <v>31</v>
      </c>
      <c r="D7" t="s">
        <v>13</v>
      </c>
      <c r="E7" s="4">
        <v>44663</v>
      </c>
      <c r="F7" t="s">
        <v>12</v>
      </c>
      <c r="G7" s="16">
        <v>103550</v>
      </c>
      <c r="H7" t="s">
        <v>204</v>
      </c>
      <c r="I7" s="6">
        <f ca="1">(TODAY()-staff[[#This Row],[Date Joined]])/365</f>
        <v>1.9479452054794522</v>
      </c>
      <c r="J7" s="16">
        <f ca="1">ROUNDUP(IF(staff[[#This Row],[tenure]]&gt;2,3%,2%)*staff[[#This Row],[Salary]],0)</f>
        <v>2071</v>
      </c>
      <c r="K7" s="5">
        <f>_xlfn.XLOOKUP(staff[[#This Row],[Rating]],Table5[Column1],Table5[Column2])</f>
        <v>3</v>
      </c>
      <c r="N7" t="s">
        <v>210</v>
      </c>
      <c r="O7" s="17">
        <f>AVERAGE(staff[Salary])</f>
        <v>77173.715846994543</v>
      </c>
      <c r="P7" s="16">
        <f>MEDIAN(staff[Salary])</f>
        <v>75000</v>
      </c>
    </row>
    <row r="8" spans="1:22" x14ac:dyDescent="0.3">
      <c r="A8" t="s">
        <v>113</v>
      </c>
      <c r="B8" t="s">
        <v>15</v>
      </c>
      <c r="C8">
        <v>32</v>
      </c>
      <c r="D8" t="s">
        <v>13</v>
      </c>
      <c r="E8" s="4">
        <v>44339</v>
      </c>
      <c r="F8" t="s">
        <v>26</v>
      </c>
      <c r="G8" s="16">
        <v>45510</v>
      </c>
      <c r="H8" t="s">
        <v>204</v>
      </c>
      <c r="I8" s="6">
        <f ca="1">(TODAY()-staff[[#This Row],[Date Joined]])/365</f>
        <v>2.8356164383561642</v>
      </c>
      <c r="J8" s="16">
        <f ca="1">ROUNDUP(IF(staff[[#This Row],[tenure]]&gt;2,3%,2%)*staff[[#This Row],[Salary]],0)</f>
        <v>1366</v>
      </c>
      <c r="K8" s="5">
        <f>_xlfn.XLOOKUP(staff[[#This Row],[Rating]],Table5[Column1],Table5[Column2])</f>
        <v>3</v>
      </c>
      <c r="N8" t="s">
        <v>211</v>
      </c>
      <c r="O8" s="5">
        <f>AVERAGE(staff[Age])</f>
        <v>30.42622950819672</v>
      </c>
      <c r="P8">
        <f>MEDIAN(staff[Age])</f>
        <v>30</v>
      </c>
    </row>
    <row r="9" spans="1:22" x14ac:dyDescent="0.3">
      <c r="A9" t="s">
        <v>114</v>
      </c>
      <c r="B9" t="s">
        <v>205</v>
      </c>
      <c r="C9">
        <v>37</v>
      </c>
      <c r="D9" t="s">
        <v>18</v>
      </c>
      <c r="E9" s="4">
        <v>44085</v>
      </c>
      <c r="F9" t="s">
        <v>17</v>
      </c>
      <c r="G9" s="16">
        <v>115440</v>
      </c>
      <c r="H9" t="s">
        <v>204</v>
      </c>
      <c r="I9" s="6">
        <f ca="1">(TODAY()-staff[[#This Row],[Date Joined]])/365</f>
        <v>3.5315068493150683</v>
      </c>
      <c r="J9" s="16">
        <f ca="1">ROUNDUP(IF(staff[[#This Row],[tenure]]&gt;2,3%,2%)*staff[[#This Row],[Salary]],0)</f>
        <v>3464</v>
      </c>
      <c r="K9" s="5">
        <f>_xlfn.XLOOKUP(staff[[#This Row],[Rating]],Table5[Column1],Table5[Column2])</f>
        <v>2</v>
      </c>
      <c r="N9" t="s">
        <v>207</v>
      </c>
      <c r="O9" s="6">
        <f ca="1">AVERAGE(staff[tenure])</f>
        <v>2.5779923646979572</v>
      </c>
    </row>
    <row r="10" spans="1:22" x14ac:dyDescent="0.3">
      <c r="A10" t="s">
        <v>115</v>
      </c>
      <c r="B10" t="s">
        <v>15</v>
      </c>
      <c r="C10">
        <v>38</v>
      </c>
      <c r="D10" t="s">
        <v>10</v>
      </c>
      <c r="E10" s="4">
        <v>44268</v>
      </c>
      <c r="F10" t="s">
        <v>9</v>
      </c>
      <c r="G10" s="16">
        <v>56870</v>
      </c>
      <c r="H10" t="s">
        <v>204</v>
      </c>
      <c r="I10" s="6">
        <f ca="1">(TODAY()-staff[[#This Row],[Date Joined]])/365</f>
        <v>3.0301369863013701</v>
      </c>
      <c r="J10" s="16">
        <f ca="1">ROUNDUP(IF(staff[[#This Row],[tenure]]&gt;2,3%,2%)*staff[[#This Row],[Salary]],0)</f>
        <v>1707</v>
      </c>
      <c r="K10" s="5">
        <f>_xlfn.XLOOKUP(staff[[#This Row],[Rating]],Table5[Column1],Table5[Column2])</f>
        <v>4</v>
      </c>
      <c r="N10" t="s">
        <v>208</v>
      </c>
      <c r="T10" s="6"/>
      <c r="V10"/>
    </row>
    <row r="11" spans="1:22" x14ac:dyDescent="0.3">
      <c r="A11" t="s">
        <v>116</v>
      </c>
      <c r="B11" t="s">
        <v>15</v>
      </c>
      <c r="C11">
        <v>25</v>
      </c>
      <c r="D11" t="s">
        <v>13</v>
      </c>
      <c r="E11" s="4">
        <v>44144</v>
      </c>
      <c r="F11" t="s">
        <v>9</v>
      </c>
      <c r="G11" s="16">
        <v>92700</v>
      </c>
      <c r="H11" t="s">
        <v>204</v>
      </c>
      <c r="I11" s="6">
        <f ca="1">(TODAY()-staff[[#This Row],[Date Joined]])/365</f>
        <v>3.3698630136986303</v>
      </c>
      <c r="J11" s="16">
        <f ca="1">ROUNDUP(IF(staff[[#This Row],[tenure]]&gt;2,3%,2%)*staff[[#This Row],[Salary]],0)</f>
        <v>2781</v>
      </c>
      <c r="K11" s="5">
        <f>_xlfn.XLOOKUP(staff[[#This Row],[Rating]],Table5[Column1],Table5[Column2])</f>
        <v>3</v>
      </c>
      <c r="N11" t="s">
        <v>213</v>
      </c>
      <c r="O11">
        <f>COUNTIFS(staff[Gender],"Female")</f>
        <v>86</v>
      </c>
      <c r="T11" s="6"/>
      <c r="V11"/>
    </row>
    <row r="12" spans="1:22" x14ac:dyDescent="0.3">
      <c r="A12" t="s">
        <v>117</v>
      </c>
      <c r="B12" t="s">
        <v>205</v>
      </c>
      <c r="C12">
        <v>32</v>
      </c>
      <c r="D12" t="s">
        <v>13</v>
      </c>
      <c r="E12" s="4">
        <v>44713</v>
      </c>
      <c r="F12" t="s">
        <v>23</v>
      </c>
      <c r="G12" s="16">
        <v>91310</v>
      </c>
      <c r="H12" t="s">
        <v>204</v>
      </c>
      <c r="I12" s="6">
        <f ca="1">(TODAY()-staff[[#This Row],[Date Joined]])/365</f>
        <v>1.810958904109589</v>
      </c>
      <c r="J12" s="16">
        <f ca="1">ROUNDUP(IF(staff[[#This Row],[tenure]]&gt;2,3%,2%)*staff[[#This Row],[Salary]],0)</f>
        <v>1827</v>
      </c>
      <c r="K12" s="5">
        <f>_xlfn.XLOOKUP(staff[[#This Row],[Rating]],Table5[Column1],Table5[Column2])</f>
        <v>3</v>
      </c>
      <c r="N12" t="s">
        <v>214</v>
      </c>
      <c r="O12" s="7">
        <f>O11/O6</f>
        <v>0.46994535519125685</v>
      </c>
      <c r="T12" s="6"/>
      <c r="V12"/>
    </row>
    <row r="13" spans="1:22" x14ac:dyDescent="0.3">
      <c r="A13" t="s">
        <v>118</v>
      </c>
      <c r="B13" t="s">
        <v>8</v>
      </c>
      <c r="C13">
        <v>33</v>
      </c>
      <c r="D13" t="s">
        <v>13</v>
      </c>
      <c r="E13" s="4">
        <v>44324</v>
      </c>
      <c r="F13" t="s">
        <v>9</v>
      </c>
      <c r="G13" s="16">
        <v>74550</v>
      </c>
      <c r="H13" t="s">
        <v>204</v>
      </c>
      <c r="I13" s="6">
        <f ca="1">(TODAY()-staff[[#This Row],[Date Joined]])/365</f>
        <v>2.8767123287671232</v>
      </c>
      <c r="J13" s="16">
        <f ca="1">ROUNDUP(IF(staff[[#This Row],[tenure]]&gt;2,3%,2%)*staff[[#This Row],[Salary]],0)</f>
        <v>2237</v>
      </c>
      <c r="K13" s="5">
        <f>_xlfn.XLOOKUP(staff[[#This Row],[Rating]],Table5[Column1],Table5[Column2])</f>
        <v>3</v>
      </c>
      <c r="T13" s="6"/>
      <c r="V13"/>
    </row>
    <row r="14" spans="1:22" x14ac:dyDescent="0.3">
      <c r="A14" t="s">
        <v>119</v>
      </c>
      <c r="B14" t="s">
        <v>8</v>
      </c>
      <c r="C14">
        <v>25</v>
      </c>
      <c r="D14" t="s">
        <v>10</v>
      </c>
      <c r="E14" s="4">
        <v>44665</v>
      </c>
      <c r="F14" t="s">
        <v>12</v>
      </c>
      <c r="G14" s="16">
        <v>109190</v>
      </c>
      <c r="H14" t="s">
        <v>204</v>
      </c>
      <c r="I14" s="6">
        <f ca="1">(TODAY()-staff[[#This Row],[Date Joined]])/365</f>
        <v>1.9424657534246574</v>
      </c>
      <c r="J14" s="16">
        <f ca="1">ROUNDUP(IF(staff[[#This Row],[tenure]]&gt;2,3%,2%)*staff[[#This Row],[Salary]],0)</f>
        <v>2184</v>
      </c>
      <c r="K14" s="5">
        <f>_xlfn.XLOOKUP(staff[[#This Row],[Rating]],Table5[Column1],Table5[Column2])</f>
        <v>4</v>
      </c>
      <c r="T14" s="6"/>
      <c r="V14"/>
    </row>
    <row r="15" spans="1:22" x14ac:dyDescent="0.3">
      <c r="A15" t="s">
        <v>120</v>
      </c>
      <c r="B15" t="s">
        <v>15</v>
      </c>
      <c r="C15">
        <v>40</v>
      </c>
      <c r="D15" t="s">
        <v>13</v>
      </c>
      <c r="E15" s="4">
        <v>44320</v>
      </c>
      <c r="F15" t="s">
        <v>23</v>
      </c>
      <c r="G15" s="16">
        <v>104410</v>
      </c>
      <c r="H15" t="s">
        <v>204</v>
      </c>
      <c r="I15" s="6">
        <f ca="1">(TODAY()-staff[[#This Row],[Date Joined]])/365</f>
        <v>2.8876712328767122</v>
      </c>
      <c r="J15" s="16">
        <f ca="1">ROUNDUP(IF(staff[[#This Row],[tenure]]&gt;2,3%,2%)*staff[[#This Row],[Salary]],0)</f>
        <v>3133</v>
      </c>
      <c r="K15" s="5">
        <f>_xlfn.XLOOKUP(staff[[#This Row],[Rating]],Table5[Column1],Table5[Column2])</f>
        <v>3</v>
      </c>
      <c r="N15" s="8">
        <v>2</v>
      </c>
    </row>
    <row r="16" spans="1:22" x14ac:dyDescent="0.3">
      <c r="A16" t="s">
        <v>121</v>
      </c>
      <c r="B16" t="s">
        <v>8</v>
      </c>
      <c r="C16">
        <v>30</v>
      </c>
      <c r="D16" t="s">
        <v>13</v>
      </c>
      <c r="E16" s="4">
        <v>44544</v>
      </c>
      <c r="F16" t="s">
        <v>17</v>
      </c>
      <c r="G16" s="16">
        <v>96800</v>
      </c>
      <c r="H16" t="s">
        <v>204</v>
      </c>
      <c r="I16" s="6">
        <f ca="1">(TODAY()-staff[[#This Row],[Date Joined]])/365</f>
        <v>2.2739726027397262</v>
      </c>
      <c r="J16" s="16">
        <f ca="1">ROUNDUP(IF(staff[[#This Row],[tenure]]&gt;2,3%,2%)*staff[[#This Row],[Salary]],0)</f>
        <v>2904</v>
      </c>
      <c r="K16" s="5">
        <f>_xlfn.XLOOKUP(staff[[#This Row],[Rating]],Table5[Column1],Table5[Column2])</f>
        <v>3</v>
      </c>
    </row>
    <row r="17" spans="1:20" x14ac:dyDescent="0.3">
      <c r="A17" t="s">
        <v>122</v>
      </c>
      <c r="B17" t="s">
        <v>8</v>
      </c>
      <c r="C17">
        <v>28</v>
      </c>
      <c r="D17" t="s">
        <v>10</v>
      </c>
      <c r="E17" s="4">
        <v>43980</v>
      </c>
      <c r="F17" t="s">
        <v>17</v>
      </c>
      <c r="G17" s="16">
        <v>48170</v>
      </c>
      <c r="H17" t="s">
        <v>204</v>
      </c>
      <c r="I17" s="6">
        <f ca="1">(TODAY()-staff[[#This Row],[Date Joined]])/365</f>
        <v>3.8191780821917809</v>
      </c>
      <c r="J17" s="16">
        <f ca="1">ROUNDUP(IF(staff[[#This Row],[tenure]]&gt;2,3%,2%)*staff[[#This Row],[Salary]],0)</f>
        <v>1446</v>
      </c>
      <c r="K17" s="5">
        <f>_xlfn.XLOOKUP(staff[[#This Row],[Rating]],Table5[Column1],Table5[Column2])</f>
        <v>4</v>
      </c>
      <c r="N17" s="10" t="s">
        <v>111</v>
      </c>
    </row>
    <row r="18" spans="1:20" x14ac:dyDescent="0.3">
      <c r="A18" t="s">
        <v>123</v>
      </c>
      <c r="B18" t="s">
        <v>8</v>
      </c>
      <c r="C18">
        <v>21</v>
      </c>
      <c r="D18" t="s">
        <v>13</v>
      </c>
      <c r="E18" s="4">
        <v>44042</v>
      </c>
      <c r="F18" t="s">
        <v>12</v>
      </c>
      <c r="G18" s="16">
        <v>37920</v>
      </c>
      <c r="H18" t="s">
        <v>204</v>
      </c>
      <c r="I18" s="6">
        <f ca="1">(TODAY()-staff[[#This Row],[Date Joined]])/365</f>
        <v>3.6493150684931508</v>
      </c>
      <c r="J18" s="16">
        <f ca="1">ROUNDUP(IF(staff[[#This Row],[tenure]]&gt;2,3%,2%)*staff[[#This Row],[Salary]],0)</f>
        <v>1138</v>
      </c>
      <c r="K18" s="5">
        <f>_xlfn.XLOOKUP(staff[[#This Row],[Rating]],Table5[Column1],Table5[Column2])</f>
        <v>3</v>
      </c>
    </row>
    <row r="19" spans="1:20" x14ac:dyDescent="0.3">
      <c r="A19" t="s">
        <v>124</v>
      </c>
      <c r="B19" t="s">
        <v>8</v>
      </c>
      <c r="C19">
        <v>34</v>
      </c>
      <c r="D19" t="s">
        <v>13</v>
      </c>
      <c r="E19" s="4">
        <v>44642</v>
      </c>
      <c r="F19" t="s">
        <v>12</v>
      </c>
      <c r="G19" s="16">
        <v>112650</v>
      </c>
      <c r="H19" t="s">
        <v>204</v>
      </c>
      <c r="I19" s="6">
        <f ca="1">(TODAY()-staff[[#This Row],[Date Joined]])/365</f>
        <v>2.0054794520547947</v>
      </c>
      <c r="J19" s="16">
        <f ca="1">ROUNDUP(IF(staff[[#This Row],[tenure]]&gt;2,3%,2%)*staff[[#This Row],[Salary]],0)</f>
        <v>3380</v>
      </c>
      <c r="K19" s="5">
        <f>_xlfn.XLOOKUP(staff[[#This Row],[Rating]],Table5[Column1],Table5[Column2])</f>
        <v>3</v>
      </c>
      <c r="N19" t="s">
        <v>215</v>
      </c>
      <c r="O19" s="9" t="str" cm="1">
        <f t="array" aca="1" ref="O19:O26" ca="1">TRANSPOSE(_xlfn.XLOOKUP(N17,staff[Name],staff[[Gender]:[tenure]]))</f>
        <v>Female</v>
      </c>
    </row>
    <row r="20" spans="1:20" x14ac:dyDescent="0.3">
      <c r="A20" t="s">
        <v>125</v>
      </c>
      <c r="B20" t="s">
        <v>15</v>
      </c>
      <c r="C20">
        <v>34</v>
      </c>
      <c r="D20" t="s">
        <v>18</v>
      </c>
      <c r="E20" s="4">
        <v>44660</v>
      </c>
      <c r="F20" t="s">
        <v>9</v>
      </c>
      <c r="G20" s="16">
        <v>49630</v>
      </c>
      <c r="H20" t="s">
        <v>204</v>
      </c>
      <c r="I20" s="6">
        <f ca="1">(TODAY()-staff[[#This Row],[Date Joined]])/365</f>
        <v>1.9561643835616438</v>
      </c>
      <c r="J20" s="16">
        <f ca="1">ROUNDUP(IF(staff[[#This Row],[tenure]]&gt;2,3%,2%)*staff[[#This Row],[Salary]],0)</f>
        <v>993</v>
      </c>
      <c r="K20" s="5">
        <f>_xlfn.XLOOKUP(staff[[#This Row],[Rating]],Table5[Column1],Table5[Column2])</f>
        <v>2</v>
      </c>
      <c r="N20" t="s">
        <v>216</v>
      </c>
      <c r="O20" s="9">
        <f ca="1"/>
        <v>32</v>
      </c>
    </row>
    <row r="21" spans="1:20" x14ac:dyDescent="0.3">
      <c r="A21" t="s">
        <v>126</v>
      </c>
      <c r="B21" t="s">
        <v>8</v>
      </c>
      <c r="C21">
        <v>36</v>
      </c>
      <c r="D21" t="s">
        <v>13</v>
      </c>
      <c r="E21" s="4">
        <v>43958</v>
      </c>
      <c r="F21" t="s">
        <v>23</v>
      </c>
      <c r="G21" s="16">
        <v>118840</v>
      </c>
      <c r="H21" t="s">
        <v>204</v>
      </c>
      <c r="I21" s="6">
        <f ca="1">(TODAY()-staff[[#This Row],[Date Joined]])/365</f>
        <v>3.8794520547945206</v>
      </c>
      <c r="J21" s="16">
        <f ca="1">ROUNDUP(IF(staff[[#This Row],[tenure]]&gt;2,3%,2%)*staff[[#This Row],[Salary]],0)</f>
        <v>3566</v>
      </c>
      <c r="K21" s="5">
        <f>_xlfn.XLOOKUP(staff[[#This Row],[Rating]],Table5[Column1],Table5[Column2])</f>
        <v>3</v>
      </c>
      <c r="N21" t="s">
        <v>217</v>
      </c>
      <c r="O21" s="9" t="str">
        <f ca="1"/>
        <v>Above average</v>
      </c>
      <c r="S21" s="3"/>
    </row>
    <row r="22" spans="1:20" x14ac:dyDescent="0.3">
      <c r="A22" t="s">
        <v>127</v>
      </c>
      <c r="B22" t="s">
        <v>8</v>
      </c>
      <c r="C22">
        <v>30</v>
      </c>
      <c r="D22" t="s">
        <v>13</v>
      </c>
      <c r="E22" s="4">
        <v>44789</v>
      </c>
      <c r="F22" t="s">
        <v>23</v>
      </c>
      <c r="G22" s="16">
        <v>69710</v>
      </c>
      <c r="H22" t="s">
        <v>204</v>
      </c>
      <c r="I22" s="6">
        <f ca="1">(TODAY()-staff[[#This Row],[Date Joined]])/365</f>
        <v>1.6027397260273972</v>
      </c>
      <c r="J22" s="16">
        <f ca="1">ROUNDUP(IF(staff[[#This Row],[tenure]]&gt;2,3%,2%)*staff[[#This Row],[Salary]],0)</f>
        <v>1395</v>
      </c>
      <c r="K22" s="5">
        <f>_xlfn.XLOOKUP(staff[[#This Row],[Rating]],Table5[Column1],Table5[Column2])</f>
        <v>3</v>
      </c>
      <c r="N22" t="s">
        <v>218</v>
      </c>
      <c r="O22" s="9">
        <f ca="1"/>
        <v>44293</v>
      </c>
      <c r="S22" s="3"/>
    </row>
    <row r="23" spans="1:20" x14ac:dyDescent="0.3">
      <c r="A23" t="s">
        <v>128</v>
      </c>
      <c r="B23" t="s">
        <v>8</v>
      </c>
      <c r="C23">
        <v>20</v>
      </c>
      <c r="D23" t="s">
        <v>13</v>
      </c>
      <c r="E23" s="4">
        <v>44683</v>
      </c>
      <c r="F23" t="s">
        <v>12</v>
      </c>
      <c r="G23" s="16">
        <v>79570</v>
      </c>
      <c r="H23" t="s">
        <v>204</v>
      </c>
      <c r="I23" s="6">
        <f ca="1">(TODAY()-staff[[#This Row],[Date Joined]])/365</f>
        <v>1.893150684931507</v>
      </c>
      <c r="J23" s="16">
        <f ca="1">ROUNDUP(IF(staff[[#This Row],[tenure]]&gt;2,3%,2%)*staff[[#This Row],[Salary]],0)</f>
        <v>1592</v>
      </c>
      <c r="K23" s="5">
        <f>_xlfn.XLOOKUP(staff[[#This Row],[Rating]],Table5[Column1],Table5[Column2])</f>
        <v>3</v>
      </c>
      <c r="N23" t="s">
        <v>219</v>
      </c>
      <c r="O23" s="9" t="str">
        <f ca="1"/>
        <v>Website</v>
      </c>
      <c r="S23" s="3"/>
    </row>
    <row r="24" spans="1:20" x14ac:dyDescent="0.3">
      <c r="A24" t="s">
        <v>129</v>
      </c>
      <c r="B24" t="s">
        <v>15</v>
      </c>
      <c r="C24">
        <v>22</v>
      </c>
      <c r="D24" t="s">
        <v>10</v>
      </c>
      <c r="E24" s="4">
        <v>44388</v>
      </c>
      <c r="F24" t="s">
        <v>12</v>
      </c>
      <c r="G24" s="16">
        <v>76900</v>
      </c>
      <c r="H24" t="s">
        <v>204</v>
      </c>
      <c r="I24" s="6">
        <f ca="1">(TODAY()-staff[[#This Row],[Date Joined]])/365</f>
        <v>2.7013698630136984</v>
      </c>
      <c r="J24" s="16">
        <f ca="1">ROUNDUP(IF(staff[[#This Row],[tenure]]&gt;2,3%,2%)*staff[[#This Row],[Salary]],0)</f>
        <v>2307</v>
      </c>
      <c r="K24" s="5">
        <f>_xlfn.XLOOKUP(staff[[#This Row],[Rating]],Table5[Column1],Table5[Column2])</f>
        <v>4</v>
      </c>
      <c r="N24" t="s">
        <v>220</v>
      </c>
      <c r="O24" s="9">
        <f ca="1"/>
        <v>43840</v>
      </c>
      <c r="S24" s="3"/>
    </row>
    <row r="25" spans="1:20" x14ac:dyDescent="0.3">
      <c r="A25" t="s">
        <v>130</v>
      </c>
      <c r="B25" t="s">
        <v>8</v>
      </c>
      <c r="C25">
        <v>27</v>
      </c>
      <c r="D25" t="s">
        <v>13</v>
      </c>
      <c r="E25" s="4">
        <v>44073</v>
      </c>
      <c r="F25" t="s">
        <v>9</v>
      </c>
      <c r="G25" s="16">
        <v>54970</v>
      </c>
      <c r="H25" t="s">
        <v>204</v>
      </c>
      <c r="I25" s="6">
        <f ca="1">(TODAY()-staff[[#This Row],[Date Joined]])/365</f>
        <v>3.5643835616438357</v>
      </c>
      <c r="J25" s="16">
        <f ca="1">ROUNDUP(IF(staff[[#This Row],[tenure]]&gt;2,3%,2%)*staff[[#This Row],[Salary]],0)</f>
        <v>1650</v>
      </c>
      <c r="K25" s="5">
        <f>_xlfn.XLOOKUP(staff[[#This Row],[Rating]],Table5[Column1],Table5[Column2])</f>
        <v>3</v>
      </c>
      <c r="N25" t="s">
        <v>221</v>
      </c>
      <c r="O25" s="9" t="str">
        <f ca="1"/>
        <v>ind</v>
      </c>
      <c r="S25" s="3"/>
    </row>
    <row r="26" spans="1:20" x14ac:dyDescent="0.3">
      <c r="A26" t="s">
        <v>131</v>
      </c>
      <c r="B26" t="s">
        <v>8</v>
      </c>
      <c r="C26">
        <v>37</v>
      </c>
      <c r="D26" t="s">
        <v>18</v>
      </c>
      <c r="E26" s="4">
        <v>44277</v>
      </c>
      <c r="F26" t="s">
        <v>23</v>
      </c>
      <c r="G26" s="16">
        <v>88050</v>
      </c>
      <c r="H26" t="s">
        <v>204</v>
      </c>
      <c r="I26" s="6">
        <f ca="1">(TODAY()-staff[[#This Row],[Date Joined]])/365</f>
        <v>3.0054794520547947</v>
      </c>
      <c r="J26" s="16">
        <f ca="1">ROUNDUP(IF(staff[[#This Row],[tenure]]&gt;2,3%,2%)*staff[[#This Row],[Salary]],0)</f>
        <v>2642</v>
      </c>
      <c r="K26" s="5">
        <f>_xlfn.XLOOKUP(staff[[#This Row],[Rating]],Table5[Column1],Table5[Column2])</f>
        <v>2</v>
      </c>
      <c r="N26" t="s">
        <v>212</v>
      </c>
      <c r="O26" s="9">
        <f ca="1"/>
        <v>2.9616438356164383</v>
      </c>
      <c r="S26" s="3"/>
    </row>
    <row r="27" spans="1:20" x14ac:dyDescent="0.3">
      <c r="A27" t="s">
        <v>132</v>
      </c>
      <c r="B27" t="s">
        <v>8</v>
      </c>
      <c r="C27">
        <v>43</v>
      </c>
      <c r="D27" t="s">
        <v>13</v>
      </c>
      <c r="E27" s="4">
        <v>44558</v>
      </c>
      <c r="F27" t="s">
        <v>9</v>
      </c>
      <c r="G27" s="16">
        <v>36040</v>
      </c>
      <c r="H27" t="s">
        <v>204</v>
      </c>
      <c r="I27" s="6">
        <f ca="1">(TODAY()-staff[[#This Row],[Date Joined]])/365</f>
        <v>2.2356164383561645</v>
      </c>
      <c r="J27" s="16">
        <f ca="1">ROUNDUP(IF(staff[[#This Row],[tenure]]&gt;2,3%,2%)*staff[[#This Row],[Salary]],0)</f>
        <v>1082</v>
      </c>
      <c r="K27" s="5">
        <f>_xlfn.XLOOKUP(staff[[#This Row],[Rating]],Table5[Column1],Table5[Column2])</f>
        <v>3</v>
      </c>
      <c r="S27" s="3"/>
    </row>
    <row r="28" spans="1:20" x14ac:dyDescent="0.3">
      <c r="A28" t="s">
        <v>133</v>
      </c>
      <c r="B28" t="s">
        <v>15</v>
      </c>
      <c r="C28">
        <v>42</v>
      </c>
      <c r="D28" t="s">
        <v>43</v>
      </c>
      <c r="E28" s="4">
        <v>44718</v>
      </c>
      <c r="F28" t="s">
        <v>12</v>
      </c>
      <c r="G28" s="16">
        <v>75000</v>
      </c>
      <c r="H28" t="s">
        <v>204</v>
      </c>
      <c r="I28" s="6">
        <f ca="1">(TODAY()-staff[[#This Row],[Date Joined]])/365</f>
        <v>1.7972602739726027</v>
      </c>
      <c r="J28" s="16">
        <f ca="1">ROUNDUP(IF(staff[[#This Row],[tenure]]&gt;2,3%,2%)*staff[[#This Row],[Salary]],0)</f>
        <v>1500</v>
      </c>
      <c r="K28" s="5">
        <f>_xlfn.XLOOKUP(staff[[#This Row],[Rating]],Table5[Column1],Table5[Column2])</f>
        <v>5</v>
      </c>
      <c r="S28" s="5">
        <v>6</v>
      </c>
      <c r="T28">
        <v>7</v>
      </c>
    </row>
    <row r="29" spans="1:20" x14ac:dyDescent="0.3">
      <c r="A29" t="s">
        <v>134</v>
      </c>
      <c r="B29" t="s">
        <v>8</v>
      </c>
      <c r="C29">
        <v>35</v>
      </c>
      <c r="D29" t="s">
        <v>13</v>
      </c>
      <c r="E29" s="4">
        <v>44666</v>
      </c>
      <c r="F29" t="s">
        <v>12</v>
      </c>
      <c r="G29" s="16">
        <v>40400</v>
      </c>
      <c r="H29" t="s">
        <v>204</v>
      </c>
      <c r="I29" s="6">
        <f ca="1">(TODAY()-staff[[#This Row],[Date Joined]])/365</f>
        <v>1.9397260273972603</v>
      </c>
      <c r="J29" s="16">
        <f ca="1">ROUNDUP(IF(staff[[#This Row],[tenure]]&gt;2,3%,2%)*staff[[#This Row],[Salary]],0)</f>
        <v>808</v>
      </c>
      <c r="K29" s="5">
        <f>_xlfn.XLOOKUP(staff[[#This Row],[Rating]],Table5[Column1],Table5[Column2])</f>
        <v>3</v>
      </c>
      <c r="N29" s="11">
        <v>3</v>
      </c>
      <c r="S29" s="3"/>
    </row>
    <row r="30" spans="1:20" x14ac:dyDescent="0.3">
      <c r="A30" t="s">
        <v>135</v>
      </c>
      <c r="B30" t="s">
        <v>8</v>
      </c>
      <c r="C30">
        <v>24</v>
      </c>
      <c r="D30" t="s">
        <v>13</v>
      </c>
      <c r="E30" s="4">
        <v>44625</v>
      </c>
      <c r="F30" t="s">
        <v>23</v>
      </c>
      <c r="G30" s="16">
        <v>100420</v>
      </c>
      <c r="H30" t="s">
        <v>204</v>
      </c>
      <c r="I30" s="6">
        <f ca="1">(TODAY()-staff[[#This Row],[Date Joined]])/365</f>
        <v>2.0520547945205481</v>
      </c>
      <c r="J30" s="16">
        <f ca="1">ROUNDUP(IF(staff[[#This Row],[tenure]]&gt;2,3%,2%)*staff[[#This Row],[Salary]],0)</f>
        <v>3013</v>
      </c>
      <c r="K30" s="5">
        <f>_xlfn.XLOOKUP(staff[[#This Row],[Rating]],Table5[Column1],Table5[Column2])</f>
        <v>3</v>
      </c>
      <c r="S30" s="3"/>
    </row>
    <row r="31" spans="1:20" x14ac:dyDescent="0.3">
      <c r="A31" t="s">
        <v>136</v>
      </c>
      <c r="B31" t="s">
        <v>15</v>
      </c>
      <c r="C31">
        <v>31</v>
      </c>
      <c r="D31" t="s">
        <v>13</v>
      </c>
      <c r="E31" s="4">
        <v>44604</v>
      </c>
      <c r="F31" t="s">
        <v>23</v>
      </c>
      <c r="G31" s="16">
        <v>58100</v>
      </c>
      <c r="H31" t="s">
        <v>204</v>
      </c>
      <c r="I31" s="6">
        <f ca="1">(TODAY()-staff[[#This Row],[Date Joined]])/365</f>
        <v>2.1095890410958904</v>
      </c>
      <c r="J31" s="16">
        <f ca="1">ROUNDUP(IF(staff[[#This Row],[tenure]]&gt;2,3%,2%)*staff[[#This Row],[Salary]],0)</f>
        <v>1743</v>
      </c>
      <c r="K31" s="5">
        <f>_xlfn.XLOOKUP(staff[[#This Row],[Rating]],Table5[Column1],Table5[Column2])</f>
        <v>3</v>
      </c>
      <c r="N31" t="s">
        <v>222</v>
      </c>
      <c r="O31" s="12" t="s">
        <v>12</v>
      </c>
      <c r="S31" s="3"/>
    </row>
    <row r="32" spans="1:20" x14ac:dyDescent="0.3">
      <c r="A32" t="s">
        <v>137</v>
      </c>
      <c r="B32" t="s">
        <v>15</v>
      </c>
      <c r="C32">
        <v>44</v>
      </c>
      <c r="D32" t="s">
        <v>13</v>
      </c>
      <c r="E32" s="4">
        <v>44985</v>
      </c>
      <c r="F32" t="s">
        <v>23</v>
      </c>
      <c r="G32" s="16">
        <v>114870</v>
      </c>
      <c r="H32" t="s">
        <v>204</v>
      </c>
      <c r="I32" s="6">
        <f ca="1">(TODAY()-staff[[#This Row],[Date Joined]])/365</f>
        <v>1.0657534246575342</v>
      </c>
      <c r="J32" s="16">
        <f ca="1">ROUNDUP(IF(staff[[#This Row],[tenure]]&gt;2,3%,2%)*staff[[#This Row],[Salary]],0)</f>
        <v>2298</v>
      </c>
      <c r="K32" s="5">
        <f>_xlfn.XLOOKUP(staff[[#This Row],[Rating]],Table5[Column1],Table5[Column2])</f>
        <v>3</v>
      </c>
      <c r="S32" s="3"/>
    </row>
    <row r="33" spans="1:24" x14ac:dyDescent="0.3">
      <c r="A33" t="s">
        <v>138</v>
      </c>
      <c r="B33" t="s">
        <v>15</v>
      </c>
      <c r="C33">
        <v>32</v>
      </c>
      <c r="D33" t="s">
        <v>13</v>
      </c>
      <c r="E33" s="4">
        <v>44549</v>
      </c>
      <c r="F33" t="s">
        <v>12</v>
      </c>
      <c r="G33" s="16">
        <v>41570</v>
      </c>
      <c r="H33" t="s">
        <v>204</v>
      </c>
      <c r="I33" s="6">
        <f ca="1">(TODAY()-staff[[#This Row],[Date Joined]])/365</f>
        <v>2.2602739726027399</v>
      </c>
      <c r="J33" s="16">
        <f ca="1">ROUNDUP(IF(staff[[#This Row],[tenure]]&gt;2,3%,2%)*staff[[#This Row],[Salary]],0)</f>
        <v>1248</v>
      </c>
      <c r="K33" s="5">
        <f>_xlfn.XLOOKUP(staff[[#This Row],[Rating]],Table5[Column1],Table5[Column2])</f>
        <v>3</v>
      </c>
      <c r="N33">
        <v>1</v>
      </c>
      <c r="O33">
        <v>2</v>
      </c>
      <c r="P33">
        <v>3</v>
      </c>
      <c r="Q33">
        <v>4</v>
      </c>
      <c r="R33" s="4">
        <v>5</v>
      </c>
      <c r="S33" s="3"/>
      <c r="U33">
        <v>8</v>
      </c>
    </row>
    <row r="34" spans="1:24" x14ac:dyDescent="0.3">
      <c r="A34" t="s">
        <v>139</v>
      </c>
      <c r="B34" t="s">
        <v>15</v>
      </c>
      <c r="C34">
        <v>30</v>
      </c>
      <c r="D34" t="s">
        <v>13</v>
      </c>
      <c r="E34" s="4">
        <v>44800</v>
      </c>
      <c r="F34" t="s">
        <v>12</v>
      </c>
      <c r="G34" s="16">
        <v>112570</v>
      </c>
      <c r="H34" t="s">
        <v>204</v>
      </c>
      <c r="I34" s="6">
        <f ca="1">(TODAY()-staff[[#This Row],[Date Joined]])/365</f>
        <v>1.5726027397260274</v>
      </c>
      <c r="J34" s="16">
        <f ca="1">ROUNDUP(IF(staff[[#This Row],[tenure]]&gt;2,3%,2%)*staff[[#This Row],[Salary]],0)</f>
        <v>2252</v>
      </c>
      <c r="K34" s="5">
        <f>_xlfn.XLOOKUP(staff[[#This Row],[Rating]],Table5[Column1],Table5[Column2])</f>
        <v>3</v>
      </c>
      <c r="N34" t="str" cm="1">
        <f t="array" aca="1" ref="N34:X88" ca="1">_xlfn._xlws.FILTER(staff[],staff[Department]=O31)</f>
        <v>Satyendra Venkatadri</v>
      </c>
      <c r="O34" t="str">
        <f ca="1"/>
        <v>Male</v>
      </c>
      <c r="P34">
        <f ca="1"/>
        <v>31</v>
      </c>
      <c r="Q34" t="str">
        <f ca="1"/>
        <v>Average</v>
      </c>
      <c r="R34" s="4">
        <f ca="1"/>
        <v>44663</v>
      </c>
      <c r="S34" s="3" t="str">
        <f ca="1"/>
        <v>Procurement</v>
      </c>
      <c r="T34">
        <f ca="1"/>
        <v>103550</v>
      </c>
      <c r="U34" t="str">
        <f ca="1"/>
        <v>ind</v>
      </c>
      <c r="V34" s="6">
        <f ca="1"/>
        <v>1.9479452054794522</v>
      </c>
      <c r="W34">
        <f ca="1"/>
        <v>2071</v>
      </c>
      <c r="X34">
        <f ca="1"/>
        <v>3</v>
      </c>
    </row>
    <row r="35" spans="1:24" x14ac:dyDescent="0.3">
      <c r="A35" t="s">
        <v>140</v>
      </c>
      <c r="B35" t="s">
        <v>8</v>
      </c>
      <c r="C35">
        <v>26</v>
      </c>
      <c r="D35" t="s">
        <v>13</v>
      </c>
      <c r="E35" s="4">
        <v>44164</v>
      </c>
      <c r="F35" t="s">
        <v>12</v>
      </c>
      <c r="G35" s="16">
        <v>47360</v>
      </c>
      <c r="H35" t="s">
        <v>204</v>
      </c>
      <c r="I35" s="6">
        <f ca="1">(TODAY()-staff[[#This Row],[Date Joined]])/365</f>
        <v>3.3150684931506849</v>
      </c>
      <c r="J35" s="16">
        <f ca="1">ROUNDUP(IF(staff[[#This Row],[tenure]]&gt;2,3%,2%)*staff[[#This Row],[Salary]],0)</f>
        <v>1421</v>
      </c>
      <c r="K35" s="5">
        <f>_xlfn.XLOOKUP(staff[[#This Row],[Rating]],Table5[Column1],Table5[Column2])</f>
        <v>3</v>
      </c>
      <c r="N35" t="str">
        <f ca="1"/>
        <v>Damayanti Thangavadivelu</v>
      </c>
      <c r="O35" t="str">
        <f ca="1"/>
        <v>Male</v>
      </c>
      <c r="P35">
        <f ca="1"/>
        <v>25</v>
      </c>
      <c r="Q35" t="str">
        <f ca="1"/>
        <v>Above average</v>
      </c>
      <c r="R35" s="4">
        <f ca="1"/>
        <v>44665</v>
      </c>
      <c r="S35" s="3" t="str">
        <f ca="1"/>
        <v>Procurement</v>
      </c>
      <c r="T35">
        <f ca="1"/>
        <v>109190</v>
      </c>
      <c r="U35" t="str">
        <f ca="1"/>
        <v>ind</v>
      </c>
      <c r="V35" s="6">
        <f ca="1"/>
        <v>1.9424657534246574</v>
      </c>
      <c r="W35">
        <f ca="1"/>
        <v>2184</v>
      </c>
      <c r="X35">
        <f ca="1"/>
        <v>4</v>
      </c>
    </row>
    <row r="36" spans="1:24" x14ac:dyDescent="0.3">
      <c r="A36" t="s">
        <v>141</v>
      </c>
      <c r="B36" t="s">
        <v>15</v>
      </c>
      <c r="C36">
        <v>21</v>
      </c>
      <c r="D36" t="s">
        <v>13</v>
      </c>
      <c r="E36" s="4">
        <v>44256</v>
      </c>
      <c r="F36" t="s">
        <v>17</v>
      </c>
      <c r="G36" s="16">
        <v>65920</v>
      </c>
      <c r="H36" t="s">
        <v>204</v>
      </c>
      <c r="I36" s="6">
        <f ca="1">(TODAY()-staff[[#This Row],[Date Joined]])/365</f>
        <v>3.0630136986301371</v>
      </c>
      <c r="J36" s="16">
        <f ca="1">ROUNDUP(IF(staff[[#This Row],[tenure]]&gt;2,3%,2%)*staff[[#This Row],[Salary]],0)</f>
        <v>1978</v>
      </c>
      <c r="K36" s="5">
        <f>_xlfn.XLOOKUP(staff[[#This Row],[Rating]],Table5[Column1],Table5[Column2])</f>
        <v>3</v>
      </c>
      <c r="N36" t="str">
        <f ca="1"/>
        <v>Akbar Sorabhjee</v>
      </c>
      <c r="O36" t="str">
        <f ca="1"/>
        <v>Male</v>
      </c>
      <c r="P36">
        <f ca="1"/>
        <v>21</v>
      </c>
      <c r="Q36" t="str">
        <f ca="1"/>
        <v>Average</v>
      </c>
      <c r="R36" s="4">
        <f ca="1"/>
        <v>44042</v>
      </c>
      <c r="S36" s="3" t="str">
        <f ca="1"/>
        <v>Procurement</v>
      </c>
      <c r="T36">
        <f ca="1"/>
        <v>37920</v>
      </c>
      <c r="U36" t="str">
        <f ca="1"/>
        <v>ind</v>
      </c>
      <c r="V36" s="6">
        <f ca="1"/>
        <v>3.6493150684931508</v>
      </c>
      <c r="W36">
        <f ca="1"/>
        <v>1138</v>
      </c>
      <c r="X36">
        <f ca="1"/>
        <v>3</v>
      </c>
    </row>
    <row r="37" spans="1:24" x14ac:dyDescent="0.3">
      <c r="A37" t="s">
        <v>142</v>
      </c>
      <c r="B37" t="s">
        <v>15</v>
      </c>
      <c r="C37">
        <v>28</v>
      </c>
      <c r="D37" t="s">
        <v>13</v>
      </c>
      <c r="E37" s="4">
        <v>44571</v>
      </c>
      <c r="F37" t="s">
        <v>12</v>
      </c>
      <c r="G37" s="16">
        <v>99970</v>
      </c>
      <c r="H37" t="s">
        <v>204</v>
      </c>
      <c r="I37" s="6">
        <f ca="1">(TODAY()-staff[[#This Row],[Date Joined]])/365</f>
        <v>2.2000000000000002</v>
      </c>
      <c r="J37" s="16">
        <f ca="1">ROUNDUP(IF(staff[[#This Row],[tenure]]&gt;2,3%,2%)*staff[[#This Row],[Salary]],0)</f>
        <v>3000</v>
      </c>
      <c r="K37" s="5">
        <f>_xlfn.XLOOKUP(staff[[#This Row],[Rating]],Table5[Column1],Table5[Column2])</f>
        <v>3</v>
      </c>
      <c r="N37" t="str">
        <f ca="1"/>
        <v>Bandhula Sathyanna</v>
      </c>
      <c r="O37" t="str">
        <f ca="1"/>
        <v>Male</v>
      </c>
      <c r="P37">
        <f ca="1"/>
        <v>34</v>
      </c>
      <c r="Q37" t="str">
        <f ca="1"/>
        <v>Average</v>
      </c>
      <c r="R37" s="4">
        <f ca="1"/>
        <v>44642</v>
      </c>
      <c r="S37" s="3" t="str">
        <f ca="1"/>
        <v>Procurement</v>
      </c>
      <c r="T37">
        <f ca="1"/>
        <v>112650</v>
      </c>
      <c r="U37" t="str">
        <f ca="1"/>
        <v>ind</v>
      </c>
      <c r="V37" s="6">
        <f ca="1"/>
        <v>2.0054794520547947</v>
      </c>
      <c r="W37">
        <f ca="1"/>
        <v>3380</v>
      </c>
      <c r="X37">
        <f ca="1"/>
        <v>3</v>
      </c>
    </row>
    <row r="38" spans="1:24" x14ac:dyDescent="0.3">
      <c r="A38" t="s">
        <v>143</v>
      </c>
      <c r="B38" t="s">
        <v>15</v>
      </c>
      <c r="C38">
        <v>25</v>
      </c>
      <c r="D38" t="s">
        <v>10</v>
      </c>
      <c r="E38" s="4">
        <v>44633</v>
      </c>
      <c r="F38" t="s">
        <v>23</v>
      </c>
      <c r="G38" s="16">
        <v>80700</v>
      </c>
      <c r="H38" t="s">
        <v>204</v>
      </c>
      <c r="I38" s="6">
        <f ca="1">(TODAY()-staff[[#This Row],[Date Joined]])/365</f>
        <v>2.0301369863013701</v>
      </c>
      <c r="J38" s="16">
        <f ca="1">ROUNDUP(IF(staff[[#This Row],[tenure]]&gt;2,3%,2%)*staff[[#This Row],[Salary]],0)</f>
        <v>2421</v>
      </c>
      <c r="K38" s="5">
        <f>_xlfn.XLOOKUP(staff[[#This Row],[Rating]],Table5[Column1],Table5[Column2])</f>
        <v>4</v>
      </c>
      <c r="N38" t="str">
        <f ca="1"/>
        <v>Udyan Lanka</v>
      </c>
      <c r="O38" t="str">
        <f ca="1"/>
        <v>Male</v>
      </c>
      <c r="P38">
        <f ca="1"/>
        <v>20</v>
      </c>
      <c r="Q38" t="str">
        <f ca="1"/>
        <v>Average</v>
      </c>
      <c r="R38" s="4">
        <f ca="1"/>
        <v>44683</v>
      </c>
      <c r="S38" s="3" t="str">
        <f ca="1"/>
        <v>Procurement</v>
      </c>
      <c r="T38">
        <f ca="1"/>
        <v>79570</v>
      </c>
      <c r="U38" t="str">
        <f ca="1"/>
        <v>ind</v>
      </c>
      <c r="V38" s="6">
        <f ca="1"/>
        <v>1.893150684931507</v>
      </c>
      <c r="W38">
        <f ca="1"/>
        <v>1592</v>
      </c>
      <c r="X38">
        <f ca="1"/>
        <v>3</v>
      </c>
    </row>
    <row r="39" spans="1:24" x14ac:dyDescent="0.3">
      <c r="A39" t="s">
        <v>144</v>
      </c>
      <c r="B39" t="s">
        <v>8</v>
      </c>
      <c r="C39">
        <v>24</v>
      </c>
      <c r="D39" t="s">
        <v>18</v>
      </c>
      <c r="E39" s="4">
        <v>44375</v>
      </c>
      <c r="F39" t="s">
        <v>17</v>
      </c>
      <c r="G39" s="16">
        <v>52610</v>
      </c>
      <c r="H39" t="s">
        <v>204</v>
      </c>
      <c r="I39" s="6">
        <f ca="1">(TODAY()-staff[[#This Row],[Date Joined]])/365</f>
        <v>2.7369863013698632</v>
      </c>
      <c r="J39" s="16">
        <f ca="1">ROUNDUP(IF(staff[[#This Row],[tenure]]&gt;2,3%,2%)*staff[[#This Row],[Salary]],0)</f>
        <v>1579</v>
      </c>
      <c r="K39" s="5">
        <f>_xlfn.XLOOKUP(staff[[#This Row],[Rating]],Table5[Column1],Table5[Column2])</f>
        <v>2</v>
      </c>
      <c r="N39" t="str">
        <f ca="1"/>
        <v>Shreela Ramasubraman</v>
      </c>
      <c r="O39" t="str">
        <f ca="1"/>
        <v>Female</v>
      </c>
      <c r="P39">
        <f ca="1"/>
        <v>22</v>
      </c>
      <c r="Q39" t="str">
        <f ca="1"/>
        <v>Above average</v>
      </c>
      <c r="R39" s="4">
        <f ca="1"/>
        <v>44388</v>
      </c>
      <c r="S39" s="3" t="str">
        <f ca="1"/>
        <v>Procurement</v>
      </c>
      <c r="T39">
        <f ca="1"/>
        <v>76900</v>
      </c>
      <c r="U39" t="str">
        <f ca="1"/>
        <v>ind</v>
      </c>
      <c r="V39" s="6">
        <f ca="1"/>
        <v>2.7013698630136984</v>
      </c>
      <c r="W39">
        <f ca="1"/>
        <v>2307</v>
      </c>
      <c r="X39">
        <f ca="1"/>
        <v>4</v>
      </c>
    </row>
    <row r="40" spans="1:24" x14ac:dyDescent="0.3">
      <c r="A40" t="s">
        <v>145</v>
      </c>
      <c r="B40" t="s">
        <v>8</v>
      </c>
      <c r="C40">
        <v>29</v>
      </c>
      <c r="D40" t="s">
        <v>18</v>
      </c>
      <c r="E40" s="4">
        <v>44119</v>
      </c>
      <c r="F40" t="s">
        <v>23</v>
      </c>
      <c r="G40" s="16">
        <v>112110</v>
      </c>
      <c r="H40" t="s">
        <v>204</v>
      </c>
      <c r="I40" s="6">
        <f ca="1">(TODAY()-staff[[#This Row],[Date Joined]])/365</f>
        <v>3.4383561643835616</v>
      </c>
      <c r="J40" s="16">
        <f ca="1">ROUNDUP(IF(staff[[#This Row],[tenure]]&gt;2,3%,2%)*staff[[#This Row],[Salary]],0)</f>
        <v>3364</v>
      </c>
      <c r="K40" s="5">
        <f>_xlfn.XLOOKUP(staff[[#This Row],[Rating]],Table5[Column1],Table5[Column2])</f>
        <v>2</v>
      </c>
      <c r="N40" t="str">
        <f ca="1"/>
        <v>Nanak Sapna</v>
      </c>
      <c r="O40" t="str">
        <f ca="1"/>
        <v>Female</v>
      </c>
      <c r="P40">
        <f ca="1"/>
        <v>42</v>
      </c>
      <c r="Q40" t="str">
        <f ca="1"/>
        <v>Exceptional</v>
      </c>
      <c r="R40" s="4">
        <f ca="1"/>
        <v>44718</v>
      </c>
      <c r="S40" s="3" t="str">
        <f ca="1"/>
        <v>Procurement</v>
      </c>
      <c r="T40">
        <f ca="1"/>
        <v>75000</v>
      </c>
      <c r="U40" t="str">
        <f ca="1"/>
        <v>ind</v>
      </c>
      <c r="V40" s="6">
        <f ca="1"/>
        <v>1.7972602739726027</v>
      </c>
      <c r="W40">
        <f ca="1"/>
        <v>1500</v>
      </c>
      <c r="X40">
        <f ca="1"/>
        <v>5</v>
      </c>
    </row>
    <row r="41" spans="1:24" x14ac:dyDescent="0.3">
      <c r="A41" t="s">
        <v>146</v>
      </c>
      <c r="B41" t="s">
        <v>15</v>
      </c>
      <c r="C41">
        <v>27</v>
      </c>
      <c r="D41" t="s">
        <v>13</v>
      </c>
      <c r="E41" s="4">
        <v>44061</v>
      </c>
      <c r="F41" t="s">
        <v>26</v>
      </c>
      <c r="G41" s="16">
        <v>119110</v>
      </c>
      <c r="H41" t="s">
        <v>204</v>
      </c>
      <c r="I41" s="6">
        <f ca="1">(TODAY()-staff[[#This Row],[Date Joined]])/365</f>
        <v>3.5972602739726027</v>
      </c>
      <c r="J41" s="16">
        <f ca="1">ROUNDUP(IF(staff[[#This Row],[tenure]]&gt;2,3%,2%)*staff[[#This Row],[Salary]],0)</f>
        <v>3574</v>
      </c>
      <c r="K41" s="5">
        <f>_xlfn.XLOOKUP(staff[[#This Row],[Rating]],Table5[Column1],Table5[Column2])</f>
        <v>3</v>
      </c>
      <c r="N41" t="str">
        <f ca="1"/>
        <v>Shobhana Samuel</v>
      </c>
      <c r="O41" t="str">
        <f ca="1"/>
        <v>Male</v>
      </c>
      <c r="P41">
        <f ca="1"/>
        <v>35</v>
      </c>
      <c r="Q41" t="str">
        <f ca="1"/>
        <v>Average</v>
      </c>
      <c r="R41" s="4">
        <f ca="1"/>
        <v>44666</v>
      </c>
      <c r="S41" s="3" t="str">
        <f ca="1"/>
        <v>Procurement</v>
      </c>
      <c r="T41">
        <f ca="1"/>
        <v>40400</v>
      </c>
      <c r="U41" t="str">
        <f ca="1"/>
        <v>ind</v>
      </c>
      <c r="V41" s="6">
        <f ca="1"/>
        <v>1.9397260273972603</v>
      </c>
      <c r="W41">
        <f ca="1"/>
        <v>808</v>
      </c>
      <c r="X41">
        <f ca="1"/>
        <v>3</v>
      </c>
    </row>
    <row r="42" spans="1:24" x14ac:dyDescent="0.3">
      <c r="A42" t="s">
        <v>147</v>
      </c>
      <c r="B42" t="s">
        <v>8</v>
      </c>
      <c r="C42">
        <v>22</v>
      </c>
      <c r="D42" t="s">
        <v>10</v>
      </c>
      <c r="E42" s="4">
        <v>44384</v>
      </c>
      <c r="F42" t="s">
        <v>9</v>
      </c>
      <c r="G42" s="16">
        <v>112780</v>
      </c>
      <c r="H42" t="s">
        <v>204</v>
      </c>
      <c r="I42" s="6">
        <f ca="1">(TODAY()-staff[[#This Row],[Date Joined]])/365</f>
        <v>2.7123287671232879</v>
      </c>
      <c r="J42" s="16">
        <f ca="1">ROUNDUP(IF(staff[[#This Row],[tenure]]&gt;2,3%,2%)*staff[[#This Row],[Salary]],0)</f>
        <v>3384</v>
      </c>
      <c r="K42" s="5">
        <f>_xlfn.XLOOKUP(staff[[#This Row],[Rating]],Table5[Column1],Table5[Column2])</f>
        <v>4</v>
      </c>
      <c r="N42" t="str">
        <f ca="1"/>
        <v>Prerana Nishita</v>
      </c>
      <c r="O42" t="str">
        <f ca="1"/>
        <v>Female</v>
      </c>
      <c r="P42">
        <f ca="1"/>
        <v>32</v>
      </c>
      <c r="Q42" t="str">
        <f ca="1"/>
        <v>Average</v>
      </c>
      <c r="R42" s="4">
        <f ca="1"/>
        <v>44549</v>
      </c>
      <c r="S42" s="3" t="str">
        <f ca="1"/>
        <v>Procurement</v>
      </c>
      <c r="T42">
        <f ca="1"/>
        <v>41570</v>
      </c>
      <c r="U42" t="str">
        <f ca="1"/>
        <v>ind</v>
      </c>
      <c r="V42" s="6">
        <f ca="1"/>
        <v>2.2602739726027399</v>
      </c>
      <c r="W42">
        <f ca="1"/>
        <v>1248</v>
      </c>
      <c r="X42">
        <f ca="1"/>
        <v>3</v>
      </c>
    </row>
    <row r="43" spans="1:24" x14ac:dyDescent="0.3">
      <c r="A43" t="s">
        <v>148</v>
      </c>
      <c r="B43" t="s">
        <v>15</v>
      </c>
      <c r="C43">
        <v>36</v>
      </c>
      <c r="D43" t="s">
        <v>13</v>
      </c>
      <c r="E43" s="4">
        <v>44023</v>
      </c>
      <c r="F43" t="s">
        <v>12</v>
      </c>
      <c r="G43" s="16">
        <v>114890</v>
      </c>
      <c r="H43" t="s">
        <v>204</v>
      </c>
      <c r="I43" s="6">
        <f ca="1">(TODAY()-staff[[#This Row],[Date Joined]])/365</f>
        <v>3.7013698630136984</v>
      </c>
      <c r="J43" s="16">
        <f ca="1">ROUNDUP(IF(staff[[#This Row],[tenure]]&gt;2,3%,2%)*staff[[#This Row],[Salary]],0)</f>
        <v>3447</v>
      </c>
      <c r="K43" s="5">
        <f>_xlfn.XLOOKUP(staff[[#This Row],[Rating]],Table5[Column1],Table5[Column2])</f>
        <v>3</v>
      </c>
      <c r="N43" t="str">
        <f ca="1"/>
        <v>Makshi Vinutha</v>
      </c>
      <c r="O43" t="str">
        <f ca="1"/>
        <v>Female</v>
      </c>
      <c r="P43">
        <f ca="1"/>
        <v>30</v>
      </c>
      <c r="Q43" t="str">
        <f ca="1"/>
        <v>Average</v>
      </c>
      <c r="R43" s="4">
        <f ca="1"/>
        <v>44800</v>
      </c>
      <c r="S43" s="3" t="str">
        <f ca="1"/>
        <v>Procurement</v>
      </c>
      <c r="T43">
        <f ca="1"/>
        <v>112570</v>
      </c>
      <c r="U43" t="str">
        <f ca="1"/>
        <v>ind</v>
      </c>
      <c r="V43" s="6">
        <f ca="1"/>
        <v>1.5726027397260274</v>
      </c>
      <c r="W43">
        <f ca="1"/>
        <v>2252</v>
      </c>
      <c r="X43">
        <f ca="1"/>
        <v>3</v>
      </c>
    </row>
    <row r="44" spans="1:24" x14ac:dyDescent="0.3">
      <c r="A44" t="s">
        <v>149</v>
      </c>
      <c r="B44" t="s">
        <v>8</v>
      </c>
      <c r="C44">
        <v>27</v>
      </c>
      <c r="D44" t="s">
        <v>13</v>
      </c>
      <c r="E44" s="4">
        <v>44506</v>
      </c>
      <c r="F44" t="s">
        <v>17</v>
      </c>
      <c r="G44" s="16">
        <v>48980</v>
      </c>
      <c r="H44" t="s">
        <v>204</v>
      </c>
      <c r="I44" s="6">
        <f ca="1">(TODAY()-staff[[#This Row],[Date Joined]])/365</f>
        <v>2.3780821917808219</v>
      </c>
      <c r="J44" s="16">
        <f ca="1">ROUNDUP(IF(staff[[#This Row],[tenure]]&gt;2,3%,2%)*staff[[#This Row],[Salary]],0)</f>
        <v>1470</v>
      </c>
      <c r="K44" s="5">
        <f>_xlfn.XLOOKUP(staff[[#This Row],[Rating]],Table5[Column1],Table5[Column2])</f>
        <v>3</v>
      </c>
      <c r="N44" t="str">
        <f ca="1"/>
        <v>Shiuli Sapna</v>
      </c>
      <c r="O44" t="str">
        <f ca="1"/>
        <v>Male</v>
      </c>
      <c r="P44">
        <f ca="1"/>
        <v>26</v>
      </c>
      <c r="Q44" t="str">
        <f ca="1"/>
        <v>Average</v>
      </c>
      <c r="R44" s="4">
        <f ca="1"/>
        <v>44164</v>
      </c>
      <c r="S44" s="3" t="str">
        <f ca="1"/>
        <v>Procurement</v>
      </c>
      <c r="T44">
        <f ca="1"/>
        <v>47360</v>
      </c>
      <c r="U44" t="str">
        <f ca="1"/>
        <v>ind</v>
      </c>
      <c r="V44" s="6">
        <f ca="1"/>
        <v>3.3150684931506849</v>
      </c>
      <c r="W44">
        <f ca="1"/>
        <v>1421</v>
      </c>
      <c r="X44">
        <f ca="1"/>
        <v>3</v>
      </c>
    </row>
    <row r="45" spans="1:24" x14ac:dyDescent="0.3">
      <c r="A45" t="s">
        <v>150</v>
      </c>
      <c r="B45" t="s">
        <v>8</v>
      </c>
      <c r="C45">
        <v>21</v>
      </c>
      <c r="D45" t="s">
        <v>13</v>
      </c>
      <c r="E45" s="4">
        <v>44180</v>
      </c>
      <c r="F45" t="s">
        <v>26</v>
      </c>
      <c r="G45" s="16">
        <v>75880</v>
      </c>
      <c r="H45" t="s">
        <v>204</v>
      </c>
      <c r="I45" s="6">
        <f ca="1">(TODAY()-staff[[#This Row],[Date Joined]])/365</f>
        <v>3.2712328767123289</v>
      </c>
      <c r="J45" s="16">
        <f ca="1">ROUNDUP(IF(staff[[#This Row],[tenure]]&gt;2,3%,2%)*staff[[#This Row],[Salary]],0)</f>
        <v>2277</v>
      </c>
      <c r="K45" s="5">
        <f>_xlfn.XLOOKUP(staff[[#This Row],[Rating]],Table5[Column1],Table5[Column2])</f>
        <v>3</v>
      </c>
      <c r="N45" t="str">
        <f ca="1"/>
        <v>Vasu Nandin</v>
      </c>
      <c r="O45" t="str">
        <f ca="1"/>
        <v>Female</v>
      </c>
      <c r="P45">
        <f ca="1"/>
        <v>28</v>
      </c>
      <c r="Q45" t="str">
        <f ca="1"/>
        <v>Average</v>
      </c>
      <c r="R45" s="4">
        <f ca="1"/>
        <v>44571</v>
      </c>
      <c r="S45" s="3" t="str">
        <f ca="1"/>
        <v>Procurement</v>
      </c>
      <c r="T45">
        <f ca="1"/>
        <v>99970</v>
      </c>
      <c r="U45" t="str">
        <f ca="1"/>
        <v>ind</v>
      </c>
      <c r="V45" s="6">
        <f ca="1"/>
        <v>2.2000000000000002</v>
      </c>
      <c r="W45">
        <f ca="1"/>
        <v>3000</v>
      </c>
      <c r="X45">
        <f ca="1"/>
        <v>3</v>
      </c>
    </row>
    <row r="46" spans="1:24" x14ac:dyDescent="0.3">
      <c r="A46" t="s">
        <v>151</v>
      </c>
      <c r="B46" t="s">
        <v>15</v>
      </c>
      <c r="C46">
        <v>28</v>
      </c>
      <c r="D46" t="s">
        <v>13</v>
      </c>
      <c r="E46" s="4">
        <v>44296</v>
      </c>
      <c r="F46" t="s">
        <v>9</v>
      </c>
      <c r="G46" s="16">
        <v>53240</v>
      </c>
      <c r="H46" t="s">
        <v>204</v>
      </c>
      <c r="I46" s="6">
        <f ca="1">(TODAY()-staff[[#This Row],[Date Joined]])/365</f>
        <v>2.9534246575342467</v>
      </c>
      <c r="J46" s="16">
        <f ca="1">ROUNDUP(IF(staff[[#This Row],[tenure]]&gt;2,3%,2%)*staff[[#This Row],[Salary]],0)</f>
        <v>1598</v>
      </c>
      <c r="K46" s="5">
        <f>_xlfn.XLOOKUP(staff[[#This Row],[Rating]],Table5[Column1],Table5[Column2])</f>
        <v>3</v>
      </c>
      <c r="N46" t="str">
        <f ca="1"/>
        <v>Dhruv Manjunath</v>
      </c>
      <c r="O46" t="str">
        <f ca="1"/>
        <v>Female</v>
      </c>
      <c r="P46">
        <f ca="1"/>
        <v>36</v>
      </c>
      <c r="Q46" t="str">
        <f ca="1"/>
        <v>Average</v>
      </c>
      <c r="R46" s="4">
        <f ca="1"/>
        <v>44023</v>
      </c>
      <c r="S46" s="3" t="str">
        <f ca="1"/>
        <v>Procurement</v>
      </c>
      <c r="T46">
        <f ca="1"/>
        <v>114890</v>
      </c>
      <c r="U46" t="str">
        <f ca="1"/>
        <v>ind</v>
      </c>
      <c r="V46" s="6">
        <f ca="1"/>
        <v>3.7013698630136984</v>
      </c>
      <c r="W46">
        <f ca="1"/>
        <v>3447</v>
      </c>
      <c r="X46">
        <f ca="1"/>
        <v>3</v>
      </c>
    </row>
    <row r="47" spans="1:24" x14ac:dyDescent="0.3">
      <c r="A47" t="s">
        <v>152</v>
      </c>
      <c r="B47" t="s">
        <v>15</v>
      </c>
      <c r="C47">
        <v>34</v>
      </c>
      <c r="D47" t="s">
        <v>13</v>
      </c>
      <c r="E47" s="4">
        <v>44397</v>
      </c>
      <c r="F47" t="s">
        <v>17</v>
      </c>
      <c r="G47" s="16">
        <v>85000</v>
      </c>
      <c r="H47" t="s">
        <v>204</v>
      </c>
      <c r="I47" s="6">
        <f ca="1">(TODAY()-staff[[#This Row],[Date Joined]])/365</f>
        <v>2.6767123287671235</v>
      </c>
      <c r="J47" s="16">
        <f ca="1">ROUNDUP(IF(staff[[#This Row],[tenure]]&gt;2,3%,2%)*staff[[#This Row],[Salary]],0)</f>
        <v>2550</v>
      </c>
      <c r="K47" s="5">
        <f>_xlfn.XLOOKUP(staff[[#This Row],[Rating]],Table5[Column1],Table5[Column2])</f>
        <v>3</v>
      </c>
      <c r="N47" t="str">
        <f ca="1"/>
        <v>Shevantilal Muppala</v>
      </c>
      <c r="O47" t="str">
        <f ca="1"/>
        <v>Female</v>
      </c>
      <c r="P47">
        <f ca="1"/>
        <v>28</v>
      </c>
      <c r="Q47" t="str">
        <f ca="1"/>
        <v>Average</v>
      </c>
      <c r="R47" s="4">
        <f ca="1"/>
        <v>44425</v>
      </c>
      <c r="S47" s="3" t="str">
        <f ca="1"/>
        <v>Procurement</v>
      </c>
      <c r="T47">
        <f ca="1"/>
        <v>104770</v>
      </c>
      <c r="U47" t="str">
        <f ca="1"/>
        <v>ind</v>
      </c>
      <c r="V47" s="6">
        <f ca="1"/>
        <v>2.6</v>
      </c>
      <c r="W47">
        <f ca="1"/>
        <v>3144</v>
      </c>
      <c r="X47">
        <f ca="1"/>
        <v>3</v>
      </c>
    </row>
    <row r="48" spans="1:24" x14ac:dyDescent="0.3">
      <c r="A48" t="s">
        <v>153</v>
      </c>
      <c r="B48" t="s">
        <v>15</v>
      </c>
      <c r="C48">
        <v>21</v>
      </c>
      <c r="D48" t="s">
        <v>13</v>
      </c>
      <c r="E48" s="4">
        <v>44619</v>
      </c>
      <c r="F48" t="s">
        <v>23</v>
      </c>
      <c r="G48" s="16">
        <v>33920</v>
      </c>
      <c r="H48" t="s">
        <v>204</v>
      </c>
      <c r="I48" s="6">
        <f ca="1">(TODAY()-staff[[#This Row],[Date Joined]])/365</f>
        <v>2.0684931506849313</v>
      </c>
      <c r="J48" s="16">
        <f ca="1">ROUNDUP(IF(staff[[#This Row],[tenure]]&gt;2,3%,2%)*staff[[#This Row],[Salary]],0)</f>
        <v>1018</v>
      </c>
      <c r="K48" s="5">
        <f>_xlfn.XLOOKUP(staff[[#This Row],[Rating]],Table5[Column1],Table5[Column2])</f>
        <v>3</v>
      </c>
      <c r="N48" t="str">
        <f ca="1"/>
        <v>Shattesh Utpat</v>
      </c>
      <c r="O48" t="str">
        <f ca="1"/>
        <v>Male</v>
      </c>
      <c r="P48">
        <f ca="1"/>
        <v>21</v>
      </c>
      <c r="Q48" t="str">
        <f ca="1"/>
        <v>Average</v>
      </c>
      <c r="R48" s="4">
        <f ca="1"/>
        <v>44701</v>
      </c>
      <c r="S48" s="3" t="str">
        <f ca="1"/>
        <v>Procurement</v>
      </c>
      <c r="T48">
        <f ca="1"/>
        <v>57090</v>
      </c>
      <c r="U48" t="str">
        <f ca="1"/>
        <v>ind</v>
      </c>
      <c r="V48" s="6">
        <f ca="1"/>
        <v>1.8438356164383563</v>
      </c>
      <c r="W48">
        <f ca="1"/>
        <v>1142</v>
      </c>
      <c r="X48">
        <f ca="1"/>
        <v>3</v>
      </c>
    </row>
    <row r="49" spans="1:24" x14ac:dyDescent="0.3">
      <c r="A49" t="s">
        <v>154</v>
      </c>
      <c r="B49" t="s">
        <v>15</v>
      </c>
      <c r="C49">
        <v>33</v>
      </c>
      <c r="D49" t="s">
        <v>13</v>
      </c>
      <c r="E49" s="4">
        <v>44253</v>
      </c>
      <c r="F49" t="s">
        <v>23</v>
      </c>
      <c r="G49" s="16">
        <v>75280</v>
      </c>
      <c r="H49" t="s">
        <v>204</v>
      </c>
      <c r="I49" s="6">
        <f ca="1">(TODAY()-staff[[#This Row],[Date Joined]])/365</f>
        <v>3.0712328767123287</v>
      </c>
      <c r="J49" s="16">
        <f ca="1">ROUNDUP(IF(staff[[#This Row],[tenure]]&gt;2,3%,2%)*staff[[#This Row],[Salary]],0)</f>
        <v>2259</v>
      </c>
      <c r="K49" s="5">
        <f>_xlfn.XLOOKUP(staff[[#This Row],[Rating]],Table5[Column1],Table5[Column2])</f>
        <v>3</v>
      </c>
      <c r="N49" t="str">
        <f ca="1"/>
        <v>Mardav Ramaswami</v>
      </c>
      <c r="O49" t="str">
        <f ca="1"/>
        <v>Male</v>
      </c>
      <c r="P49">
        <f ca="1"/>
        <v>30</v>
      </c>
      <c r="Q49" t="str">
        <f ca="1"/>
        <v>Average</v>
      </c>
      <c r="R49" s="4">
        <f ca="1"/>
        <v>44607</v>
      </c>
      <c r="S49" s="3" t="str">
        <f ca="1"/>
        <v>Procurement</v>
      </c>
      <c r="T49">
        <f ca="1"/>
        <v>60570</v>
      </c>
      <c r="U49" t="str">
        <f ca="1"/>
        <v>ind</v>
      </c>
      <c r="V49" s="6">
        <f ca="1"/>
        <v>2.1013698630136988</v>
      </c>
      <c r="W49">
        <f ca="1"/>
        <v>1818</v>
      </c>
      <c r="X49">
        <f ca="1"/>
        <v>3</v>
      </c>
    </row>
    <row r="50" spans="1:24" x14ac:dyDescent="0.3">
      <c r="A50" t="s">
        <v>155</v>
      </c>
      <c r="B50" t="s">
        <v>15</v>
      </c>
      <c r="C50">
        <v>34</v>
      </c>
      <c r="D50" t="s">
        <v>13</v>
      </c>
      <c r="E50" s="4">
        <v>44594</v>
      </c>
      <c r="F50" t="s">
        <v>17</v>
      </c>
      <c r="G50" s="16">
        <v>58940</v>
      </c>
      <c r="H50" t="s">
        <v>204</v>
      </c>
      <c r="I50" s="6">
        <f ca="1">(TODAY()-staff[[#This Row],[Date Joined]])/365</f>
        <v>2.1369863013698631</v>
      </c>
      <c r="J50" s="16">
        <f ca="1">ROUNDUP(IF(staff[[#This Row],[tenure]]&gt;2,3%,2%)*staff[[#This Row],[Salary]],0)</f>
        <v>1769</v>
      </c>
      <c r="K50" s="5">
        <f>_xlfn.XLOOKUP(staff[[#This Row],[Rating]],Table5[Column1],Table5[Column2])</f>
        <v>3</v>
      </c>
      <c r="N50" t="str">
        <f ca="1"/>
        <v>Sarayu Ragunathan</v>
      </c>
      <c r="O50" t="str">
        <f ca="1"/>
        <v>Male</v>
      </c>
      <c r="P50">
        <f ca="1"/>
        <v>33</v>
      </c>
      <c r="Q50" t="str">
        <f ca="1"/>
        <v>Average</v>
      </c>
      <c r="R50" s="4">
        <f ca="1"/>
        <v>44103</v>
      </c>
      <c r="S50" s="3" t="str">
        <f ca="1"/>
        <v>Procurement</v>
      </c>
      <c r="T50">
        <f ca="1"/>
        <v>115920</v>
      </c>
      <c r="U50" t="str">
        <f ca="1"/>
        <v>ind</v>
      </c>
      <c r="V50" s="6">
        <f ca="1"/>
        <v>3.4821917808219176</v>
      </c>
      <c r="W50">
        <f ca="1"/>
        <v>3478</v>
      </c>
      <c r="X50">
        <f ca="1"/>
        <v>3</v>
      </c>
    </row>
    <row r="51" spans="1:24" x14ac:dyDescent="0.3">
      <c r="A51" t="s">
        <v>156</v>
      </c>
      <c r="B51" t="s">
        <v>15</v>
      </c>
      <c r="C51">
        <v>28</v>
      </c>
      <c r="D51" t="s">
        <v>13</v>
      </c>
      <c r="E51" s="4">
        <v>44425</v>
      </c>
      <c r="F51" t="s">
        <v>12</v>
      </c>
      <c r="G51" s="16">
        <v>104770</v>
      </c>
      <c r="H51" t="s">
        <v>204</v>
      </c>
      <c r="I51" s="6">
        <f ca="1">(TODAY()-staff[[#This Row],[Date Joined]])/365</f>
        <v>2.6</v>
      </c>
      <c r="J51" s="16">
        <f ca="1">ROUNDUP(IF(staff[[#This Row],[tenure]]&gt;2,3%,2%)*staff[[#This Row],[Salary]],0)</f>
        <v>3144</v>
      </c>
      <c r="K51" s="5">
        <f>_xlfn.XLOOKUP(staff[[#This Row],[Rating]],Table5[Column1],Table5[Column2])</f>
        <v>3</v>
      </c>
      <c r="N51" t="str">
        <f ca="1"/>
        <v>Baruna Ogale</v>
      </c>
      <c r="O51" t="str">
        <f ca="1"/>
        <v>Male</v>
      </c>
      <c r="P51">
        <f ca="1"/>
        <v>40</v>
      </c>
      <c r="Q51" t="str">
        <f ca="1"/>
        <v>Average</v>
      </c>
      <c r="R51" s="4">
        <f ca="1"/>
        <v>44204</v>
      </c>
      <c r="S51" s="3" t="str">
        <f ca="1"/>
        <v>Procurement</v>
      </c>
      <c r="T51">
        <f ca="1"/>
        <v>99750</v>
      </c>
      <c r="U51" t="str">
        <f ca="1"/>
        <v>ind</v>
      </c>
      <c r="V51" s="6">
        <f ca="1"/>
        <v>3.2054794520547945</v>
      </c>
      <c r="W51">
        <f ca="1"/>
        <v>2993</v>
      </c>
      <c r="X51">
        <f ca="1"/>
        <v>3</v>
      </c>
    </row>
    <row r="52" spans="1:24" x14ac:dyDescent="0.3">
      <c r="A52" t="s">
        <v>157</v>
      </c>
      <c r="B52" t="s">
        <v>8</v>
      </c>
      <c r="C52">
        <v>21</v>
      </c>
      <c r="D52" t="s">
        <v>13</v>
      </c>
      <c r="E52" s="4">
        <v>44701</v>
      </c>
      <c r="F52" t="s">
        <v>12</v>
      </c>
      <c r="G52" s="16">
        <v>57090</v>
      </c>
      <c r="H52" t="s">
        <v>204</v>
      </c>
      <c r="I52" s="6">
        <f ca="1">(TODAY()-staff[[#This Row],[Date Joined]])/365</f>
        <v>1.8438356164383563</v>
      </c>
      <c r="J52" s="16">
        <f ca="1">ROUNDUP(IF(staff[[#This Row],[tenure]]&gt;2,3%,2%)*staff[[#This Row],[Salary]],0)</f>
        <v>1142</v>
      </c>
      <c r="K52" s="5">
        <f>_xlfn.XLOOKUP(staff[[#This Row],[Rating]],Table5[Column1],Table5[Column2])</f>
        <v>3</v>
      </c>
      <c r="N52" t="str">
        <f ca="1"/>
        <v>Ilesh Dasgupta</v>
      </c>
      <c r="O52" t="str">
        <f ca="1"/>
        <v>Male</v>
      </c>
      <c r="P52">
        <f ca="1"/>
        <v>27</v>
      </c>
      <c r="Q52" t="str">
        <f ca="1"/>
        <v>Very poor</v>
      </c>
      <c r="R52" s="4">
        <f ca="1"/>
        <v>44547</v>
      </c>
      <c r="S52" s="3" t="str">
        <f ca="1"/>
        <v>Procurement</v>
      </c>
      <c r="T52">
        <f ca="1"/>
        <v>113280</v>
      </c>
      <c r="U52" t="str">
        <f ca="1"/>
        <v>ind</v>
      </c>
      <c r="V52" s="6">
        <f ca="1"/>
        <v>2.2657534246575342</v>
      </c>
      <c r="W52">
        <f ca="1"/>
        <v>3399</v>
      </c>
      <c r="X52">
        <f ca="1"/>
        <v>1</v>
      </c>
    </row>
    <row r="53" spans="1:24" x14ac:dyDescent="0.3">
      <c r="A53" t="s">
        <v>158</v>
      </c>
      <c r="B53" t="s">
        <v>8</v>
      </c>
      <c r="C53">
        <v>27</v>
      </c>
      <c r="D53" t="s">
        <v>10</v>
      </c>
      <c r="E53" s="4">
        <v>44174</v>
      </c>
      <c r="F53" t="s">
        <v>17</v>
      </c>
      <c r="G53" s="16">
        <v>91650</v>
      </c>
      <c r="H53" t="s">
        <v>204</v>
      </c>
      <c r="I53" s="6">
        <f ca="1">(TODAY()-staff[[#This Row],[Date Joined]])/365</f>
        <v>3.2876712328767121</v>
      </c>
      <c r="J53" s="16">
        <f ca="1">ROUNDUP(IF(staff[[#This Row],[tenure]]&gt;2,3%,2%)*staff[[#This Row],[Salary]],0)</f>
        <v>2750</v>
      </c>
      <c r="K53" s="5">
        <f>_xlfn.XLOOKUP(staff[[#This Row],[Rating]],Table5[Column1],Table5[Column2])</f>
        <v>4</v>
      </c>
      <c r="N53" t="str">
        <f ca="1"/>
        <v>Chitrasen Laul</v>
      </c>
      <c r="O53" t="str">
        <f ca="1"/>
        <v>Male</v>
      </c>
      <c r="P53">
        <f ca="1"/>
        <v>26</v>
      </c>
      <c r="Q53" t="str">
        <f ca="1"/>
        <v>Average</v>
      </c>
      <c r="R53" s="4">
        <f ca="1"/>
        <v>44350</v>
      </c>
      <c r="S53" s="3" t="str">
        <f ca="1"/>
        <v>Procurement</v>
      </c>
      <c r="T53">
        <f ca="1"/>
        <v>53540</v>
      </c>
      <c r="U53" t="str">
        <f ca="1"/>
        <v>ind</v>
      </c>
      <c r="V53" s="6">
        <f ca="1"/>
        <v>2.8054794520547945</v>
      </c>
      <c r="W53">
        <f ca="1"/>
        <v>1607</v>
      </c>
      <c r="X53">
        <f ca="1"/>
        <v>3</v>
      </c>
    </row>
    <row r="54" spans="1:24" x14ac:dyDescent="0.3">
      <c r="A54" t="s">
        <v>159</v>
      </c>
      <c r="B54" t="s">
        <v>8</v>
      </c>
      <c r="C54">
        <v>42</v>
      </c>
      <c r="D54" t="s">
        <v>18</v>
      </c>
      <c r="E54" s="4">
        <v>44670</v>
      </c>
      <c r="F54" t="s">
        <v>17</v>
      </c>
      <c r="G54" s="16">
        <v>70270</v>
      </c>
      <c r="H54" t="s">
        <v>204</v>
      </c>
      <c r="I54" s="6">
        <f ca="1">(TODAY()-staff[[#This Row],[Date Joined]])/365</f>
        <v>1.9287671232876713</v>
      </c>
      <c r="J54" s="16">
        <f ca="1">ROUNDUP(IF(staff[[#This Row],[tenure]]&gt;2,3%,2%)*staff[[#This Row],[Salary]],0)</f>
        <v>1406</v>
      </c>
      <c r="K54" s="5">
        <f>_xlfn.XLOOKUP(staff[[#This Row],[Rating]],Table5[Column1],Table5[Column2])</f>
        <v>2</v>
      </c>
      <c r="N54" t="str">
        <f ca="1"/>
        <v>Sahas Sanabhi Shrikant</v>
      </c>
      <c r="O54" t="str">
        <f ca="1"/>
        <v>Male</v>
      </c>
      <c r="P54">
        <f ca="1"/>
        <v>23</v>
      </c>
      <c r="Q54" t="str">
        <f ca="1"/>
        <v>Average</v>
      </c>
      <c r="R54" s="4">
        <f ca="1"/>
        <v>44378</v>
      </c>
      <c r="S54" s="3" t="str">
        <f ca="1"/>
        <v>Procurement</v>
      </c>
      <c r="T54">
        <f ca="1"/>
        <v>106460</v>
      </c>
      <c r="U54" t="str">
        <f ca="1"/>
        <v>ind</v>
      </c>
      <c r="V54" s="6">
        <f ca="1"/>
        <v>2.7287671232876711</v>
      </c>
      <c r="W54">
        <f ca="1"/>
        <v>3194</v>
      </c>
      <c r="X54">
        <f ca="1"/>
        <v>3</v>
      </c>
    </row>
    <row r="55" spans="1:24" x14ac:dyDescent="0.3">
      <c r="A55" t="s">
        <v>160</v>
      </c>
      <c r="B55" t="s">
        <v>15</v>
      </c>
      <c r="C55">
        <v>28</v>
      </c>
      <c r="D55" t="s">
        <v>13</v>
      </c>
      <c r="E55" s="4">
        <v>44124</v>
      </c>
      <c r="F55" t="s">
        <v>17</v>
      </c>
      <c r="G55" s="16">
        <v>75970</v>
      </c>
      <c r="H55" t="s">
        <v>204</v>
      </c>
      <c r="I55" s="6">
        <f ca="1">(TODAY()-staff[[#This Row],[Date Joined]])/365</f>
        <v>3.4246575342465753</v>
      </c>
      <c r="J55" s="16">
        <f ca="1">ROUNDUP(IF(staff[[#This Row],[tenure]]&gt;2,3%,2%)*staff[[#This Row],[Salary]],0)</f>
        <v>2280</v>
      </c>
      <c r="K55" s="5">
        <f>_xlfn.XLOOKUP(staff[[#This Row],[Rating]],Table5[Column1],Table5[Column2])</f>
        <v>3</v>
      </c>
      <c r="N55" t="str">
        <f ca="1"/>
        <v>Rushil Kripa</v>
      </c>
      <c r="O55" t="str">
        <f ca="1"/>
        <v>Female</v>
      </c>
      <c r="P55">
        <f ca="1"/>
        <v>36</v>
      </c>
      <c r="Q55" t="str">
        <f ca="1"/>
        <v>Average</v>
      </c>
      <c r="R55" s="4">
        <f ca="1"/>
        <v>44468</v>
      </c>
      <c r="S55" s="3" t="str">
        <f ca="1"/>
        <v>Procurement</v>
      </c>
      <c r="T55">
        <f ca="1"/>
        <v>78390</v>
      </c>
      <c r="U55" t="str">
        <f ca="1"/>
        <v>ind</v>
      </c>
      <c r="V55" s="6">
        <f ca="1"/>
        <v>2.4821917808219176</v>
      </c>
      <c r="W55">
        <f ca="1"/>
        <v>2352</v>
      </c>
      <c r="X55">
        <f ca="1"/>
        <v>3</v>
      </c>
    </row>
    <row r="56" spans="1:24" x14ac:dyDescent="0.3">
      <c r="A56" t="s">
        <v>161</v>
      </c>
      <c r="B56" t="s">
        <v>205</v>
      </c>
      <c r="C56">
        <v>27</v>
      </c>
      <c r="D56" t="s">
        <v>10</v>
      </c>
      <c r="E56" s="4">
        <v>44212</v>
      </c>
      <c r="F56" t="s">
        <v>23</v>
      </c>
      <c r="G56" s="16">
        <v>90700</v>
      </c>
      <c r="H56" t="s">
        <v>204</v>
      </c>
      <c r="I56" s="6">
        <f ca="1">(TODAY()-staff[[#This Row],[Date Joined]])/365</f>
        <v>3.1835616438356165</v>
      </c>
      <c r="J56" s="16">
        <f ca="1">ROUNDUP(IF(staff[[#This Row],[tenure]]&gt;2,3%,2%)*staff[[#This Row],[Salary]],0)</f>
        <v>2721</v>
      </c>
      <c r="K56" s="5">
        <f>_xlfn.XLOOKUP(staff[[#This Row],[Rating]],Table5[Column1],Table5[Column2])</f>
        <v>4</v>
      </c>
      <c r="N56" t="str">
        <f ca="1"/>
        <v>Sarojini Naueshwara</v>
      </c>
      <c r="O56" t="str">
        <f ca="1"/>
        <v>Female</v>
      </c>
      <c r="P56">
        <f ca="1"/>
        <v>30</v>
      </c>
      <c r="Q56" t="str">
        <f ca="1"/>
        <v>Average</v>
      </c>
      <c r="R56" s="4">
        <f ca="1"/>
        <v>44789</v>
      </c>
      <c r="S56" s="3" t="str">
        <f ca="1"/>
        <v>Procurement</v>
      </c>
      <c r="T56">
        <f ca="1"/>
        <v>114180</v>
      </c>
      <c r="U56" t="str">
        <f ca="1"/>
        <v>ind</v>
      </c>
      <c r="V56" s="6">
        <f ca="1"/>
        <v>1.6027397260273972</v>
      </c>
      <c r="W56">
        <f ca="1"/>
        <v>2284</v>
      </c>
      <c r="X56">
        <f ca="1"/>
        <v>3</v>
      </c>
    </row>
    <row r="57" spans="1:24" x14ac:dyDescent="0.3">
      <c r="A57" t="s">
        <v>162</v>
      </c>
      <c r="B57" t="s">
        <v>8</v>
      </c>
      <c r="C57">
        <v>30</v>
      </c>
      <c r="D57" t="s">
        <v>13</v>
      </c>
      <c r="E57" s="4">
        <v>44607</v>
      </c>
      <c r="F57" t="s">
        <v>12</v>
      </c>
      <c r="G57" s="16">
        <v>60570</v>
      </c>
      <c r="H57" t="s">
        <v>204</v>
      </c>
      <c r="I57" s="6">
        <f ca="1">(TODAY()-staff[[#This Row],[Date Joined]])/365</f>
        <v>2.1013698630136988</v>
      </c>
      <c r="J57" s="16">
        <f ca="1">ROUNDUP(IF(staff[[#This Row],[tenure]]&gt;2,3%,2%)*staff[[#This Row],[Salary]],0)</f>
        <v>1818</v>
      </c>
      <c r="K57" s="5">
        <f>_xlfn.XLOOKUP(staff[[#This Row],[Rating]],Table5[Column1],Table5[Column2])</f>
        <v>3</v>
      </c>
      <c r="N57" t="str">
        <f ca="1"/>
        <v>Sartaj Probal</v>
      </c>
      <c r="O57" t="str">
        <f ca="1"/>
        <v>Female</v>
      </c>
      <c r="P57">
        <f ca="1"/>
        <v>28</v>
      </c>
      <c r="Q57" t="str">
        <f ca="1"/>
        <v>Average</v>
      </c>
      <c r="R57" s="4">
        <f ca="1"/>
        <v>44590</v>
      </c>
      <c r="S57" s="3" t="str">
        <f ca="1"/>
        <v>Procurement</v>
      </c>
      <c r="T57">
        <f ca="1"/>
        <v>104120</v>
      </c>
      <c r="U57" t="str">
        <f ca="1"/>
        <v>ind</v>
      </c>
      <c r="V57" s="6">
        <f ca="1"/>
        <v>2.1479452054794521</v>
      </c>
      <c r="W57">
        <f ca="1"/>
        <v>3124</v>
      </c>
      <c r="X57">
        <f ca="1"/>
        <v>3</v>
      </c>
    </row>
    <row r="58" spans="1:24" x14ac:dyDescent="0.3">
      <c r="A58" t="s">
        <v>163</v>
      </c>
      <c r="B58" t="s">
        <v>8</v>
      </c>
      <c r="C58">
        <v>33</v>
      </c>
      <c r="D58" t="s">
        <v>13</v>
      </c>
      <c r="E58" s="4">
        <v>44103</v>
      </c>
      <c r="F58" t="s">
        <v>12</v>
      </c>
      <c r="G58" s="16">
        <v>115920</v>
      </c>
      <c r="H58" t="s">
        <v>204</v>
      </c>
      <c r="I58" s="6">
        <f ca="1">(TODAY()-staff[[#This Row],[Date Joined]])/365</f>
        <v>3.4821917808219176</v>
      </c>
      <c r="J58" s="16">
        <f ca="1">ROUNDUP(IF(staff[[#This Row],[tenure]]&gt;2,3%,2%)*staff[[#This Row],[Salary]],0)</f>
        <v>3478</v>
      </c>
      <c r="K58" s="5">
        <f>_xlfn.XLOOKUP(staff[[#This Row],[Rating]],Table5[Column1],Table5[Column2])</f>
        <v>3</v>
      </c>
      <c r="N58" t="str">
        <f ca="1"/>
        <v>Mahindra Sreedharan</v>
      </c>
      <c r="O58" t="str">
        <f ca="1"/>
        <v>Male</v>
      </c>
      <c r="P58">
        <f ca="1"/>
        <v>30</v>
      </c>
      <c r="Q58" t="str">
        <f ca="1"/>
        <v>Average</v>
      </c>
      <c r="R58" s="4">
        <f ca="1"/>
        <v>44640</v>
      </c>
      <c r="S58" s="3" t="str">
        <f ca="1"/>
        <v>Procurement</v>
      </c>
      <c r="T58">
        <f ca="1"/>
        <v>67950</v>
      </c>
      <c r="U58" t="str">
        <f ca="1"/>
        <v>ind</v>
      </c>
      <c r="V58" s="6">
        <f ca="1"/>
        <v>2.010958904109589</v>
      </c>
      <c r="W58">
        <f ca="1"/>
        <v>2039</v>
      </c>
      <c r="X58">
        <f ca="1"/>
        <v>3</v>
      </c>
    </row>
    <row r="59" spans="1:24" x14ac:dyDescent="0.3">
      <c r="A59" t="s">
        <v>164</v>
      </c>
      <c r="B59" t="s">
        <v>15</v>
      </c>
      <c r="C59">
        <v>33</v>
      </c>
      <c r="D59" t="s">
        <v>13</v>
      </c>
      <c r="E59" s="4">
        <v>44006</v>
      </c>
      <c r="F59" t="s">
        <v>17</v>
      </c>
      <c r="G59" s="16">
        <v>65360</v>
      </c>
      <c r="H59" t="s">
        <v>204</v>
      </c>
      <c r="I59" s="6">
        <f ca="1">(TODAY()-staff[[#This Row],[Date Joined]])/365</f>
        <v>3.7479452054794522</v>
      </c>
      <c r="J59" s="16">
        <f ca="1">ROUNDUP(IF(staff[[#This Row],[tenure]]&gt;2,3%,2%)*staff[[#This Row],[Salary]],0)</f>
        <v>1961</v>
      </c>
      <c r="K59" s="5">
        <f>_xlfn.XLOOKUP(staff[[#This Row],[Rating]],Table5[Column1],Table5[Column2])</f>
        <v>3</v>
      </c>
      <c r="N59" t="str">
        <f ca="1"/>
        <v>Vinanti Choudhari</v>
      </c>
      <c r="O59" t="str">
        <f ca="1"/>
        <v>Male</v>
      </c>
      <c r="P59">
        <f ca="1"/>
        <v>19</v>
      </c>
      <c r="Q59" t="str">
        <f ca="1"/>
        <v>Average</v>
      </c>
      <c r="R59" s="4">
        <f ca="1"/>
        <v>44218</v>
      </c>
      <c r="S59" s="3" t="str">
        <f ca="1"/>
        <v>Procurement</v>
      </c>
      <c r="T59">
        <f ca="1"/>
        <v>58960</v>
      </c>
      <c r="U59" t="str">
        <f ca="1"/>
        <v>ind</v>
      </c>
      <c r="V59" s="6">
        <f ca="1"/>
        <v>3.1671232876712327</v>
      </c>
      <c r="W59">
        <f ca="1"/>
        <v>1769</v>
      </c>
      <c r="X59">
        <f ca="1"/>
        <v>3</v>
      </c>
    </row>
    <row r="60" spans="1:24" x14ac:dyDescent="0.3">
      <c r="A60" t="s">
        <v>165</v>
      </c>
      <c r="B60" t="s">
        <v>205</v>
      </c>
      <c r="C60">
        <v>30</v>
      </c>
      <c r="D60" t="s">
        <v>13</v>
      </c>
      <c r="E60" s="4">
        <v>44535</v>
      </c>
      <c r="F60" t="s">
        <v>17</v>
      </c>
      <c r="G60" s="16">
        <v>64000</v>
      </c>
      <c r="H60" t="s">
        <v>204</v>
      </c>
      <c r="I60" s="6">
        <f ca="1">(TODAY()-staff[[#This Row],[Date Joined]])/365</f>
        <v>2.2986301369863016</v>
      </c>
      <c r="J60" s="16">
        <f ca="1">ROUNDUP(IF(staff[[#This Row],[tenure]]&gt;2,3%,2%)*staff[[#This Row],[Salary]],0)</f>
        <v>1920</v>
      </c>
      <c r="K60" s="5">
        <f>_xlfn.XLOOKUP(staff[[#This Row],[Rating]],Table5[Column1],Table5[Column2])</f>
        <v>3</v>
      </c>
      <c r="N60" t="str">
        <f ca="1"/>
        <v>Ranajay Kailashnath Richa</v>
      </c>
      <c r="O60" t="str">
        <f ca="1"/>
        <v>Male</v>
      </c>
      <c r="P60">
        <f ca="1"/>
        <v>46</v>
      </c>
      <c r="Q60" t="str">
        <f ca="1"/>
        <v>Average</v>
      </c>
      <c r="R60" s="4">
        <f ca="1"/>
        <v>44697</v>
      </c>
      <c r="S60" s="3" t="str">
        <f ca="1"/>
        <v>Procurement</v>
      </c>
      <c r="T60">
        <f ca="1"/>
        <v>70610</v>
      </c>
      <c r="U60" t="str">
        <f ca="1"/>
        <v>ind</v>
      </c>
      <c r="V60" s="6">
        <f ca="1"/>
        <v>1.8547945205479452</v>
      </c>
      <c r="W60">
        <f ca="1"/>
        <v>1413</v>
      </c>
      <c r="X60">
        <f ca="1"/>
        <v>3</v>
      </c>
    </row>
    <row r="61" spans="1:24" x14ac:dyDescent="0.3">
      <c r="A61" t="s">
        <v>166</v>
      </c>
      <c r="B61" t="s">
        <v>15</v>
      </c>
      <c r="C61">
        <v>34</v>
      </c>
      <c r="D61" t="s">
        <v>13</v>
      </c>
      <c r="E61" s="4">
        <v>44383</v>
      </c>
      <c r="F61" t="s">
        <v>17</v>
      </c>
      <c r="G61" s="16">
        <v>92450</v>
      </c>
      <c r="H61" t="s">
        <v>204</v>
      </c>
      <c r="I61" s="6">
        <f ca="1">(TODAY()-staff[[#This Row],[Date Joined]])/365</f>
        <v>2.7150684931506848</v>
      </c>
      <c r="J61" s="16">
        <f ca="1">ROUNDUP(IF(staff[[#This Row],[tenure]]&gt;2,3%,2%)*staff[[#This Row],[Salary]],0)</f>
        <v>2774</v>
      </c>
      <c r="K61" s="5">
        <f>_xlfn.XLOOKUP(staff[[#This Row],[Rating]],Table5[Column1],Table5[Column2])</f>
        <v>3</v>
      </c>
      <c r="N61" t="str">
        <f ca="1"/>
        <v>Piyali Mahanthapa</v>
      </c>
      <c r="O61" t="str">
        <f ca="1"/>
        <v>Male</v>
      </c>
      <c r="P61">
        <f ca="1"/>
        <v>33</v>
      </c>
      <c r="Q61" t="str">
        <f ca="1"/>
        <v>Above average</v>
      </c>
      <c r="R61" s="4">
        <f ca="1"/>
        <v>44640</v>
      </c>
      <c r="S61" s="3" t="str">
        <f ca="1"/>
        <v>Procurement</v>
      </c>
      <c r="T61">
        <f ca="1"/>
        <v>48530</v>
      </c>
      <c r="U61" t="str">
        <f ca="1"/>
        <v>ind</v>
      </c>
      <c r="V61" s="6">
        <f ca="1"/>
        <v>2.010958904109589</v>
      </c>
      <c r="W61">
        <f ca="1"/>
        <v>1456</v>
      </c>
      <c r="X61">
        <f ca="1"/>
        <v>4</v>
      </c>
    </row>
    <row r="62" spans="1:24" x14ac:dyDescent="0.3">
      <c r="A62" t="s">
        <v>167</v>
      </c>
      <c r="B62" t="s">
        <v>8</v>
      </c>
      <c r="C62">
        <v>31</v>
      </c>
      <c r="D62" t="s">
        <v>13</v>
      </c>
      <c r="E62" s="4">
        <v>44450</v>
      </c>
      <c r="F62" t="s">
        <v>23</v>
      </c>
      <c r="G62" s="16">
        <v>48950</v>
      </c>
      <c r="H62" t="s">
        <v>204</v>
      </c>
      <c r="I62" s="6">
        <f ca="1">(TODAY()-staff[[#This Row],[Date Joined]])/365</f>
        <v>2.5315068493150683</v>
      </c>
      <c r="J62" s="16">
        <f ca="1">ROUNDUP(IF(staff[[#This Row],[tenure]]&gt;2,3%,2%)*staff[[#This Row],[Salary]],0)</f>
        <v>1469</v>
      </c>
      <c r="K62" s="5">
        <f>_xlfn.XLOOKUP(staff[[#This Row],[Rating]],Table5[Column1],Table5[Column2])</f>
        <v>3</v>
      </c>
      <c r="N62" t="str">
        <f ca="1"/>
        <v>Ambros Murthwaite</v>
      </c>
      <c r="O62" t="str">
        <f ca="1"/>
        <v>Male</v>
      </c>
      <c r="P62">
        <f ca="1"/>
        <v>46</v>
      </c>
      <c r="Q62" t="str">
        <f ca="1"/>
        <v>Average</v>
      </c>
      <c r="R62" s="4">
        <f ca="1"/>
        <v>44758</v>
      </c>
      <c r="S62" s="3" t="str">
        <f ca="1"/>
        <v>Procurement</v>
      </c>
      <c r="T62">
        <f ca="1"/>
        <v>70610</v>
      </c>
      <c r="U62" t="str">
        <f ca="1"/>
        <v>nz</v>
      </c>
      <c r="V62" s="6">
        <f ca="1"/>
        <v>1.6876712328767123</v>
      </c>
      <c r="W62">
        <f ca="1"/>
        <v>1413</v>
      </c>
      <c r="X62">
        <f ca="1"/>
        <v>3</v>
      </c>
    </row>
    <row r="63" spans="1:24" x14ac:dyDescent="0.3">
      <c r="A63" t="s">
        <v>168</v>
      </c>
      <c r="B63" t="s">
        <v>15</v>
      </c>
      <c r="C63">
        <v>27</v>
      </c>
      <c r="D63" t="s">
        <v>13</v>
      </c>
      <c r="E63" s="4">
        <v>44625</v>
      </c>
      <c r="F63" t="s">
        <v>23</v>
      </c>
      <c r="G63" s="16">
        <v>83750</v>
      </c>
      <c r="H63" t="s">
        <v>204</v>
      </c>
      <c r="I63" s="6">
        <f ca="1">(TODAY()-staff[[#This Row],[Date Joined]])/365</f>
        <v>2.0520547945205481</v>
      </c>
      <c r="J63" s="16">
        <f ca="1">ROUNDUP(IF(staff[[#This Row],[tenure]]&gt;2,3%,2%)*staff[[#This Row],[Salary]],0)</f>
        <v>2513</v>
      </c>
      <c r="K63" s="5">
        <f>_xlfn.XLOOKUP(staff[[#This Row],[Rating]],Table5[Column1],Table5[Column2])</f>
        <v>3</v>
      </c>
      <c r="N63" t="str">
        <f ca="1"/>
        <v>Halimeda Kuscha</v>
      </c>
      <c r="O63" t="str">
        <f ca="1"/>
        <v>Female</v>
      </c>
      <c r="P63">
        <f ca="1"/>
        <v>30</v>
      </c>
      <c r="Q63" t="str">
        <f ca="1"/>
        <v>Average</v>
      </c>
      <c r="R63" s="4">
        <f ca="1"/>
        <v>44861</v>
      </c>
      <c r="S63" s="3" t="str">
        <f ca="1"/>
        <v>Procurement</v>
      </c>
      <c r="T63">
        <f ca="1"/>
        <v>112570</v>
      </c>
      <c r="U63" t="str">
        <f ca="1"/>
        <v>nz</v>
      </c>
      <c r="V63" s="6">
        <f ca="1"/>
        <v>1.4054794520547946</v>
      </c>
      <c r="W63">
        <f ca="1"/>
        <v>2252</v>
      </c>
      <c r="X63">
        <f ca="1"/>
        <v>3</v>
      </c>
    </row>
    <row r="64" spans="1:24" x14ac:dyDescent="0.3">
      <c r="A64" t="s">
        <v>169</v>
      </c>
      <c r="B64" t="s">
        <v>15</v>
      </c>
      <c r="C64">
        <v>40</v>
      </c>
      <c r="D64" t="s">
        <v>13</v>
      </c>
      <c r="E64" s="4">
        <v>44276</v>
      </c>
      <c r="F64" t="s">
        <v>23</v>
      </c>
      <c r="G64" s="16">
        <v>87620</v>
      </c>
      <c r="H64" t="s">
        <v>204</v>
      </c>
      <c r="I64" s="6">
        <f ca="1">(TODAY()-staff[[#This Row],[Date Joined]])/365</f>
        <v>3.0082191780821916</v>
      </c>
      <c r="J64" s="16">
        <f ca="1">ROUNDUP(IF(staff[[#This Row],[tenure]]&gt;2,3%,2%)*staff[[#This Row],[Salary]],0)</f>
        <v>2629</v>
      </c>
      <c r="K64" s="5">
        <f>_xlfn.XLOOKUP(staff[[#This Row],[Rating]],Table5[Column1],Table5[Column2])</f>
        <v>3</v>
      </c>
      <c r="N64" t="str">
        <f ca="1"/>
        <v>Erin Androsik</v>
      </c>
      <c r="O64" t="str">
        <f ca="1"/>
        <v>Male</v>
      </c>
      <c r="P64">
        <f ca="1"/>
        <v>33</v>
      </c>
      <c r="Q64" t="str">
        <f ca="1"/>
        <v>Above average</v>
      </c>
      <c r="R64" s="4">
        <f ca="1"/>
        <v>44701</v>
      </c>
      <c r="S64" s="3" t="str">
        <f ca="1"/>
        <v>Procurement</v>
      </c>
      <c r="T64">
        <f ca="1"/>
        <v>48530</v>
      </c>
      <c r="U64" t="str">
        <f ca="1"/>
        <v>nz</v>
      </c>
      <c r="V64" s="6">
        <f ca="1"/>
        <v>1.8438356164383563</v>
      </c>
      <c r="W64">
        <f ca="1"/>
        <v>971</v>
      </c>
      <c r="X64">
        <f ca="1"/>
        <v>4</v>
      </c>
    </row>
    <row r="65" spans="1:24" x14ac:dyDescent="0.3">
      <c r="A65" t="s">
        <v>170</v>
      </c>
      <c r="B65" t="s">
        <v>15</v>
      </c>
      <c r="C65">
        <v>20</v>
      </c>
      <c r="D65" t="s">
        <v>18</v>
      </c>
      <c r="E65" s="4">
        <v>44476</v>
      </c>
      <c r="F65" t="s">
        <v>9</v>
      </c>
      <c r="G65" s="16">
        <v>68900</v>
      </c>
      <c r="H65" t="s">
        <v>204</v>
      </c>
      <c r="I65" s="6">
        <f ca="1">(TODAY()-staff[[#This Row],[Date Joined]])/365</f>
        <v>2.4602739726027396</v>
      </c>
      <c r="J65" s="16">
        <f ca="1">ROUNDUP(IF(staff[[#This Row],[tenure]]&gt;2,3%,2%)*staff[[#This Row],[Salary]],0)</f>
        <v>2067</v>
      </c>
      <c r="K65" s="5">
        <f>_xlfn.XLOOKUP(staff[[#This Row],[Rating]],Table5[Column1],Table5[Column2])</f>
        <v>2</v>
      </c>
      <c r="N65" t="str">
        <f ca="1"/>
        <v>Simon Kembery</v>
      </c>
      <c r="O65" t="str">
        <f ca="1"/>
        <v>Male</v>
      </c>
      <c r="P65">
        <f ca="1"/>
        <v>40</v>
      </c>
      <c r="Q65" t="str">
        <f ca="1"/>
        <v>Average</v>
      </c>
      <c r="R65" s="4">
        <f ca="1"/>
        <v>44263</v>
      </c>
      <c r="S65" s="3" t="str">
        <f ca="1"/>
        <v>Procurement</v>
      </c>
      <c r="T65">
        <f ca="1"/>
        <v>99750</v>
      </c>
      <c r="U65" t="str">
        <f ca="1"/>
        <v>nz</v>
      </c>
      <c r="V65" s="6">
        <f ca="1"/>
        <v>3.043835616438356</v>
      </c>
      <c r="W65">
        <f ca="1"/>
        <v>2993</v>
      </c>
      <c r="X65">
        <f ca="1"/>
        <v>3</v>
      </c>
    </row>
    <row r="66" spans="1:24" x14ac:dyDescent="0.3">
      <c r="A66" t="s">
        <v>171</v>
      </c>
      <c r="B66" t="s">
        <v>8</v>
      </c>
      <c r="C66">
        <v>32</v>
      </c>
      <c r="D66" t="s">
        <v>13</v>
      </c>
      <c r="E66" s="4">
        <v>44403</v>
      </c>
      <c r="F66" t="s">
        <v>9</v>
      </c>
      <c r="G66" s="16">
        <v>53540</v>
      </c>
      <c r="H66" t="s">
        <v>204</v>
      </c>
      <c r="I66" s="6">
        <f ca="1">(TODAY()-staff[[#This Row],[Date Joined]])/365</f>
        <v>2.6602739726027398</v>
      </c>
      <c r="J66" s="16">
        <f ca="1">ROUNDUP(IF(staff[[#This Row],[tenure]]&gt;2,3%,2%)*staff[[#This Row],[Salary]],0)</f>
        <v>1607</v>
      </c>
      <c r="K66" s="5">
        <f>_xlfn.XLOOKUP(staff[[#This Row],[Rating]],Table5[Column1],Table5[Column2])</f>
        <v>3</v>
      </c>
      <c r="N66" t="str">
        <f ca="1"/>
        <v>Orton Livick</v>
      </c>
      <c r="O66" t="str">
        <f ca="1"/>
        <v>Male</v>
      </c>
      <c r="P66">
        <f ca="1"/>
        <v>21</v>
      </c>
      <c r="Q66" t="str">
        <f ca="1"/>
        <v>Average</v>
      </c>
      <c r="R66" s="4">
        <f ca="1"/>
        <v>44104</v>
      </c>
      <c r="S66" s="3" t="str">
        <f ca="1"/>
        <v>Procurement</v>
      </c>
      <c r="T66">
        <f ca="1"/>
        <v>37920</v>
      </c>
      <c r="U66" t="str">
        <f ca="1"/>
        <v>nz</v>
      </c>
      <c r="V66" s="6">
        <f ca="1"/>
        <v>3.4794520547945207</v>
      </c>
      <c r="W66">
        <f ca="1"/>
        <v>1138</v>
      </c>
      <c r="X66">
        <f ca="1"/>
        <v>3</v>
      </c>
    </row>
    <row r="67" spans="1:24" x14ac:dyDescent="0.3">
      <c r="A67" t="s">
        <v>172</v>
      </c>
      <c r="B67" t="s">
        <v>8</v>
      </c>
      <c r="C67">
        <v>28</v>
      </c>
      <c r="D67" t="s">
        <v>49</v>
      </c>
      <c r="E67" s="4">
        <v>44758</v>
      </c>
      <c r="F67" t="s">
        <v>9</v>
      </c>
      <c r="G67" s="16">
        <v>43510</v>
      </c>
      <c r="H67" t="s">
        <v>204</v>
      </c>
      <c r="I67" s="6">
        <f ca="1">(TODAY()-staff[[#This Row],[Date Joined]])/365</f>
        <v>1.6876712328767123</v>
      </c>
      <c r="J67" s="16">
        <f ca="1">ROUNDUP(IF(staff[[#This Row],[tenure]]&gt;2,3%,2%)*staff[[#This Row],[Salary]],0)</f>
        <v>871</v>
      </c>
      <c r="K67" s="5">
        <f>_xlfn.XLOOKUP(staff[[#This Row],[Rating]],Table5[Column1],Table5[Column2])</f>
        <v>1</v>
      </c>
      <c r="N67" t="str">
        <f ca="1"/>
        <v>Kelci Walkden</v>
      </c>
      <c r="O67" t="str">
        <f ca="1"/>
        <v>Male</v>
      </c>
      <c r="P67">
        <f ca="1"/>
        <v>21</v>
      </c>
      <c r="Q67" t="str">
        <f ca="1"/>
        <v>Average</v>
      </c>
      <c r="R67" s="4">
        <f ca="1"/>
        <v>44762</v>
      </c>
      <c r="S67" s="3" t="str">
        <f ca="1"/>
        <v>Procurement</v>
      </c>
      <c r="T67">
        <f ca="1"/>
        <v>57090</v>
      </c>
      <c r="U67" t="str">
        <f ca="1"/>
        <v>nz</v>
      </c>
      <c r="V67" s="6">
        <f ca="1"/>
        <v>1.6767123287671233</v>
      </c>
      <c r="W67">
        <f ca="1"/>
        <v>1142</v>
      </c>
      <c r="X67">
        <f ca="1"/>
        <v>3</v>
      </c>
    </row>
    <row r="68" spans="1:24" x14ac:dyDescent="0.3">
      <c r="A68" t="s">
        <v>173</v>
      </c>
      <c r="B68" t="s">
        <v>15</v>
      </c>
      <c r="C68">
        <v>38</v>
      </c>
      <c r="D68" t="s">
        <v>43</v>
      </c>
      <c r="E68" s="4">
        <v>44316</v>
      </c>
      <c r="F68" t="s">
        <v>9</v>
      </c>
      <c r="G68" s="16">
        <v>109160</v>
      </c>
      <c r="H68" t="s">
        <v>204</v>
      </c>
      <c r="I68" s="6">
        <f ca="1">(TODAY()-staff[[#This Row],[Date Joined]])/365</f>
        <v>2.8986301369863012</v>
      </c>
      <c r="J68" s="16">
        <f ca="1">ROUNDUP(IF(staff[[#This Row],[tenure]]&gt;2,3%,2%)*staff[[#This Row],[Salary]],0)</f>
        <v>3275</v>
      </c>
      <c r="K68" s="5">
        <f>_xlfn.XLOOKUP(staff[[#This Row],[Rating]],Table5[Column1],Table5[Column2])</f>
        <v>5</v>
      </c>
      <c r="N68" t="str">
        <f ca="1"/>
        <v>Barr Faughny</v>
      </c>
      <c r="O68" t="str">
        <f ca="1"/>
        <v>Female</v>
      </c>
      <c r="P68">
        <f ca="1"/>
        <v>42</v>
      </c>
      <c r="Q68" t="str">
        <f ca="1"/>
        <v>Exceptional</v>
      </c>
      <c r="R68" s="4">
        <f ca="1"/>
        <v>44779</v>
      </c>
      <c r="S68" s="3" t="str">
        <f ca="1"/>
        <v>Procurement</v>
      </c>
      <c r="T68">
        <f ca="1"/>
        <v>75000</v>
      </c>
      <c r="U68" t="str">
        <f ca="1"/>
        <v>nz</v>
      </c>
      <c r="V68" s="6">
        <f ca="1"/>
        <v>1.6301369863013699</v>
      </c>
      <c r="W68">
        <f ca="1"/>
        <v>1500</v>
      </c>
      <c r="X68">
        <f ca="1"/>
        <v>5</v>
      </c>
    </row>
    <row r="69" spans="1:24" x14ac:dyDescent="0.3">
      <c r="A69" t="s">
        <v>174</v>
      </c>
      <c r="B69" t="s">
        <v>8</v>
      </c>
      <c r="C69">
        <v>40</v>
      </c>
      <c r="D69" t="s">
        <v>13</v>
      </c>
      <c r="E69" s="4">
        <v>44204</v>
      </c>
      <c r="F69" t="s">
        <v>12</v>
      </c>
      <c r="G69" s="16">
        <v>99750</v>
      </c>
      <c r="H69" t="s">
        <v>204</v>
      </c>
      <c r="I69" s="6">
        <f ca="1">(TODAY()-staff[[#This Row],[Date Joined]])/365</f>
        <v>3.2054794520547945</v>
      </c>
      <c r="J69" s="16">
        <f ca="1">ROUNDUP(IF(staff[[#This Row],[tenure]]&gt;2,3%,2%)*staff[[#This Row],[Salary]],0)</f>
        <v>2993</v>
      </c>
      <c r="K69" s="5">
        <f>_xlfn.XLOOKUP(staff[[#This Row],[Rating]],Table5[Column1],Table5[Column2])</f>
        <v>3</v>
      </c>
      <c r="N69" t="str">
        <f ca="1"/>
        <v>Roddy Speechley</v>
      </c>
      <c r="O69" t="str">
        <f ca="1"/>
        <v>Male</v>
      </c>
      <c r="P69">
        <f ca="1"/>
        <v>33</v>
      </c>
      <c r="Q69" t="str">
        <f ca="1"/>
        <v>Average</v>
      </c>
      <c r="R69" s="4">
        <f ca="1"/>
        <v>44164</v>
      </c>
      <c r="S69" s="3" t="str">
        <f ca="1"/>
        <v>Procurement</v>
      </c>
      <c r="T69">
        <f ca="1"/>
        <v>115920</v>
      </c>
      <c r="U69" t="str">
        <f ca="1"/>
        <v>nz</v>
      </c>
      <c r="V69" s="6">
        <f ca="1"/>
        <v>3.3150684931506849</v>
      </c>
      <c r="W69">
        <f ca="1"/>
        <v>3478</v>
      </c>
      <c r="X69">
        <f ca="1"/>
        <v>3</v>
      </c>
    </row>
    <row r="70" spans="1:24" x14ac:dyDescent="0.3">
      <c r="A70" t="s">
        <v>175</v>
      </c>
      <c r="B70" t="s">
        <v>15</v>
      </c>
      <c r="C70">
        <v>31</v>
      </c>
      <c r="D70" t="s">
        <v>13</v>
      </c>
      <c r="E70" s="4">
        <v>44084</v>
      </c>
      <c r="F70" t="s">
        <v>23</v>
      </c>
      <c r="G70" s="16">
        <v>41980</v>
      </c>
      <c r="H70" t="s">
        <v>204</v>
      </c>
      <c r="I70" s="6">
        <f ca="1">(TODAY()-staff[[#This Row],[Date Joined]])/365</f>
        <v>3.5342465753424657</v>
      </c>
      <c r="J70" s="16">
        <f ca="1">ROUNDUP(IF(staff[[#This Row],[tenure]]&gt;2,3%,2%)*staff[[#This Row],[Salary]],0)</f>
        <v>1260</v>
      </c>
      <c r="K70" s="5">
        <f>_xlfn.XLOOKUP(staff[[#This Row],[Rating]],Table5[Column1],Table5[Column2])</f>
        <v>3</v>
      </c>
      <c r="N70" t="str">
        <f ca="1"/>
        <v>Madelene Upcott</v>
      </c>
      <c r="O70" t="str">
        <f ca="1"/>
        <v>Male</v>
      </c>
      <c r="P70">
        <f ca="1"/>
        <v>25</v>
      </c>
      <c r="Q70" t="str">
        <f ca="1"/>
        <v>Above average</v>
      </c>
      <c r="R70" s="4">
        <f ca="1"/>
        <v>44726</v>
      </c>
      <c r="S70" s="3" t="str">
        <f ca="1"/>
        <v>Procurement</v>
      </c>
      <c r="T70">
        <f ca="1"/>
        <v>109190</v>
      </c>
      <c r="U70" t="str">
        <f ca="1"/>
        <v>nz</v>
      </c>
      <c r="V70" s="6">
        <f ca="1"/>
        <v>1.7753424657534247</v>
      </c>
      <c r="W70">
        <f ca="1"/>
        <v>2184</v>
      </c>
      <c r="X70">
        <f ca="1"/>
        <v>4</v>
      </c>
    </row>
    <row r="71" spans="1:24" x14ac:dyDescent="0.3">
      <c r="A71" t="s">
        <v>176</v>
      </c>
      <c r="B71" t="s">
        <v>8</v>
      </c>
      <c r="C71">
        <v>36</v>
      </c>
      <c r="D71" t="s">
        <v>13</v>
      </c>
      <c r="E71" s="4">
        <v>44272</v>
      </c>
      <c r="F71" t="s">
        <v>17</v>
      </c>
      <c r="G71" s="16">
        <v>71380</v>
      </c>
      <c r="H71" t="s">
        <v>204</v>
      </c>
      <c r="I71" s="6">
        <f ca="1">(TODAY()-staff[[#This Row],[Date Joined]])/365</f>
        <v>3.0191780821917806</v>
      </c>
      <c r="J71" s="16">
        <f ca="1">ROUNDUP(IF(staff[[#This Row],[tenure]]&gt;2,3%,2%)*staff[[#This Row],[Salary]],0)</f>
        <v>2142</v>
      </c>
      <c r="K71" s="5">
        <f>_xlfn.XLOOKUP(staff[[#This Row],[Rating]],Table5[Column1],Table5[Column2])</f>
        <v>3</v>
      </c>
      <c r="N71" t="str">
        <f ca="1"/>
        <v>Bernie Gorges</v>
      </c>
      <c r="O71" t="str">
        <f ca="1"/>
        <v>Female</v>
      </c>
      <c r="P71">
        <f ca="1"/>
        <v>28</v>
      </c>
      <c r="Q71" t="str">
        <f ca="1"/>
        <v>Average</v>
      </c>
      <c r="R71" s="4">
        <f ca="1"/>
        <v>44630</v>
      </c>
      <c r="S71" s="3" t="str">
        <f ca="1"/>
        <v>Procurement</v>
      </c>
      <c r="T71">
        <f ca="1"/>
        <v>99970</v>
      </c>
      <c r="U71" t="str">
        <f ca="1"/>
        <v>nz</v>
      </c>
      <c r="V71" s="6">
        <f ca="1"/>
        <v>2.0383561643835617</v>
      </c>
      <c r="W71">
        <f ca="1"/>
        <v>3000</v>
      </c>
      <c r="X71">
        <f ca="1"/>
        <v>3</v>
      </c>
    </row>
    <row r="72" spans="1:24" x14ac:dyDescent="0.3">
      <c r="A72" t="s">
        <v>177</v>
      </c>
      <c r="B72" t="s">
        <v>8</v>
      </c>
      <c r="C72">
        <v>27</v>
      </c>
      <c r="D72" t="s">
        <v>49</v>
      </c>
      <c r="E72" s="4">
        <v>44547</v>
      </c>
      <c r="F72" t="s">
        <v>12</v>
      </c>
      <c r="G72" s="16">
        <v>113280</v>
      </c>
      <c r="H72" t="s">
        <v>204</v>
      </c>
      <c r="I72" s="6">
        <f ca="1">(TODAY()-staff[[#This Row],[Date Joined]])/365</f>
        <v>2.2657534246575342</v>
      </c>
      <c r="J72" s="16">
        <f ca="1">ROUNDUP(IF(staff[[#This Row],[tenure]]&gt;2,3%,2%)*staff[[#This Row],[Salary]],0)</f>
        <v>3399</v>
      </c>
      <c r="K72" s="5">
        <f>_xlfn.XLOOKUP(staff[[#This Row],[Rating]],Table5[Column1],Table5[Column2])</f>
        <v>1</v>
      </c>
      <c r="N72" t="str">
        <f ca="1"/>
        <v>Dyna Doucette</v>
      </c>
      <c r="O72" t="str">
        <f ca="1"/>
        <v>Male</v>
      </c>
      <c r="P72">
        <f ca="1"/>
        <v>31</v>
      </c>
      <c r="Q72" t="str">
        <f ca="1"/>
        <v>Average</v>
      </c>
      <c r="R72" s="4">
        <f ca="1"/>
        <v>44724</v>
      </c>
      <c r="S72" s="3" t="str">
        <f ca="1"/>
        <v>Procurement</v>
      </c>
      <c r="T72">
        <f ca="1"/>
        <v>103550</v>
      </c>
      <c r="U72" t="str">
        <f ca="1"/>
        <v>nz</v>
      </c>
      <c r="V72" s="6">
        <f ca="1"/>
        <v>1.7808219178082192</v>
      </c>
      <c r="W72">
        <f ca="1"/>
        <v>2071</v>
      </c>
      <c r="X72">
        <f ca="1"/>
        <v>3</v>
      </c>
    </row>
    <row r="73" spans="1:24" x14ac:dyDescent="0.3">
      <c r="A73" t="s">
        <v>178</v>
      </c>
      <c r="B73" t="s">
        <v>15</v>
      </c>
      <c r="C73">
        <v>33</v>
      </c>
      <c r="D73" t="s">
        <v>13</v>
      </c>
      <c r="E73" s="4">
        <v>44747</v>
      </c>
      <c r="F73" t="s">
        <v>17</v>
      </c>
      <c r="G73" s="16">
        <v>86570</v>
      </c>
      <c r="H73" t="s">
        <v>204</v>
      </c>
      <c r="I73" s="6">
        <f ca="1">(TODAY()-staff[[#This Row],[Date Joined]])/365</f>
        <v>1.7178082191780821</v>
      </c>
      <c r="J73" s="16">
        <f ca="1">ROUNDUP(IF(staff[[#This Row],[tenure]]&gt;2,3%,2%)*staff[[#This Row],[Salary]],0)</f>
        <v>1732</v>
      </c>
      <c r="K73" s="5">
        <f>_xlfn.XLOOKUP(staff[[#This Row],[Rating]],Table5[Column1],Table5[Column2])</f>
        <v>3</v>
      </c>
      <c r="N73" t="str">
        <f ca="1"/>
        <v>Allene Gobbet</v>
      </c>
      <c r="O73" t="str">
        <f ca="1"/>
        <v>Female</v>
      </c>
      <c r="P73">
        <f ca="1"/>
        <v>36</v>
      </c>
      <c r="Q73" t="str">
        <f ca="1"/>
        <v>Average</v>
      </c>
      <c r="R73" s="4">
        <f ca="1"/>
        <v>44529</v>
      </c>
      <c r="S73" s="3" t="str">
        <f ca="1"/>
        <v>Procurement</v>
      </c>
      <c r="T73">
        <f ca="1"/>
        <v>78390</v>
      </c>
      <c r="U73" t="str">
        <f ca="1"/>
        <v>nz</v>
      </c>
      <c r="V73" s="6">
        <f ca="1"/>
        <v>2.3150684931506849</v>
      </c>
      <c r="W73">
        <f ca="1"/>
        <v>2352</v>
      </c>
      <c r="X73">
        <f ca="1"/>
        <v>3</v>
      </c>
    </row>
    <row r="74" spans="1:24" x14ac:dyDescent="0.3">
      <c r="A74" t="s">
        <v>179</v>
      </c>
      <c r="B74" t="s">
        <v>8</v>
      </c>
      <c r="C74">
        <v>26</v>
      </c>
      <c r="D74" t="s">
        <v>13</v>
      </c>
      <c r="E74" s="4">
        <v>44350</v>
      </c>
      <c r="F74" t="s">
        <v>12</v>
      </c>
      <c r="G74" s="16">
        <v>53540</v>
      </c>
      <c r="H74" t="s">
        <v>204</v>
      </c>
      <c r="I74" s="6">
        <f ca="1">(TODAY()-staff[[#This Row],[Date Joined]])/365</f>
        <v>2.8054794520547945</v>
      </c>
      <c r="J74" s="16">
        <f ca="1">ROUNDUP(IF(staff[[#This Row],[tenure]]&gt;2,3%,2%)*staff[[#This Row],[Salary]],0)</f>
        <v>1607</v>
      </c>
      <c r="K74" s="5">
        <f>_xlfn.XLOOKUP(staff[[#This Row],[Rating]],Table5[Column1],Table5[Column2])</f>
        <v>3</v>
      </c>
      <c r="N74" t="str">
        <f ca="1"/>
        <v>Kellsie Waby</v>
      </c>
      <c r="O74" t="str">
        <f ca="1"/>
        <v>Male</v>
      </c>
      <c r="P74">
        <f ca="1"/>
        <v>20</v>
      </c>
      <c r="Q74" t="str">
        <f ca="1"/>
        <v>Average</v>
      </c>
      <c r="R74" s="4">
        <f ca="1"/>
        <v>44744</v>
      </c>
      <c r="S74" s="3" t="str">
        <f ca="1"/>
        <v>Procurement</v>
      </c>
      <c r="T74">
        <f ca="1"/>
        <v>79570</v>
      </c>
      <c r="U74" t="str">
        <f ca="1"/>
        <v>nz</v>
      </c>
      <c r="V74" s="6">
        <f ca="1"/>
        <v>1.726027397260274</v>
      </c>
      <c r="W74">
        <f ca="1"/>
        <v>1592</v>
      </c>
      <c r="X74">
        <f ca="1"/>
        <v>3</v>
      </c>
    </row>
    <row r="75" spans="1:24" x14ac:dyDescent="0.3">
      <c r="A75" t="s">
        <v>180</v>
      </c>
      <c r="B75" t="s">
        <v>8</v>
      </c>
      <c r="C75">
        <v>37</v>
      </c>
      <c r="D75" t="s">
        <v>13</v>
      </c>
      <c r="E75" s="4">
        <v>44640</v>
      </c>
      <c r="F75" t="s">
        <v>23</v>
      </c>
      <c r="G75" s="16">
        <v>69070</v>
      </c>
      <c r="H75" t="s">
        <v>204</v>
      </c>
      <c r="I75" s="6">
        <f ca="1">(TODAY()-staff[[#This Row],[Date Joined]])/365</f>
        <v>2.010958904109589</v>
      </c>
      <c r="J75" s="16">
        <f ca="1">ROUNDUP(IF(staff[[#This Row],[tenure]]&gt;2,3%,2%)*staff[[#This Row],[Salary]],0)</f>
        <v>2073</v>
      </c>
      <c r="K75" s="5">
        <f>_xlfn.XLOOKUP(staff[[#This Row],[Rating]],Table5[Column1],Table5[Column2])</f>
        <v>3</v>
      </c>
      <c r="N75" t="str">
        <f ca="1"/>
        <v>Lilyan Klimpt</v>
      </c>
      <c r="O75" t="str">
        <f ca="1"/>
        <v>Male</v>
      </c>
      <c r="P75">
        <f ca="1"/>
        <v>19</v>
      </c>
      <c r="Q75" t="str">
        <f ca="1"/>
        <v>Average</v>
      </c>
      <c r="R75" s="4">
        <f ca="1"/>
        <v>44277</v>
      </c>
      <c r="S75" s="3" t="str">
        <f ca="1"/>
        <v>Procurement</v>
      </c>
      <c r="T75">
        <f ca="1"/>
        <v>58960</v>
      </c>
      <c r="U75" t="str">
        <f ca="1"/>
        <v>nz</v>
      </c>
      <c r="V75" s="6">
        <f ca="1"/>
        <v>3.0054794520547947</v>
      </c>
      <c r="W75">
        <f ca="1"/>
        <v>1769</v>
      </c>
      <c r="X75">
        <f ca="1"/>
        <v>3</v>
      </c>
    </row>
    <row r="76" spans="1:24" x14ac:dyDescent="0.3">
      <c r="A76" t="s">
        <v>181</v>
      </c>
      <c r="B76" t="s">
        <v>15</v>
      </c>
      <c r="C76">
        <v>30</v>
      </c>
      <c r="D76" t="s">
        <v>18</v>
      </c>
      <c r="E76" s="4">
        <v>44328</v>
      </c>
      <c r="F76" t="s">
        <v>17</v>
      </c>
      <c r="G76" s="16">
        <v>67910</v>
      </c>
      <c r="H76" t="s">
        <v>204</v>
      </c>
      <c r="I76" s="6">
        <f ca="1">(TODAY()-staff[[#This Row],[Date Joined]])/365</f>
        <v>2.8657534246575342</v>
      </c>
      <c r="J76" s="16">
        <f ca="1">ROUNDUP(IF(staff[[#This Row],[tenure]]&gt;2,3%,2%)*staff[[#This Row],[Salary]],0)</f>
        <v>2038</v>
      </c>
      <c r="K76" s="5">
        <f>_xlfn.XLOOKUP(staff[[#This Row],[Rating]],Table5[Column1],Table5[Column2])</f>
        <v>2</v>
      </c>
      <c r="N76" t="str">
        <f ca="1"/>
        <v>Tracy Renad</v>
      </c>
      <c r="O76" t="str">
        <f ca="1"/>
        <v>Female</v>
      </c>
      <c r="P76">
        <f ca="1"/>
        <v>36</v>
      </c>
      <c r="Q76" t="str">
        <f ca="1"/>
        <v>Average</v>
      </c>
      <c r="R76" s="4">
        <f ca="1"/>
        <v>44085</v>
      </c>
      <c r="S76" s="3" t="str">
        <f ca="1"/>
        <v>Procurement</v>
      </c>
      <c r="T76">
        <f ca="1"/>
        <v>114890</v>
      </c>
      <c r="U76" t="str">
        <f ca="1"/>
        <v>nz</v>
      </c>
      <c r="V76" s="6">
        <f ca="1"/>
        <v>3.5315068493150683</v>
      </c>
      <c r="W76">
        <f ca="1"/>
        <v>3447</v>
      </c>
      <c r="X76">
        <f ca="1"/>
        <v>3</v>
      </c>
    </row>
    <row r="77" spans="1:24" x14ac:dyDescent="0.3">
      <c r="A77" t="s">
        <v>182</v>
      </c>
      <c r="B77" t="s">
        <v>8</v>
      </c>
      <c r="C77">
        <v>30</v>
      </c>
      <c r="D77" t="s">
        <v>13</v>
      </c>
      <c r="E77" s="4">
        <v>44214</v>
      </c>
      <c r="F77" t="s">
        <v>23</v>
      </c>
      <c r="G77" s="16">
        <v>69120</v>
      </c>
      <c r="H77" t="s">
        <v>204</v>
      </c>
      <c r="I77" s="6">
        <f ca="1">(TODAY()-staff[[#This Row],[Date Joined]])/365</f>
        <v>3.1780821917808217</v>
      </c>
      <c r="J77" s="16">
        <f ca="1">ROUNDUP(IF(staff[[#This Row],[tenure]]&gt;2,3%,2%)*staff[[#This Row],[Salary]],0)</f>
        <v>2074</v>
      </c>
      <c r="K77" s="5">
        <f>_xlfn.XLOOKUP(staff[[#This Row],[Rating]],Table5[Column1],Table5[Column2])</f>
        <v>3</v>
      </c>
      <c r="N77" t="str">
        <f ca="1"/>
        <v>Mahalia Larcher</v>
      </c>
      <c r="O77" t="str">
        <f ca="1"/>
        <v>Male</v>
      </c>
      <c r="P77">
        <f ca="1"/>
        <v>27</v>
      </c>
      <c r="Q77" t="str">
        <f ca="1"/>
        <v>Very poor</v>
      </c>
      <c r="R77" s="4">
        <f ca="1"/>
        <v>44609</v>
      </c>
      <c r="S77" s="3" t="str">
        <f ca="1"/>
        <v>Procurement</v>
      </c>
      <c r="T77">
        <f ca="1"/>
        <v>113280</v>
      </c>
      <c r="U77" t="str">
        <f ca="1"/>
        <v>nz</v>
      </c>
      <c r="V77" s="6">
        <f ca="1"/>
        <v>2.095890410958904</v>
      </c>
      <c r="W77">
        <f ca="1"/>
        <v>3399</v>
      </c>
      <c r="X77">
        <f ca="1"/>
        <v>1</v>
      </c>
    </row>
    <row r="78" spans="1:24" x14ac:dyDescent="0.3">
      <c r="A78" t="s">
        <v>183</v>
      </c>
      <c r="B78" t="s">
        <v>15</v>
      </c>
      <c r="C78">
        <v>34</v>
      </c>
      <c r="D78" t="s">
        <v>13</v>
      </c>
      <c r="E78" s="4">
        <v>44550</v>
      </c>
      <c r="F78" t="s">
        <v>17</v>
      </c>
      <c r="G78" s="16">
        <v>60130</v>
      </c>
      <c r="H78" t="s">
        <v>204</v>
      </c>
      <c r="I78" s="6">
        <f ca="1">(TODAY()-staff[[#This Row],[Date Joined]])/365</f>
        <v>2.2575342465753425</v>
      </c>
      <c r="J78" s="16">
        <f ca="1">ROUNDUP(IF(staff[[#This Row],[tenure]]&gt;2,3%,2%)*staff[[#This Row],[Salary]],0)</f>
        <v>1804</v>
      </c>
      <c r="K78" s="5">
        <f>_xlfn.XLOOKUP(staff[[#This Row],[Rating]],Table5[Column1],Table5[Column2])</f>
        <v>3</v>
      </c>
      <c r="N78" t="str">
        <f ca="1"/>
        <v>Virginia McConville</v>
      </c>
      <c r="O78" t="str">
        <f ca="1"/>
        <v>Female</v>
      </c>
      <c r="P78">
        <f ca="1"/>
        <v>22</v>
      </c>
      <c r="Q78" t="str">
        <f ca="1"/>
        <v>Above average</v>
      </c>
      <c r="R78" s="4">
        <f ca="1"/>
        <v>44450</v>
      </c>
      <c r="S78" s="3" t="str">
        <f ca="1"/>
        <v>Procurement</v>
      </c>
      <c r="T78">
        <f ca="1"/>
        <v>76900</v>
      </c>
      <c r="U78" t="str">
        <f ca="1"/>
        <v>nz</v>
      </c>
      <c r="V78" s="6">
        <f ca="1"/>
        <v>2.5315068493150683</v>
      </c>
      <c r="W78">
        <f ca="1"/>
        <v>2307</v>
      </c>
      <c r="X78">
        <f ca="1"/>
        <v>4</v>
      </c>
    </row>
    <row r="79" spans="1:24" x14ac:dyDescent="0.3">
      <c r="A79" t="s">
        <v>184</v>
      </c>
      <c r="B79" t="s">
        <v>8</v>
      </c>
      <c r="C79">
        <v>23</v>
      </c>
      <c r="D79" t="s">
        <v>13</v>
      </c>
      <c r="E79" s="4">
        <v>44378</v>
      </c>
      <c r="F79" t="s">
        <v>12</v>
      </c>
      <c r="G79" s="16">
        <v>106460</v>
      </c>
      <c r="H79" t="s">
        <v>204</v>
      </c>
      <c r="I79" s="6">
        <f ca="1">(TODAY()-staff[[#This Row],[Date Joined]])/365</f>
        <v>2.7287671232876711</v>
      </c>
      <c r="J79" s="16">
        <f ca="1">ROUNDUP(IF(staff[[#This Row],[tenure]]&gt;2,3%,2%)*staff[[#This Row],[Salary]],0)</f>
        <v>3194</v>
      </c>
      <c r="K79" s="5">
        <f>_xlfn.XLOOKUP(staff[[#This Row],[Rating]],Table5[Column1],Table5[Column2])</f>
        <v>3</v>
      </c>
      <c r="N79" t="str">
        <f ca="1"/>
        <v>Janene Hairsine</v>
      </c>
      <c r="O79" t="str">
        <f ca="1"/>
        <v>Female</v>
      </c>
      <c r="P79">
        <f ca="1"/>
        <v>28</v>
      </c>
      <c r="Q79" t="str">
        <f ca="1"/>
        <v>Average</v>
      </c>
      <c r="R79" s="4">
        <f ca="1"/>
        <v>44486</v>
      </c>
      <c r="S79" s="3" t="str">
        <f ca="1"/>
        <v>Procurement</v>
      </c>
      <c r="T79">
        <f ca="1"/>
        <v>104770</v>
      </c>
      <c r="U79" t="str">
        <f ca="1"/>
        <v>nz</v>
      </c>
      <c r="V79" s="6">
        <f ca="1"/>
        <v>2.4328767123287673</v>
      </c>
      <c r="W79">
        <f ca="1"/>
        <v>3144</v>
      </c>
      <c r="X79">
        <f ca="1"/>
        <v>3</v>
      </c>
    </row>
    <row r="80" spans="1:24" x14ac:dyDescent="0.3">
      <c r="A80" t="s">
        <v>185</v>
      </c>
      <c r="B80" t="s">
        <v>15</v>
      </c>
      <c r="C80">
        <v>37</v>
      </c>
      <c r="D80" t="s">
        <v>13</v>
      </c>
      <c r="E80" s="4">
        <v>44389</v>
      </c>
      <c r="F80" t="s">
        <v>26</v>
      </c>
      <c r="G80" s="16">
        <v>118100</v>
      </c>
      <c r="H80" t="s">
        <v>204</v>
      </c>
      <c r="I80" s="6">
        <f ca="1">(TODAY()-staff[[#This Row],[Date Joined]])/365</f>
        <v>2.6986301369863015</v>
      </c>
      <c r="J80" s="16">
        <f ca="1">ROUNDUP(IF(staff[[#This Row],[tenure]]&gt;2,3%,2%)*staff[[#This Row],[Salary]],0)</f>
        <v>3543</v>
      </c>
      <c r="K80" s="5">
        <f>_xlfn.XLOOKUP(staff[[#This Row],[Rating]],Table5[Column1],Table5[Column2])</f>
        <v>3</v>
      </c>
      <c r="N80" t="str">
        <f ca="1"/>
        <v>Dell Molloy</v>
      </c>
      <c r="O80" t="str">
        <f ca="1"/>
        <v>Male</v>
      </c>
      <c r="P80">
        <f ca="1"/>
        <v>26</v>
      </c>
      <c r="Q80" t="str">
        <f ca="1"/>
        <v>Average</v>
      </c>
      <c r="R80" s="4">
        <f ca="1"/>
        <v>44225</v>
      </c>
      <c r="S80" s="3" t="str">
        <f ca="1"/>
        <v>Procurement</v>
      </c>
      <c r="T80">
        <f ca="1"/>
        <v>47360</v>
      </c>
      <c r="U80" t="str">
        <f ca="1"/>
        <v>nz</v>
      </c>
      <c r="V80" s="6">
        <f ca="1"/>
        <v>3.1479452054794521</v>
      </c>
      <c r="W80">
        <f ca="1"/>
        <v>1421</v>
      </c>
      <c r="X80">
        <f ca="1"/>
        <v>3</v>
      </c>
    </row>
    <row r="81" spans="1:24" x14ac:dyDescent="0.3">
      <c r="A81" t="s">
        <v>186</v>
      </c>
      <c r="B81" t="s">
        <v>15</v>
      </c>
      <c r="C81">
        <v>36</v>
      </c>
      <c r="D81" t="s">
        <v>13</v>
      </c>
      <c r="E81" s="4">
        <v>44468</v>
      </c>
      <c r="F81" t="s">
        <v>12</v>
      </c>
      <c r="G81" s="16">
        <v>78390</v>
      </c>
      <c r="H81" t="s">
        <v>204</v>
      </c>
      <c r="I81" s="6">
        <f ca="1">(TODAY()-staff[[#This Row],[Date Joined]])/365</f>
        <v>2.4821917808219176</v>
      </c>
      <c r="J81" s="16">
        <f ca="1">ROUNDUP(IF(staff[[#This Row],[tenure]]&gt;2,3%,2%)*staff[[#This Row],[Salary]],0)</f>
        <v>2352</v>
      </c>
      <c r="K81" s="5">
        <f>_xlfn.XLOOKUP(staff[[#This Row],[Rating]],Table5[Column1],Table5[Column2])</f>
        <v>3</v>
      </c>
      <c r="N81" t="str">
        <f ca="1"/>
        <v>Mallorie Waber</v>
      </c>
      <c r="O81" t="str">
        <f ca="1"/>
        <v>Male</v>
      </c>
      <c r="P81">
        <f ca="1"/>
        <v>30</v>
      </c>
      <c r="Q81" t="str">
        <f ca="1"/>
        <v>Average</v>
      </c>
      <c r="R81" s="4">
        <f ca="1"/>
        <v>44666</v>
      </c>
      <c r="S81" s="3" t="str">
        <f ca="1"/>
        <v>Procurement</v>
      </c>
      <c r="T81">
        <f ca="1"/>
        <v>60570</v>
      </c>
      <c r="U81" t="str">
        <f ca="1"/>
        <v>nz</v>
      </c>
      <c r="V81" s="6">
        <f ca="1"/>
        <v>1.9397260273972603</v>
      </c>
      <c r="W81">
        <f ca="1"/>
        <v>1212</v>
      </c>
      <c r="X81">
        <f ca="1"/>
        <v>3</v>
      </c>
    </row>
    <row r="82" spans="1:24" x14ac:dyDescent="0.3">
      <c r="A82" t="s">
        <v>187</v>
      </c>
      <c r="B82" t="s">
        <v>15</v>
      </c>
      <c r="C82">
        <v>30</v>
      </c>
      <c r="D82" t="s">
        <v>13</v>
      </c>
      <c r="E82" s="4">
        <v>44789</v>
      </c>
      <c r="F82" t="s">
        <v>12</v>
      </c>
      <c r="G82" s="16">
        <v>114180</v>
      </c>
      <c r="H82" t="s">
        <v>204</v>
      </c>
      <c r="I82" s="6">
        <f ca="1">(TODAY()-staff[[#This Row],[Date Joined]])/365</f>
        <v>1.6027397260273972</v>
      </c>
      <c r="J82" s="16">
        <f ca="1">ROUNDUP(IF(staff[[#This Row],[tenure]]&gt;2,3%,2%)*staff[[#This Row],[Salary]],0)</f>
        <v>2284</v>
      </c>
      <c r="K82" s="5">
        <f>_xlfn.XLOOKUP(staff[[#This Row],[Rating]],Table5[Column1],Table5[Column2])</f>
        <v>3</v>
      </c>
      <c r="N82" t="str">
        <f ca="1"/>
        <v>Cherlyn Barter</v>
      </c>
      <c r="O82" t="str">
        <f ca="1"/>
        <v>Female</v>
      </c>
      <c r="P82">
        <f ca="1"/>
        <v>28</v>
      </c>
      <c r="Q82" t="str">
        <f ca="1"/>
        <v>Average</v>
      </c>
      <c r="R82" s="4">
        <f ca="1"/>
        <v>44649</v>
      </c>
      <c r="S82" s="3" t="str">
        <f ca="1"/>
        <v>Procurement</v>
      </c>
      <c r="T82">
        <f ca="1"/>
        <v>104120</v>
      </c>
      <c r="U82" t="str">
        <f ca="1"/>
        <v>nz</v>
      </c>
      <c r="V82" s="6">
        <f ca="1"/>
        <v>1.9863013698630136</v>
      </c>
      <c r="W82">
        <f ca="1"/>
        <v>2083</v>
      </c>
      <c r="X82">
        <f ca="1"/>
        <v>3</v>
      </c>
    </row>
    <row r="83" spans="1:24" x14ac:dyDescent="0.3">
      <c r="A83" t="s">
        <v>188</v>
      </c>
      <c r="B83" t="s">
        <v>15</v>
      </c>
      <c r="C83">
        <v>28</v>
      </c>
      <c r="D83" t="s">
        <v>13</v>
      </c>
      <c r="E83" s="4">
        <v>44590</v>
      </c>
      <c r="F83" t="s">
        <v>12</v>
      </c>
      <c r="G83" s="16">
        <v>104120</v>
      </c>
      <c r="H83" t="s">
        <v>204</v>
      </c>
      <c r="I83" s="6">
        <f ca="1">(TODAY()-staff[[#This Row],[Date Joined]])/365</f>
        <v>2.1479452054794521</v>
      </c>
      <c r="J83" s="16">
        <f ca="1">ROUNDUP(IF(staff[[#This Row],[tenure]]&gt;2,3%,2%)*staff[[#This Row],[Salary]],0)</f>
        <v>3124</v>
      </c>
      <c r="K83" s="5">
        <f>_xlfn.XLOOKUP(staff[[#This Row],[Rating]],Table5[Column1],Table5[Column2])</f>
        <v>3</v>
      </c>
      <c r="N83" t="str">
        <f ca="1"/>
        <v>Hogan Iles</v>
      </c>
      <c r="O83" t="str">
        <f ca="1"/>
        <v>Female</v>
      </c>
      <c r="P83">
        <f ca="1"/>
        <v>30</v>
      </c>
      <c r="Q83" t="str">
        <f ca="1"/>
        <v>Average</v>
      </c>
      <c r="R83" s="4">
        <f ca="1"/>
        <v>44850</v>
      </c>
      <c r="S83" s="3" t="str">
        <f ca="1"/>
        <v>Procurement</v>
      </c>
      <c r="T83">
        <f ca="1"/>
        <v>114180</v>
      </c>
      <c r="U83" t="str">
        <f ca="1"/>
        <v>nz</v>
      </c>
      <c r="V83" s="6">
        <f ca="1"/>
        <v>1.4356164383561645</v>
      </c>
      <c r="W83">
        <f ca="1"/>
        <v>2284</v>
      </c>
      <c r="X83">
        <f ca="1"/>
        <v>3</v>
      </c>
    </row>
    <row r="84" spans="1:24" x14ac:dyDescent="0.3">
      <c r="A84" t="s">
        <v>189</v>
      </c>
      <c r="B84" t="s">
        <v>8</v>
      </c>
      <c r="C84">
        <v>30</v>
      </c>
      <c r="D84" t="s">
        <v>13</v>
      </c>
      <c r="E84" s="4">
        <v>44640</v>
      </c>
      <c r="F84" t="s">
        <v>12</v>
      </c>
      <c r="G84" s="16">
        <v>67950</v>
      </c>
      <c r="H84" t="s">
        <v>204</v>
      </c>
      <c r="I84" s="6">
        <f ca="1">(TODAY()-staff[[#This Row],[Date Joined]])/365</f>
        <v>2.010958904109589</v>
      </c>
      <c r="J84" s="16">
        <f ca="1">ROUNDUP(IF(staff[[#This Row],[tenure]]&gt;2,3%,2%)*staff[[#This Row],[Salary]],0)</f>
        <v>2039</v>
      </c>
      <c r="K84" s="5">
        <f>_xlfn.XLOOKUP(staff[[#This Row],[Rating]],Table5[Column1],Table5[Column2])</f>
        <v>3</v>
      </c>
      <c r="N84" t="str">
        <f ca="1"/>
        <v>Kissiah Maydway</v>
      </c>
      <c r="O84" t="str">
        <f ca="1"/>
        <v>Male</v>
      </c>
      <c r="P84">
        <f ca="1"/>
        <v>23</v>
      </c>
      <c r="Q84" t="str">
        <f ca="1"/>
        <v>Average</v>
      </c>
      <c r="R84" s="4">
        <f ca="1"/>
        <v>44440</v>
      </c>
      <c r="S84" s="3" t="str">
        <f ca="1"/>
        <v>Procurement</v>
      </c>
      <c r="T84">
        <f ca="1"/>
        <v>106460</v>
      </c>
      <c r="U84" t="str">
        <f ca="1"/>
        <v>nz</v>
      </c>
      <c r="V84" s="6">
        <f ca="1"/>
        <v>2.558904109589041</v>
      </c>
      <c r="W84">
        <f ca="1"/>
        <v>3194</v>
      </c>
      <c r="X84">
        <f ca="1"/>
        <v>3</v>
      </c>
    </row>
    <row r="85" spans="1:24" x14ac:dyDescent="0.3">
      <c r="A85" t="s">
        <v>190</v>
      </c>
      <c r="B85" t="s">
        <v>15</v>
      </c>
      <c r="C85">
        <v>29</v>
      </c>
      <c r="D85" t="s">
        <v>13</v>
      </c>
      <c r="E85" s="4">
        <v>43962</v>
      </c>
      <c r="F85" t="s">
        <v>23</v>
      </c>
      <c r="G85" s="16">
        <v>34980</v>
      </c>
      <c r="H85" t="s">
        <v>204</v>
      </c>
      <c r="I85" s="6">
        <f ca="1">(TODAY()-staff[[#This Row],[Date Joined]])/365</f>
        <v>3.8684931506849316</v>
      </c>
      <c r="J85" s="16">
        <f ca="1">ROUNDUP(IF(staff[[#This Row],[tenure]]&gt;2,3%,2%)*staff[[#This Row],[Salary]],0)</f>
        <v>1050</v>
      </c>
      <c r="K85" s="5">
        <f>_xlfn.XLOOKUP(staff[[#This Row],[Rating]],Table5[Column1],Table5[Column2])</f>
        <v>3</v>
      </c>
      <c r="N85" t="str">
        <f ca="1"/>
        <v>Archibald Filliskirk</v>
      </c>
      <c r="O85" t="str">
        <f ca="1"/>
        <v>Male</v>
      </c>
      <c r="P85">
        <f ca="1"/>
        <v>35</v>
      </c>
      <c r="Q85" t="str">
        <f ca="1"/>
        <v>Average</v>
      </c>
      <c r="R85" s="4">
        <f ca="1"/>
        <v>44727</v>
      </c>
      <c r="S85" s="3" t="str">
        <f ca="1"/>
        <v>Procurement</v>
      </c>
      <c r="T85">
        <f ca="1"/>
        <v>40400</v>
      </c>
      <c r="U85" t="str">
        <f ca="1"/>
        <v>nz</v>
      </c>
      <c r="V85" s="6">
        <f ca="1"/>
        <v>1.7726027397260273</v>
      </c>
      <c r="W85">
        <f ca="1"/>
        <v>808</v>
      </c>
      <c r="X85">
        <f ca="1"/>
        <v>3</v>
      </c>
    </row>
    <row r="86" spans="1:24" x14ac:dyDescent="0.3">
      <c r="A86" t="s">
        <v>191</v>
      </c>
      <c r="B86" t="s">
        <v>15</v>
      </c>
      <c r="C86">
        <v>24</v>
      </c>
      <c r="D86" t="s">
        <v>13</v>
      </c>
      <c r="E86" s="4">
        <v>44087</v>
      </c>
      <c r="F86" t="s">
        <v>23</v>
      </c>
      <c r="G86" s="16">
        <v>62780</v>
      </c>
      <c r="H86" t="s">
        <v>204</v>
      </c>
      <c r="I86" s="6">
        <f ca="1">(TODAY()-staff[[#This Row],[Date Joined]])/365</f>
        <v>3.526027397260274</v>
      </c>
      <c r="J86" s="16">
        <f ca="1">ROUNDUP(IF(staff[[#This Row],[tenure]]&gt;2,3%,2%)*staff[[#This Row],[Salary]],0)</f>
        <v>1884</v>
      </c>
      <c r="K86" s="5">
        <f>_xlfn.XLOOKUP(staff[[#This Row],[Rating]],Table5[Column1],Table5[Column2])</f>
        <v>3</v>
      </c>
      <c r="N86" t="str">
        <f ca="1"/>
        <v>Crissie Cordel</v>
      </c>
      <c r="O86" t="str">
        <f ca="1"/>
        <v>Female</v>
      </c>
      <c r="P86">
        <f ca="1"/>
        <v>32</v>
      </c>
      <c r="Q86" t="str">
        <f ca="1"/>
        <v>Average</v>
      </c>
      <c r="R86" s="4">
        <f ca="1"/>
        <v>44611</v>
      </c>
      <c r="S86" s="3" t="str">
        <f ca="1"/>
        <v>Procurement</v>
      </c>
      <c r="T86">
        <f ca="1"/>
        <v>41570</v>
      </c>
      <c r="U86" t="str">
        <f ca="1"/>
        <v>nz</v>
      </c>
      <c r="V86" s="6">
        <f ca="1"/>
        <v>2.0904109589041098</v>
      </c>
      <c r="W86">
        <f ca="1"/>
        <v>1248</v>
      </c>
      <c r="X86">
        <f ca="1"/>
        <v>3</v>
      </c>
    </row>
    <row r="87" spans="1:24" x14ac:dyDescent="0.3">
      <c r="A87" t="s">
        <v>192</v>
      </c>
      <c r="B87" t="s">
        <v>8</v>
      </c>
      <c r="C87">
        <v>20</v>
      </c>
      <c r="D87" t="s">
        <v>13</v>
      </c>
      <c r="E87" s="4">
        <v>44397</v>
      </c>
      <c r="F87" t="s">
        <v>23</v>
      </c>
      <c r="G87" s="16">
        <v>107700</v>
      </c>
      <c r="H87" t="s">
        <v>204</v>
      </c>
      <c r="I87" s="6">
        <f ca="1">(TODAY()-staff[[#This Row],[Date Joined]])/365</f>
        <v>2.6767123287671235</v>
      </c>
      <c r="J87" s="16">
        <f ca="1">ROUNDUP(IF(staff[[#This Row],[tenure]]&gt;2,3%,2%)*staff[[#This Row],[Salary]],0)</f>
        <v>3231</v>
      </c>
      <c r="K87" s="5">
        <f>_xlfn.XLOOKUP(staff[[#This Row],[Rating]],Table5[Column1],Table5[Column2])</f>
        <v>3</v>
      </c>
      <c r="N87" t="str">
        <f ca="1"/>
        <v>Ebonee Roxburgh</v>
      </c>
      <c r="O87" t="str">
        <f ca="1"/>
        <v>Male</v>
      </c>
      <c r="P87">
        <f ca="1"/>
        <v>30</v>
      </c>
      <c r="Q87" t="str">
        <f ca="1"/>
        <v>Average</v>
      </c>
      <c r="R87" s="4">
        <f ca="1"/>
        <v>44701</v>
      </c>
      <c r="S87" s="3" t="str">
        <f ca="1"/>
        <v>Procurement</v>
      </c>
      <c r="T87">
        <f ca="1"/>
        <v>67950</v>
      </c>
      <c r="U87" t="str">
        <f ca="1"/>
        <v>nz</v>
      </c>
      <c r="V87" s="6">
        <f ca="1"/>
        <v>1.8438356164383563</v>
      </c>
      <c r="W87">
        <f ca="1"/>
        <v>1359</v>
      </c>
      <c r="X87">
        <f ca="1"/>
        <v>3</v>
      </c>
    </row>
    <row r="88" spans="1:24" x14ac:dyDescent="0.3">
      <c r="A88" t="s">
        <v>193</v>
      </c>
      <c r="B88" t="s">
        <v>8</v>
      </c>
      <c r="C88">
        <v>25</v>
      </c>
      <c r="D88" t="s">
        <v>13</v>
      </c>
      <c r="E88" s="4">
        <v>44322</v>
      </c>
      <c r="F88" t="s">
        <v>9</v>
      </c>
      <c r="G88" s="16">
        <v>65700</v>
      </c>
      <c r="H88" t="s">
        <v>204</v>
      </c>
      <c r="I88" s="6">
        <f ca="1">(TODAY()-staff[[#This Row],[Date Joined]])/365</f>
        <v>2.882191780821918</v>
      </c>
      <c r="J88" s="16">
        <f ca="1">ROUNDUP(IF(staff[[#This Row],[tenure]]&gt;2,3%,2%)*staff[[#This Row],[Salary]],0)</f>
        <v>1971</v>
      </c>
      <c r="K88" s="5">
        <f>_xlfn.XLOOKUP(staff[[#This Row],[Rating]],Table5[Column1],Table5[Column2])</f>
        <v>3</v>
      </c>
      <c r="N88" t="str">
        <f ca="1"/>
        <v>Zach Polon</v>
      </c>
      <c r="O88" t="str">
        <f ca="1"/>
        <v>Male</v>
      </c>
      <c r="P88">
        <f ca="1"/>
        <v>26</v>
      </c>
      <c r="Q88" t="str">
        <f ca="1"/>
        <v>Average</v>
      </c>
      <c r="R88" s="4">
        <f ca="1"/>
        <v>44411</v>
      </c>
      <c r="S88" s="3" t="str">
        <f ca="1"/>
        <v>Procurement</v>
      </c>
      <c r="T88">
        <f ca="1"/>
        <v>53540</v>
      </c>
      <c r="U88" t="str">
        <f ca="1"/>
        <v>nz</v>
      </c>
      <c r="V88" s="6">
        <f ca="1"/>
        <v>2.6383561643835618</v>
      </c>
      <c r="W88">
        <f ca="1"/>
        <v>1607</v>
      </c>
      <c r="X88">
        <f ca="1"/>
        <v>3</v>
      </c>
    </row>
    <row r="89" spans="1:24" x14ac:dyDescent="0.3">
      <c r="A89" t="s">
        <v>194</v>
      </c>
      <c r="B89" t="s">
        <v>15</v>
      </c>
      <c r="C89">
        <v>33</v>
      </c>
      <c r="D89" t="s">
        <v>49</v>
      </c>
      <c r="E89" s="4">
        <v>44313</v>
      </c>
      <c r="F89" t="s">
        <v>23</v>
      </c>
      <c r="G89" s="16">
        <v>75480</v>
      </c>
      <c r="H89" t="s">
        <v>204</v>
      </c>
      <c r="I89" s="6">
        <f ca="1">(TODAY()-staff[[#This Row],[Date Joined]])/365</f>
        <v>2.9068493150684933</v>
      </c>
      <c r="J89" s="16">
        <f ca="1">ROUNDUP(IF(staff[[#This Row],[tenure]]&gt;2,3%,2%)*staff[[#This Row],[Salary]],0)</f>
        <v>2265</v>
      </c>
      <c r="K89" s="5">
        <f>_xlfn.XLOOKUP(staff[[#This Row],[Rating]],Table5[Column1],Table5[Column2])</f>
        <v>1</v>
      </c>
      <c r="S89" s="3"/>
    </row>
    <row r="90" spans="1:24" x14ac:dyDescent="0.3">
      <c r="A90" t="s">
        <v>195</v>
      </c>
      <c r="B90" t="s">
        <v>8</v>
      </c>
      <c r="C90">
        <v>33</v>
      </c>
      <c r="D90" t="s">
        <v>13</v>
      </c>
      <c r="E90" s="4">
        <v>44448</v>
      </c>
      <c r="F90" t="s">
        <v>23</v>
      </c>
      <c r="G90" s="16">
        <v>53870</v>
      </c>
      <c r="H90" t="s">
        <v>204</v>
      </c>
      <c r="I90" s="6">
        <f ca="1">(TODAY()-staff[[#This Row],[Date Joined]])/365</f>
        <v>2.536986301369863</v>
      </c>
      <c r="J90" s="16">
        <f ca="1">ROUNDUP(IF(staff[[#This Row],[tenure]]&gt;2,3%,2%)*staff[[#This Row],[Salary]],0)</f>
        <v>1617</v>
      </c>
      <c r="K90" s="5">
        <f>_xlfn.XLOOKUP(staff[[#This Row],[Rating]],Table5[Column1],Table5[Column2])</f>
        <v>3</v>
      </c>
      <c r="S90" s="3"/>
    </row>
    <row r="91" spans="1:24" x14ac:dyDescent="0.3">
      <c r="A91" t="s">
        <v>196</v>
      </c>
      <c r="B91" t="s">
        <v>15</v>
      </c>
      <c r="C91">
        <v>36</v>
      </c>
      <c r="D91" t="s">
        <v>13</v>
      </c>
      <c r="E91" s="4">
        <v>44433</v>
      </c>
      <c r="F91" t="s">
        <v>9</v>
      </c>
      <c r="G91" s="16">
        <v>78540</v>
      </c>
      <c r="H91" t="s">
        <v>204</v>
      </c>
      <c r="I91" s="6">
        <f ca="1">(TODAY()-staff[[#This Row],[Date Joined]])/365</f>
        <v>2.5780821917808221</v>
      </c>
      <c r="J91" s="16">
        <f ca="1">ROUNDUP(IF(staff[[#This Row],[tenure]]&gt;2,3%,2%)*staff[[#This Row],[Salary]],0)</f>
        <v>2357</v>
      </c>
      <c r="K91" s="5">
        <f>_xlfn.XLOOKUP(staff[[#This Row],[Rating]],Table5[Column1],Table5[Column2])</f>
        <v>3</v>
      </c>
      <c r="S91" s="3"/>
    </row>
    <row r="92" spans="1:24" x14ac:dyDescent="0.3">
      <c r="A92" t="s">
        <v>197</v>
      </c>
      <c r="B92" t="s">
        <v>8</v>
      </c>
      <c r="C92">
        <v>19</v>
      </c>
      <c r="D92" t="s">
        <v>13</v>
      </c>
      <c r="E92" s="4">
        <v>44218</v>
      </c>
      <c r="F92" t="s">
        <v>12</v>
      </c>
      <c r="G92" s="16">
        <v>58960</v>
      </c>
      <c r="H92" t="s">
        <v>204</v>
      </c>
      <c r="I92" s="6">
        <f ca="1">(TODAY()-staff[[#This Row],[Date Joined]])/365</f>
        <v>3.1671232876712327</v>
      </c>
      <c r="J92" s="16">
        <f ca="1">ROUNDUP(IF(staff[[#This Row],[tenure]]&gt;2,3%,2%)*staff[[#This Row],[Salary]],0)</f>
        <v>1769</v>
      </c>
      <c r="K92" s="5">
        <f>_xlfn.XLOOKUP(staff[[#This Row],[Rating]],Table5[Column1],Table5[Column2])</f>
        <v>3</v>
      </c>
      <c r="S92" s="3"/>
    </row>
    <row r="93" spans="1:24" x14ac:dyDescent="0.3">
      <c r="A93" t="s">
        <v>198</v>
      </c>
      <c r="B93" t="s">
        <v>8</v>
      </c>
      <c r="C93">
        <v>46</v>
      </c>
      <c r="D93" t="s">
        <v>13</v>
      </c>
      <c r="E93" s="4">
        <v>44697</v>
      </c>
      <c r="F93" t="s">
        <v>12</v>
      </c>
      <c r="G93" s="16">
        <v>70610</v>
      </c>
      <c r="H93" t="s">
        <v>204</v>
      </c>
      <c r="I93" s="6">
        <f ca="1">(TODAY()-staff[[#This Row],[Date Joined]])/365</f>
        <v>1.8547945205479452</v>
      </c>
      <c r="J93" s="16">
        <f ca="1">ROUNDUP(IF(staff[[#This Row],[tenure]]&gt;2,3%,2%)*staff[[#This Row],[Salary]],0)</f>
        <v>1413</v>
      </c>
      <c r="K93" s="5">
        <f>_xlfn.XLOOKUP(staff[[#This Row],[Rating]],Table5[Column1],Table5[Column2])</f>
        <v>3</v>
      </c>
      <c r="S93" s="3"/>
    </row>
    <row r="94" spans="1:24" x14ac:dyDescent="0.3">
      <c r="A94" t="s">
        <v>199</v>
      </c>
      <c r="B94" t="s">
        <v>8</v>
      </c>
      <c r="C94">
        <v>33</v>
      </c>
      <c r="D94" t="s">
        <v>13</v>
      </c>
      <c r="E94" s="4">
        <v>44181</v>
      </c>
      <c r="F94" t="s">
        <v>17</v>
      </c>
      <c r="G94" s="16">
        <v>59430</v>
      </c>
      <c r="H94" t="s">
        <v>204</v>
      </c>
      <c r="I94" s="6">
        <f ca="1">(TODAY()-staff[[#This Row],[Date Joined]])/365</f>
        <v>3.2684931506849315</v>
      </c>
      <c r="J94" s="16">
        <f ca="1">ROUNDUP(IF(staff[[#This Row],[tenure]]&gt;2,3%,2%)*staff[[#This Row],[Salary]],0)</f>
        <v>1783</v>
      </c>
      <c r="K94" s="5">
        <f>_xlfn.XLOOKUP(staff[[#This Row],[Rating]],Table5[Column1],Table5[Column2])</f>
        <v>3</v>
      </c>
      <c r="S94" s="3"/>
    </row>
    <row r="95" spans="1:24" x14ac:dyDescent="0.3">
      <c r="A95" t="s">
        <v>200</v>
      </c>
      <c r="B95" t="s">
        <v>8</v>
      </c>
      <c r="C95">
        <v>33</v>
      </c>
      <c r="D95" t="s">
        <v>10</v>
      </c>
      <c r="E95" s="4">
        <v>44640</v>
      </c>
      <c r="F95" t="s">
        <v>12</v>
      </c>
      <c r="G95" s="16">
        <v>48530</v>
      </c>
      <c r="H95" t="s">
        <v>204</v>
      </c>
      <c r="I95" s="6">
        <f ca="1">(TODAY()-staff[[#This Row],[Date Joined]])/365</f>
        <v>2.010958904109589</v>
      </c>
      <c r="J95" s="16">
        <f ca="1">ROUNDUP(IF(staff[[#This Row],[tenure]]&gt;2,3%,2%)*staff[[#This Row],[Salary]],0)</f>
        <v>1456</v>
      </c>
      <c r="K95" s="5">
        <f>_xlfn.XLOOKUP(staff[[#This Row],[Rating]],Table5[Column1],Table5[Column2])</f>
        <v>4</v>
      </c>
      <c r="S95" s="3"/>
    </row>
    <row r="96" spans="1:24" x14ac:dyDescent="0.3">
      <c r="A96" t="s">
        <v>201</v>
      </c>
      <c r="B96" t="s">
        <v>15</v>
      </c>
      <c r="C96">
        <v>33</v>
      </c>
      <c r="D96" t="s">
        <v>13</v>
      </c>
      <c r="E96" s="4">
        <v>44129</v>
      </c>
      <c r="F96" t="s">
        <v>23</v>
      </c>
      <c r="G96" s="16">
        <v>96140</v>
      </c>
      <c r="H96" t="s">
        <v>204</v>
      </c>
      <c r="I96" s="6">
        <f ca="1">(TODAY()-staff[[#This Row],[Date Joined]])/365</f>
        <v>3.4109589041095889</v>
      </c>
      <c r="J96" s="16">
        <f ca="1">ROUNDUP(IF(staff[[#This Row],[tenure]]&gt;2,3%,2%)*staff[[#This Row],[Salary]],0)</f>
        <v>2885</v>
      </c>
      <c r="K96" s="5">
        <f>_xlfn.XLOOKUP(staff[[#This Row],[Rating]],Table5[Column1],Table5[Column2])</f>
        <v>3</v>
      </c>
      <c r="S96" s="3"/>
    </row>
    <row r="97" spans="1:19" x14ac:dyDescent="0.3">
      <c r="A97" t="s">
        <v>7</v>
      </c>
      <c r="B97" t="s">
        <v>8</v>
      </c>
      <c r="C97">
        <v>22</v>
      </c>
      <c r="D97" t="s">
        <v>10</v>
      </c>
      <c r="E97" s="4">
        <v>44446</v>
      </c>
      <c r="F97" t="s">
        <v>9</v>
      </c>
      <c r="G97" s="16">
        <v>112780</v>
      </c>
      <c r="H97" t="s">
        <v>206</v>
      </c>
      <c r="I97" s="6">
        <f ca="1">(TODAY()-staff[[#This Row],[Date Joined]])/365</f>
        <v>2.5424657534246577</v>
      </c>
      <c r="J97" s="16">
        <f ca="1">ROUNDUP(IF(staff[[#This Row],[tenure]]&gt;2,3%,2%)*staff[[#This Row],[Salary]],0)</f>
        <v>3384</v>
      </c>
      <c r="K97" s="5">
        <f>_xlfn.XLOOKUP(staff[[#This Row],[Rating]],Table5[Column1],Table5[Column2])</f>
        <v>4</v>
      </c>
      <c r="S97" s="3"/>
    </row>
    <row r="98" spans="1:19" x14ac:dyDescent="0.3">
      <c r="A98" t="s">
        <v>11</v>
      </c>
      <c r="B98" t="s">
        <v>8</v>
      </c>
      <c r="C98">
        <v>46</v>
      </c>
      <c r="D98" t="s">
        <v>13</v>
      </c>
      <c r="E98" s="4">
        <v>44758</v>
      </c>
      <c r="F98" t="s">
        <v>12</v>
      </c>
      <c r="G98" s="16">
        <v>70610</v>
      </c>
      <c r="H98" t="s">
        <v>206</v>
      </c>
      <c r="I98" s="6">
        <f ca="1">(TODAY()-staff[[#This Row],[Date Joined]])/365</f>
        <v>1.6876712328767123</v>
      </c>
      <c r="J98" s="16">
        <f ca="1">ROUNDUP(IF(staff[[#This Row],[tenure]]&gt;2,3%,2%)*staff[[#This Row],[Salary]],0)</f>
        <v>1413</v>
      </c>
      <c r="K98" s="5">
        <f>_xlfn.XLOOKUP(staff[[#This Row],[Rating]],Table5[Column1],Table5[Column2])</f>
        <v>3</v>
      </c>
      <c r="S98" s="3"/>
    </row>
    <row r="99" spans="1:19" x14ac:dyDescent="0.3">
      <c r="A99" t="s">
        <v>14</v>
      </c>
      <c r="B99" t="s">
        <v>15</v>
      </c>
      <c r="C99">
        <v>28</v>
      </c>
      <c r="D99" t="s">
        <v>13</v>
      </c>
      <c r="E99" s="4">
        <v>44357</v>
      </c>
      <c r="F99" t="s">
        <v>9</v>
      </c>
      <c r="G99" s="16">
        <v>53240</v>
      </c>
      <c r="H99" t="s">
        <v>206</v>
      </c>
      <c r="I99" s="6">
        <f ca="1">(TODAY()-staff[[#This Row],[Date Joined]])/365</f>
        <v>2.7863013698630139</v>
      </c>
      <c r="J99" s="16">
        <f ca="1">ROUNDUP(IF(staff[[#This Row],[tenure]]&gt;2,3%,2%)*staff[[#This Row],[Salary]],0)</f>
        <v>1598</v>
      </c>
      <c r="K99" s="5">
        <f>_xlfn.XLOOKUP(staff[[#This Row],[Rating]],Table5[Column1],Table5[Column2])</f>
        <v>3</v>
      </c>
      <c r="S99" s="3"/>
    </row>
    <row r="100" spans="1:19" x14ac:dyDescent="0.3">
      <c r="A100" t="s">
        <v>16</v>
      </c>
      <c r="B100" t="s">
        <v>205</v>
      </c>
      <c r="C100">
        <v>37</v>
      </c>
      <c r="D100" t="s">
        <v>18</v>
      </c>
      <c r="E100" s="4">
        <v>44146</v>
      </c>
      <c r="F100" t="s">
        <v>17</v>
      </c>
      <c r="G100" s="16">
        <v>115440</v>
      </c>
      <c r="H100" t="s">
        <v>206</v>
      </c>
      <c r="I100" s="6">
        <f ca="1">(TODAY()-staff[[#This Row],[Date Joined]])/365</f>
        <v>3.3643835616438356</v>
      </c>
      <c r="J100" s="16">
        <f ca="1">ROUNDUP(IF(staff[[#This Row],[tenure]]&gt;2,3%,2%)*staff[[#This Row],[Salary]],0)</f>
        <v>3464</v>
      </c>
      <c r="K100" s="5">
        <f>_xlfn.XLOOKUP(staff[[#This Row],[Rating]],Table5[Column1],Table5[Column2])</f>
        <v>2</v>
      </c>
      <c r="S100" s="3"/>
    </row>
    <row r="101" spans="1:19" x14ac:dyDescent="0.3">
      <c r="A101" t="s">
        <v>19</v>
      </c>
      <c r="B101" t="s">
        <v>8</v>
      </c>
      <c r="C101">
        <v>32</v>
      </c>
      <c r="D101" t="s">
        <v>13</v>
      </c>
      <c r="E101" s="4">
        <v>44465</v>
      </c>
      <c r="F101" t="s">
        <v>9</v>
      </c>
      <c r="G101" s="16">
        <v>53540</v>
      </c>
      <c r="H101" t="s">
        <v>206</v>
      </c>
      <c r="I101" s="6">
        <f ca="1">(TODAY()-staff[[#This Row],[Date Joined]])/365</f>
        <v>2.4904109589041097</v>
      </c>
      <c r="J101" s="16">
        <f ca="1">ROUNDUP(IF(staff[[#This Row],[tenure]]&gt;2,3%,2%)*staff[[#This Row],[Salary]],0)</f>
        <v>1607</v>
      </c>
      <c r="K101" s="5">
        <f>_xlfn.XLOOKUP(staff[[#This Row],[Rating]],Table5[Column1],Table5[Column2])</f>
        <v>3</v>
      </c>
      <c r="S101" s="3"/>
    </row>
    <row r="102" spans="1:19" x14ac:dyDescent="0.3">
      <c r="A102" t="s">
        <v>20</v>
      </c>
      <c r="B102" t="s">
        <v>15</v>
      </c>
      <c r="C102">
        <v>30</v>
      </c>
      <c r="D102" t="s">
        <v>13</v>
      </c>
      <c r="E102" s="4">
        <v>44861</v>
      </c>
      <c r="F102" t="s">
        <v>12</v>
      </c>
      <c r="G102" s="16">
        <v>112570</v>
      </c>
      <c r="H102" t="s">
        <v>206</v>
      </c>
      <c r="I102" s="6">
        <f ca="1">(TODAY()-staff[[#This Row],[Date Joined]])/365</f>
        <v>1.4054794520547946</v>
      </c>
      <c r="J102" s="16">
        <f ca="1">ROUNDUP(IF(staff[[#This Row],[tenure]]&gt;2,3%,2%)*staff[[#This Row],[Salary]],0)</f>
        <v>2252</v>
      </c>
      <c r="K102" s="5">
        <f>_xlfn.XLOOKUP(staff[[#This Row],[Rating]],Table5[Column1],Table5[Column2])</f>
        <v>3</v>
      </c>
      <c r="S102" s="3"/>
    </row>
    <row r="103" spans="1:19" x14ac:dyDescent="0.3">
      <c r="A103" t="s">
        <v>21</v>
      </c>
      <c r="B103" t="s">
        <v>8</v>
      </c>
      <c r="C103">
        <v>33</v>
      </c>
      <c r="D103" t="s">
        <v>10</v>
      </c>
      <c r="E103" s="4">
        <v>44701</v>
      </c>
      <c r="F103" t="s">
        <v>12</v>
      </c>
      <c r="G103" s="16">
        <v>48530</v>
      </c>
      <c r="H103" t="s">
        <v>206</v>
      </c>
      <c r="I103" s="6">
        <f ca="1">(TODAY()-staff[[#This Row],[Date Joined]])/365</f>
        <v>1.8438356164383563</v>
      </c>
      <c r="J103" s="16">
        <f ca="1">ROUNDUP(IF(staff[[#This Row],[tenure]]&gt;2,3%,2%)*staff[[#This Row],[Salary]],0)</f>
        <v>971</v>
      </c>
      <c r="K103" s="5">
        <f>_xlfn.XLOOKUP(staff[[#This Row],[Rating]],Table5[Column1],Table5[Column2])</f>
        <v>4</v>
      </c>
      <c r="S103" s="3"/>
    </row>
    <row r="104" spans="1:19" x14ac:dyDescent="0.3">
      <c r="A104" t="s">
        <v>22</v>
      </c>
      <c r="B104" t="s">
        <v>15</v>
      </c>
      <c r="C104">
        <v>24</v>
      </c>
      <c r="D104" t="s">
        <v>13</v>
      </c>
      <c r="E104" s="4">
        <v>44148</v>
      </c>
      <c r="F104" t="s">
        <v>23</v>
      </c>
      <c r="G104" s="16">
        <v>62780</v>
      </c>
      <c r="H104" t="s">
        <v>206</v>
      </c>
      <c r="I104" s="6">
        <f ca="1">(TODAY()-staff[[#This Row],[Date Joined]])/365</f>
        <v>3.3589041095890413</v>
      </c>
      <c r="J104" s="16">
        <f ca="1">ROUNDUP(IF(staff[[#This Row],[tenure]]&gt;2,3%,2%)*staff[[#This Row],[Salary]],0)</f>
        <v>1884</v>
      </c>
      <c r="K104" s="5">
        <f>_xlfn.XLOOKUP(staff[[#This Row],[Rating]],Table5[Column1],Table5[Column2])</f>
        <v>3</v>
      </c>
      <c r="S104" s="3"/>
    </row>
    <row r="105" spans="1:19" x14ac:dyDescent="0.3">
      <c r="A105" t="s">
        <v>24</v>
      </c>
      <c r="B105" t="s">
        <v>8</v>
      </c>
      <c r="C105">
        <v>33</v>
      </c>
      <c r="D105" t="s">
        <v>13</v>
      </c>
      <c r="E105" s="4">
        <v>44509</v>
      </c>
      <c r="F105" t="s">
        <v>23</v>
      </c>
      <c r="G105" s="16">
        <v>53870</v>
      </c>
      <c r="H105" t="s">
        <v>206</v>
      </c>
      <c r="I105" s="6">
        <f ca="1">(TODAY()-staff[[#This Row],[Date Joined]])/365</f>
        <v>2.3698630136986303</v>
      </c>
      <c r="J105" s="16">
        <f ca="1">ROUNDUP(IF(staff[[#This Row],[tenure]]&gt;2,3%,2%)*staff[[#This Row],[Salary]],0)</f>
        <v>1617</v>
      </c>
      <c r="K105" s="5">
        <f>_xlfn.XLOOKUP(staff[[#This Row],[Rating]],Table5[Column1],Table5[Column2])</f>
        <v>3</v>
      </c>
      <c r="S105" s="3"/>
    </row>
    <row r="106" spans="1:19" x14ac:dyDescent="0.3">
      <c r="A106" t="s">
        <v>25</v>
      </c>
      <c r="B106" t="s">
        <v>15</v>
      </c>
      <c r="C106">
        <v>27</v>
      </c>
      <c r="D106" t="s">
        <v>13</v>
      </c>
      <c r="E106" s="4">
        <v>44122</v>
      </c>
      <c r="F106" t="s">
        <v>26</v>
      </c>
      <c r="G106" s="16">
        <v>119110</v>
      </c>
      <c r="H106" t="s">
        <v>206</v>
      </c>
      <c r="I106" s="6">
        <f ca="1">(TODAY()-staff[[#This Row],[Date Joined]])/365</f>
        <v>3.43013698630137</v>
      </c>
      <c r="J106" s="16">
        <f ca="1">ROUNDUP(IF(staff[[#This Row],[tenure]]&gt;2,3%,2%)*staff[[#This Row],[Salary]],0)</f>
        <v>3574</v>
      </c>
      <c r="K106" s="5">
        <f>_xlfn.XLOOKUP(staff[[#This Row],[Rating]],Table5[Column1],Table5[Column2])</f>
        <v>3</v>
      </c>
      <c r="S106" s="3"/>
    </row>
    <row r="107" spans="1:19" x14ac:dyDescent="0.3">
      <c r="A107" t="s">
        <v>27</v>
      </c>
      <c r="B107" t="s">
        <v>8</v>
      </c>
      <c r="C107">
        <v>29</v>
      </c>
      <c r="D107" t="s">
        <v>18</v>
      </c>
      <c r="E107" s="4">
        <v>44180</v>
      </c>
      <c r="F107" t="s">
        <v>23</v>
      </c>
      <c r="G107" s="16">
        <v>112110</v>
      </c>
      <c r="H107" t="s">
        <v>206</v>
      </c>
      <c r="I107" s="6">
        <f ca="1">(TODAY()-staff[[#This Row],[Date Joined]])/365</f>
        <v>3.2712328767123289</v>
      </c>
      <c r="J107" s="16">
        <f ca="1">ROUNDUP(IF(staff[[#This Row],[tenure]]&gt;2,3%,2%)*staff[[#This Row],[Salary]],0)</f>
        <v>3364</v>
      </c>
      <c r="K107" s="5">
        <f>_xlfn.XLOOKUP(staff[[#This Row],[Rating]],Table5[Column1],Table5[Column2])</f>
        <v>2</v>
      </c>
      <c r="S107" s="3"/>
    </row>
    <row r="108" spans="1:19" x14ac:dyDescent="0.3">
      <c r="A108" t="s">
        <v>28</v>
      </c>
      <c r="B108" t="s">
        <v>8</v>
      </c>
      <c r="C108">
        <v>25</v>
      </c>
      <c r="D108" t="s">
        <v>13</v>
      </c>
      <c r="E108" s="4">
        <v>44383</v>
      </c>
      <c r="F108" t="s">
        <v>9</v>
      </c>
      <c r="G108" s="16">
        <v>65700</v>
      </c>
      <c r="H108" t="s">
        <v>206</v>
      </c>
      <c r="I108" s="6">
        <f ca="1">(TODAY()-staff[[#This Row],[Date Joined]])/365</f>
        <v>2.7150684931506848</v>
      </c>
      <c r="J108" s="16">
        <f ca="1">ROUNDUP(IF(staff[[#This Row],[tenure]]&gt;2,3%,2%)*staff[[#This Row],[Salary]],0)</f>
        <v>1971</v>
      </c>
      <c r="K108" s="5">
        <f>_xlfn.XLOOKUP(staff[[#This Row],[Rating]],Table5[Column1],Table5[Column2])</f>
        <v>3</v>
      </c>
      <c r="S108" s="3"/>
    </row>
    <row r="109" spans="1:19" x14ac:dyDescent="0.3">
      <c r="A109" t="s">
        <v>29</v>
      </c>
      <c r="B109" t="s">
        <v>8</v>
      </c>
      <c r="C109">
        <v>37</v>
      </c>
      <c r="D109" t="s">
        <v>13</v>
      </c>
      <c r="E109" s="4">
        <v>44701</v>
      </c>
      <c r="F109" t="s">
        <v>23</v>
      </c>
      <c r="G109" s="16">
        <v>69070</v>
      </c>
      <c r="H109" t="s">
        <v>206</v>
      </c>
      <c r="I109" s="6">
        <f ca="1">(TODAY()-staff[[#This Row],[Date Joined]])/365</f>
        <v>1.8438356164383563</v>
      </c>
      <c r="J109" s="16">
        <f ca="1">ROUNDUP(IF(staff[[#This Row],[tenure]]&gt;2,3%,2%)*staff[[#This Row],[Salary]],0)</f>
        <v>1382</v>
      </c>
      <c r="K109" s="5">
        <f>_xlfn.XLOOKUP(staff[[#This Row],[Rating]],Table5[Column1],Table5[Column2])</f>
        <v>3</v>
      </c>
      <c r="S109" s="3"/>
    </row>
    <row r="110" spans="1:19" x14ac:dyDescent="0.3">
      <c r="A110" t="s">
        <v>30</v>
      </c>
      <c r="B110" t="s">
        <v>8</v>
      </c>
      <c r="C110">
        <v>20</v>
      </c>
      <c r="D110" t="s">
        <v>13</v>
      </c>
      <c r="E110" s="4">
        <v>44459</v>
      </c>
      <c r="F110" t="s">
        <v>23</v>
      </c>
      <c r="G110" s="16">
        <v>107700</v>
      </c>
      <c r="H110" t="s">
        <v>206</v>
      </c>
      <c r="I110" s="6">
        <f ca="1">(TODAY()-staff[[#This Row],[Date Joined]])/365</f>
        <v>2.506849315068493</v>
      </c>
      <c r="J110" s="16">
        <f ca="1">ROUNDUP(IF(staff[[#This Row],[tenure]]&gt;2,3%,2%)*staff[[#This Row],[Salary]],0)</f>
        <v>3231</v>
      </c>
      <c r="K110" s="5">
        <f>_xlfn.XLOOKUP(staff[[#This Row],[Rating]],Table5[Column1],Table5[Column2])</f>
        <v>3</v>
      </c>
      <c r="S110" s="3"/>
    </row>
    <row r="111" spans="1:19" x14ac:dyDescent="0.3">
      <c r="A111" t="s">
        <v>31</v>
      </c>
      <c r="B111" t="s">
        <v>15</v>
      </c>
      <c r="C111">
        <v>32</v>
      </c>
      <c r="D111" t="s">
        <v>10</v>
      </c>
      <c r="E111" s="4">
        <v>44354</v>
      </c>
      <c r="F111" t="s">
        <v>23</v>
      </c>
      <c r="G111" s="16">
        <v>43840</v>
      </c>
      <c r="H111" t="s">
        <v>206</v>
      </c>
      <c r="I111" s="6">
        <f ca="1">(TODAY()-staff[[#This Row],[Date Joined]])/365</f>
        <v>2.7945205479452055</v>
      </c>
      <c r="J111" s="16">
        <f ca="1">ROUNDUP(IF(staff[[#This Row],[tenure]]&gt;2,3%,2%)*staff[[#This Row],[Salary]],0)</f>
        <v>1316</v>
      </c>
      <c r="K111" s="5">
        <f>_xlfn.XLOOKUP(staff[[#This Row],[Rating]],Table5[Column1],Table5[Column2])</f>
        <v>4</v>
      </c>
      <c r="S111" s="3"/>
    </row>
    <row r="112" spans="1:19" x14ac:dyDescent="0.3">
      <c r="A112" t="s">
        <v>32</v>
      </c>
      <c r="B112" t="s">
        <v>8</v>
      </c>
      <c r="C112">
        <v>40</v>
      </c>
      <c r="D112" t="s">
        <v>13</v>
      </c>
      <c r="E112" s="4">
        <v>44263</v>
      </c>
      <c r="F112" t="s">
        <v>12</v>
      </c>
      <c r="G112" s="16">
        <v>99750</v>
      </c>
      <c r="H112" t="s">
        <v>206</v>
      </c>
      <c r="I112" s="6">
        <f ca="1">(TODAY()-staff[[#This Row],[Date Joined]])/365</f>
        <v>3.043835616438356</v>
      </c>
      <c r="J112" s="16">
        <f ca="1">ROUNDUP(IF(staff[[#This Row],[tenure]]&gt;2,3%,2%)*staff[[#This Row],[Salary]],0)</f>
        <v>2993</v>
      </c>
      <c r="K112" s="5">
        <f>_xlfn.XLOOKUP(staff[[#This Row],[Rating]],Table5[Column1],Table5[Column2])</f>
        <v>3</v>
      </c>
      <c r="S112" s="3"/>
    </row>
    <row r="113" spans="1:19" x14ac:dyDescent="0.3">
      <c r="A113" t="s">
        <v>33</v>
      </c>
      <c r="B113" t="s">
        <v>8</v>
      </c>
      <c r="C113">
        <v>21</v>
      </c>
      <c r="D113" t="s">
        <v>13</v>
      </c>
      <c r="E113" s="4">
        <v>44104</v>
      </c>
      <c r="F113" t="s">
        <v>12</v>
      </c>
      <c r="G113" s="16">
        <v>37920</v>
      </c>
      <c r="H113" t="s">
        <v>206</v>
      </c>
      <c r="I113" s="6">
        <f ca="1">(TODAY()-staff[[#This Row],[Date Joined]])/365</f>
        <v>3.4794520547945207</v>
      </c>
      <c r="J113" s="16">
        <f ca="1">ROUNDUP(IF(staff[[#This Row],[tenure]]&gt;2,3%,2%)*staff[[#This Row],[Salary]],0)</f>
        <v>1138</v>
      </c>
      <c r="K113" s="5">
        <f>_xlfn.XLOOKUP(staff[[#This Row],[Rating]],Table5[Column1],Table5[Column2])</f>
        <v>3</v>
      </c>
      <c r="S113" s="3"/>
    </row>
    <row r="114" spans="1:19" x14ac:dyDescent="0.3">
      <c r="A114" t="s">
        <v>34</v>
      </c>
      <c r="B114" t="s">
        <v>8</v>
      </c>
      <c r="C114">
        <v>21</v>
      </c>
      <c r="D114" t="s">
        <v>13</v>
      </c>
      <c r="E114" s="4">
        <v>44762</v>
      </c>
      <c r="F114" t="s">
        <v>12</v>
      </c>
      <c r="G114" s="16">
        <v>57090</v>
      </c>
      <c r="H114" t="s">
        <v>206</v>
      </c>
      <c r="I114" s="6">
        <f ca="1">(TODAY()-staff[[#This Row],[Date Joined]])/365</f>
        <v>1.6767123287671233</v>
      </c>
      <c r="J114" s="16">
        <f ca="1">ROUNDUP(IF(staff[[#This Row],[tenure]]&gt;2,3%,2%)*staff[[#This Row],[Salary]],0)</f>
        <v>1142</v>
      </c>
      <c r="K114" s="5">
        <f>_xlfn.XLOOKUP(staff[[#This Row],[Rating]],Table5[Column1],Table5[Column2])</f>
        <v>3</v>
      </c>
      <c r="S114" s="3"/>
    </row>
    <row r="115" spans="1:19" x14ac:dyDescent="0.3">
      <c r="A115" t="s">
        <v>35</v>
      </c>
      <c r="B115" t="s">
        <v>15</v>
      </c>
      <c r="C115">
        <v>31</v>
      </c>
      <c r="D115" t="s">
        <v>13</v>
      </c>
      <c r="E115" s="4">
        <v>44145</v>
      </c>
      <c r="F115" t="s">
        <v>23</v>
      </c>
      <c r="G115" s="16">
        <v>41980</v>
      </c>
      <c r="H115" t="s">
        <v>206</v>
      </c>
      <c r="I115" s="6">
        <f ca="1">(TODAY()-staff[[#This Row],[Date Joined]])/365</f>
        <v>3.3671232876712329</v>
      </c>
      <c r="J115" s="16">
        <f ca="1">ROUNDUP(IF(staff[[#This Row],[tenure]]&gt;2,3%,2%)*staff[[#This Row],[Salary]],0)</f>
        <v>1260</v>
      </c>
      <c r="K115" s="5">
        <f>_xlfn.XLOOKUP(staff[[#This Row],[Rating]],Table5[Column1],Table5[Column2])</f>
        <v>3</v>
      </c>
      <c r="S115" s="3"/>
    </row>
    <row r="116" spans="1:19" x14ac:dyDescent="0.3">
      <c r="A116" t="s">
        <v>36</v>
      </c>
      <c r="B116" t="s">
        <v>8</v>
      </c>
      <c r="C116">
        <v>21</v>
      </c>
      <c r="D116" t="s">
        <v>13</v>
      </c>
      <c r="E116" s="4">
        <v>44242</v>
      </c>
      <c r="F116" t="s">
        <v>26</v>
      </c>
      <c r="G116" s="16">
        <v>75880</v>
      </c>
      <c r="H116" t="s">
        <v>206</v>
      </c>
      <c r="I116" s="6">
        <f ca="1">(TODAY()-staff[[#This Row],[Date Joined]])/365</f>
        <v>3.1013698630136988</v>
      </c>
      <c r="J116" s="16">
        <f ca="1">ROUNDUP(IF(staff[[#This Row],[tenure]]&gt;2,3%,2%)*staff[[#This Row],[Salary]],0)</f>
        <v>2277</v>
      </c>
      <c r="K116" s="5">
        <f>_xlfn.XLOOKUP(staff[[#This Row],[Rating]],Table5[Column1],Table5[Column2])</f>
        <v>3</v>
      </c>
      <c r="S116" s="3"/>
    </row>
    <row r="117" spans="1:19" x14ac:dyDescent="0.3">
      <c r="A117" t="s">
        <v>37</v>
      </c>
      <c r="B117" t="s">
        <v>15</v>
      </c>
      <c r="C117">
        <v>34</v>
      </c>
      <c r="D117" t="s">
        <v>13</v>
      </c>
      <c r="E117" s="4">
        <v>44653</v>
      </c>
      <c r="F117" t="s">
        <v>17</v>
      </c>
      <c r="G117" s="16">
        <v>58940</v>
      </c>
      <c r="H117" t="s">
        <v>206</v>
      </c>
      <c r="I117" s="6">
        <f ca="1">(TODAY()-staff[[#This Row],[Date Joined]])/365</f>
        <v>1.9753424657534246</v>
      </c>
      <c r="J117" s="16">
        <f ca="1">ROUNDUP(IF(staff[[#This Row],[tenure]]&gt;2,3%,2%)*staff[[#This Row],[Salary]],0)</f>
        <v>1179</v>
      </c>
      <c r="K117" s="5">
        <f>_xlfn.XLOOKUP(staff[[#This Row],[Rating]],Table5[Column1],Table5[Column2])</f>
        <v>3</v>
      </c>
      <c r="S117" s="3"/>
    </row>
    <row r="118" spans="1:19" x14ac:dyDescent="0.3">
      <c r="A118" t="s">
        <v>38</v>
      </c>
      <c r="B118" t="s">
        <v>15</v>
      </c>
      <c r="C118">
        <v>30</v>
      </c>
      <c r="D118" t="s">
        <v>18</v>
      </c>
      <c r="E118" s="4">
        <v>44389</v>
      </c>
      <c r="F118" t="s">
        <v>17</v>
      </c>
      <c r="G118" s="16">
        <v>67910</v>
      </c>
      <c r="H118" t="s">
        <v>206</v>
      </c>
      <c r="I118" s="6">
        <f ca="1">(TODAY()-staff[[#This Row],[Date Joined]])/365</f>
        <v>2.6986301369863015</v>
      </c>
      <c r="J118" s="16">
        <f ca="1">ROUNDUP(IF(staff[[#This Row],[tenure]]&gt;2,3%,2%)*staff[[#This Row],[Salary]],0)</f>
        <v>2038</v>
      </c>
      <c r="K118" s="5">
        <f>_xlfn.XLOOKUP(staff[[#This Row],[Rating]],Table5[Column1],Table5[Column2])</f>
        <v>2</v>
      </c>
      <c r="S118" s="3"/>
    </row>
    <row r="119" spans="1:19" x14ac:dyDescent="0.3">
      <c r="A119" t="s">
        <v>39</v>
      </c>
      <c r="B119" t="s">
        <v>15</v>
      </c>
      <c r="C119">
        <v>31</v>
      </c>
      <c r="D119" t="s">
        <v>13</v>
      </c>
      <c r="E119" s="4">
        <v>44663</v>
      </c>
      <c r="F119" t="s">
        <v>23</v>
      </c>
      <c r="G119" s="16">
        <v>58100</v>
      </c>
      <c r="H119" t="s">
        <v>206</v>
      </c>
      <c r="I119" s="6">
        <f ca="1">(TODAY()-staff[[#This Row],[Date Joined]])/365</f>
        <v>1.9479452054794522</v>
      </c>
      <c r="J119" s="16">
        <f ca="1">ROUNDUP(IF(staff[[#This Row],[tenure]]&gt;2,3%,2%)*staff[[#This Row],[Salary]],0)</f>
        <v>1162</v>
      </c>
      <c r="K119" s="5">
        <f>_xlfn.XLOOKUP(staff[[#This Row],[Rating]],Table5[Column1],Table5[Column2])</f>
        <v>3</v>
      </c>
      <c r="S119" s="3"/>
    </row>
    <row r="120" spans="1:19" x14ac:dyDescent="0.3">
      <c r="A120" t="s">
        <v>40</v>
      </c>
      <c r="B120" t="s">
        <v>8</v>
      </c>
      <c r="C120">
        <v>27</v>
      </c>
      <c r="D120" t="s">
        <v>13</v>
      </c>
      <c r="E120" s="4">
        <v>44567</v>
      </c>
      <c r="F120" t="s">
        <v>17</v>
      </c>
      <c r="G120" s="16">
        <v>48980</v>
      </c>
      <c r="H120" t="s">
        <v>206</v>
      </c>
      <c r="I120" s="6">
        <f ca="1">(TODAY()-staff[[#This Row],[Date Joined]])/365</f>
        <v>2.2109589041095892</v>
      </c>
      <c r="J120" s="16">
        <f ca="1">ROUNDUP(IF(staff[[#This Row],[tenure]]&gt;2,3%,2%)*staff[[#This Row],[Salary]],0)</f>
        <v>1470</v>
      </c>
      <c r="K120" s="5">
        <f>_xlfn.XLOOKUP(staff[[#This Row],[Rating]],Table5[Column1],Table5[Column2])</f>
        <v>3</v>
      </c>
      <c r="S120" s="3"/>
    </row>
    <row r="121" spans="1:19" x14ac:dyDescent="0.3">
      <c r="A121" t="s">
        <v>41</v>
      </c>
      <c r="B121" t="s">
        <v>205</v>
      </c>
      <c r="C121">
        <v>30</v>
      </c>
      <c r="D121" t="s">
        <v>13</v>
      </c>
      <c r="E121" s="4">
        <v>44597</v>
      </c>
      <c r="F121" t="s">
        <v>17</v>
      </c>
      <c r="G121" s="16">
        <v>64000</v>
      </c>
      <c r="H121" t="s">
        <v>206</v>
      </c>
      <c r="I121" s="6">
        <f ca="1">(TODAY()-staff[[#This Row],[Date Joined]])/365</f>
        <v>2.128767123287671</v>
      </c>
      <c r="J121" s="16">
        <f ca="1">ROUNDUP(IF(staff[[#This Row],[tenure]]&gt;2,3%,2%)*staff[[#This Row],[Salary]],0)</f>
        <v>1920</v>
      </c>
      <c r="K121" s="5">
        <f>_xlfn.XLOOKUP(staff[[#This Row],[Rating]],Table5[Column1],Table5[Column2])</f>
        <v>3</v>
      </c>
      <c r="S121" s="3"/>
    </row>
    <row r="122" spans="1:19" x14ac:dyDescent="0.3">
      <c r="A122" t="s">
        <v>42</v>
      </c>
      <c r="B122" t="s">
        <v>15</v>
      </c>
      <c r="C122">
        <v>42</v>
      </c>
      <c r="D122" t="s">
        <v>43</v>
      </c>
      <c r="E122" s="4">
        <v>44779</v>
      </c>
      <c r="F122" t="s">
        <v>12</v>
      </c>
      <c r="G122" s="16">
        <v>75000</v>
      </c>
      <c r="H122" t="s">
        <v>206</v>
      </c>
      <c r="I122" s="6">
        <f ca="1">(TODAY()-staff[[#This Row],[Date Joined]])/365</f>
        <v>1.6301369863013699</v>
      </c>
      <c r="J122" s="16">
        <f ca="1">ROUNDUP(IF(staff[[#This Row],[tenure]]&gt;2,3%,2%)*staff[[#This Row],[Salary]],0)</f>
        <v>1500</v>
      </c>
      <c r="K122" s="5">
        <f>_xlfn.XLOOKUP(staff[[#This Row],[Rating]],Table5[Column1],Table5[Column2])</f>
        <v>5</v>
      </c>
      <c r="S122" s="3"/>
    </row>
    <row r="123" spans="1:19" x14ac:dyDescent="0.3">
      <c r="A123" t="s">
        <v>44</v>
      </c>
      <c r="B123" t="s">
        <v>15</v>
      </c>
      <c r="C123">
        <v>40</v>
      </c>
      <c r="D123" t="s">
        <v>13</v>
      </c>
      <c r="E123" s="4">
        <v>44337</v>
      </c>
      <c r="F123" t="s">
        <v>23</v>
      </c>
      <c r="G123" s="16">
        <v>87620</v>
      </c>
      <c r="H123" t="s">
        <v>206</v>
      </c>
      <c r="I123" s="6">
        <f ca="1">(TODAY()-staff[[#This Row],[Date Joined]])/365</f>
        <v>2.8410958904109589</v>
      </c>
      <c r="J123" s="16">
        <f ca="1">ROUNDUP(IF(staff[[#This Row],[tenure]]&gt;2,3%,2%)*staff[[#This Row],[Salary]],0)</f>
        <v>2629</v>
      </c>
      <c r="K123" s="5">
        <f>_xlfn.XLOOKUP(staff[[#This Row],[Rating]],Table5[Column1],Table5[Column2])</f>
        <v>3</v>
      </c>
      <c r="S123" s="3"/>
    </row>
    <row r="124" spans="1:19" x14ac:dyDescent="0.3">
      <c r="A124" t="s">
        <v>45</v>
      </c>
      <c r="B124" t="s">
        <v>15</v>
      </c>
      <c r="C124">
        <v>29</v>
      </c>
      <c r="D124" t="s">
        <v>13</v>
      </c>
      <c r="E124" s="4">
        <v>44023</v>
      </c>
      <c r="F124" t="s">
        <v>23</v>
      </c>
      <c r="G124" s="16">
        <v>34980</v>
      </c>
      <c r="H124" t="s">
        <v>206</v>
      </c>
      <c r="I124" s="6">
        <f ca="1">(TODAY()-staff[[#This Row],[Date Joined]])/365</f>
        <v>3.7013698630136984</v>
      </c>
      <c r="J124" s="16">
        <f ca="1">ROUNDUP(IF(staff[[#This Row],[tenure]]&gt;2,3%,2%)*staff[[#This Row],[Salary]],0)</f>
        <v>1050</v>
      </c>
      <c r="K124" s="5">
        <f>_xlfn.XLOOKUP(staff[[#This Row],[Rating]],Table5[Column1],Table5[Column2])</f>
        <v>3</v>
      </c>
      <c r="S124" s="3"/>
    </row>
    <row r="125" spans="1:19" x14ac:dyDescent="0.3">
      <c r="A125" t="s">
        <v>46</v>
      </c>
      <c r="B125" t="s">
        <v>15</v>
      </c>
      <c r="C125">
        <v>28</v>
      </c>
      <c r="D125" t="s">
        <v>13</v>
      </c>
      <c r="E125" s="4">
        <v>44185</v>
      </c>
      <c r="F125" t="s">
        <v>17</v>
      </c>
      <c r="G125" s="16">
        <v>75970</v>
      </c>
      <c r="H125" t="s">
        <v>206</v>
      </c>
      <c r="I125" s="6">
        <f ca="1">(TODAY()-staff[[#This Row],[Date Joined]])/365</f>
        <v>3.2575342465753425</v>
      </c>
      <c r="J125" s="16">
        <f ca="1">ROUNDUP(IF(staff[[#This Row],[tenure]]&gt;2,3%,2%)*staff[[#This Row],[Salary]],0)</f>
        <v>2280</v>
      </c>
      <c r="K125" s="5">
        <f>_xlfn.XLOOKUP(staff[[#This Row],[Rating]],Table5[Column1],Table5[Column2])</f>
        <v>3</v>
      </c>
      <c r="S125" s="3"/>
    </row>
    <row r="126" spans="1:19" x14ac:dyDescent="0.3">
      <c r="A126" t="s">
        <v>47</v>
      </c>
      <c r="B126" t="s">
        <v>15</v>
      </c>
      <c r="C126">
        <v>34</v>
      </c>
      <c r="D126" t="s">
        <v>13</v>
      </c>
      <c r="E126" s="4">
        <v>44612</v>
      </c>
      <c r="F126" t="s">
        <v>17</v>
      </c>
      <c r="G126" s="16">
        <v>60130</v>
      </c>
      <c r="H126" t="s">
        <v>206</v>
      </c>
      <c r="I126" s="6">
        <f ca="1">(TODAY()-staff[[#This Row],[Date Joined]])/365</f>
        <v>2.0876712328767124</v>
      </c>
      <c r="J126" s="16">
        <f ca="1">ROUNDUP(IF(staff[[#This Row],[tenure]]&gt;2,3%,2%)*staff[[#This Row],[Salary]],0)</f>
        <v>1804</v>
      </c>
      <c r="K126" s="5">
        <f>_xlfn.XLOOKUP(staff[[#This Row],[Rating]],Table5[Column1],Table5[Column2])</f>
        <v>3</v>
      </c>
      <c r="S126" s="3"/>
    </row>
    <row r="127" spans="1:19" x14ac:dyDescent="0.3">
      <c r="A127" t="s">
        <v>48</v>
      </c>
      <c r="B127" t="s">
        <v>15</v>
      </c>
      <c r="C127">
        <v>33</v>
      </c>
      <c r="D127" t="s">
        <v>49</v>
      </c>
      <c r="E127" s="4">
        <v>44374</v>
      </c>
      <c r="F127" t="s">
        <v>23</v>
      </c>
      <c r="G127" s="16">
        <v>75480</v>
      </c>
      <c r="H127" t="s">
        <v>206</v>
      </c>
      <c r="I127" s="6">
        <f ca="1">(TODAY()-staff[[#This Row],[Date Joined]])/365</f>
        <v>2.7397260273972601</v>
      </c>
      <c r="J127" s="16">
        <f ca="1">ROUNDUP(IF(staff[[#This Row],[tenure]]&gt;2,3%,2%)*staff[[#This Row],[Salary]],0)</f>
        <v>2265</v>
      </c>
      <c r="K127" s="5">
        <f>_xlfn.XLOOKUP(staff[[#This Row],[Rating]],Table5[Column1],Table5[Column2])</f>
        <v>1</v>
      </c>
      <c r="S127" s="3"/>
    </row>
    <row r="128" spans="1:19" x14ac:dyDescent="0.3">
      <c r="A128" t="s">
        <v>50</v>
      </c>
      <c r="B128" t="s">
        <v>8</v>
      </c>
      <c r="C128">
        <v>33</v>
      </c>
      <c r="D128" t="s">
        <v>13</v>
      </c>
      <c r="E128" s="4">
        <v>44164</v>
      </c>
      <c r="F128" t="s">
        <v>12</v>
      </c>
      <c r="G128" s="16">
        <v>115920</v>
      </c>
      <c r="H128" t="s">
        <v>206</v>
      </c>
      <c r="I128" s="6">
        <f ca="1">(TODAY()-staff[[#This Row],[Date Joined]])/365</f>
        <v>3.3150684931506849</v>
      </c>
      <c r="J128" s="16">
        <f ca="1">ROUNDUP(IF(staff[[#This Row],[tenure]]&gt;2,3%,2%)*staff[[#This Row],[Salary]],0)</f>
        <v>3478</v>
      </c>
      <c r="K128" s="5">
        <f>_xlfn.XLOOKUP(staff[[#This Row],[Rating]],Table5[Column1],Table5[Column2])</f>
        <v>3</v>
      </c>
      <c r="S128" s="3"/>
    </row>
    <row r="129" spans="1:19" x14ac:dyDescent="0.3">
      <c r="A129" t="s">
        <v>51</v>
      </c>
      <c r="B129" t="s">
        <v>15</v>
      </c>
      <c r="C129">
        <v>36</v>
      </c>
      <c r="D129" t="s">
        <v>13</v>
      </c>
      <c r="E129" s="4">
        <v>44494</v>
      </c>
      <c r="F129" t="s">
        <v>9</v>
      </c>
      <c r="G129" s="16">
        <v>78540</v>
      </c>
      <c r="H129" t="s">
        <v>206</v>
      </c>
      <c r="I129" s="6">
        <f ca="1">(TODAY()-staff[[#This Row],[Date Joined]])/365</f>
        <v>2.4109589041095889</v>
      </c>
      <c r="J129" s="16">
        <f ca="1">ROUNDUP(IF(staff[[#This Row],[tenure]]&gt;2,3%,2%)*staff[[#This Row],[Salary]],0)</f>
        <v>2357</v>
      </c>
      <c r="K129" s="5">
        <f>_xlfn.XLOOKUP(staff[[#This Row],[Rating]],Table5[Column1],Table5[Column2])</f>
        <v>3</v>
      </c>
      <c r="S129" s="3"/>
    </row>
    <row r="130" spans="1:19" x14ac:dyDescent="0.3">
      <c r="A130" t="s">
        <v>52</v>
      </c>
      <c r="B130" t="s">
        <v>8</v>
      </c>
      <c r="C130">
        <v>25</v>
      </c>
      <c r="D130" t="s">
        <v>10</v>
      </c>
      <c r="E130" s="4">
        <v>44726</v>
      </c>
      <c r="F130" t="s">
        <v>12</v>
      </c>
      <c r="G130" s="16">
        <v>109190</v>
      </c>
      <c r="H130" t="s">
        <v>206</v>
      </c>
      <c r="I130" s="6">
        <f ca="1">(TODAY()-staff[[#This Row],[Date Joined]])/365</f>
        <v>1.7753424657534247</v>
      </c>
      <c r="J130" s="16">
        <f ca="1">ROUNDUP(IF(staff[[#This Row],[tenure]]&gt;2,3%,2%)*staff[[#This Row],[Salary]],0)</f>
        <v>2184</v>
      </c>
      <c r="K130" s="5">
        <f>_xlfn.XLOOKUP(staff[[#This Row],[Rating]],Table5[Column1],Table5[Column2])</f>
        <v>4</v>
      </c>
      <c r="S130" s="3"/>
    </row>
    <row r="131" spans="1:19" x14ac:dyDescent="0.3">
      <c r="A131" t="s">
        <v>53</v>
      </c>
      <c r="B131" t="s">
        <v>15</v>
      </c>
      <c r="C131">
        <v>34</v>
      </c>
      <c r="D131" t="s">
        <v>18</v>
      </c>
      <c r="E131" s="4">
        <v>44721</v>
      </c>
      <c r="F131" t="s">
        <v>9</v>
      </c>
      <c r="G131" s="16">
        <v>49630</v>
      </c>
      <c r="H131" t="s">
        <v>206</v>
      </c>
      <c r="I131" s="6">
        <f ca="1">(TODAY()-staff[[#This Row],[Date Joined]])/365</f>
        <v>1.789041095890411</v>
      </c>
      <c r="J131" s="16">
        <f ca="1">ROUNDUP(IF(staff[[#This Row],[tenure]]&gt;2,3%,2%)*staff[[#This Row],[Salary]],0)</f>
        <v>993</v>
      </c>
      <c r="K131" s="5">
        <f>_xlfn.XLOOKUP(staff[[#This Row],[Rating]],Table5[Column1],Table5[Column2])</f>
        <v>2</v>
      </c>
      <c r="S131" s="3"/>
    </row>
    <row r="132" spans="1:19" x14ac:dyDescent="0.3">
      <c r="A132" t="s">
        <v>54</v>
      </c>
      <c r="B132" t="s">
        <v>15</v>
      </c>
      <c r="C132">
        <v>28</v>
      </c>
      <c r="D132" t="s">
        <v>13</v>
      </c>
      <c r="E132" s="4">
        <v>44630</v>
      </c>
      <c r="F132" t="s">
        <v>12</v>
      </c>
      <c r="G132" s="16">
        <v>99970</v>
      </c>
      <c r="H132" t="s">
        <v>206</v>
      </c>
      <c r="I132" s="6">
        <f ca="1">(TODAY()-staff[[#This Row],[Date Joined]])/365</f>
        <v>2.0383561643835617</v>
      </c>
      <c r="J132" s="16">
        <f ca="1">ROUNDUP(IF(staff[[#This Row],[tenure]]&gt;2,3%,2%)*staff[[#This Row],[Salary]],0)</f>
        <v>3000</v>
      </c>
      <c r="K132" s="5">
        <f>_xlfn.XLOOKUP(staff[[#This Row],[Rating]],Table5[Column1],Table5[Column2])</f>
        <v>3</v>
      </c>
      <c r="S132" s="3"/>
    </row>
    <row r="133" spans="1:19" x14ac:dyDescent="0.3">
      <c r="A133" t="s">
        <v>55</v>
      </c>
      <c r="B133" t="s">
        <v>15</v>
      </c>
      <c r="C133">
        <v>33</v>
      </c>
      <c r="D133" t="s">
        <v>13</v>
      </c>
      <c r="E133" s="4">
        <v>44190</v>
      </c>
      <c r="F133" t="s">
        <v>23</v>
      </c>
      <c r="G133" s="16">
        <v>96140</v>
      </c>
      <c r="H133" t="s">
        <v>206</v>
      </c>
      <c r="I133" s="6">
        <f ca="1">(TODAY()-staff[[#This Row],[Date Joined]])/365</f>
        <v>3.2438356164383562</v>
      </c>
      <c r="J133" s="16">
        <f ca="1">ROUNDUP(IF(staff[[#This Row],[tenure]]&gt;2,3%,2%)*staff[[#This Row],[Salary]],0)</f>
        <v>2885</v>
      </c>
      <c r="K133" s="5">
        <f>_xlfn.XLOOKUP(staff[[#This Row],[Rating]],Table5[Column1],Table5[Column2])</f>
        <v>3</v>
      </c>
      <c r="S133" s="3"/>
    </row>
    <row r="134" spans="1:19" x14ac:dyDescent="0.3">
      <c r="A134" t="s">
        <v>56</v>
      </c>
      <c r="B134" t="s">
        <v>8</v>
      </c>
      <c r="C134">
        <v>31</v>
      </c>
      <c r="D134" t="s">
        <v>13</v>
      </c>
      <c r="E134" s="4">
        <v>44724</v>
      </c>
      <c r="F134" t="s">
        <v>12</v>
      </c>
      <c r="G134" s="16">
        <v>103550</v>
      </c>
      <c r="H134" t="s">
        <v>206</v>
      </c>
      <c r="I134" s="6">
        <f ca="1">(TODAY()-staff[[#This Row],[Date Joined]])/365</f>
        <v>1.7808219178082192</v>
      </c>
      <c r="J134" s="16">
        <f ca="1">ROUNDUP(IF(staff[[#This Row],[tenure]]&gt;2,3%,2%)*staff[[#This Row],[Salary]],0)</f>
        <v>2071</v>
      </c>
      <c r="K134" s="5">
        <f>_xlfn.XLOOKUP(staff[[#This Row],[Rating]],Table5[Column1],Table5[Column2])</f>
        <v>3</v>
      </c>
      <c r="S134" s="3"/>
    </row>
    <row r="135" spans="1:19" x14ac:dyDescent="0.3">
      <c r="A135" t="s">
        <v>57</v>
      </c>
      <c r="B135" t="s">
        <v>8</v>
      </c>
      <c r="C135">
        <v>31</v>
      </c>
      <c r="D135" t="s">
        <v>13</v>
      </c>
      <c r="E135" s="4">
        <v>44511</v>
      </c>
      <c r="F135" t="s">
        <v>23</v>
      </c>
      <c r="G135" s="16">
        <v>48950</v>
      </c>
      <c r="H135" t="s">
        <v>206</v>
      </c>
      <c r="I135" s="6">
        <f ca="1">(TODAY()-staff[[#This Row],[Date Joined]])/365</f>
        <v>2.3643835616438356</v>
      </c>
      <c r="J135" s="16">
        <f ca="1">ROUNDUP(IF(staff[[#This Row],[tenure]]&gt;2,3%,2%)*staff[[#This Row],[Salary]],0)</f>
        <v>1469</v>
      </c>
      <c r="K135" s="5">
        <f>_xlfn.XLOOKUP(staff[[#This Row],[Rating]],Table5[Column1],Table5[Column2])</f>
        <v>3</v>
      </c>
      <c r="S135" s="3"/>
    </row>
    <row r="136" spans="1:19" x14ac:dyDescent="0.3">
      <c r="A136" t="s">
        <v>58</v>
      </c>
      <c r="B136" t="s">
        <v>8</v>
      </c>
      <c r="C136">
        <v>24</v>
      </c>
      <c r="D136" t="s">
        <v>18</v>
      </c>
      <c r="E136" s="4">
        <v>44436</v>
      </c>
      <c r="F136" t="s">
        <v>17</v>
      </c>
      <c r="G136" s="16">
        <v>52610</v>
      </c>
      <c r="H136" t="s">
        <v>206</v>
      </c>
      <c r="I136" s="6">
        <f ca="1">(TODAY()-staff[[#This Row],[Date Joined]])/365</f>
        <v>2.56986301369863</v>
      </c>
      <c r="J136" s="16">
        <f ca="1">ROUNDUP(IF(staff[[#This Row],[tenure]]&gt;2,3%,2%)*staff[[#This Row],[Salary]],0)</f>
        <v>1579</v>
      </c>
      <c r="K136" s="5">
        <f>_xlfn.XLOOKUP(staff[[#This Row],[Rating]],Table5[Column1],Table5[Column2])</f>
        <v>2</v>
      </c>
      <c r="S136" s="3"/>
    </row>
    <row r="137" spans="1:19" x14ac:dyDescent="0.3">
      <c r="A137" t="s">
        <v>59</v>
      </c>
      <c r="B137" t="s">
        <v>15</v>
      </c>
      <c r="C137">
        <v>36</v>
      </c>
      <c r="D137" t="s">
        <v>13</v>
      </c>
      <c r="E137" s="4">
        <v>44529</v>
      </c>
      <c r="F137" t="s">
        <v>12</v>
      </c>
      <c r="G137" s="16">
        <v>78390</v>
      </c>
      <c r="H137" t="s">
        <v>206</v>
      </c>
      <c r="I137" s="6">
        <f ca="1">(TODAY()-staff[[#This Row],[Date Joined]])/365</f>
        <v>2.3150684931506849</v>
      </c>
      <c r="J137" s="16">
        <f ca="1">ROUNDUP(IF(staff[[#This Row],[tenure]]&gt;2,3%,2%)*staff[[#This Row],[Salary]],0)</f>
        <v>2352</v>
      </c>
      <c r="K137" s="5">
        <f>_xlfn.XLOOKUP(staff[[#This Row],[Rating]],Table5[Column1],Table5[Column2])</f>
        <v>3</v>
      </c>
      <c r="S137" s="3"/>
    </row>
    <row r="138" spans="1:19" x14ac:dyDescent="0.3">
      <c r="A138" t="s">
        <v>60</v>
      </c>
      <c r="B138" t="s">
        <v>15</v>
      </c>
      <c r="C138">
        <v>33</v>
      </c>
      <c r="D138" t="s">
        <v>13</v>
      </c>
      <c r="E138" s="4">
        <v>44809</v>
      </c>
      <c r="F138" t="s">
        <v>17</v>
      </c>
      <c r="G138" s="16">
        <v>86570</v>
      </c>
      <c r="H138" t="s">
        <v>206</v>
      </c>
      <c r="I138" s="6">
        <f ca="1">(TODAY()-staff[[#This Row],[Date Joined]])/365</f>
        <v>1.547945205479452</v>
      </c>
      <c r="J138" s="16">
        <f ca="1">ROUNDUP(IF(staff[[#This Row],[tenure]]&gt;2,3%,2%)*staff[[#This Row],[Salary]],0)</f>
        <v>1732</v>
      </c>
      <c r="K138" s="5">
        <f>_xlfn.XLOOKUP(staff[[#This Row],[Rating]],Table5[Column1],Table5[Column2])</f>
        <v>3</v>
      </c>
      <c r="S138" s="3"/>
    </row>
    <row r="139" spans="1:19" x14ac:dyDescent="0.3">
      <c r="A139" t="s">
        <v>61</v>
      </c>
      <c r="B139" t="s">
        <v>15</v>
      </c>
      <c r="C139">
        <v>27</v>
      </c>
      <c r="D139" t="s">
        <v>13</v>
      </c>
      <c r="E139" s="4">
        <v>44686</v>
      </c>
      <c r="F139" t="s">
        <v>23</v>
      </c>
      <c r="G139" s="16">
        <v>83750</v>
      </c>
      <c r="H139" t="s">
        <v>206</v>
      </c>
      <c r="I139" s="6">
        <f ca="1">(TODAY()-staff[[#This Row],[Date Joined]])/365</f>
        <v>1.8849315068493151</v>
      </c>
      <c r="J139" s="16">
        <f ca="1">ROUNDUP(IF(staff[[#This Row],[tenure]]&gt;2,3%,2%)*staff[[#This Row],[Salary]],0)</f>
        <v>1675</v>
      </c>
      <c r="K139" s="5">
        <f>_xlfn.XLOOKUP(staff[[#This Row],[Rating]],Table5[Column1],Table5[Column2])</f>
        <v>3</v>
      </c>
      <c r="S139" s="3"/>
    </row>
    <row r="140" spans="1:19" x14ac:dyDescent="0.3">
      <c r="A140" t="s">
        <v>62</v>
      </c>
      <c r="B140" t="s">
        <v>15</v>
      </c>
      <c r="C140">
        <v>34</v>
      </c>
      <c r="D140" t="s">
        <v>13</v>
      </c>
      <c r="E140" s="4">
        <v>44445</v>
      </c>
      <c r="F140" t="s">
        <v>17</v>
      </c>
      <c r="G140" s="16">
        <v>92450</v>
      </c>
      <c r="H140" t="s">
        <v>206</v>
      </c>
      <c r="I140" s="6">
        <f ca="1">(TODAY()-staff[[#This Row],[Date Joined]])/365</f>
        <v>2.5452054794520547</v>
      </c>
      <c r="J140" s="16">
        <f ca="1">ROUNDUP(IF(staff[[#This Row],[tenure]]&gt;2,3%,2%)*staff[[#This Row],[Salary]],0)</f>
        <v>2774</v>
      </c>
      <c r="K140" s="5">
        <f>_xlfn.XLOOKUP(staff[[#This Row],[Rating]],Table5[Column1],Table5[Column2])</f>
        <v>3</v>
      </c>
      <c r="S140" s="3"/>
    </row>
    <row r="141" spans="1:19" x14ac:dyDescent="0.3">
      <c r="A141" t="s">
        <v>63</v>
      </c>
      <c r="B141" t="s">
        <v>8</v>
      </c>
      <c r="C141">
        <v>20</v>
      </c>
      <c r="D141" t="s">
        <v>13</v>
      </c>
      <c r="E141" s="4">
        <v>44183</v>
      </c>
      <c r="F141" t="s">
        <v>23</v>
      </c>
      <c r="G141" s="16">
        <v>112650</v>
      </c>
      <c r="H141" t="s">
        <v>206</v>
      </c>
      <c r="I141" s="6">
        <f ca="1">(TODAY()-staff[[#This Row],[Date Joined]])/365</f>
        <v>3.2630136986301368</v>
      </c>
      <c r="J141" s="16">
        <f ca="1">ROUNDUP(IF(staff[[#This Row],[tenure]]&gt;2,3%,2%)*staff[[#This Row],[Salary]],0)</f>
        <v>3380</v>
      </c>
      <c r="K141" s="5">
        <f>_xlfn.XLOOKUP(staff[[#This Row],[Rating]],Table5[Column1],Table5[Column2])</f>
        <v>3</v>
      </c>
      <c r="S141" s="3"/>
    </row>
    <row r="142" spans="1:19" x14ac:dyDescent="0.3">
      <c r="A142" t="s">
        <v>64</v>
      </c>
      <c r="B142" t="s">
        <v>8</v>
      </c>
      <c r="C142">
        <v>20</v>
      </c>
      <c r="D142" t="s">
        <v>13</v>
      </c>
      <c r="E142" s="4">
        <v>44744</v>
      </c>
      <c r="F142" t="s">
        <v>12</v>
      </c>
      <c r="G142" s="16">
        <v>79570</v>
      </c>
      <c r="H142" t="s">
        <v>206</v>
      </c>
      <c r="I142" s="6">
        <f ca="1">(TODAY()-staff[[#This Row],[Date Joined]])/365</f>
        <v>1.726027397260274</v>
      </c>
      <c r="J142" s="16">
        <f ca="1">ROUNDUP(IF(staff[[#This Row],[tenure]]&gt;2,3%,2%)*staff[[#This Row],[Salary]],0)</f>
        <v>1592</v>
      </c>
      <c r="K142" s="5">
        <f>_xlfn.XLOOKUP(staff[[#This Row],[Rating]],Table5[Column1],Table5[Column2])</f>
        <v>3</v>
      </c>
      <c r="S142" s="3"/>
    </row>
    <row r="143" spans="1:19" x14ac:dyDescent="0.3">
      <c r="A143" t="s">
        <v>65</v>
      </c>
      <c r="B143" t="s">
        <v>15</v>
      </c>
      <c r="C143">
        <v>20</v>
      </c>
      <c r="D143" t="s">
        <v>18</v>
      </c>
      <c r="E143" s="4">
        <v>44537</v>
      </c>
      <c r="F143" t="s">
        <v>9</v>
      </c>
      <c r="G143" s="16">
        <v>68900</v>
      </c>
      <c r="H143" t="s">
        <v>206</v>
      </c>
      <c r="I143" s="6">
        <f ca="1">(TODAY()-staff[[#This Row],[Date Joined]])/365</f>
        <v>2.2931506849315069</v>
      </c>
      <c r="J143" s="16">
        <f ca="1">ROUNDUP(IF(staff[[#This Row],[tenure]]&gt;2,3%,2%)*staff[[#This Row],[Salary]],0)</f>
        <v>2067</v>
      </c>
      <c r="K143" s="5">
        <f>_xlfn.XLOOKUP(staff[[#This Row],[Rating]],Table5[Column1],Table5[Column2])</f>
        <v>2</v>
      </c>
      <c r="S143" s="3"/>
    </row>
    <row r="144" spans="1:19" x14ac:dyDescent="0.3">
      <c r="A144" t="s">
        <v>66</v>
      </c>
      <c r="B144" t="s">
        <v>15</v>
      </c>
      <c r="C144">
        <v>25</v>
      </c>
      <c r="D144" t="s">
        <v>10</v>
      </c>
      <c r="E144" s="4">
        <v>44694</v>
      </c>
      <c r="F144" t="s">
        <v>23</v>
      </c>
      <c r="G144" s="16">
        <v>80700</v>
      </c>
      <c r="H144" t="s">
        <v>206</v>
      </c>
      <c r="I144" s="6">
        <f ca="1">(TODAY()-staff[[#This Row],[Date Joined]])/365</f>
        <v>1.8630136986301369</v>
      </c>
      <c r="J144" s="16">
        <f ca="1">ROUNDUP(IF(staff[[#This Row],[tenure]]&gt;2,3%,2%)*staff[[#This Row],[Salary]],0)</f>
        <v>1614</v>
      </c>
      <c r="K144" s="5">
        <f>_xlfn.XLOOKUP(staff[[#This Row],[Rating]],Table5[Column1],Table5[Column2])</f>
        <v>4</v>
      </c>
      <c r="S144" s="3"/>
    </row>
    <row r="145" spans="1:19" x14ac:dyDescent="0.3">
      <c r="A145" t="s">
        <v>67</v>
      </c>
      <c r="B145" t="s">
        <v>8</v>
      </c>
      <c r="C145">
        <v>19</v>
      </c>
      <c r="D145" t="s">
        <v>13</v>
      </c>
      <c r="E145" s="4">
        <v>44277</v>
      </c>
      <c r="F145" t="s">
        <v>12</v>
      </c>
      <c r="G145" s="16">
        <v>58960</v>
      </c>
      <c r="H145" t="s">
        <v>206</v>
      </c>
      <c r="I145" s="6">
        <f ca="1">(TODAY()-staff[[#This Row],[Date Joined]])/365</f>
        <v>3.0054794520547947</v>
      </c>
      <c r="J145" s="16">
        <f ca="1">ROUNDUP(IF(staff[[#This Row],[tenure]]&gt;2,3%,2%)*staff[[#This Row],[Salary]],0)</f>
        <v>1769</v>
      </c>
      <c r="K145" s="5">
        <f>_xlfn.XLOOKUP(staff[[#This Row],[Rating]],Table5[Column1],Table5[Column2])</f>
        <v>3</v>
      </c>
      <c r="S145" s="3"/>
    </row>
    <row r="146" spans="1:19" x14ac:dyDescent="0.3">
      <c r="A146" t="s">
        <v>68</v>
      </c>
      <c r="B146" t="s">
        <v>8</v>
      </c>
      <c r="C146">
        <v>36</v>
      </c>
      <c r="D146" t="s">
        <v>13</v>
      </c>
      <c r="E146" s="4">
        <v>44019</v>
      </c>
      <c r="F146" t="s">
        <v>23</v>
      </c>
      <c r="G146" s="16">
        <v>118840</v>
      </c>
      <c r="H146" t="s">
        <v>206</v>
      </c>
      <c r="I146" s="6">
        <f ca="1">(TODAY()-staff[[#This Row],[Date Joined]])/365</f>
        <v>3.7123287671232879</v>
      </c>
      <c r="J146" s="16">
        <f ca="1">ROUNDUP(IF(staff[[#This Row],[tenure]]&gt;2,3%,2%)*staff[[#This Row],[Salary]],0)</f>
        <v>3566</v>
      </c>
      <c r="K146" s="5">
        <f>_xlfn.XLOOKUP(staff[[#This Row],[Rating]],Table5[Column1],Table5[Column2])</f>
        <v>3</v>
      </c>
      <c r="S146" s="3"/>
    </row>
    <row r="147" spans="1:19" x14ac:dyDescent="0.3">
      <c r="A147" t="s">
        <v>69</v>
      </c>
      <c r="B147" t="s">
        <v>8</v>
      </c>
      <c r="C147">
        <v>28</v>
      </c>
      <c r="D147" t="s">
        <v>10</v>
      </c>
      <c r="E147" s="4">
        <v>44041</v>
      </c>
      <c r="F147" t="s">
        <v>17</v>
      </c>
      <c r="G147" s="16">
        <v>48170</v>
      </c>
      <c r="H147" t="s">
        <v>206</v>
      </c>
      <c r="I147" s="6">
        <f ca="1">(TODAY()-staff[[#This Row],[Date Joined]])/365</f>
        <v>3.6520547945205482</v>
      </c>
      <c r="J147" s="16">
        <f ca="1">ROUNDUP(IF(staff[[#This Row],[tenure]]&gt;2,3%,2%)*staff[[#This Row],[Salary]],0)</f>
        <v>1446</v>
      </c>
      <c r="K147" s="5">
        <f>_xlfn.XLOOKUP(staff[[#This Row],[Rating]],Table5[Column1],Table5[Column2])</f>
        <v>4</v>
      </c>
      <c r="S147" s="3"/>
    </row>
    <row r="148" spans="1:19" x14ac:dyDescent="0.3">
      <c r="A148" t="s">
        <v>70</v>
      </c>
      <c r="B148" t="s">
        <v>15</v>
      </c>
      <c r="C148">
        <v>32</v>
      </c>
      <c r="D148" t="s">
        <v>13</v>
      </c>
      <c r="E148" s="4">
        <v>44400</v>
      </c>
      <c r="F148" t="s">
        <v>26</v>
      </c>
      <c r="G148" s="16">
        <v>45510</v>
      </c>
      <c r="H148" t="s">
        <v>206</v>
      </c>
      <c r="I148" s="6">
        <f ca="1">(TODAY()-staff[[#This Row],[Date Joined]])/365</f>
        <v>2.6684931506849314</v>
      </c>
      <c r="J148" s="16">
        <f ca="1">ROUNDUP(IF(staff[[#This Row],[tenure]]&gt;2,3%,2%)*staff[[#This Row],[Salary]],0)</f>
        <v>1366</v>
      </c>
      <c r="K148" s="5">
        <f>_xlfn.XLOOKUP(staff[[#This Row],[Rating]],Table5[Column1],Table5[Column2])</f>
        <v>3</v>
      </c>
      <c r="S148" s="3"/>
    </row>
    <row r="149" spans="1:19" x14ac:dyDescent="0.3">
      <c r="A149" t="s">
        <v>71</v>
      </c>
      <c r="B149" t="s">
        <v>15</v>
      </c>
      <c r="C149">
        <v>36</v>
      </c>
      <c r="D149" t="s">
        <v>13</v>
      </c>
      <c r="E149" s="4">
        <v>44085</v>
      </c>
      <c r="F149" t="s">
        <v>12</v>
      </c>
      <c r="G149" s="16">
        <v>114890</v>
      </c>
      <c r="H149" t="s">
        <v>206</v>
      </c>
      <c r="I149" s="6">
        <f ca="1">(TODAY()-staff[[#This Row],[Date Joined]])/365</f>
        <v>3.5315068493150683</v>
      </c>
      <c r="J149" s="16">
        <f ca="1">ROUNDUP(IF(staff[[#This Row],[tenure]]&gt;2,3%,2%)*staff[[#This Row],[Salary]],0)</f>
        <v>3447</v>
      </c>
      <c r="K149" s="5">
        <f>_xlfn.XLOOKUP(staff[[#This Row],[Rating]],Table5[Column1],Table5[Column2])</f>
        <v>3</v>
      </c>
      <c r="S149" s="3"/>
    </row>
    <row r="150" spans="1:19" x14ac:dyDescent="0.3">
      <c r="A150" t="s">
        <v>72</v>
      </c>
      <c r="B150" t="s">
        <v>8</v>
      </c>
      <c r="C150">
        <v>30</v>
      </c>
      <c r="D150" t="s">
        <v>13</v>
      </c>
      <c r="E150" s="4">
        <v>44850</v>
      </c>
      <c r="F150" t="s">
        <v>23</v>
      </c>
      <c r="G150" s="16">
        <v>69710</v>
      </c>
      <c r="H150" t="s">
        <v>206</v>
      </c>
      <c r="I150" s="6">
        <f ca="1">(TODAY()-staff[[#This Row],[Date Joined]])/365</f>
        <v>1.4356164383561645</v>
      </c>
      <c r="J150" s="16">
        <f ca="1">ROUNDUP(IF(staff[[#This Row],[tenure]]&gt;2,3%,2%)*staff[[#This Row],[Salary]],0)</f>
        <v>1395</v>
      </c>
      <c r="K150" s="5">
        <f>_xlfn.XLOOKUP(staff[[#This Row],[Rating]],Table5[Column1],Table5[Column2])</f>
        <v>3</v>
      </c>
      <c r="S150" s="3"/>
    </row>
    <row r="151" spans="1:19" x14ac:dyDescent="0.3">
      <c r="A151" t="s">
        <v>73</v>
      </c>
      <c r="B151" t="s">
        <v>8</v>
      </c>
      <c r="C151">
        <v>36</v>
      </c>
      <c r="D151" t="s">
        <v>13</v>
      </c>
      <c r="E151" s="4">
        <v>44333</v>
      </c>
      <c r="F151" t="s">
        <v>17</v>
      </c>
      <c r="G151" s="16">
        <v>71380</v>
      </c>
      <c r="H151" t="s">
        <v>206</v>
      </c>
      <c r="I151" s="6">
        <f ca="1">(TODAY()-staff[[#This Row],[Date Joined]])/365</f>
        <v>2.8520547945205479</v>
      </c>
      <c r="J151" s="16">
        <f ca="1">ROUNDUP(IF(staff[[#This Row],[tenure]]&gt;2,3%,2%)*staff[[#This Row],[Salary]],0)</f>
        <v>2142</v>
      </c>
      <c r="K151" s="5">
        <f>_xlfn.XLOOKUP(staff[[#This Row],[Rating]],Table5[Column1],Table5[Column2])</f>
        <v>3</v>
      </c>
      <c r="S151" s="3"/>
    </row>
    <row r="152" spans="1:19" x14ac:dyDescent="0.3">
      <c r="A152" t="s">
        <v>74</v>
      </c>
      <c r="B152" t="s">
        <v>15</v>
      </c>
      <c r="C152">
        <v>38</v>
      </c>
      <c r="D152" t="s">
        <v>43</v>
      </c>
      <c r="E152" s="4">
        <v>44377</v>
      </c>
      <c r="F152" t="s">
        <v>9</v>
      </c>
      <c r="G152" s="16">
        <v>109160</v>
      </c>
      <c r="H152" t="s">
        <v>206</v>
      </c>
      <c r="I152" s="6">
        <f ca="1">(TODAY()-staff[[#This Row],[Date Joined]])/365</f>
        <v>2.7315068493150685</v>
      </c>
      <c r="J152" s="16">
        <f ca="1">ROUNDUP(IF(staff[[#This Row],[tenure]]&gt;2,3%,2%)*staff[[#This Row],[Salary]],0)</f>
        <v>3275</v>
      </c>
      <c r="K152" s="5">
        <f>_xlfn.XLOOKUP(staff[[#This Row],[Rating]],Table5[Column1],Table5[Column2])</f>
        <v>5</v>
      </c>
      <c r="S152" s="3"/>
    </row>
    <row r="153" spans="1:19" x14ac:dyDescent="0.3">
      <c r="A153" t="s">
        <v>75</v>
      </c>
      <c r="B153" t="s">
        <v>8</v>
      </c>
      <c r="C153">
        <v>27</v>
      </c>
      <c r="D153" t="s">
        <v>49</v>
      </c>
      <c r="E153" s="4">
        <v>44609</v>
      </c>
      <c r="F153" t="s">
        <v>12</v>
      </c>
      <c r="G153" s="16">
        <v>113280</v>
      </c>
      <c r="H153" t="s">
        <v>206</v>
      </c>
      <c r="I153" s="6">
        <f ca="1">(TODAY()-staff[[#This Row],[Date Joined]])/365</f>
        <v>2.095890410958904</v>
      </c>
      <c r="J153" s="16">
        <f ca="1">ROUNDUP(IF(staff[[#This Row],[tenure]]&gt;2,3%,2%)*staff[[#This Row],[Salary]],0)</f>
        <v>3399</v>
      </c>
      <c r="K153" s="5">
        <f>_xlfn.XLOOKUP(staff[[#This Row],[Rating]],Table5[Column1],Table5[Column2])</f>
        <v>1</v>
      </c>
      <c r="S153" s="3"/>
    </row>
    <row r="154" spans="1:19" x14ac:dyDescent="0.3">
      <c r="A154" t="s">
        <v>76</v>
      </c>
      <c r="B154" t="s">
        <v>8</v>
      </c>
      <c r="C154">
        <v>30</v>
      </c>
      <c r="D154" t="s">
        <v>13</v>
      </c>
      <c r="E154" s="4">
        <v>44273</v>
      </c>
      <c r="F154" t="s">
        <v>23</v>
      </c>
      <c r="G154" s="16">
        <v>69120</v>
      </c>
      <c r="H154" t="s">
        <v>206</v>
      </c>
      <c r="I154" s="6">
        <f ca="1">(TODAY()-staff[[#This Row],[Date Joined]])/365</f>
        <v>3.0164383561643837</v>
      </c>
      <c r="J154" s="16">
        <f ca="1">ROUNDUP(IF(staff[[#This Row],[tenure]]&gt;2,3%,2%)*staff[[#This Row],[Salary]],0)</f>
        <v>2074</v>
      </c>
      <c r="K154" s="5">
        <f>_xlfn.XLOOKUP(staff[[#This Row],[Rating]],Table5[Column1],Table5[Column2])</f>
        <v>3</v>
      </c>
      <c r="S154" s="3"/>
    </row>
    <row r="155" spans="1:19" x14ac:dyDescent="0.3">
      <c r="A155" t="s">
        <v>77</v>
      </c>
      <c r="B155" t="s">
        <v>15</v>
      </c>
      <c r="C155">
        <v>37</v>
      </c>
      <c r="D155" t="s">
        <v>13</v>
      </c>
      <c r="E155" s="4">
        <v>44451</v>
      </c>
      <c r="F155" t="s">
        <v>26</v>
      </c>
      <c r="G155" s="16">
        <v>118100</v>
      </c>
      <c r="H155" t="s">
        <v>206</v>
      </c>
      <c r="I155" s="6">
        <f ca="1">(TODAY()-staff[[#This Row],[Date Joined]])/365</f>
        <v>2.5287671232876714</v>
      </c>
      <c r="J155" s="16">
        <f ca="1">ROUNDUP(IF(staff[[#This Row],[tenure]]&gt;2,3%,2%)*staff[[#This Row],[Salary]],0)</f>
        <v>3543</v>
      </c>
      <c r="K155" s="5">
        <f>_xlfn.XLOOKUP(staff[[#This Row],[Rating]],Table5[Column1],Table5[Column2])</f>
        <v>3</v>
      </c>
      <c r="S155" s="3"/>
    </row>
    <row r="156" spans="1:19" x14ac:dyDescent="0.3">
      <c r="A156" t="s">
        <v>78</v>
      </c>
      <c r="B156" t="s">
        <v>15</v>
      </c>
      <c r="C156">
        <v>22</v>
      </c>
      <c r="D156" t="s">
        <v>10</v>
      </c>
      <c r="E156" s="4">
        <v>44450</v>
      </c>
      <c r="F156" t="s">
        <v>12</v>
      </c>
      <c r="G156" s="16">
        <v>76900</v>
      </c>
      <c r="H156" t="s">
        <v>206</v>
      </c>
      <c r="I156" s="6">
        <f ca="1">(TODAY()-staff[[#This Row],[Date Joined]])/365</f>
        <v>2.5315068493150683</v>
      </c>
      <c r="J156" s="16">
        <f ca="1">ROUNDUP(IF(staff[[#This Row],[tenure]]&gt;2,3%,2%)*staff[[#This Row],[Salary]],0)</f>
        <v>2307</v>
      </c>
      <c r="K156" s="5">
        <f>_xlfn.XLOOKUP(staff[[#This Row],[Rating]],Table5[Column1],Table5[Column2])</f>
        <v>4</v>
      </c>
      <c r="S156" s="3"/>
    </row>
    <row r="157" spans="1:19" x14ac:dyDescent="0.3">
      <c r="A157" t="s">
        <v>79</v>
      </c>
      <c r="B157" t="s">
        <v>15</v>
      </c>
      <c r="C157">
        <v>43</v>
      </c>
      <c r="D157" t="s">
        <v>13</v>
      </c>
      <c r="E157" s="4">
        <v>45045</v>
      </c>
      <c r="F157" t="s">
        <v>23</v>
      </c>
      <c r="G157" s="16">
        <v>114870</v>
      </c>
      <c r="H157" t="s">
        <v>206</v>
      </c>
      <c r="I157" s="6">
        <f ca="1">(TODAY()-staff[[#This Row],[Date Joined]])/365</f>
        <v>0.90136986301369859</v>
      </c>
      <c r="J157" s="16">
        <f ca="1">ROUNDUP(IF(staff[[#This Row],[tenure]]&gt;2,3%,2%)*staff[[#This Row],[Salary]],0)</f>
        <v>2298</v>
      </c>
      <c r="K157" s="5">
        <f>_xlfn.XLOOKUP(staff[[#This Row],[Rating]],Table5[Column1],Table5[Column2])</f>
        <v>3</v>
      </c>
      <c r="S157" s="3"/>
    </row>
    <row r="158" spans="1:19" x14ac:dyDescent="0.3">
      <c r="A158" t="s">
        <v>80</v>
      </c>
      <c r="B158" t="s">
        <v>205</v>
      </c>
      <c r="C158">
        <v>32</v>
      </c>
      <c r="D158" t="s">
        <v>13</v>
      </c>
      <c r="E158" s="4">
        <v>44774</v>
      </c>
      <c r="F158" t="s">
        <v>23</v>
      </c>
      <c r="G158" s="16">
        <v>91310</v>
      </c>
      <c r="H158" t="s">
        <v>206</v>
      </c>
      <c r="I158" s="6">
        <f ca="1">(TODAY()-staff[[#This Row],[Date Joined]])/365</f>
        <v>1.6438356164383561</v>
      </c>
      <c r="J158" s="16">
        <f ca="1">ROUNDUP(IF(staff[[#This Row],[tenure]]&gt;2,3%,2%)*staff[[#This Row],[Salary]],0)</f>
        <v>1827</v>
      </c>
      <c r="K158" s="5">
        <f>_xlfn.XLOOKUP(staff[[#This Row],[Rating]],Table5[Column1],Table5[Column2])</f>
        <v>3</v>
      </c>
      <c r="S158" s="3"/>
    </row>
    <row r="159" spans="1:19" x14ac:dyDescent="0.3">
      <c r="A159" t="s">
        <v>81</v>
      </c>
      <c r="B159" t="s">
        <v>15</v>
      </c>
      <c r="C159">
        <v>28</v>
      </c>
      <c r="D159" t="s">
        <v>13</v>
      </c>
      <c r="E159" s="4">
        <v>44486</v>
      </c>
      <c r="F159" t="s">
        <v>12</v>
      </c>
      <c r="G159" s="16">
        <v>104770</v>
      </c>
      <c r="H159" t="s">
        <v>206</v>
      </c>
      <c r="I159" s="6">
        <f ca="1">(TODAY()-staff[[#This Row],[Date Joined]])/365</f>
        <v>2.4328767123287673</v>
      </c>
      <c r="J159" s="16">
        <f ca="1">ROUNDUP(IF(staff[[#This Row],[tenure]]&gt;2,3%,2%)*staff[[#This Row],[Salary]],0)</f>
        <v>3144</v>
      </c>
      <c r="K159" s="5">
        <f>_xlfn.XLOOKUP(staff[[#This Row],[Rating]],Table5[Column1],Table5[Column2])</f>
        <v>3</v>
      </c>
      <c r="S159" s="3"/>
    </row>
    <row r="160" spans="1:19" x14ac:dyDescent="0.3">
      <c r="A160" t="s">
        <v>82</v>
      </c>
      <c r="B160" t="s">
        <v>8</v>
      </c>
      <c r="C160">
        <v>27</v>
      </c>
      <c r="D160" t="s">
        <v>13</v>
      </c>
      <c r="E160" s="4">
        <v>44134</v>
      </c>
      <c r="F160" t="s">
        <v>9</v>
      </c>
      <c r="G160" s="16">
        <v>54970</v>
      </c>
      <c r="H160" t="s">
        <v>206</v>
      </c>
      <c r="I160" s="6">
        <f ca="1">(TODAY()-staff[[#This Row],[Date Joined]])/365</f>
        <v>3.3972602739726026</v>
      </c>
      <c r="J160" s="16">
        <f ca="1">ROUNDUP(IF(staff[[#This Row],[tenure]]&gt;2,3%,2%)*staff[[#This Row],[Salary]],0)</f>
        <v>1650</v>
      </c>
      <c r="K160" s="5">
        <f>_xlfn.XLOOKUP(staff[[#This Row],[Rating]],Table5[Column1],Table5[Column2])</f>
        <v>3</v>
      </c>
      <c r="S160" s="3"/>
    </row>
    <row r="161" spans="1:19" x14ac:dyDescent="0.3">
      <c r="A161" t="s">
        <v>83</v>
      </c>
      <c r="B161" t="s">
        <v>205</v>
      </c>
      <c r="C161">
        <v>26</v>
      </c>
      <c r="D161" t="s">
        <v>10</v>
      </c>
      <c r="E161" s="4">
        <v>44271</v>
      </c>
      <c r="F161" t="s">
        <v>23</v>
      </c>
      <c r="G161" s="16">
        <v>90700</v>
      </c>
      <c r="H161" t="s">
        <v>206</v>
      </c>
      <c r="I161" s="6">
        <f ca="1">(TODAY()-staff[[#This Row],[Date Joined]])/365</f>
        <v>3.021917808219178</v>
      </c>
      <c r="J161" s="16">
        <f ca="1">ROUNDUP(IF(staff[[#This Row],[tenure]]&gt;2,3%,2%)*staff[[#This Row],[Salary]],0)</f>
        <v>2721</v>
      </c>
      <c r="K161" s="5">
        <f>_xlfn.XLOOKUP(staff[[#This Row],[Rating]],Table5[Column1],Table5[Column2])</f>
        <v>4</v>
      </c>
      <c r="S161" s="3"/>
    </row>
    <row r="162" spans="1:19" x14ac:dyDescent="0.3">
      <c r="A162" t="s">
        <v>84</v>
      </c>
      <c r="B162" t="s">
        <v>15</v>
      </c>
      <c r="C162">
        <v>38</v>
      </c>
      <c r="D162" t="s">
        <v>10</v>
      </c>
      <c r="E162" s="4">
        <v>44329</v>
      </c>
      <c r="F162" t="s">
        <v>9</v>
      </c>
      <c r="G162" s="16">
        <v>56870</v>
      </c>
      <c r="H162" t="s">
        <v>206</v>
      </c>
      <c r="I162" s="6">
        <f ca="1">(TODAY()-staff[[#This Row],[Date Joined]])/365</f>
        <v>2.8630136986301369</v>
      </c>
      <c r="J162" s="16">
        <f ca="1">ROUNDUP(IF(staff[[#This Row],[tenure]]&gt;2,3%,2%)*staff[[#This Row],[Salary]],0)</f>
        <v>1707</v>
      </c>
      <c r="K162" s="5">
        <f>_xlfn.XLOOKUP(staff[[#This Row],[Rating]],Table5[Column1],Table5[Column2])</f>
        <v>4</v>
      </c>
      <c r="S162" s="3"/>
    </row>
    <row r="163" spans="1:19" x14ac:dyDescent="0.3">
      <c r="A163" t="s">
        <v>85</v>
      </c>
      <c r="B163" t="s">
        <v>15</v>
      </c>
      <c r="C163">
        <v>25</v>
      </c>
      <c r="D163" t="s">
        <v>13</v>
      </c>
      <c r="E163" s="4">
        <v>44205</v>
      </c>
      <c r="F163" t="s">
        <v>9</v>
      </c>
      <c r="G163" s="16">
        <v>92700</v>
      </c>
      <c r="H163" t="s">
        <v>206</v>
      </c>
      <c r="I163" s="6">
        <f ca="1">(TODAY()-staff[[#This Row],[Date Joined]])/365</f>
        <v>3.2027397260273971</v>
      </c>
      <c r="J163" s="16">
        <f ca="1">ROUNDUP(IF(staff[[#This Row],[tenure]]&gt;2,3%,2%)*staff[[#This Row],[Salary]],0)</f>
        <v>2781</v>
      </c>
      <c r="K163" s="5">
        <f>_xlfn.XLOOKUP(staff[[#This Row],[Rating]],Table5[Column1],Table5[Column2])</f>
        <v>3</v>
      </c>
      <c r="S163" s="3"/>
    </row>
    <row r="164" spans="1:19" x14ac:dyDescent="0.3">
      <c r="A164" t="s">
        <v>86</v>
      </c>
      <c r="B164" t="s">
        <v>15</v>
      </c>
      <c r="C164">
        <v>21</v>
      </c>
      <c r="D164" t="s">
        <v>13</v>
      </c>
      <c r="E164" s="4">
        <v>44317</v>
      </c>
      <c r="F164" t="s">
        <v>17</v>
      </c>
      <c r="G164" s="16">
        <v>65920</v>
      </c>
      <c r="H164" t="s">
        <v>206</v>
      </c>
      <c r="I164" s="6">
        <f ca="1">(TODAY()-staff[[#This Row],[Date Joined]])/365</f>
        <v>2.8958904109589043</v>
      </c>
      <c r="J164" s="16">
        <f ca="1">ROUNDUP(IF(staff[[#This Row],[tenure]]&gt;2,3%,2%)*staff[[#This Row],[Salary]],0)</f>
        <v>1978</v>
      </c>
      <c r="K164" s="5">
        <f>_xlfn.XLOOKUP(staff[[#This Row],[Rating]],Table5[Column1],Table5[Column2])</f>
        <v>3</v>
      </c>
      <c r="S164" s="3"/>
    </row>
    <row r="165" spans="1:19" x14ac:dyDescent="0.3">
      <c r="A165" t="s">
        <v>87</v>
      </c>
      <c r="B165" t="s">
        <v>8</v>
      </c>
      <c r="C165">
        <v>26</v>
      </c>
      <c r="D165" t="s">
        <v>13</v>
      </c>
      <c r="E165" s="4">
        <v>44225</v>
      </c>
      <c r="F165" t="s">
        <v>12</v>
      </c>
      <c r="G165" s="16">
        <v>47360</v>
      </c>
      <c r="H165" t="s">
        <v>206</v>
      </c>
      <c r="I165" s="6">
        <f ca="1">(TODAY()-staff[[#This Row],[Date Joined]])/365</f>
        <v>3.1479452054794521</v>
      </c>
      <c r="J165" s="16">
        <f ca="1">ROUNDUP(IF(staff[[#This Row],[tenure]]&gt;2,3%,2%)*staff[[#This Row],[Salary]],0)</f>
        <v>1421</v>
      </c>
      <c r="K165" s="5">
        <f>_xlfn.XLOOKUP(staff[[#This Row],[Rating]],Table5[Column1],Table5[Column2])</f>
        <v>3</v>
      </c>
      <c r="S165" s="3"/>
    </row>
    <row r="166" spans="1:19" x14ac:dyDescent="0.3">
      <c r="A166" t="s">
        <v>88</v>
      </c>
      <c r="B166" t="s">
        <v>8</v>
      </c>
      <c r="C166">
        <v>30</v>
      </c>
      <c r="D166" t="s">
        <v>13</v>
      </c>
      <c r="E166" s="4">
        <v>44666</v>
      </c>
      <c r="F166" t="s">
        <v>12</v>
      </c>
      <c r="G166" s="16">
        <v>60570</v>
      </c>
      <c r="H166" t="s">
        <v>206</v>
      </c>
      <c r="I166" s="6">
        <f ca="1">(TODAY()-staff[[#This Row],[Date Joined]])/365</f>
        <v>1.9397260273972603</v>
      </c>
      <c r="J166" s="16">
        <f ca="1">ROUNDUP(IF(staff[[#This Row],[tenure]]&gt;2,3%,2%)*staff[[#This Row],[Salary]],0)</f>
        <v>1212</v>
      </c>
      <c r="K166" s="5">
        <f>_xlfn.XLOOKUP(staff[[#This Row],[Rating]],Table5[Column1],Table5[Column2])</f>
        <v>3</v>
      </c>
      <c r="S166" s="3"/>
    </row>
    <row r="167" spans="1:19" x14ac:dyDescent="0.3">
      <c r="A167" t="s">
        <v>89</v>
      </c>
      <c r="B167" t="s">
        <v>15</v>
      </c>
      <c r="C167">
        <v>28</v>
      </c>
      <c r="D167" t="s">
        <v>13</v>
      </c>
      <c r="E167" s="4">
        <v>44649</v>
      </c>
      <c r="F167" t="s">
        <v>12</v>
      </c>
      <c r="G167" s="16">
        <v>104120</v>
      </c>
      <c r="H167" t="s">
        <v>206</v>
      </c>
      <c r="I167" s="6">
        <f ca="1">(TODAY()-staff[[#This Row],[Date Joined]])/365</f>
        <v>1.9863013698630136</v>
      </c>
      <c r="J167" s="16">
        <f ca="1">ROUNDUP(IF(staff[[#This Row],[tenure]]&gt;2,3%,2%)*staff[[#This Row],[Salary]],0)</f>
        <v>2083</v>
      </c>
      <c r="K167" s="5">
        <f>_xlfn.XLOOKUP(staff[[#This Row],[Rating]],Table5[Column1],Table5[Column2])</f>
        <v>3</v>
      </c>
      <c r="S167" s="3"/>
    </row>
    <row r="168" spans="1:19" x14ac:dyDescent="0.3">
      <c r="A168" t="s">
        <v>90</v>
      </c>
      <c r="B168" t="s">
        <v>8</v>
      </c>
      <c r="C168">
        <v>37</v>
      </c>
      <c r="D168" t="s">
        <v>18</v>
      </c>
      <c r="E168" s="4">
        <v>44338</v>
      </c>
      <c r="F168" t="s">
        <v>23</v>
      </c>
      <c r="G168" s="16">
        <v>88050</v>
      </c>
      <c r="H168" t="s">
        <v>206</v>
      </c>
      <c r="I168" s="6">
        <f ca="1">(TODAY()-staff[[#This Row],[Date Joined]])/365</f>
        <v>2.8383561643835615</v>
      </c>
      <c r="J168" s="16">
        <f ca="1">ROUNDUP(IF(staff[[#This Row],[tenure]]&gt;2,3%,2%)*staff[[#This Row],[Salary]],0)</f>
        <v>2642</v>
      </c>
      <c r="K168" s="5">
        <f>_xlfn.XLOOKUP(staff[[#This Row],[Rating]],Table5[Column1],Table5[Column2])</f>
        <v>2</v>
      </c>
      <c r="S168" s="3"/>
    </row>
    <row r="169" spans="1:19" x14ac:dyDescent="0.3">
      <c r="A169" t="s">
        <v>91</v>
      </c>
      <c r="B169" t="s">
        <v>8</v>
      </c>
      <c r="C169">
        <v>24</v>
      </c>
      <c r="D169" t="s">
        <v>13</v>
      </c>
      <c r="E169" s="4">
        <v>44686</v>
      </c>
      <c r="F169" t="s">
        <v>23</v>
      </c>
      <c r="G169" s="16">
        <v>100420</v>
      </c>
      <c r="H169" t="s">
        <v>206</v>
      </c>
      <c r="I169" s="6">
        <f ca="1">(TODAY()-staff[[#This Row],[Date Joined]])/365</f>
        <v>1.8849315068493151</v>
      </c>
      <c r="J169" s="16">
        <f ca="1">ROUNDUP(IF(staff[[#This Row],[tenure]]&gt;2,3%,2%)*staff[[#This Row],[Salary]],0)</f>
        <v>2009</v>
      </c>
      <c r="K169" s="5">
        <f>_xlfn.XLOOKUP(staff[[#This Row],[Rating]],Table5[Column1],Table5[Column2])</f>
        <v>3</v>
      </c>
      <c r="S169" s="3"/>
    </row>
    <row r="170" spans="1:19" x14ac:dyDescent="0.3">
      <c r="A170" t="s">
        <v>92</v>
      </c>
      <c r="B170" t="s">
        <v>15</v>
      </c>
      <c r="C170">
        <v>30</v>
      </c>
      <c r="D170" t="s">
        <v>13</v>
      </c>
      <c r="E170" s="4">
        <v>44850</v>
      </c>
      <c r="F170" t="s">
        <v>12</v>
      </c>
      <c r="G170" s="16">
        <v>114180</v>
      </c>
      <c r="H170" t="s">
        <v>206</v>
      </c>
      <c r="I170" s="6">
        <f ca="1">(TODAY()-staff[[#This Row],[Date Joined]])/365</f>
        <v>1.4356164383561645</v>
      </c>
      <c r="J170" s="16">
        <f ca="1">ROUNDUP(IF(staff[[#This Row],[tenure]]&gt;2,3%,2%)*staff[[#This Row],[Salary]],0)</f>
        <v>2284</v>
      </c>
      <c r="K170" s="5">
        <f>_xlfn.XLOOKUP(staff[[#This Row],[Rating]],Table5[Column1],Table5[Column2])</f>
        <v>3</v>
      </c>
      <c r="S170" s="3"/>
    </row>
    <row r="171" spans="1:19" x14ac:dyDescent="0.3">
      <c r="A171" t="s">
        <v>93</v>
      </c>
      <c r="B171" t="s">
        <v>15</v>
      </c>
      <c r="C171">
        <v>21</v>
      </c>
      <c r="D171" t="s">
        <v>13</v>
      </c>
      <c r="E171" s="4">
        <v>44678</v>
      </c>
      <c r="F171" t="s">
        <v>23</v>
      </c>
      <c r="G171" s="16">
        <v>33920</v>
      </c>
      <c r="H171" t="s">
        <v>206</v>
      </c>
      <c r="I171" s="6">
        <f ca="1">(TODAY()-staff[[#This Row],[Date Joined]])/365</f>
        <v>1.9068493150684931</v>
      </c>
      <c r="J171" s="16">
        <f ca="1">ROUNDUP(IF(staff[[#This Row],[tenure]]&gt;2,3%,2%)*staff[[#This Row],[Salary]],0)</f>
        <v>679</v>
      </c>
      <c r="K171" s="5">
        <f>_xlfn.XLOOKUP(staff[[#This Row],[Rating]],Table5[Column1],Table5[Column2])</f>
        <v>3</v>
      </c>
      <c r="S171" s="3"/>
    </row>
    <row r="172" spans="1:19" x14ac:dyDescent="0.3">
      <c r="A172" t="s">
        <v>94</v>
      </c>
      <c r="B172" t="s">
        <v>8</v>
      </c>
      <c r="C172">
        <v>23</v>
      </c>
      <c r="D172" t="s">
        <v>13</v>
      </c>
      <c r="E172" s="4">
        <v>44440</v>
      </c>
      <c r="F172" t="s">
        <v>12</v>
      </c>
      <c r="G172" s="16">
        <v>106460</v>
      </c>
      <c r="H172" t="s">
        <v>206</v>
      </c>
      <c r="I172" s="6">
        <f ca="1">(TODAY()-staff[[#This Row],[Date Joined]])/365</f>
        <v>2.558904109589041</v>
      </c>
      <c r="J172" s="16">
        <f ca="1">ROUNDUP(IF(staff[[#This Row],[tenure]]&gt;2,3%,2%)*staff[[#This Row],[Salary]],0)</f>
        <v>3194</v>
      </c>
      <c r="K172" s="5">
        <f>_xlfn.XLOOKUP(staff[[#This Row],[Rating]],Table5[Column1],Table5[Column2])</f>
        <v>3</v>
      </c>
      <c r="S172" s="3"/>
    </row>
    <row r="173" spans="1:19" x14ac:dyDescent="0.3">
      <c r="A173" t="s">
        <v>95</v>
      </c>
      <c r="B173" t="s">
        <v>8</v>
      </c>
      <c r="C173">
        <v>35</v>
      </c>
      <c r="D173" t="s">
        <v>13</v>
      </c>
      <c r="E173" s="4">
        <v>44727</v>
      </c>
      <c r="F173" t="s">
        <v>12</v>
      </c>
      <c r="G173" s="16">
        <v>40400</v>
      </c>
      <c r="H173" t="s">
        <v>206</v>
      </c>
      <c r="I173" s="6">
        <f ca="1">(TODAY()-staff[[#This Row],[Date Joined]])/365</f>
        <v>1.7726027397260273</v>
      </c>
      <c r="J173" s="16">
        <f ca="1">ROUNDUP(IF(staff[[#This Row],[tenure]]&gt;2,3%,2%)*staff[[#This Row],[Salary]],0)</f>
        <v>808</v>
      </c>
      <c r="K173" s="5">
        <f>_xlfn.XLOOKUP(staff[[#This Row],[Rating]],Table5[Column1],Table5[Column2])</f>
        <v>3</v>
      </c>
      <c r="S173" s="3"/>
    </row>
    <row r="174" spans="1:19" x14ac:dyDescent="0.3">
      <c r="A174" t="s">
        <v>96</v>
      </c>
      <c r="B174" t="s">
        <v>8</v>
      </c>
      <c r="C174">
        <v>27</v>
      </c>
      <c r="D174" t="s">
        <v>10</v>
      </c>
      <c r="E174" s="4">
        <v>44236</v>
      </c>
      <c r="F174" t="s">
        <v>17</v>
      </c>
      <c r="G174" s="16">
        <v>91650</v>
      </c>
      <c r="H174" t="s">
        <v>206</v>
      </c>
      <c r="I174" s="6">
        <f ca="1">(TODAY()-staff[[#This Row],[Date Joined]])/365</f>
        <v>3.117808219178082</v>
      </c>
      <c r="J174" s="16">
        <f ca="1">ROUNDUP(IF(staff[[#This Row],[tenure]]&gt;2,3%,2%)*staff[[#This Row],[Salary]],0)</f>
        <v>2750</v>
      </c>
      <c r="K174" s="5">
        <f>_xlfn.XLOOKUP(staff[[#This Row],[Rating]],Table5[Column1],Table5[Column2])</f>
        <v>4</v>
      </c>
      <c r="S174" s="3"/>
    </row>
    <row r="175" spans="1:19" x14ac:dyDescent="0.3">
      <c r="A175" t="s">
        <v>97</v>
      </c>
      <c r="B175" t="s">
        <v>8</v>
      </c>
      <c r="C175">
        <v>43</v>
      </c>
      <c r="D175" t="s">
        <v>13</v>
      </c>
      <c r="E175" s="4">
        <v>44620</v>
      </c>
      <c r="F175" t="s">
        <v>9</v>
      </c>
      <c r="G175" s="16">
        <v>36040</v>
      </c>
      <c r="H175" t="s">
        <v>206</v>
      </c>
      <c r="I175" s="6">
        <f ca="1">(TODAY()-staff[[#This Row],[Date Joined]])/365</f>
        <v>2.0657534246575344</v>
      </c>
      <c r="J175" s="16">
        <f ca="1">ROUNDUP(IF(staff[[#This Row],[tenure]]&gt;2,3%,2%)*staff[[#This Row],[Salary]],0)</f>
        <v>1082</v>
      </c>
      <c r="K175" s="5">
        <f>_xlfn.XLOOKUP(staff[[#This Row],[Rating]],Table5[Column1],Table5[Column2])</f>
        <v>3</v>
      </c>
      <c r="S175" s="3"/>
    </row>
    <row r="176" spans="1:19" x14ac:dyDescent="0.3">
      <c r="A176" t="s">
        <v>98</v>
      </c>
      <c r="B176" t="s">
        <v>15</v>
      </c>
      <c r="C176">
        <v>40</v>
      </c>
      <c r="D176" t="s">
        <v>13</v>
      </c>
      <c r="E176" s="4">
        <v>44381</v>
      </c>
      <c r="F176" t="s">
        <v>23</v>
      </c>
      <c r="G176" s="16">
        <v>104410</v>
      </c>
      <c r="H176" t="s">
        <v>206</v>
      </c>
      <c r="I176" s="6">
        <f ca="1">(TODAY()-staff[[#This Row],[Date Joined]])/365</f>
        <v>2.7205479452054795</v>
      </c>
      <c r="J176" s="16">
        <f ca="1">ROUNDUP(IF(staff[[#This Row],[tenure]]&gt;2,3%,2%)*staff[[#This Row],[Salary]],0)</f>
        <v>3133</v>
      </c>
      <c r="K176" s="5">
        <f>_xlfn.XLOOKUP(staff[[#This Row],[Rating]],Table5[Column1],Table5[Column2])</f>
        <v>3</v>
      </c>
      <c r="S176" s="3"/>
    </row>
    <row r="177" spans="1:19" x14ac:dyDescent="0.3">
      <c r="A177" t="s">
        <v>99</v>
      </c>
      <c r="B177" t="s">
        <v>8</v>
      </c>
      <c r="C177">
        <v>30</v>
      </c>
      <c r="D177" t="s">
        <v>13</v>
      </c>
      <c r="E177" s="4">
        <v>44606</v>
      </c>
      <c r="F177" t="s">
        <v>17</v>
      </c>
      <c r="G177" s="16">
        <v>96800</v>
      </c>
      <c r="H177" t="s">
        <v>206</v>
      </c>
      <c r="I177" s="6">
        <f ca="1">(TODAY()-staff[[#This Row],[Date Joined]])/365</f>
        <v>2.1041095890410957</v>
      </c>
      <c r="J177" s="16">
        <f ca="1">ROUNDUP(IF(staff[[#This Row],[tenure]]&gt;2,3%,2%)*staff[[#This Row],[Salary]],0)</f>
        <v>2904</v>
      </c>
      <c r="K177" s="5">
        <f>_xlfn.XLOOKUP(staff[[#This Row],[Rating]],Table5[Column1],Table5[Column2])</f>
        <v>3</v>
      </c>
      <c r="S177" s="3"/>
    </row>
    <row r="178" spans="1:19" x14ac:dyDescent="0.3">
      <c r="A178" t="s">
        <v>100</v>
      </c>
      <c r="B178" t="s">
        <v>15</v>
      </c>
      <c r="C178">
        <v>34</v>
      </c>
      <c r="D178" t="s">
        <v>13</v>
      </c>
      <c r="E178" s="4">
        <v>44459</v>
      </c>
      <c r="F178" t="s">
        <v>17</v>
      </c>
      <c r="G178" s="16">
        <v>85000</v>
      </c>
      <c r="H178" t="s">
        <v>206</v>
      </c>
      <c r="I178" s="6">
        <f ca="1">(TODAY()-staff[[#This Row],[Date Joined]])/365</f>
        <v>2.506849315068493</v>
      </c>
      <c r="J178" s="16">
        <f ca="1">ROUNDUP(IF(staff[[#This Row],[tenure]]&gt;2,3%,2%)*staff[[#This Row],[Salary]],0)</f>
        <v>2550</v>
      </c>
      <c r="K178" s="5">
        <f>_xlfn.XLOOKUP(staff[[#This Row],[Rating]],Table5[Column1],Table5[Column2])</f>
        <v>3</v>
      </c>
      <c r="S178" s="3"/>
    </row>
    <row r="179" spans="1:19" x14ac:dyDescent="0.3">
      <c r="A179" t="s">
        <v>101</v>
      </c>
      <c r="B179" t="s">
        <v>8</v>
      </c>
      <c r="C179">
        <v>28</v>
      </c>
      <c r="D179" t="s">
        <v>49</v>
      </c>
      <c r="E179" s="4">
        <v>44820</v>
      </c>
      <c r="F179" t="s">
        <v>9</v>
      </c>
      <c r="G179" s="16">
        <v>43510</v>
      </c>
      <c r="H179" t="s">
        <v>206</v>
      </c>
      <c r="I179" s="6">
        <f ca="1">(TODAY()-staff[[#This Row],[Date Joined]])/365</f>
        <v>1.5178082191780822</v>
      </c>
      <c r="J179" s="16">
        <f ca="1">ROUNDUP(IF(staff[[#This Row],[tenure]]&gt;2,3%,2%)*staff[[#This Row],[Salary]],0)</f>
        <v>871</v>
      </c>
      <c r="K179" s="5">
        <f>_xlfn.XLOOKUP(staff[[#This Row],[Rating]],Table5[Column1],Table5[Column2])</f>
        <v>1</v>
      </c>
      <c r="S179" s="3"/>
    </row>
    <row r="180" spans="1:19" x14ac:dyDescent="0.3">
      <c r="A180" t="s">
        <v>102</v>
      </c>
      <c r="B180" t="s">
        <v>8</v>
      </c>
      <c r="C180">
        <v>33</v>
      </c>
      <c r="D180" t="s">
        <v>13</v>
      </c>
      <c r="E180" s="4">
        <v>44243</v>
      </c>
      <c r="F180" t="s">
        <v>17</v>
      </c>
      <c r="G180" s="16">
        <v>59430</v>
      </c>
      <c r="H180" t="s">
        <v>206</v>
      </c>
      <c r="I180" s="6">
        <f ca="1">(TODAY()-staff[[#This Row],[Date Joined]])/365</f>
        <v>3.0986301369863014</v>
      </c>
      <c r="J180" s="16">
        <f ca="1">ROUNDUP(IF(staff[[#This Row],[tenure]]&gt;2,3%,2%)*staff[[#This Row],[Salary]],0)</f>
        <v>1783</v>
      </c>
      <c r="K180" s="5">
        <f>_xlfn.XLOOKUP(staff[[#This Row],[Rating]],Table5[Column1],Table5[Column2])</f>
        <v>3</v>
      </c>
      <c r="S180" s="3"/>
    </row>
    <row r="181" spans="1:19" x14ac:dyDescent="0.3">
      <c r="A181" t="s">
        <v>103</v>
      </c>
      <c r="B181" t="s">
        <v>15</v>
      </c>
      <c r="C181">
        <v>33</v>
      </c>
      <c r="D181" t="s">
        <v>13</v>
      </c>
      <c r="E181" s="4">
        <v>44067</v>
      </c>
      <c r="F181" t="s">
        <v>17</v>
      </c>
      <c r="G181" s="16">
        <v>65360</v>
      </c>
      <c r="H181" t="s">
        <v>206</v>
      </c>
      <c r="I181" s="6">
        <f ca="1">(TODAY()-staff[[#This Row],[Date Joined]])/365</f>
        <v>3.580821917808219</v>
      </c>
      <c r="J181" s="16">
        <f ca="1">ROUNDUP(IF(staff[[#This Row],[tenure]]&gt;2,3%,2%)*staff[[#This Row],[Salary]],0)</f>
        <v>1961</v>
      </c>
      <c r="K181" s="5">
        <f>_xlfn.XLOOKUP(staff[[#This Row],[Rating]],Table5[Column1],Table5[Column2])</f>
        <v>3</v>
      </c>
      <c r="S181" s="3"/>
    </row>
    <row r="182" spans="1:19" x14ac:dyDescent="0.3">
      <c r="A182" t="s">
        <v>104</v>
      </c>
      <c r="B182" t="s">
        <v>15</v>
      </c>
      <c r="C182">
        <v>32</v>
      </c>
      <c r="D182" t="s">
        <v>13</v>
      </c>
      <c r="E182" s="4">
        <v>44611</v>
      </c>
      <c r="F182" t="s">
        <v>12</v>
      </c>
      <c r="G182" s="16">
        <v>41570</v>
      </c>
      <c r="H182" t="s">
        <v>206</v>
      </c>
      <c r="I182" s="6">
        <f ca="1">(TODAY()-staff[[#This Row],[Date Joined]])/365</f>
        <v>2.0904109589041098</v>
      </c>
      <c r="J182" s="16">
        <f ca="1">ROUNDUP(IF(staff[[#This Row],[tenure]]&gt;2,3%,2%)*staff[[#This Row],[Salary]],0)</f>
        <v>1248</v>
      </c>
      <c r="K182" s="5">
        <f>_xlfn.XLOOKUP(staff[[#This Row],[Rating]],Table5[Column1],Table5[Column2])</f>
        <v>3</v>
      </c>
      <c r="S182" s="3"/>
    </row>
    <row r="183" spans="1:19" x14ac:dyDescent="0.3">
      <c r="A183" t="s">
        <v>105</v>
      </c>
      <c r="B183" t="s">
        <v>15</v>
      </c>
      <c r="C183">
        <v>33</v>
      </c>
      <c r="D183" t="s">
        <v>13</v>
      </c>
      <c r="E183" s="4">
        <v>44312</v>
      </c>
      <c r="F183" t="s">
        <v>23</v>
      </c>
      <c r="G183" s="16">
        <v>75280</v>
      </c>
      <c r="H183" t="s">
        <v>206</v>
      </c>
      <c r="I183" s="6">
        <f ca="1">(TODAY()-staff[[#This Row],[Date Joined]])/365</f>
        <v>2.9095890410958902</v>
      </c>
      <c r="J183" s="16">
        <f ca="1">ROUNDUP(IF(staff[[#This Row],[tenure]]&gt;2,3%,2%)*staff[[#This Row],[Salary]],0)</f>
        <v>2259</v>
      </c>
      <c r="K183" s="5">
        <f>_xlfn.XLOOKUP(staff[[#This Row],[Rating]],Table5[Column1],Table5[Column2])</f>
        <v>3</v>
      </c>
      <c r="S183" s="3"/>
    </row>
    <row r="184" spans="1:19" x14ac:dyDescent="0.3">
      <c r="A184" t="s">
        <v>106</v>
      </c>
      <c r="B184" t="s">
        <v>8</v>
      </c>
      <c r="C184">
        <v>33</v>
      </c>
      <c r="D184" t="s">
        <v>13</v>
      </c>
      <c r="E184" s="4">
        <v>44385</v>
      </c>
      <c r="F184" t="s">
        <v>9</v>
      </c>
      <c r="G184" s="16">
        <v>74550</v>
      </c>
      <c r="H184" t="s">
        <v>206</v>
      </c>
      <c r="I184" s="6">
        <f ca="1">(TODAY()-staff[[#This Row],[Date Joined]])/365</f>
        <v>2.7095890410958905</v>
      </c>
      <c r="J184" s="16">
        <f ca="1">ROUNDUP(IF(staff[[#This Row],[tenure]]&gt;2,3%,2%)*staff[[#This Row],[Salary]],0)</f>
        <v>2237</v>
      </c>
      <c r="K184" s="5">
        <f>_xlfn.XLOOKUP(staff[[#This Row],[Rating]],Table5[Column1],Table5[Column2])</f>
        <v>3</v>
      </c>
      <c r="S184" s="3"/>
    </row>
    <row r="185" spans="1:19" x14ac:dyDescent="0.3">
      <c r="A185" t="s">
        <v>107</v>
      </c>
      <c r="B185" t="s">
        <v>8</v>
      </c>
      <c r="C185">
        <v>30</v>
      </c>
      <c r="D185" t="s">
        <v>13</v>
      </c>
      <c r="E185" s="4">
        <v>44701</v>
      </c>
      <c r="F185" t="s">
        <v>12</v>
      </c>
      <c r="G185" s="16">
        <v>67950</v>
      </c>
      <c r="H185" t="s">
        <v>206</v>
      </c>
      <c r="I185" s="6">
        <f ca="1">(TODAY()-staff[[#This Row],[Date Joined]])/365</f>
        <v>1.8438356164383563</v>
      </c>
      <c r="J185" s="16">
        <f ca="1">ROUNDUP(IF(staff[[#This Row],[tenure]]&gt;2,3%,2%)*staff[[#This Row],[Salary]],0)</f>
        <v>1359</v>
      </c>
      <c r="K185" s="5">
        <f>_xlfn.XLOOKUP(staff[[#This Row],[Rating]],Table5[Column1],Table5[Column2])</f>
        <v>3</v>
      </c>
      <c r="S185" s="3"/>
    </row>
    <row r="186" spans="1:19" x14ac:dyDescent="0.3">
      <c r="A186" t="s">
        <v>108</v>
      </c>
      <c r="B186" t="s">
        <v>8</v>
      </c>
      <c r="C186">
        <v>42</v>
      </c>
      <c r="D186" t="s">
        <v>18</v>
      </c>
      <c r="E186" s="4">
        <v>44731</v>
      </c>
      <c r="F186" t="s">
        <v>17</v>
      </c>
      <c r="G186" s="16">
        <v>70270</v>
      </c>
      <c r="H186" t="s">
        <v>206</v>
      </c>
      <c r="I186" s="6">
        <f ca="1">(TODAY()-staff[[#This Row],[Date Joined]])/365</f>
        <v>1.7616438356164383</v>
      </c>
      <c r="J186" s="16">
        <f ca="1">ROUNDUP(IF(staff[[#This Row],[tenure]]&gt;2,3%,2%)*staff[[#This Row],[Salary]],0)</f>
        <v>1406</v>
      </c>
      <c r="K186" s="5">
        <f>_xlfn.XLOOKUP(staff[[#This Row],[Rating]],Table5[Column1],Table5[Column2])</f>
        <v>2</v>
      </c>
      <c r="S186" s="3"/>
    </row>
    <row r="187" spans="1:19" x14ac:dyDescent="0.3">
      <c r="A187" t="s">
        <v>109</v>
      </c>
      <c r="B187" t="s">
        <v>8</v>
      </c>
      <c r="C187">
        <v>26</v>
      </c>
      <c r="D187" t="s">
        <v>13</v>
      </c>
      <c r="E187" s="4">
        <v>44411</v>
      </c>
      <c r="F187" t="s">
        <v>12</v>
      </c>
      <c r="G187" s="16">
        <v>53540</v>
      </c>
      <c r="H187" t="s">
        <v>206</v>
      </c>
      <c r="I187" s="6">
        <f ca="1">(TODAY()-staff[[#This Row],[Date Joined]])/365</f>
        <v>2.6383561643835618</v>
      </c>
      <c r="J187" s="16">
        <f ca="1">ROUNDUP(IF(staff[[#This Row],[tenure]]&gt;2,3%,2%)*staff[[#This Row],[Salary]],0)</f>
        <v>1607</v>
      </c>
      <c r="K187" s="5">
        <f>_xlfn.XLOOKUP(staff[[#This Row],[Rating]],Table5[Column1],Table5[Column2])</f>
        <v>3</v>
      </c>
      <c r="S187" s="3"/>
    </row>
    <row r="188" spans="1:19" x14ac:dyDescent="0.3">
      <c r="S188" s="3"/>
    </row>
    <row r="189" spans="1:19" x14ac:dyDescent="0.3">
      <c r="S189" s="3"/>
    </row>
    <row r="190" spans="1:19" x14ac:dyDescent="0.3">
      <c r="S190" s="3"/>
    </row>
    <row r="191" spans="1:19" x14ac:dyDescent="0.3">
      <c r="S191" s="3"/>
    </row>
    <row r="192" spans="1:19" x14ac:dyDescent="0.3">
      <c r="S192" s="3"/>
    </row>
    <row r="193" spans="19:19" x14ac:dyDescent="0.3">
      <c r="S193" s="3"/>
    </row>
    <row r="194" spans="19:19" x14ac:dyDescent="0.3">
      <c r="S194" s="3"/>
    </row>
    <row r="195" spans="19:19" x14ac:dyDescent="0.3">
      <c r="S195" s="3"/>
    </row>
    <row r="196" spans="19:19" x14ac:dyDescent="0.3">
      <c r="S196" s="3"/>
    </row>
    <row r="197" spans="19:19" x14ac:dyDescent="0.3">
      <c r="S197" s="3"/>
    </row>
    <row r="198" spans="19:19" x14ac:dyDescent="0.3">
      <c r="S198" s="3"/>
    </row>
    <row r="199" spans="19:19" x14ac:dyDescent="0.3">
      <c r="S199" s="3"/>
    </row>
    <row r="200" spans="19:19" x14ac:dyDescent="0.3">
      <c r="S200" s="3"/>
    </row>
    <row r="201" spans="19:19" x14ac:dyDescent="0.3">
      <c r="S201" s="3"/>
    </row>
    <row r="202" spans="19:19" x14ac:dyDescent="0.3">
      <c r="S202" s="3"/>
    </row>
    <row r="203" spans="19:19" x14ac:dyDescent="0.3">
      <c r="S203" s="3"/>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25A009-7DD0-4E95-BE81-CDC8DC79FCFB}">
  <sheetPr>
    <tabColor rgb="FFFF0000"/>
  </sheetPr>
  <dimension ref="B2:D9"/>
  <sheetViews>
    <sheetView workbookViewId="0">
      <selection activeCell="H24" sqref="H24"/>
    </sheetView>
  </sheetViews>
  <sheetFormatPr defaultRowHeight="14.4" x14ac:dyDescent="0.3"/>
  <cols>
    <col min="2" max="2" width="15.6640625" bestFit="1" customWidth="1"/>
    <col min="3" max="3" width="15.5546875" bestFit="1" customWidth="1"/>
    <col min="4" max="4" width="10.44140625" bestFit="1" customWidth="1"/>
    <col min="5" max="6" width="12" bestFit="1" customWidth="1"/>
    <col min="7" max="7" width="15.5546875" bestFit="1" customWidth="1"/>
    <col min="8" max="9" width="18.6640625" bestFit="1" customWidth="1"/>
  </cols>
  <sheetData>
    <row r="2" spans="2:4" x14ac:dyDescent="0.3">
      <c r="B2" s="13">
        <v>4</v>
      </c>
      <c r="C2" s="19" t="s">
        <v>224</v>
      </c>
    </row>
    <row r="4" spans="2:4" x14ac:dyDescent="0.3">
      <c r="C4" s="14" t="s">
        <v>227</v>
      </c>
    </row>
    <row r="5" spans="2:4" x14ac:dyDescent="0.3">
      <c r="B5" s="14" t="s">
        <v>229</v>
      </c>
      <c r="C5" t="s">
        <v>15</v>
      </c>
      <c r="D5" t="s">
        <v>8</v>
      </c>
    </row>
    <row r="6" spans="2:4" x14ac:dyDescent="0.3">
      <c r="B6" s="9" t="s">
        <v>228</v>
      </c>
      <c r="C6">
        <v>43</v>
      </c>
      <c r="D6">
        <v>44</v>
      </c>
    </row>
    <row r="7" spans="2:4" x14ac:dyDescent="0.3">
      <c r="B7" s="9" t="s">
        <v>230</v>
      </c>
      <c r="C7" s="6">
        <v>31.395348837209301</v>
      </c>
      <c r="D7" s="6">
        <v>29.34090909090909</v>
      </c>
    </row>
    <row r="8" spans="2:4" x14ac:dyDescent="0.3">
      <c r="B8" s="9" t="s">
        <v>231</v>
      </c>
      <c r="C8" s="15">
        <v>78284.186046511633</v>
      </c>
      <c r="D8" s="15">
        <v>74486.363636363632</v>
      </c>
    </row>
    <row r="9" spans="2:4" x14ac:dyDescent="0.3">
      <c r="B9" s="9" t="s">
        <v>232</v>
      </c>
      <c r="C9" s="6">
        <v>2.4944249761070405</v>
      </c>
      <c r="D9" s="6">
        <v>2.4914694894146945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DEA95-0B7F-499D-957F-B3195ECDE31B}">
  <sheetPr>
    <tabColor rgb="FF92D050"/>
  </sheetPr>
  <dimension ref="A1"/>
  <sheetViews>
    <sheetView workbookViewId="0">
      <selection activeCell="U16" sqref="U16"/>
    </sheetView>
  </sheetViews>
  <sheetFormatPr defaultRowHeight="14.4" x14ac:dyDescent="0.3"/>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87DFA-A5F4-4EBF-B458-2D890EE2C492}">
  <sheetPr>
    <tabColor rgb="FF0070C0"/>
  </sheetPr>
  <dimension ref="B2:L22"/>
  <sheetViews>
    <sheetView showGridLines="0" zoomScale="96" workbookViewId="0">
      <selection activeCell="S8" sqref="S8"/>
    </sheetView>
  </sheetViews>
  <sheetFormatPr defaultRowHeight="14.4" x14ac:dyDescent="0.3"/>
  <cols>
    <col min="2" max="2" width="16.5546875" customWidth="1"/>
    <col min="3" max="3" width="1.33203125" customWidth="1"/>
    <col min="4" max="4" width="16.109375" customWidth="1"/>
    <col min="5" max="5" width="2" customWidth="1"/>
    <col min="6" max="6" width="15.21875" customWidth="1"/>
    <col min="7" max="7" width="13.21875" customWidth="1"/>
    <col min="8" max="8" width="16.88671875" customWidth="1"/>
    <col min="9" max="9" width="1.33203125" customWidth="1"/>
    <col min="10" max="10" width="16.21875" customWidth="1"/>
    <col min="11" max="11" width="1.5546875" customWidth="1"/>
    <col min="12" max="12" width="15.44140625" customWidth="1"/>
  </cols>
  <sheetData>
    <row r="2" spans="2:12" ht="23.4" x14ac:dyDescent="0.45">
      <c r="B2" s="40" t="s">
        <v>244</v>
      </c>
      <c r="C2" s="40"/>
      <c r="D2" s="40"/>
      <c r="E2" s="40"/>
      <c r="F2" s="40"/>
      <c r="H2" s="40" t="s">
        <v>245</v>
      </c>
      <c r="I2" s="41"/>
      <c r="J2" s="41"/>
      <c r="K2" s="41"/>
      <c r="L2" s="41"/>
    </row>
    <row r="3" spans="2:12" ht="72.599999999999994" customHeight="1" x14ac:dyDescent="0.3">
      <c r="B3" s="34">
        <f>COUNTIFS(staff[Country],"nz")</f>
        <v>91</v>
      </c>
      <c r="D3" s="33">
        <f>COUNTIFS(staff[Country],"nz",staff[Gender],"female")/B3</f>
        <v>0.47252747252747251</v>
      </c>
      <c r="F3" s="35">
        <f>AVERAGEIFS(staff[Salary],staff[Country],"nz")</f>
        <v>76978.791208791212</v>
      </c>
      <c r="H3" s="36">
        <f>COUNTIFS(staff[Country],"ind")</f>
        <v>92</v>
      </c>
      <c r="J3" s="37">
        <f>COUNTIFS(staff[Country],"ind",staff[Gender],"female")/B3</f>
        <v>0.47252747252747251</v>
      </c>
      <c r="L3" s="38">
        <f>AVERAGEIFS(staff[Salary],staff[Country],"ind")</f>
        <v>77366.521739130432</v>
      </c>
    </row>
    <row r="4" spans="2:12" x14ac:dyDescent="0.3">
      <c r="D4" s="7"/>
    </row>
    <row r="5" spans="2:12" x14ac:dyDescent="0.3">
      <c r="D5" s="7"/>
    </row>
    <row r="6" spans="2:12" ht="20.399999999999999" customHeight="1" x14ac:dyDescent="0.3">
      <c r="B6" s="39" t="s">
        <v>243</v>
      </c>
      <c r="C6" s="39"/>
      <c r="D6" s="39"/>
      <c r="E6" s="39"/>
      <c r="F6" s="39"/>
      <c r="G6" s="39"/>
      <c r="H6" s="39"/>
      <c r="I6" s="39"/>
      <c r="J6" s="39"/>
      <c r="K6" s="39"/>
      <c r="L6" s="39"/>
    </row>
    <row r="8" spans="2:12" x14ac:dyDescent="0.3">
      <c r="B8" s="25"/>
      <c r="C8" s="31"/>
      <c r="D8" s="31"/>
      <c r="E8" s="31"/>
      <c r="F8" s="26"/>
      <c r="H8" s="25"/>
      <c r="I8" s="31"/>
      <c r="J8" s="31"/>
      <c r="K8" s="31"/>
      <c r="L8" s="26"/>
    </row>
    <row r="9" spans="2:12" x14ac:dyDescent="0.3">
      <c r="B9" s="27"/>
      <c r="F9" s="28"/>
      <c r="H9" s="27"/>
      <c r="L9" s="28"/>
    </row>
    <row r="10" spans="2:12" x14ac:dyDescent="0.3">
      <c r="B10" s="27"/>
      <c r="F10" s="28"/>
      <c r="H10" s="27"/>
      <c r="L10" s="28"/>
    </row>
    <row r="11" spans="2:12" x14ac:dyDescent="0.3">
      <c r="B11" s="27"/>
      <c r="F11" s="28"/>
      <c r="H11" s="27"/>
      <c r="L11" s="28"/>
    </row>
    <row r="12" spans="2:12" x14ac:dyDescent="0.3">
      <c r="B12" s="27"/>
      <c r="F12" s="28"/>
      <c r="H12" s="27"/>
      <c r="L12" s="28"/>
    </row>
    <row r="13" spans="2:12" x14ac:dyDescent="0.3">
      <c r="B13" s="27"/>
      <c r="F13" s="28"/>
      <c r="H13" s="27"/>
      <c r="L13" s="28"/>
    </row>
    <row r="14" spans="2:12" x14ac:dyDescent="0.3">
      <c r="B14" s="27"/>
      <c r="F14" s="28"/>
      <c r="H14" s="27"/>
      <c r="L14" s="28"/>
    </row>
    <row r="15" spans="2:12" x14ac:dyDescent="0.3">
      <c r="B15" s="27"/>
      <c r="F15" s="28"/>
      <c r="H15" s="27"/>
      <c r="L15" s="28"/>
    </row>
    <row r="16" spans="2:12" x14ac:dyDescent="0.3">
      <c r="B16" s="27"/>
      <c r="F16" s="28"/>
      <c r="H16" s="27"/>
      <c r="L16" s="28"/>
    </row>
    <row r="17" spans="2:12" x14ac:dyDescent="0.3">
      <c r="B17" s="27"/>
      <c r="F17" s="28"/>
      <c r="H17" s="27"/>
      <c r="L17" s="28"/>
    </row>
    <row r="18" spans="2:12" x14ac:dyDescent="0.3">
      <c r="B18" s="27"/>
      <c r="F18" s="28"/>
      <c r="H18" s="27"/>
      <c r="L18" s="28"/>
    </row>
    <row r="19" spans="2:12" x14ac:dyDescent="0.3">
      <c r="B19" s="27"/>
      <c r="F19" s="28"/>
      <c r="H19" s="27"/>
      <c r="L19" s="28"/>
    </row>
    <row r="20" spans="2:12" x14ac:dyDescent="0.3">
      <c r="B20" s="27"/>
      <c r="F20" s="28"/>
      <c r="H20" s="27"/>
      <c r="L20" s="28"/>
    </row>
    <row r="21" spans="2:12" x14ac:dyDescent="0.3">
      <c r="B21" s="27"/>
      <c r="F21" s="28"/>
      <c r="H21" s="27"/>
      <c r="L21" s="28"/>
    </row>
    <row r="22" spans="2:12" x14ac:dyDescent="0.3">
      <c r="B22" s="23"/>
      <c r="C22" s="32"/>
      <c r="D22" s="32"/>
      <c r="E22" s="32"/>
      <c r="F22" s="29"/>
      <c r="H22" s="23"/>
      <c r="I22" s="32"/>
      <c r="J22" s="32"/>
      <c r="K22" s="32"/>
      <c r="L22" s="29"/>
    </row>
  </sheetData>
  <mergeCells count="3">
    <mergeCell ref="B6:L6"/>
    <mergeCell ref="B2:F2"/>
    <mergeCell ref="H2:L2"/>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66A19-4A78-4E4A-B929-395D7DD33CAC}">
  <sheetPr>
    <tabColor theme="7" tint="-0.249977111117893"/>
  </sheetPr>
  <dimension ref="B2:D8"/>
  <sheetViews>
    <sheetView workbookViewId="0">
      <selection activeCell="O13" sqref="O13"/>
    </sheetView>
  </sheetViews>
  <sheetFormatPr defaultRowHeight="14.4" x14ac:dyDescent="0.3"/>
  <cols>
    <col min="2" max="2" width="13.109375" bestFit="1" customWidth="1"/>
    <col min="3" max="3" width="13.88671875" bestFit="1" customWidth="1"/>
    <col min="4" max="4" width="15.77734375" style="17" bestFit="1" customWidth="1"/>
  </cols>
  <sheetData>
    <row r="2" spans="2:4" x14ac:dyDescent="0.3">
      <c r="B2" s="14" t="s">
        <v>225</v>
      </c>
      <c r="C2" t="s">
        <v>228</v>
      </c>
      <c r="D2" s="17" t="s">
        <v>231</v>
      </c>
    </row>
    <row r="3" spans="2:4" x14ac:dyDescent="0.3">
      <c r="B3" s="9" t="s">
        <v>43</v>
      </c>
      <c r="C3">
        <v>4</v>
      </c>
      <c r="D3" s="17">
        <v>92080</v>
      </c>
    </row>
    <row r="4" spans="2:4" x14ac:dyDescent="0.3">
      <c r="B4" s="9" t="s">
        <v>10</v>
      </c>
      <c r="C4">
        <v>20</v>
      </c>
      <c r="D4" s="17">
        <v>75933</v>
      </c>
    </row>
    <row r="5" spans="2:4" x14ac:dyDescent="0.3">
      <c r="B5" s="9" t="s">
        <v>13</v>
      </c>
      <c r="C5">
        <v>137</v>
      </c>
      <c r="D5" s="17">
        <v>76798.759124087592</v>
      </c>
    </row>
    <row r="6" spans="2:4" x14ac:dyDescent="0.3">
      <c r="B6" s="9" t="s">
        <v>18</v>
      </c>
      <c r="C6">
        <v>16</v>
      </c>
      <c r="D6" s="17">
        <v>78115</v>
      </c>
    </row>
    <row r="7" spans="2:4" x14ac:dyDescent="0.3">
      <c r="B7" s="9" t="s">
        <v>49</v>
      </c>
      <c r="C7">
        <v>6</v>
      </c>
      <c r="D7" s="17">
        <v>77423.333333333328</v>
      </c>
    </row>
    <row r="8" spans="2:4" x14ac:dyDescent="0.3">
      <c r="B8" s="9" t="s">
        <v>226</v>
      </c>
      <c r="C8">
        <v>183</v>
      </c>
      <c r="D8" s="17">
        <v>77173.715846994543</v>
      </c>
    </row>
  </sheetData>
  <conditionalFormatting pivot="1" sqref="D3:D7">
    <cfRule type="dataBar" priority="1">
      <dataBar>
        <cfvo type="min"/>
        <cfvo type="max"/>
        <color rgb="FF638EC6"/>
      </dataBar>
      <extLst>
        <ext xmlns:x14="http://schemas.microsoft.com/office/spreadsheetml/2009/9/main" uri="{B025F937-C7B1-47D3-B67F-A62EFF666E3E}">
          <x14:id>{6F91AEBC-C2EA-4B84-88A1-DCAE5830CF6C}</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6F91AEBC-C2EA-4B84-88A1-DCAE5830CF6C}">
            <x14:dataBar minLength="0" maxLength="100" gradient="0">
              <x14:cfvo type="autoMin"/>
              <x14:cfvo type="autoMax"/>
              <x14:negativeFillColor rgb="FFFF0000"/>
              <x14:axisColor rgb="FF000000"/>
            </x14:dataBar>
          </x14:cfRule>
          <xm:sqref>D3:D7</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183B3-2F91-44B9-A0B5-FFA1B238649B}">
  <dimension ref="A3:Q39"/>
  <sheetViews>
    <sheetView tabSelected="1" workbookViewId="0">
      <selection activeCell="L26" sqref="L26"/>
    </sheetView>
  </sheetViews>
  <sheetFormatPr defaultRowHeight="14.4" x14ac:dyDescent="0.3"/>
  <cols>
    <col min="1" max="1" width="12.5546875" bestFit="1" customWidth="1"/>
    <col min="2" max="2" width="13.88671875" bestFit="1" customWidth="1"/>
    <col min="15" max="15" width="10.33203125" style="30" bestFit="1" customWidth="1"/>
    <col min="16" max="16" width="10.109375" bestFit="1" customWidth="1"/>
    <col min="17" max="17" width="11.33203125" bestFit="1" customWidth="1"/>
  </cols>
  <sheetData>
    <row r="3" spans="1:17" x14ac:dyDescent="0.3">
      <c r="A3" s="14" t="s">
        <v>225</v>
      </c>
      <c r="B3" t="s">
        <v>228</v>
      </c>
      <c r="O3" s="30" t="s">
        <v>240</v>
      </c>
      <c r="P3" t="s">
        <v>241</v>
      </c>
      <c r="Q3" t="s">
        <v>242</v>
      </c>
    </row>
    <row r="4" spans="1:17" x14ac:dyDescent="0.3">
      <c r="A4" s="9" t="s">
        <v>236</v>
      </c>
      <c r="B4">
        <v>37</v>
      </c>
      <c r="N4" cm="1">
        <f t="array" ref="N4:N39">_xlfn.SEQUENCE(36)</f>
        <v>1</v>
      </c>
      <c r="O4" s="30" cm="1">
        <f t="array" ref="O4:O39">EDATE(DATE(2020,5,1),_xlfn.ANCHORARRAY(N4)+0)</f>
        <v>43983</v>
      </c>
      <c r="P4">
        <f>COUNTIFS(staff[Date Joined],"&gt;="&amp;Sheet8!O4,staff[Date Joined],"&lt;="&amp;EOMONTH(Sheet8!O4,0))</f>
        <v>1</v>
      </c>
      <c r="Q4">
        <f>SUM($P$4:P4)</f>
        <v>1</v>
      </c>
    </row>
    <row r="5" spans="1:17" x14ac:dyDescent="0.3">
      <c r="A5" s="9" t="s">
        <v>237</v>
      </c>
      <c r="B5">
        <v>82</v>
      </c>
      <c r="N5">
        <v>2</v>
      </c>
      <c r="O5" s="30">
        <v>44013</v>
      </c>
      <c r="P5">
        <f>COUNTIFS(staff[Date Joined],"&gt;="&amp;Sheet8!O5,staff[Date Joined],"&lt;="&amp;EOMONTH(Sheet8!O5,0))</f>
        <v>5</v>
      </c>
      <c r="Q5">
        <f>SUM($P$4:P5)</f>
        <v>6</v>
      </c>
    </row>
    <row r="6" spans="1:17" x14ac:dyDescent="0.3">
      <c r="A6" s="9" t="s">
        <v>238</v>
      </c>
      <c r="B6">
        <v>62</v>
      </c>
      <c r="N6">
        <v>3</v>
      </c>
      <c r="O6" s="30">
        <v>44044</v>
      </c>
      <c r="P6">
        <f>COUNTIFS(staff[Date Joined],"&gt;="&amp;Sheet8!O6,staff[Date Joined],"&lt;="&amp;EOMONTH(Sheet8!O6,0))</f>
        <v>3</v>
      </c>
      <c r="Q6">
        <f>SUM($P$4:P6)</f>
        <v>9</v>
      </c>
    </row>
    <row r="7" spans="1:17" x14ac:dyDescent="0.3">
      <c r="A7" s="9" t="s">
        <v>239</v>
      </c>
      <c r="B7">
        <v>2</v>
      </c>
      <c r="N7">
        <v>4</v>
      </c>
      <c r="O7" s="30">
        <v>44075</v>
      </c>
      <c r="P7">
        <f>COUNTIFS(staff[Date Joined],"&gt;="&amp;Sheet8!O7,staff[Date Joined],"&lt;="&amp;EOMONTH(Sheet8!O7,0))</f>
        <v>6</v>
      </c>
      <c r="Q7">
        <f>SUM($P$4:P7)</f>
        <v>15</v>
      </c>
    </row>
    <row r="8" spans="1:17" x14ac:dyDescent="0.3">
      <c r="A8" s="9" t="s">
        <v>226</v>
      </c>
      <c r="B8">
        <v>183</v>
      </c>
      <c r="N8">
        <v>5</v>
      </c>
      <c r="O8" s="30">
        <v>44105</v>
      </c>
      <c r="P8">
        <f>COUNTIFS(staff[Date Joined],"&gt;="&amp;Sheet8!O8,staff[Date Joined],"&lt;="&amp;EOMONTH(Sheet8!O8,0))</f>
        <v>6</v>
      </c>
      <c r="Q8">
        <f>SUM($P$4:P8)</f>
        <v>21</v>
      </c>
    </row>
    <row r="9" spans="1:17" x14ac:dyDescent="0.3">
      <c r="N9">
        <v>6</v>
      </c>
      <c r="O9" s="30">
        <v>44136</v>
      </c>
      <c r="P9">
        <f>COUNTIFS(staff[Date Joined],"&gt;="&amp;Sheet8!O9,staff[Date Joined],"&lt;="&amp;EOMONTH(Sheet8!O9,0))</f>
        <v>6</v>
      </c>
      <c r="Q9">
        <f>SUM($P$4:P9)</f>
        <v>27</v>
      </c>
    </row>
    <row r="10" spans="1:17" x14ac:dyDescent="0.3">
      <c r="N10">
        <v>7</v>
      </c>
      <c r="O10" s="30">
        <v>44166</v>
      </c>
      <c r="P10">
        <f>COUNTIFS(staff[Date Joined],"&gt;="&amp;Sheet8!O10,staff[Date Joined],"&lt;="&amp;EOMONTH(Sheet8!O10,0))</f>
        <v>7</v>
      </c>
      <c r="Q10">
        <f>SUM($P$4:P10)</f>
        <v>34</v>
      </c>
    </row>
    <row r="11" spans="1:17" x14ac:dyDescent="0.3">
      <c r="N11">
        <v>8</v>
      </c>
      <c r="O11" s="30">
        <v>44197</v>
      </c>
      <c r="P11">
        <f>COUNTIFS(staff[Date Joined],"&gt;="&amp;Sheet8!O11,staff[Date Joined],"&lt;="&amp;EOMONTH(Sheet8!O11,0))</f>
        <v>6</v>
      </c>
      <c r="Q11">
        <f>SUM($P$4:P11)</f>
        <v>40</v>
      </c>
    </row>
    <row r="12" spans="1:17" x14ac:dyDescent="0.3">
      <c r="N12">
        <v>9</v>
      </c>
      <c r="O12" s="30">
        <v>44228</v>
      </c>
      <c r="P12">
        <f>COUNTIFS(staff[Date Joined],"&gt;="&amp;Sheet8!O12,staff[Date Joined],"&lt;="&amp;EOMONTH(Sheet8!O12,0))</f>
        <v>4</v>
      </c>
      <c r="Q12">
        <f>SUM($P$4:P12)</f>
        <v>44</v>
      </c>
    </row>
    <row r="13" spans="1:17" x14ac:dyDescent="0.3">
      <c r="N13">
        <v>10</v>
      </c>
      <c r="O13" s="30">
        <v>44256</v>
      </c>
      <c r="P13">
        <f>COUNTIFS(staff[Date Joined],"&gt;="&amp;Sheet8!O13,staff[Date Joined],"&lt;="&amp;EOMONTH(Sheet8!O13,0))</f>
        <v>9</v>
      </c>
      <c r="Q13">
        <f>SUM($P$4:P13)</f>
        <v>53</v>
      </c>
    </row>
    <row r="14" spans="1:17" x14ac:dyDescent="0.3">
      <c r="N14">
        <v>11</v>
      </c>
      <c r="O14" s="30">
        <v>44287</v>
      </c>
      <c r="P14">
        <f>COUNTIFS(staff[Date Joined],"&gt;="&amp;Sheet8!O14,staff[Date Joined],"&lt;="&amp;EOMONTH(Sheet8!O14,0))</f>
        <v>5</v>
      </c>
      <c r="Q14">
        <f>SUM($P$4:P14)</f>
        <v>58</v>
      </c>
    </row>
    <row r="15" spans="1:17" x14ac:dyDescent="0.3">
      <c r="N15">
        <v>12</v>
      </c>
      <c r="O15" s="30">
        <v>44317</v>
      </c>
      <c r="P15">
        <f>COUNTIFS(staff[Date Joined],"&gt;="&amp;Sheet8!O15,staff[Date Joined],"&lt;="&amp;EOMONTH(Sheet8!O15,0))</f>
        <v>10</v>
      </c>
      <c r="Q15">
        <f>SUM($P$4:P15)</f>
        <v>68</v>
      </c>
    </row>
    <row r="16" spans="1:17" x14ac:dyDescent="0.3">
      <c r="N16">
        <v>13</v>
      </c>
      <c r="O16" s="30">
        <v>44348</v>
      </c>
      <c r="P16">
        <f>COUNTIFS(staff[Date Joined],"&gt;="&amp;Sheet8!O16,staff[Date Joined],"&lt;="&amp;EOMONTH(Sheet8!O16,0))</f>
        <v>6</v>
      </c>
      <c r="Q16">
        <f>SUM($P$4:P16)</f>
        <v>74</v>
      </c>
    </row>
    <row r="17" spans="14:17" x14ac:dyDescent="0.3">
      <c r="N17">
        <v>14</v>
      </c>
      <c r="O17" s="30">
        <v>44378</v>
      </c>
      <c r="P17">
        <f>COUNTIFS(staff[Date Joined],"&gt;="&amp;Sheet8!O17,staff[Date Joined],"&lt;="&amp;EOMONTH(Sheet8!O17,0))</f>
        <v>13</v>
      </c>
      <c r="Q17">
        <f>SUM($P$4:P17)</f>
        <v>87</v>
      </c>
    </row>
    <row r="18" spans="14:17" x14ac:dyDescent="0.3">
      <c r="N18">
        <v>15</v>
      </c>
      <c r="O18" s="30">
        <v>44409</v>
      </c>
      <c r="P18">
        <f>COUNTIFS(staff[Date Joined],"&gt;="&amp;Sheet8!O18,staff[Date Joined],"&lt;="&amp;EOMONTH(Sheet8!O18,0))</f>
        <v>4</v>
      </c>
      <c r="Q18">
        <f>SUM($P$4:P18)</f>
        <v>91</v>
      </c>
    </row>
    <row r="19" spans="14:17" x14ac:dyDescent="0.3">
      <c r="N19">
        <v>16</v>
      </c>
      <c r="O19" s="30">
        <v>44440</v>
      </c>
      <c r="P19">
        <f>COUNTIFS(staff[Date Joined],"&gt;="&amp;Sheet8!O19,staff[Date Joined],"&lt;="&amp;EOMONTH(Sheet8!O19,0))</f>
        <v>11</v>
      </c>
      <c r="Q19">
        <f>SUM($P$4:P19)</f>
        <v>102</v>
      </c>
    </row>
    <row r="20" spans="14:17" x14ac:dyDescent="0.3">
      <c r="N20">
        <v>17</v>
      </c>
      <c r="O20" s="30">
        <v>44470</v>
      </c>
      <c r="P20">
        <f>COUNTIFS(staff[Date Joined],"&gt;="&amp;Sheet8!O20,staff[Date Joined],"&lt;="&amp;EOMONTH(Sheet8!O20,0))</f>
        <v>3</v>
      </c>
      <c r="Q20">
        <f>SUM($P$4:P20)</f>
        <v>105</v>
      </c>
    </row>
    <row r="21" spans="14:17" x14ac:dyDescent="0.3">
      <c r="N21">
        <v>18</v>
      </c>
      <c r="O21" s="30">
        <v>44501</v>
      </c>
      <c r="P21">
        <f>COUNTIFS(staff[Date Joined],"&gt;="&amp;Sheet8!O21,staff[Date Joined],"&lt;="&amp;EOMONTH(Sheet8!O21,0))</f>
        <v>4</v>
      </c>
      <c r="Q21">
        <f>SUM($P$4:P21)</f>
        <v>109</v>
      </c>
    </row>
    <row r="22" spans="14:17" x14ac:dyDescent="0.3">
      <c r="N22">
        <v>19</v>
      </c>
      <c r="O22" s="30">
        <v>44531</v>
      </c>
      <c r="P22">
        <f>COUNTIFS(staff[Date Joined],"&gt;="&amp;Sheet8!O22,staff[Date Joined],"&lt;="&amp;EOMONTH(Sheet8!O22,0))</f>
        <v>7</v>
      </c>
      <c r="Q22">
        <f>SUM($P$4:P22)</f>
        <v>116</v>
      </c>
    </row>
    <row r="23" spans="14:17" x14ac:dyDescent="0.3">
      <c r="N23">
        <v>20</v>
      </c>
      <c r="O23" s="30">
        <v>44562</v>
      </c>
      <c r="P23">
        <f>COUNTIFS(staff[Date Joined],"&gt;="&amp;Sheet8!O23,staff[Date Joined],"&lt;="&amp;EOMONTH(Sheet8!O23,0))</f>
        <v>3</v>
      </c>
      <c r="Q23">
        <f>SUM($P$4:P23)</f>
        <v>119</v>
      </c>
    </row>
    <row r="24" spans="14:17" x14ac:dyDescent="0.3">
      <c r="N24">
        <v>21</v>
      </c>
      <c r="O24" s="30">
        <v>44593</v>
      </c>
      <c r="P24">
        <f>COUNTIFS(staff[Date Joined],"&gt;="&amp;Sheet8!O24,staff[Date Joined],"&lt;="&amp;EOMONTH(Sheet8!O24,0))</f>
        <v>10</v>
      </c>
      <c r="Q24">
        <f>SUM($P$4:P24)</f>
        <v>129</v>
      </c>
    </row>
    <row r="25" spans="14:17" x14ac:dyDescent="0.3">
      <c r="N25">
        <v>22</v>
      </c>
      <c r="O25" s="30">
        <v>44621</v>
      </c>
      <c r="P25">
        <f>COUNTIFS(staff[Date Joined],"&gt;="&amp;Sheet8!O25,staff[Date Joined],"&lt;="&amp;EOMONTH(Sheet8!O25,0))</f>
        <v>9</v>
      </c>
      <c r="Q25">
        <f>SUM($P$4:P25)</f>
        <v>138</v>
      </c>
    </row>
    <row r="26" spans="14:17" x14ac:dyDescent="0.3">
      <c r="N26">
        <v>23</v>
      </c>
      <c r="O26" s="30">
        <v>44652</v>
      </c>
      <c r="P26">
        <f>COUNTIFS(staff[Date Joined],"&gt;="&amp;Sheet8!O26,staff[Date Joined],"&lt;="&amp;EOMONTH(Sheet8!O26,0))</f>
        <v>9</v>
      </c>
      <c r="Q26">
        <f>SUM($P$4:P26)</f>
        <v>147</v>
      </c>
    </row>
    <row r="27" spans="14:17" x14ac:dyDescent="0.3">
      <c r="N27">
        <v>24</v>
      </c>
      <c r="O27" s="30">
        <v>44682</v>
      </c>
      <c r="P27">
        <f>COUNTIFS(staff[Date Joined],"&gt;="&amp;Sheet8!O27,staff[Date Joined],"&lt;="&amp;EOMONTH(Sheet8!O27,0))</f>
        <v>9</v>
      </c>
      <c r="Q27">
        <f>SUM($P$4:P27)</f>
        <v>156</v>
      </c>
    </row>
    <row r="28" spans="14:17" x14ac:dyDescent="0.3">
      <c r="N28">
        <v>25</v>
      </c>
      <c r="O28" s="30">
        <v>44713</v>
      </c>
      <c r="P28">
        <f>COUNTIFS(staff[Date Joined],"&gt;="&amp;Sheet8!O28,staff[Date Joined],"&lt;="&amp;EOMONTH(Sheet8!O28,0))</f>
        <v>7</v>
      </c>
      <c r="Q28">
        <f>SUM($P$4:P28)</f>
        <v>163</v>
      </c>
    </row>
    <row r="29" spans="14:17" x14ac:dyDescent="0.3">
      <c r="N29">
        <v>26</v>
      </c>
      <c r="O29" s="30">
        <v>44743</v>
      </c>
      <c r="P29">
        <f>COUNTIFS(staff[Date Joined],"&gt;="&amp;Sheet8!O29,staff[Date Joined],"&lt;="&amp;EOMONTH(Sheet8!O29,0))</f>
        <v>5</v>
      </c>
      <c r="Q29">
        <f>SUM($P$4:P29)</f>
        <v>168</v>
      </c>
    </row>
    <row r="30" spans="14:17" x14ac:dyDescent="0.3">
      <c r="N30">
        <v>27</v>
      </c>
      <c r="O30" s="30">
        <v>44774</v>
      </c>
      <c r="P30">
        <f>COUNTIFS(staff[Date Joined],"&gt;="&amp;Sheet8!O30,staff[Date Joined],"&lt;="&amp;EOMONTH(Sheet8!O30,0))</f>
        <v>5</v>
      </c>
      <c r="Q30">
        <f>SUM($P$4:P30)</f>
        <v>173</v>
      </c>
    </row>
    <row r="31" spans="14:17" x14ac:dyDescent="0.3">
      <c r="N31">
        <v>28</v>
      </c>
      <c r="O31" s="30">
        <v>44805</v>
      </c>
      <c r="P31">
        <f>COUNTIFS(staff[Date Joined],"&gt;="&amp;Sheet8!O31,staff[Date Joined],"&lt;="&amp;EOMONTH(Sheet8!O31,0))</f>
        <v>2</v>
      </c>
      <c r="Q31">
        <f>SUM($P$4:P31)</f>
        <v>175</v>
      </c>
    </row>
    <row r="32" spans="14:17" x14ac:dyDescent="0.3">
      <c r="N32">
        <v>29</v>
      </c>
      <c r="O32" s="30">
        <v>44835</v>
      </c>
      <c r="P32">
        <f>COUNTIFS(staff[Date Joined],"&gt;="&amp;Sheet8!O32,staff[Date Joined],"&lt;="&amp;EOMONTH(Sheet8!O32,0))</f>
        <v>3</v>
      </c>
      <c r="Q32">
        <f>SUM($P$4:P32)</f>
        <v>178</v>
      </c>
    </row>
    <row r="33" spans="14:17" x14ac:dyDescent="0.3">
      <c r="N33">
        <v>30</v>
      </c>
      <c r="O33" s="30">
        <v>44866</v>
      </c>
      <c r="P33">
        <f>COUNTIFS(staff[Date Joined],"&gt;="&amp;Sheet8!O33,staff[Date Joined],"&lt;="&amp;EOMONTH(Sheet8!O33,0))</f>
        <v>0</v>
      </c>
      <c r="Q33">
        <f>SUM($P$4:P33)</f>
        <v>178</v>
      </c>
    </row>
    <row r="34" spans="14:17" x14ac:dyDescent="0.3">
      <c r="N34">
        <v>31</v>
      </c>
      <c r="O34" s="30">
        <v>44896</v>
      </c>
      <c r="P34">
        <f>COUNTIFS(staff[Date Joined],"&gt;="&amp;Sheet8!O34,staff[Date Joined],"&lt;="&amp;EOMONTH(Sheet8!O34,0))</f>
        <v>0</v>
      </c>
      <c r="Q34">
        <f>SUM($P$4:P34)</f>
        <v>178</v>
      </c>
    </row>
    <row r="35" spans="14:17" x14ac:dyDescent="0.3">
      <c r="N35">
        <v>32</v>
      </c>
      <c r="O35" s="30">
        <v>44927</v>
      </c>
      <c r="P35">
        <f>COUNTIFS(staff[Date Joined],"&gt;="&amp;Sheet8!O35,staff[Date Joined],"&lt;="&amp;EOMONTH(Sheet8!O35,0))</f>
        <v>0</v>
      </c>
      <c r="Q35">
        <f>SUM($P$4:P35)</f>
        <v>178</v>
      </c>
    </row>
    <row r="36" spans="14:17" x14ac:dyDescent="0.3">
      <c r="N36">
        <v>33</v>
      </c>
      <c r="O36" s="30">
        <v>44958</v>
      </c>
      <c r="P36">
        <f>COUNTIFS(staff[Date Joined],"&gt;="&amp;Sheet8!O36,staff[Date Joined],"&lt;="&amp;EOMONTH(Sheet8!O36,0))</f>
        <v>1</v>
      </c>
      <c r="Q36">
        <f>SUM($P$4:P36)</f>
        <v>179</v>
      </c>
    </row>
    <row r="37" spans="14:17" x14ac:dyDescent="0.3">
      <c r="N37">
        <v>34</v>
      </c>
      <c r="O37" s="30">
        <v>44986</v>
      </c>
      <c r="P37">
        <f>COUNTIFS(staff[Date Joined],"&gt;="&amp;Sheet8!O37,staff[Date Joined],"&lt;="&amp;EOMONTH(Sheet8!O37,0))</f>
        <v>0</v>
      </c>
      <c r="Q37">
        <f>SUM($P$4:P37)</f>
        <v>179</v>
      </c>
    </row>
    <row r="38" spans="14:17" x14ac:dyDescent="0.3">
      <c r="N38">
        <v>35</v>
      </c>
      <c r="O38" s="30">
        <v>45017</v>
      </c>
      <c r="P38">
        <f>COUNTIFS(staff[Date Joined],"&gt;="&amp;Sheet8!O38,staff[Date Joined],"&lt;="&amp;EOMONTH(Sheet8!O38,0))</f>
        <v>1</v>
      </c>
      <c r="Q38">
        <f>SUM($P$4:P38)</f>
        <v>180</v>
      </c>
    </row>
    <row r="39" spans="14:17" x14ac:dyDescent="0.3">
      <c r="N39">
        <v>36</v>
      </c>
      <c r="O39" s="30">
        <v>45047</v>
      </c>
      <c r="P39">
        <f>COUNTIFS(staff[Date Joined],"&gt;="&amp;Sheet8!O39,staff[Date Joined],"&lt;="&amp;EOMONTH(Sheet8!O39,0))</f>
        <v>0</v>
      </c>
      <c r="Q39">
        <f>SUM($P$4:P39)</f>
        <v>180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4018A-08CC-4844-9BE6-8E97BF617538}">
  <dimension ref="B3:F11"/>
  <sheetViews>
    <sheetView workbookViewId="0">
      <selection activeCell="F16" sqref="F16"/>
    </sheetView>
  </sheetViews>
  <sheetFormatPr defaultRowHeight="14.4" x14ac:dyDescent="0.3"/>
  <cols>
    <col min="1" max="1" width="12.5546875" bestFit="1" customWidth="1"/>
    <col min="2" max="3" width="13.88671875" bestFit="1" customWidth="1"/>
    <col min="4" max="4" width="12.5546875" bestFit="1" customWidth="1"/>
    <col min="5" max="6" width="13.88671875" bestFit="1" customWidth="1"/>
  </cols>
  <sheetData>
    <row r="3" spans="2:6" x14ac:dyDescent="0.3">
      <c r="B3" s="14" t="s">
        <v>203</v>
      </c>
      <c r="C3" t="s" vm="1">
        <v>204</v>
      </c>
      <c r="E3" s="14" t="s">
        <v>203</v>
      </c>
      <c r="F3" t="s" vm="2">
        <v>206</v>
      </c>
    </row>
    <row r="5" spans="2:6" x14ac:dyDescent="0.3">
      <c r="B5" s="14" t="s">
        <v>225</v>
      </c>
      <c r="C5" t="s">
        <v>228</v>
      </c>
      <c r="E5" s="14" t="s">
        <v>225</v>
      </c>
      <c r="F5" t="s">
        <v>228</v>
      </c>
    </row>
    <row r="6" spans="2:6" x14ac:dyDescent="0.3">
      <c r="B6" s="9" t="s">
        <v>12</v>
      </c>
      <c r="C6">
        <v>28</v>
      </c>
      <c r="E6" s="9" t="s">
        <v>23</v>
      </c>
      <c r="F6">
        <v>27</v>
      </c>
    </row>
    <row r="7" spans="2:6" x14ac:dyDescent="0.3">
      <c r="B7" s="9" t="s">
        <v>23</v>
      </c>
      <c r="C7">
        <v>27</v>
      </c>
      <c r="E7" s="9" t="s">
        <v>12</v>
      </c>
      <c r="F7">
        <v>27</v>
      </c>
    </row>
    <row r="8" spans="2:6" x14ac:dyDescent="0.3">
      <c r="B8" s="9" t="s">
        <v>17</v>
      </c>
      <c r="C8">
        <v>19</v>
      </c>
      <c r="E8" s="9" t="s">
        <v>17</v>
      </c>
      <c r="F8">
        <v>19</v>
      </c>
    </row>
    <row r="9" spans="2:6" x14ac:dyDescent="0.3">
      <c r="B9" s="9" t="s">
        <v>9</v>
      </c>
      <c r="C9">
        <v>14</v>
      </c>
      <c r="E9" s="9" t="s">
        <v>9</v>
      </c>
      <c r="F9">
        <v>14</v>
      </c>
    </row>
    <row r="10" spans="2:6" x14ac:dyDescent="0.3">
      <c r="B10" s="9" t="s">
        <v>26</v>
      </c>
      <c r="C10">
        <v>4</v>
      </c>
      <c r="E10" s="9" t="s">
        <v>26</v>
      </c>
      <c r="F10">
        <v>4</v>
      </c>
    </row>
    <row r="11" spans="2:6" x14ac:dyDescent="0.3">
      <c r="B11" s="9" t="s">
        <v>226</v>
      </c>
      <c r="C11">
        <v>92</v>
      </c>
      <c r="E11" s="9" t="s">
        <v>226</v>
      </c>
      <c r="F11">
        <v>91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46F1E-18D0-44AB-A10A-C80D3C9754A8}">
  <dimension ref="B3:C8"/>
  <sheetViews>
    <sheetView workbookViewId="0">
      <selection activeCell="Q21" sqref="Q21"/>
    </sheetView>
  </sheetViews>
  <sheetFormatPr defaultRowHeight="14.4" x14ac:dyDescent="0.3"/>
  <cols>
    <col min="2" max="2" width="13.109375" bestFit="1" customWidth="1"/>
    <col min="3" max="3" width="10.44140625" customWidth="1"/>
  </cols>
  <sheetData>
    <row r="3" spans="2:3" x14ac:dyDescent="0.3">
      <c r="B3" s="22" t="s">
        <v>223</v>
      </c>
      <c r="C3" s="23" t="s">
        <v>235</v>
      </c>
    </row>
    <row r="4" spans="2:3" x14ac:dyDescent="0.3">
      <c r="B4" s="20" t="s">
        <v>43</v>
      </c>
      <c r="C4" s="21">
        <v>5</v>
      </c>
    </row>
    <row r="5" spans="2:3" x14ac:dyDescent="0.3">
      <c r="B5" s="20" t="s">
        <v>10</v>
      </c>
      <c r="C5" s="21">
        <v>4</v>
      </c>
    </row>
    <row r="6" spans="2:3" x14ac:dyDescent="0.3">
      <c r="B6" s="20" t="s">
        <v>13</v>
      </c>
      <c r="C6" s="21">
        <v>3</v>
      </c>
    </row>
    <row r="7" spans="2:3" x14ac:dyDescent="0.3">
      <c r="B7" s="20" t="s">
        <v>18</v>
      </c>
      <c r="C7" s="21">
        <v>2</v>
      </c>
    </row>
    <row r="8" spans="2:3" x14ac:dyDescent="0.3">
      <c r="B8" s="24" t="s">
        <v>49</v>
      </c>
      <c r="C8" s="25">
        <v>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2A23BF7-47C7-4AEE-A4BE-F57920BD649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nz-staff</vt:lpstr>
      <vt:lpstr>ind-staff</vt:lpstr>
      <vt:lpstr>staff</vt:lpstr>
      <vt:lpstr>male vs female</vt:lpstr>
      <vt:lpstr>salary spread</vt:lpstr>
      <vt:lpstr>dashboard design</vt:lpstr>
      <vt:lpstr>salary vs rating</vt:lpstr>
      <vt:lpstr>Sheet8</vt:lpstr>
      <vt:lpstr>Sheet10</vt:lpstr>
      <vt:lpstr>Sheet7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shaik leeyaz</dc:creator>
  <cp:lastModifiedBy>shaik leeyaz</cp:lastModifiedBy>
  <dcterms:created xsi:type="dcterms:W3CDTF">2024-03-22T05:07:21Z</dcterms:created>
  <dcterms:modified xsi:type="dcterms:W3CDTF">2024-03-23T06:03:32Z</dcterms:modified>
</cp:coreProperties>
</file>