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hil\Desktop\Fall\Supply Chain\lec5\group assignment 2\"/>
    </mc:Choice>
  </mc:AlternateContent>
  <xr:revisionPtr revIDLastSave="0" documentId="13_ncr:1_{858AF1C3-9AA0-402B-A775-3C4AE480A820}" xr6:coauthVersionLast="47" xr6:coauthVersionMax="47" xr10:uidLastSave="{00000000-0000-0000-0000-000000000000}"/>
  <bookViews>
    <workbookView xWindow="-108" yWindow="-108" windowWidth="23256" windowHeight="12576" xr2:uid="{1E24FE7B-8581-4ABC-ABA5-29AD3B5FC986}"/>
  </bookViews>
  <sheets>
    <sheet name="Team 6" sheetId="1" r:id="rId1"/>
  </sheets>
  <definedNames>
    <definedName name="_xlnm._FilterDatabase" localSheetId="0" hidden="1">'Team 6'!#REF!</definedName>
    <definedName name="solver_adj" localSheetId="0" hidden="1">'Team 6'!$K$3:$K$12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'Team 6'!$K$13</definedName>
    <definedName name="solver_lhs2" localSheetId="0" hidden="1">'Team 6'!$K$13</definedName>
    <definedName name="solver_lhs3" localSheetId="0" hidden="1">'Team 6'!$M$3:$M$12</definedName>
    <definedName name="solver_lhs4" localSheetId="0" hidden="1">'Team 6'!$M$3:$M$12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'Team 6'!#REF!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hs1" localSheetId="0" hidden="1">10000</definedName>
    <definedName name="solver_rhs2" localSheetId="0" hidden="1">10000</definedName>
    <definedName name="solver_rhs3" localSheetId="0" hidden="1">600</definedName>
    <definedName name="solver_rhs4" localSheetId="0" hidden="1">600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10000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K10" i="1" l="1"/>
  <c r="T10" i="1"/>
  <c r="T8" i="1"/>
  <c r="T6" i="1"/>
  <c r="T5" i="1"/>
  <c r="T3" i="1"/>
  <c r="U12" i="1"/>
  <c r="U11" i="1"/>
  <c r="N4" i="1"/>
  <c r="N5" i="1"/>
  <c r="N6" i="1"/>
  <c r="N7" i="1"/>
  <c r="N8" i="1"/>
  <c r="N9" i="1"/>
  <c r="N10" i="1"/>
  <c r="N11" i="1"/>
  <c r="N12" i="1"/>
  <c r="N3" i="1"/>
  <c r="M13" i="1"/>
  <c r="K5" i="1"/>
  <c r="K6" i="1"/>
  <c r="K8" i="1"/>
  <c r="K11" i="1"/>
  <c r="K12" i="1"/>
  <c r="K13" i="1" l="1"/>
  <c r="S4" i="1"/>
  <c r="S5" i="1"/>
  <c r="S6" i="1"/>
  <c r="S7" i="1"/>
  <c r="S8" i="1"/>
  <c r="S9" i="1"/>
  <c r="S10" i="1"/>
  <c r="S12" i="1"/>
  <c r="S3" i="1"/>
  <c r="E13" i="1" l="1"/>
  <c r="B13" i="1"/>
  <c r="B17" i="1" s="1"/>
  <c r="I12" i="1"/>
  <c r="W12" i="1" s="1"/>
  <c r="H12" i="1"/>
  <c r="I11" i="1"/>
  <c r="W11" i="1" s="1"/>
  <c r="H11" i="1"/>
  <c r="I10" i="1"/>
  <c r="W10" i="1" s="1"/>
  <c r="H10" i="1"/>
  <c r="I9" i="1"/>
  <c r="W9" i="1" s="1"/>
  <c r="H9" i="1"/>
  <c r="I8" i="1"/>
  <c r="W8" i="1" s="1"/>
  <c r="H8" i="1"/>
  <c r="I7" i="1"/>
  <c r="W7" i="1" s="1"/>
  <c r="H7" i="1"/>
  <c r="I6" i="1"/>
  <c r="W6" i="1" s="1"/>
  <c r="H6" i="1"/>
  <c r="I5" i="1"/>
  <c r="W5" i="1" s="1"/>
  <c r="H5" i="1"/>
  <c r="I4" i="1"/>
  <c r="W4" i="1" s="1"/>
  <c r="H4" i="1"/>
  <c r="I3" i="1"/>
  <c r="W3" i="1" s="1"/>
  <c r="H3" i="1"/>
  <c r="L11" i="1" l="1"/>
  <c r="L6" i="1"/>
  <c r="L10" i="1"/>
  <c r="L4" i="1"/>
  <c r="L12" i="1"/>
  <c r="L5" i="1"/>
  <c r="L3" i="1"/>
  <c r="L7" i="1"/>
  <c r="L8" i="1"/>
  <c r="L9" i="1"/>
  <c r="W13" i="1"/>
  <c r="F12" i="1"/>
  <c r="G12" i="1" s="1"/>
  <c r="V12" i="1"/>
  <c r="V3" i="1"/>
  <c r="V8" i="1"/>
  <c r="V7" i="1"/>
  <c r="V4" i="1"/>
  <c r="V5" i="1"/>
  <c r="V9" i="1"/>
  <c r="J5" i="1"/>
  <c r="J3" i="1"/>
  <c r="J6" i="1"/>
  <c r="J8" i="1"/>
  <c r="J10" i="1"/>
  <c r="B18" i="1"/>
  <c r="V11" i="1"/>
  <c r="V6" i="1"/>
  <c r="V10" i="1"/>
  <c r="J12" i="1"/>
  <c r="F8" i="1"/>
  <c r="G8" i="1" s="1"/>
  <c r="F10" i="1"/>
  <c r="G10" i="1" s="1"/>
  <c r="J11" i="1"/>
  <c r="F6" i="1"/>
  <c r="G6" i="1" s="1"/>
  <c r="F4" i="1"/>
  <c r="G4" i="1" s="1"/>
  <c r="F3" i="1"/>
  <c r="G3" i="1" s="1"/>
  <c r="F5" i="1"/>
  <c r="G5" i="1" s="1"/>
  <c r="F9" i="1"/>
  <c r="G9" i="1" s="1"/>
  <c r="F7" i="1"/>
  <c r="G7" i="1" s="1"/>
  <c r="F11" i="1"/>
  <c r="G11" i="1" s="1"/>
  <c r="L13" i="1" l="1"/>
  <c r="V13" i="1"/>
  <c r="J13" i="1"/>
  <c r="R7" i="1"/>
  <c r="R9" i="1"/>
  <c r="R5" i="1"/>
  <c r="O3" i="1"/>
  <c r="P3" i="1" s="1"/>
  <c r="R11" i="1"/>
  <c r="O8" i="1" l="1"/>
  <c r="R8" i="1"/>
  <c r="O11" i="1"/>
  <c r="P11" i="1" s="1"/>
  <c r="O10" i="1"/>
  <c r="R10" i="1"/>
  <c r="O5" i="1"/>
  <c r="P5" i="1" s="1"/>
  <c r="R3" i="1"/>
  <c r="O4" i="1"/>
  <c r="R4" i="1"/>
  <c r="O12" i="1"/>
  <c r="R12" i="1"/>
  <c r="O7" i="1"/>
  <c r="P7" i="1" s="1"/>
  <c r="O6" i="1"/>
  <c r="R6" i="1"/>
  <c r="O9" i="1"/>
  <c r="R13" i="1" l="1"/>
  <c r="Q11" i="1"/>
  <c r="P6" i="1"/>
  <c r="P4" i="1"/>
  <c r="Q4" i="1" s="1"/>
  <c r="P9" i="1"/>
  <c r="Q9" i="1" s="1"/>
  <c r="Q7" i="1"/>
  <c r="P12" i="1"/>
  <c r="Q12" i="1" s="1"/>
  <c r="Q5" i="1"/>
  <c r="P10" i="1"/>
  <c r="P8" i="1"/>
  <c r="Q8" i="1" s="1"/>
  <c r="Q10" i="1" l="1"/>
  <c r="P13" i="1"/>
  <c r="Q6" i="1"/>
  <c r="Q3" i="1"/>
  <c r="Q13" i="1" l="1"/>
</calcChain>
</file>

<file path=xl/sharedStrings.xml><?xml version="1.0" encoding="utf-8"?>
<sst xmlns="http://schemas.openxmlformats.org/spreadsheetml/2006/main" count="41" uniqueCount="40">
  <si>
    <t>Style</t>
  </si>
  <si>
    <t>Average Forecast/ sales</t>
  </si>
  <si>
    <t>Standard Deviation (SD) of Individual Forcasts</t>
  </si>
  <si>
    <t>Selling Price</t>
  </si>
  <si>
    <t>Cost Price</t>
  </si>
  <si>
    <t>Salvage Value</t>
  </si>
  <si>
    <t>Cu</t>
  </si>
  <si>
    <t>Co</t>
  </si>
  <si>
    <t>Sales</t>
  </si>
  <si>
    <t>Leftover</t>
  </si>
  <si>
    <t>Profit = sales*sp - Q*cp + leftover*salvage</t>
  </si>
  <si>
    <t>Expected Profit (Theoretical Formula)</t>
  </si>
  <si>
    <t>Gail</t>
  </si>
  <si>
    <t>Isis</t>
  </si>
  <si>
    <t>Entice</t>
  </si>
  <si>
    <t>Assault</t>
  </si>
  <si>
    <t>Teri</t>
  </si>
  <si>
    <t>Electra</t>
  </si>
  <si>
    <t>Stephanie</t>
  </si>
  <si>
    <t>Seduced</t>
  </si>
  <si>
    <t>Anita</t>
  </si>
  <si>
    <t>Daphne</t>
  </si>
  <si>
    <t>Total</t>
  </si>
  <si>
    <t>Profit</t>
  </si>
  <si>
    <t>of wholesale price</t>
  </si>
  <si>
    <t>Loss</t>
  </si>
  <si>
    <t>seasonality</t>
  </si>
  <si>
    <t>Q = μ + Zσ</t>
  </si>
  <si>
    <t>Modified Z</t>
  </si>
  <si>
    <t>Modified CSL %</t>
  </si>
  <si>
    <t>CUP</t>
  </si>
  <si>
    <t>COP</t>
  </si>
  <si>
    <t>Q (Adjusted to min 600)</t>
  </si>
  <si>
    <t>Adjusted Forecast (to 10000)</t>
  </si>
  <si>
    <t>Q (Mean + Z*SD)</t>
  </si>
  <si>
    <t>CSL</t>
  </si>
  <si>
    <t>Demand =  2 x SD</t>
  </si>
  <si>
    <t>under producing in forecast</t>
  </si>
  <si>
    <t>over producing in forecast</t>
  </si>
  <si>
    <t>Risk = SD/Mean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</si>
</sst>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$-409]#,##0.00"/>
  </numFmts>
  <fonts count="8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/>
    <xf numFmtId="1" fontId="0" fillId="0" borderId="2" xfId="0" applyNumberFormat="1" applyBorder="1"/>
    <xf numFmtId="1" fontId="0" fillId="3" borderId="1" xfId="0" applyNumberFormat="1" applyFill="1" applyBorder="1"/>
    <xf numFmtId="9" fontId="0" fillId="0" borderId="2" xfId="1" applyFont="1" applyBorder="1"/>
    <xf numFmtId="0" fontId="0" fillId="0" borderId="1" xfId="0" applyBorder="1"/>
    <xf numFmtId="164" fontId="0" fillId="0" borderId="0" xfId="0" applyNumberFormat="1"/>
    <xf numFmtId="164" fontId="0" fillId="3" borderId="0" xfId="0" applyNumberFormat="1" applyFill="1"/>
    <xf numFmtId="0" fontId="4" fillId="0" borderId="1" xfId="0" applyFont="1" applyBorder="1" applyAlignment="1">
      <alignment horizontal="right" vertical="center"/>
    </xf>
    <xf numFmtId="1" fontId="0" fillId="0" borderId="1" xfId="0" applyNumberFormat="1" applyBorder="1"/>
    <xf numFmtId="9" fontId="0" fillId="0" borderId="1" xfId="1" applyFont="1" applyBorder="1"/>
    <xf numFmtId="165" fontId="0" fillId="0" borderId="1" xfId="0" applyNumberFormat="1" applyBorder="1"/>
    <xf numFmtId="0" fontId="0" fillId="4" borderId="1" xfId="0" applyFill="1" applyBorder="1"/>
    <xf numFmtId="0" fontId="4" fillId="0" borderId="2" xfId="0" applyFont="1" applyBorder="1" applyAlignment="1">
      <alignment horizontal="right" vertical="center"/>
    </xf>
    <xf numFmtId="0" fontId="0" fillId="0" borderId="2" xfId="0" applyBorder="1"/>
    <xf numFmtId="1" fontId="0" fillId="3" borderId="2" xfId="0" applyNumberFormat="1" applyFill="1" applyBorder="1"/>
    <xf numFmtId="165" fontId="0" fillId="0" borderId="2" xfId="0" applyNumberFormat="1" applyBorder="1"/>
    <xf numFmtId="0" fontId="2" fillId="2" borderId="5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0" fontId="0" fillId="0" borderId="6" xfId="0" applyBorder="1"/>
    <xf numFmtId="0" fontId="0" fillId="3" borderId="6" xfId="0" applyFill="1" applyBorder="1"/>
    <xf numFmtId="0" fontId="4" fillId="3" borderId="7" xfId="0" applyFont="1" applyFill="1" applyBorder="1" applyAlignment="1">
      <alignment horizontal="right" vertical="center"/>
    </xf>
    <xf numFmtId="1" fontId="4" fillId="3" borderId="7" xfId="0" applyNumberFormat="1" applyFont="1" applyFill="1" applyBorder="1" applyAlignment="1">
      <alignment horizontal="right" vertical="center"/>
    </xf>
    <xf numFmtId="1" fontId="0" fillId="3" borderId="7" xfId="0" applyNumberFormat="1" applyFill="1" applyBorder="1"/>
    <xf numFmtId="0" fontId="0" fillId="0" borderId="7" xfId="0" applyBorder="1"/>
    <xf numFmtId="165" fontId="0" fillId="3" borderId="4" xfId="0" applyNumberFormat="1" applyFill="1" applyBorder="1"/>
    <xf numFmtId="165" fontId="0" fillId="0" borderId="6" xfId="0" applyNumberFormat="1" applyBorder="1"/>
    <xf numFmtId="165" fontId="0" fillId="3" borderId="7" xfId="0" applyNumberFormat="1" applyFill="1" applyBorder="1"/>
    <xf numFmtId="165" fontId="0" fillId="3" borderId="8" xfId="0" applyNumberFormat="1" applyFill="1" applyBorder="1"/>
    <xf numFmtId="0" fontId="2" fillId="0" borderId="12" xfId="0" applyFont="1" applyBorder="1" applyAlignment="1">
      <alignment horizontal="left" vertical="center"/>
    </xf>
    <xf numFmtId="165" fontId="0" fillId="0" borderId="13" xfId="0" applyNumberFormat="1" applyBorder="1"/>
    <xf numFmtId="0" fontId="2" fillId="0" borderId="14" xfId="0" applyFont="1" applyBorder="1" applyAlignment="1">
      <alignment horizontal="left" vertical="center"/>
    </xf>
    <xf numFmtId="165" fontId="0" fillId="0" borderId="15" xfId="0" applyNumberFormat="1" applyBorder="1"/>
    <xf numFmtId="0" fontId="0" fillId="0" borderId="0" xfId="0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</xdr:colOff>
      <xdr:row>18</xdr:row>
      <xdr:rowOff>148590</xdr:rowOff>
    </xdr:from>
    <xdr:ext cx="5490670" cy="1181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51AE20-13C7-44E6-BC3D-C18436C18BB1}"/>
                </a:ext>
              </a:extLst>
            </xdr:cNvPr>
            <xdr:cNvSpPr txBox="1"/>
          </xdr:nvSpPr>
          <xdr:spPr>
            <a:xfrm>
              <a:off x="106680" y="3943350"/>
              <a:ext cx="5490670" cy="11811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rtl="0" eaLnBrk="1" latinLnBrk="0" hangingPunct="1"/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Theoretical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Formula</a:t>
              </a:r>
              <a:endParaRPr lang="en-US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Expected profit from ordering Q units</a:t>
              </a:r>
              <a:endParaRPr lang="en-US" sz="1100">
                <a:effectLst/>
              </a:endParaRPr>
            </a:p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𝜇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NORM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DIST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,0,1,1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𝜎</m:t>
                    </m:r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NORM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DIST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,0,1,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</a:t>
              </a:r>
              <a14:m>
                <m:oMath xmlns:m="http://schemas.openxmlformats.org/officeDocument/2006/math"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𝑄</m:t>
                  </m:r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</m:e>
                  </m:d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NORM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DIST</m:t>
                  </m:r>
                  <m:d>
                    <m:d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𝑄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,1</m:t>
                      </m:r>
                    </m:e>
                  </m: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𝑄</m:t>
                  </m:r>
                  <m:d>
                    <m:d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</m: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[1−</m:t>
                  </m:r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NORM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.</m:t>
                  </m:r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DIST</m:t>
                  </m:r>
                  <m:d>
                    <m:d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𝑄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,1</m:t>
                      </m:r>
                    </m:e>
                  </m:d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]</m:t>
                  </m:r>
                </m:oMath>
              </a14:m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751AE20-13C7-44E6-BC3D-C18436C18BB1}"/>
                </a:ext>
              </a:extLst>
            </xdr:cNvPr>
            <xdr:cNvSpPr txBox="1"/>
          </xdr:nvSpPr>
          <xdr:spPr>
            <a:xfrm>
              <a:off x="106680" y="3943350"/>
              <a:ext cx="5490670" cy="118110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rtl="0" eaLnBrk="1" latinLnBrk="0" hangingPunct="1"/>
              <a:r>
                <a:rPr lang="en-US" sz="11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Theoretical</a:t>
              </a:r>
              <a:r>
                <a:rPr lang="en-US" sz="1100" b="1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Formula</a:t>
              </a:r>
              <a:endParaRPr lang="en-US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 eaLnBrk="1" latinLnBrk="0" hangingPunct="1"/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Expected profit from ordering Q units</a:t>
              </a:r>
              <a:endParaRPr lang="en-US" sz="1100">
                <a:effectLst/>
              </a:endParaRPr>
            </a:p>
            <a:p>
              <a:pPr rtl="0" eaLnBrk="1" latinLnBrk="0" hangingPunct="1"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=(𝑝−𝑠)𝜇NORM.DIST((𝑄−𝜇)/𝜎,0,1,1)  −(𝑝−𝑠)𝜎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NORM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DIST((𝑄−𝜇)/𝜎,0,1,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</a:t>
              </a:r>
              <a:endParaRPr lang="en-US">
                <a:effectLst/>
              </a:endParaRPr>
            </a:p>
            <a:p>
              <a:pPr rtl="0" eaLnBrk="1" latinLnBrk="0" hangingPunct="1"/>
              <a:r>
                <a:rPr lang="en-US" sz="1100" b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−𝑄(𝑐−𝑠)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NORM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DIST(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,1)+𝑄(𝑝−𝑐)[1−NORM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DIST(𝑄,𝜇,𝜎,1)]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9CB1-F297-4688-8EAD-9C2F5B1C1E24}">
  <dimension ref="A1:W25"/>
  <sheetViews>
    <sheetView tabSelected="1" workbookViewId="0">
      <selection activeCell="E18" sqref="E18"/>
    </sheetView>
  </sheetViews>
  <sheetFormatPr defaultRowHeight="14.4" x14ac:dyDescent="0.3"/>
  <cols>
    <col min="1" max="1" width="14.88671875" customWidth="1"/>
    <col min="2" max="2" width="10.33203125" customWidth="1"/>
    <col min="3" max="3" width="10.44140625" customWidth="1"/>
    <col min="4" max="4" width="9.44140625" customWidth="1"/>
    <col min="5" max="5" width="10" customWidth="1"/>
    <col min="6" max="6" width="8.88671875" customWidth="1"/>
    <col min="7" max="7" width="9" customWidth="1"/>
    <col min="8" max="8" width="5.44140625" customWidth="1"/>
    <col min="9" max="9" width="5.77734375" customWidth="1"/>
    <col min="10" max="10" width="12.77734375" customWidth="1"/>
    <col min="11" max="11" width="10.33203125" customWidth="1"/>
    <col min="12" max="12" width="9.5546875" customWidth="1"/>
    <col min="13" max="13" width="10.5546875" customWidth="1"/>
    <col min="14" max="14" width="7.77734375" customWidth="1"/>
    <col min="15" max="15" width="12.77734375" customWidth="1"/>
    <col min="16" max="16" width="9.21875" customWidth="1"/>
    <col min="17" max="17" width="15.77734375" customWidth="1"/>
    <col min="18" max="18" width="12.77734375" customWidth="1"/>
    <col min="20" max="20" width="10.33203125" customWidth="1"/>
    <col min="21" max="21" width="9.88671875" customWidth="1"/>
    <col min="22" max="22" width="10.6640625" bestFit="1" customWidth="1"/>
    <col min="23" max="23" width="10" bestFit="1" customWidth="1"/>
  </cols>
  <sheetData>
    <row r="1" spans="1:23" ht="14.4" customHeight="1" x14ac:dyDescent="0.3">
      <c r="A1" s="46" t="s">
        <v>0</v>
      </c>
      <c r="B1" s="48" t="s">
        <v>1</v>
      </c>
      <c r="C1" s="40" t="s">
        <v>2</v>
      </c>
      <c r="D1" s="48" t="s">
        <v>36</v>
      </c>
      <c r="E1" s="40" t="s">
        <v>3</v>
      </c>
      <c r="F1" s="40" t="s">
        <v>4</v>
      </c>
      <c r="G1" s="40" t="s">
        <v>5</v>
      </c>
      <c r="H1" s="44" t="s">
        <v>6</v>
      </c>
      <c r="I1" s="44" t="s">
        <v>7</v>
      </c>
      <c r="J1" s="42" t="s">
        <v>27</v>
      </c>
      <c r="K1" s="52" t="s">
        <v>33</v>
      </c>
      <c r="L1" s="54" t="s">
        <v>34</v>
      </c>
      <c r="M1" s="52" t="s">
        <v>32</v>
      </c>
      <c r="N1" s="44" t="s">
        <v>35</v>
      </c>
      <c r="O1" s="44" t="s">
        <v>8</v>
      </c>
      <c r="P1" s="44" t="s">
        <v>9</v>
      </c>
      <c r="Q1" s="52" t="s">
        <v>10</v>
      </c>
      <c r="R1" s="52" t="s">
        <v>11</v>
      </c>
      <c r="S1" s="52" t="s">
        <v>39</v>
      </c>
      <c r="T1" s="52" t="s">
        <v>37</v>
      </c>
      <c r="U1" s="52" t="s">
        <v>38</v>
      </c>
      <c r="V1" s="44" t="s">
        <v>30</v>
      </c>
      <c r="W1" s="50" t="s">
        <v>31</v>
      </c>
    </row>
    <row r="2" spans="1:23" ht="52.8" customHeight="1" x14ac:dyDescent="0.3">
      <c r="A2" s="47"/>
      <c r="B2" s="49"/>
      <c r="C2" s="41"/>
      <c r="D2" s="49"/>
      <c r="E2" s="41"/>
      <c r="F2" s="41"/>
      <c r="G2" s="41"/>
      <c r="H2" s="45"/>
      <c r="I2" s="45"/>
      <c r="J2" s="43"/>
      <c r="K2" s="53"/>
      <c r="L2" s="55"/>
      <c r="M2" s="53"/>
      <c r="N2" s="45"/>
      <c r="O2" s="45"/>
      <c r="P2" s="45"/>
      <c r="Q2" s="53"/>
      <c r="R2" s="53"/>
      <c r="S2" s="53"/>
      <c r="T2" s="53"/>
      <c r="U2" s="53"/>
      <c r="V2" s="45"/>
      <c r="W2" s="51"/>
    </row>
    <row r="3" spans="1:23" x14ac:dyDescent="0.3">
      <c r="A3" s="35" t="s">
        <v>12</v>
      </c>
      <c r="B3" s="13">
        <v>1017</v>
      </c>
      <c r="C3" s="13">
        <v>194</v>
      </c>
      <c r="D3" s="13">
        <v>388</v>
      </c>
      <c r="E3" s="13">
        <v>112.5</v>
      </c>
      <c r="F3" s="13">
        <f>E3-H3</f>
        <v>85.5</v>
      </c>
      <c r="G3" s="13">
        <f>F3-I3</f>
        <v>76.5</v>
      </c>
      <c r="H3" s="13">
        <f>B15*E3</f>
        <v>27</v>
      </c>
      <c r="I3" s="10">
        <f>B16*E3</f>
        <v>9</v>
      </c>
      <c r="J3" s="8">
        <f>B3+$B$17*D3</f>
        <v>605.41875265167585</v>
      </c>
      <c r="K3" s="10">
        <v>600</v>
      </c>
      <c r="L3" s="14">
        <f>B3+$B$17*D3</f>
        <v>605.41875265167585</v>
      </c>
      <c r="M3" s="14">
        <v>605.41875265167585</v>
      </c>
      <c r="N3" s="15">
        <f t="shared" ref="N3:N12" si="0">_xlfn.NORM.DIST(M3,B3,D3,1)</f>
        <v>0.14439576248160818</v>
      </c>
      <c r="O3" s="10">
        <f t="shared" ref="O3:O12" si="1">MIN(B3,M3)</f>
        <v>605.41875265167585</v>
      </c>
      <c r="P3" s="14">
        <f t="shared" ref="P3:P12" si="2">M3-O3</f>
        <v>0</v>
      </c>
      <c r="Q3" s="16">
        <f t="shared" ref="Q3:Q12" si="3">O3*E3 - M3*F3 + P3*G3</f>
        <v>16346.30632159525</v>
      </c>
      <c r="R3" s="16">
        <f t="shared" ref="R3:R12" si="4">(E3-G3)*B3*_xlfn.NORM.DIST((M3-B3)/D3, 0, 1, 1) - (E3-G3)*D3*_xlfn.NORM.DIST((M3-B3)/D3, 0, 1, 0) - M3*(F3-G3)*_xlfn.NORM.DIST(M3,B3,D3,1) + M3*(E3-F3)*(1-_xlfn.NORM.DIST(M3,B3,D3,1))</f>
        <v>15311.126445431441</v>
      </c>
      <c r="S3" s="17">
        <f t="shared" ref="S3:S12" si="5">D3/B3</f>
        <v>0.38151425762045232</v>
      </c>
      <c r="T3" s="14">
        <f>K3-L3</f>
        <v>-5.4187526516758453</v>
      </c>
      <c r="U3" s="14"/>
      <c r="V3" s="16">
        <f t="shared" ref="V3:V12" si="6">T3*H3</f>
        <v>-146.30632159524782</v>
      </c>
      <c r="W3" s="36">
        <f t="shared" ref="W3:W12" si="7">U3*I3</f>
        <v>0</v>
      </c>
    </row>
    <row r="4" spans="1:23" x14ac:dyDescent="0.3">
      <c r="A4" s="35" t="s">
        <v>13</v>
      </c>
      <c r="B4" s="13">
        <v>1042</v>
      </c>
      <c r="C4" s="13">
        <v>323</v>
      </c>
      <c r="D4" s="13">
        <v>646</v>
      </c>
      <c r="E4" s="13">
        <v>112.5</v>
      </c>
      <c r="F4" s="13">
        <f t="shared" ref="F4:G12" si="8">E4-H4</f>
        <v>85.5</v>
      </c>
      <c r="G4" s="13">
        <f t="shared" si="8"/>
        <v>76.5</v>
      </c>
      <c r="H4" s="13">
        <f>B15*E4</f>
        <v>27</v>
      </c>
      <c r="I4" s="10">
        <f>B16*E4</f>
        <v>9</v>
      </c>
      <c r="J4" s="8">
        <v>600</v>
      </c>
      <c r="K4" s="10">
        <v>600</v>
      </c>
      <c r="L4" s="14">
        <f t="shared" ref="L4:L12" si="9">B4+$B$17*D4</f>
        <v>356.73843869325412</v>
      </c>
      <c r="M4" s="14">
        <v>600</v>
      </c>
      <c r="N4" s="15">
        <f t="shared" si="0"/>
        <v>0.24692111812191381</v>
      </c>
      <c r="O4" s="10">
        <f t="shared" si="1"/>
        <v>600</v>
      </c>
      <c r="P4" s="10">
        <f t="shared" si="2"/>
        <v>0</v>
      </c>
      <c r="Q4" s="16">
        <f t="shared" si="3"/>
        <v>16200</v>
      </c>
      <c r="R4" s="16">
        <f t="shared" si="4"/>
        <v>12787.439626797406</v>
      </c>
      <c r="S4" s="10">
        <f t="shared" si="5"/>
        <v>0.6199616122840691</v>
      </c>
      <c r="T4" s="14"/>
      <c r="U4" s="10"/>
      <c r="V4" s="16">
        <f t="shared" si="6"/>
        <v>0</v>
      </c>
      <c r="W4" s="36">
        <f t="shared" si="7"/>
        <v>0</v>
      </c>
    </row>
    <row r="5" spans="1:23" x14ac:dyDescent="0.3">
      <c r="A5" s="35" t="s">
        <v>14</v>
      </c>
      <c r="B5" s="13">
        <v>1358</v>
      </c>
      <c r="C5" s="13">
        <v>248</v>
      </c>
      <c r="D5" s="13">
        <v>496</v>
      </c>
      <c r="E5" s="13">
        <v>112.5</v>
      </c>
      <c r="F5" s="13">
        <f t="shared" si="8"/>
        <v>85.5</v>
      </c>
      <c r="G5" s="13">
        <f t="shared" si="8"/>
        <v>76.5</v>
      </c>
      <c r="H5" s="13">
        <f>B15*E5</f>
        <v>27</v>
      </c>
      <c r="I5" s="10">
        <f>B16*E5</f>
        <v>9</v>
      </c>
      <c r="J5" s="8">
        <f>B5+$B$17*D5</f>
        <v>831.85490029698769</v>
      </c>
      <c r="K5" s="10">
        <f>B5/2</f>
        <v>679</v>
      </c>
      <c r="L5" s="14">
        <f t="shared" si="9"/>
        <v>831.85490029698769</v>
      </c>
      <c r="M5" s="14">
        <v>831.85490029698769</v>
      </c>
      <c r="N5" s="15">
        <f t="shared" si="0"/>
        <v>0.14439576248160818</v>
      </c>
      <c r="O5" s="10">
        <f t="shared" si="1"/>
        <v>831.85490029698769</v>
      </c>
      <c r="P5" s="14">
        <f t="shared" si="2"/>
        <v>0</v>
      </c>
      <c r="Q5" s="16">
        <f t="shared" si="3"/>
        <v>22460.082308018667</v>
      </c>
      <c r="R5" s="16">
        <f t="shared" si="4"/>
        <v>21136.75957972679</v>
      </c>
      <c r="S5" s="17">
        <f t="shared" si="5"/>
        <v>0.36524300441826213</v>
      </c>
      <c r="T5" s="14">
        <f>K5-L5</f>
        <v>-152.85490029698769</v>
      </c>
      <c r="U5" s="14"/>
      <c r="V5" s="16">
        <f t="shared" si="6"/>
        <v>-4127.0823080186674</v>
      </c>
      <c r="W5" s="36">
        <f t="shared" si="7"/>
        <v>0</v>
      </c>
    </row>
    <row r="6" spans="1:23" x14ac:dyDescent="0.3">
      <c r="A6" s="35" t="s">
        <v>15</v>
      </c>
      <c r="B6" s="13">
        <v>2525</v>
      </c>
      <c r="C6" s="13">
        <v>340</v>
      </c>
      <c r="D6" s="13">
        <v>680</v>
      </c>
      <c r="E6" s="13">
        <v>112.5</v>
      </c>
      <c r="F6" s="13">
        <f t="shared" si="8"/>
        <v>85.5</v>
      </c>
      <c r="G6" s="13">
        <f t="shared" si="8"/>
        <v>76.5</v>
      </c>
      <c r="H6" s="13">
        <f>B15*E6</f>
        <v>27</v>
      </c>
      <c r="I6" s="10">
        <f>B16*E6</f>
        <v>9</v>
      </c>
      <c r="J6" s="8">
        <f>B6+$B$17*D6</f>
        <v>1803.6720407297412</v>
      </c>
      <c r="K6" s="10">
        <f>B6/2</f>
        <v>1262.5</v>
      </c>
      <c r="L6" s="14">
        <f t="shared" si="9"/>
        <v>1803.6720407297412</v>
      </c>
      <c r="M6" s="14">
        <v>1803.6720407297412</v>
      </c>
      <c r="N6" s="15">
        <f t="shared" si="0"/>
        <v>0.14439576248160818</v>
      </c>
      <c r="O6" s="10">
        <f t="shared" si="1"/>
        <v>1803.6720407297412</v>
      </c>
      <c r="P6" s="10">
        <f t="shared" si="2"/>
        <v>0</v>
      </c>
      <c r="Q6" s="16">
        <f t="shared" si="3"/>
        <v>48699.145099703019</v>
      </c>
      <c r="R6" s="16">
        <f t="shared" si="4"/>
        <v>46884.912327044796</v>
      </c>
      <c r="S6" s="17">
        <f t="shared" si="5"/>
        <v>0.26930693069306932</v>
      </c>
      <c r="T6" s="14">
        <f>K6-L6</f>
        <v>-541.17204072974118</v>
      </c>
      <c r="U6" s="14"/>
      <c r="V6" s="16">
        <f t="shared" si="6"/>
        <v>-14611.645099703012</v>
      </c>
      <c r="W6" s="36">
        <f t="shared" si="7"/>
        <v>0</v>
      </c>
    </row>
    <row r="7" spans="1:23" x14ac:dyDescent="0.3">
      <c r="A7" s="35" t="s">
        <v>16</v>
      </c>
      <c r="B7" s="13">
        <v>1100</v>
      </c>
      <c r="C7" s="13">
        <v>381</v>
      </c>
      <c r="D7" s="13">
        <v>762</v>
      </c>
      <c r="E7" s="13">
        <v>112.5</v>
      </c>
      <c r="F7" s="13">
        <f t="shared" si="8"/>
        <v>85.5</v>
      </c>
      <c r="G7" s="13">
        <f t="shared" si="8"/>
        <v>76.5</v>
      </c>
      <c r="H7" s="13">
        <f>B15*E7</f>
        <v>27</v>
      </c>
      <c r="I7" s="10">
        <f>B16*E7</f>
        <v>9</v>
      </c>
      <c r="J7" s="8">
        <v>600</v>
      </c>
      <c r="K7" s="10">
        <v>600</v>
      </c>
      <c r="L7" s="14">
        <f t="shared" si="9"/>
        <v>291.6883750530335</v>
      </c>
      <c r="M7" s="14">
        <v>600</v>
      </c>
      <c r="N7" s="15">
        <f t="shared" si="0"/>
        <v>0.25585802465831542</v>
      </c>
      <c r="O7" s="10">
        <f t="shared" si="1"/>
        <v>600</v>
      </c>
      <c r="P7" s="10">
        <f t="shared" si="2"/>
        <v>0</v>
      </c>
      <c r="Q7" s="16">
        <f t="shared" si="3"/>
        <v>16200</v>
      </c>
      <c r="R7" s="16">
        <f t="shared" si="4"/>
        <v>11981.283919088635</v>
      </c>
      <c r="S7" s="10">
        <f t="shared" si="5"/>
        <v>0.69272727272727275</v>
      </c>
      <c r="T7" s="14"/>
      <c r="U7" s="10"/>
      <c r="V7" s="16">
        <f t="shared" si="6"/>
        <v>0</v>
      </c>
      <c r="W7" s="36">
        <f t="shared" si="7"/>
        <v>0</v>
      </c>
    </row>
    <row r="8" spans="1:23" x14ac:dyDescent="0.3">
      <c r="A8" s="35" t="s">
        <v>17</v>
      </c>
      <c r="B8" s="13">
        <v>2150</v>
      </c>
      <c r="C8" s="13">
        <v>404</v>
      </c>
      <c r="D8" s="13">
        <v>807</v>
      </c>
      <c r="E8" s="13">
        <v>112.5</v>
      </c>
      <c r="F8" s="13">
        <f t="shared" si="8"/>
        <v>85.5</v>
      </c>
      <c r="G8" s="13">
        <f t="shared" si="8"/>
        <v>76.5</v>
      </c>
      <c r="H8" s="13">
        <f>B15*E8</f>
        <v>27</v>
      </c>
      <c r="I8" s="10">
        <f>B16*E8</f>
        <v>9</v>
      </c>
      <c r="J8" s="8">
        <f>B8+$B$17*D8</f>
        <v>1293.9534365719132</v>
      </c>
      <c r="K8" s="10">
        <f>B8/2</f>
        <v>1075</v>
      </c>
      <c r="L8" s="14">
        <f t="shared" si="9"/>
        <v>1293.9534365719132</v>
      </c>
      <c r="M8" s="14">
        <v>1293.9534365719132</v>
      </c>
      <c r="N8" s="15">
        <f t="shared" si="0"/>
        <v>0.14439576248160813</v>
      </c>
      <c r="O8" s="10">
        <f t="shared" si="1"/>
        <v>1293.9534365719132</v>
      </c>
      <c r="P8" s="10">
        <f t="shared" si="2"/>
        <v>0</v>
      </c>
      <c r="Q8" s="16">
        <f t="shared" si="3"/>
        <v>34936.742787441661</v>
      </c>
      <c r="R8" s="16">
        <f t="shared" si="4"/>
        <v>32783.675364595802</v>
      </c>
      <c r="S8" s="17">
        <f t="shared" si="5"/>
        <v>0.37534883720930234</v>
      </c>
      <c r="T8" s="14">
        <f>K8-L8</f>
        <v>-218.95343657191324</v>
      </c>
      <c r="U8" s="14"/>
      <c r="V8" s="16">
        <f t="shared" si="6"/>
        <v>-5911.7427874416571</v>
      </c>
      <c r="W8" s="36">
        <f t="shared" si="7"/>
        <v>0</v>
      </c>
    </row>
    <row r="9" spans="1:23" x14ac:dyDescent="0.3">
      <c r="A9" s="35" t="s">
        <v>18</v>
      </c>
      <c r="B9" s="13">
        <v>1113</v>
      </c>
      <c r="C9" s="13">
        <v>524</v>
      </c>
      <c r="D9" s="13">
        <v>1048</v>
      </c>
      <c r="E9" s="13">
        <v>112.5</v>
      </c>
      <c r="F9" s="13">
        <f t="shared" si="8"/>
        <v>85.5</v>
      </c>
      <c r="G9" s="13">
        <f t="shared" si="8"/>
        <v>76.5</v>
      </c>
      <c r="H9" s="13">
        <f>B15*E9</f>
        <v>27</v>
      </c>
      <c r="I9" s="10">
        <f>B16*E9</f>
        <v>9</v>
      </c>
      <c r="J9" s="8">
        <v>600</v>
      </c>
      <c r="K9" s="10">
        <v>600</v>
      </c>
      <c r="L9" s="14">
        <f t="shared" si="9"/>
        <v>1.3063215952481642</v>
      </c>
      <c r="M9" s="14">
        <v>600</v>
      </c>
      <c r="N9" s="15">
        <f t="shared" si="0"/>
        <v>0.31224252650968454</v>
      </c>
      <c r="O9" s="10">
        <f t="shared" si="1"/>
        <v>600</v>
      </c>
      <c r="P9" s="10">
        <f t="shared" si="2"/>
        <v>0</v>
      </c>
      <c r="Q9" s="16">
        <f t="shared" si="3"/>
        <v>16200</v>
      </c>
      <c r="R9" s="16">
        <f t="shared" si="4"/>
        <v>8614.6176643651088</v>
      </c>
      <c r="S9" s="10">
        <f t="shared" si="5"/>
        <v>0.94159928122192271</v>
      </c>
      <c r="T9" s="14"/>
      <c r="U9" s="10"/>
      <c r="V9" s="16">
        <f t="shared" si="6"/>
        <v>0</v>
      </c>
      <c r="W9" s="36">
        <f t="shared" si="7"/>
        <v>0</v>
      </c>
    </row>
    <row r="10" spans="1:23" x14ac:dyDescent="0.3">
      <c r="A10" s="35" t="s">
        <v>19</v>
      </c>
      <c r="B10" s="13">
        <v>4017</v>
      </c>
      <c r="C10" s="13">
        <v>556</v>
      </c>
      <c r="D10" s="13">
        <v>1113</v>
      </c>
      <c r="E10" s="13">
        <v>112.5</v>
      </c>
      <c r="F10" s="13">
        <f t="shared" si="8"/>
        <v>85.5</v>
      </c>
      <c r="G10" s="13">
        <f t="shared" si="8"/>
        <v>76.5</v>
      </c>
      <c r="H10" s="13">
        <f>B15*E10</f>
        <v>27</v>
      </c>
      <c r="I10" s="10">
        <f>B16*E10</f>
        <v>9</v>
      </c>
      <c r="J10" s="8">
        <f>B10+$B$17*D10</f>
        <v>2836.3558549002969</v>
      </c>
      <c r="K10" s="10">
        <f>B10/2</f>
        <v>2008.5</v>
      </c>
      <c r="L10" s="14">
        <f t="shared" si="9"/>
        <v>2836.3558549002969</v>
      </c>
      <c r="M10" s="14">
        <v>2836.3558549002969</v>
      </c>
      <c r="N10" s="15">
        <f t="shared" si="0"/>
        <v>0.14439576248160818</v>
      </c>
      <c r="O10" s="10">
        <f t="shared" si="1"/>
        <v>2836.3558549002969</v>
      </c>
      <c r="P10" s="10">
        <f t="shared" si="2"/>
        <v>0</v>
      </c>
      <c r="Q10" s="16">
        <f t="shared" si="3"/>
        <v>76581.608082307997</v>
      </c>
      <c r="R10" s="16">
        <f t="shared" si="4"/>
        <v>73612.135911765959</v>
      </c>
      <c r="S10" s="17">
        <f t="shared" si="5"/>
        <v>0.27707244212098581</v>
      </c>
      <c r="T10" s="14">
        <f>K10-L10</f>
        <v>-827.85585490029689</v>
      </c>
      <c r="U10" s="14"/>
      <c r="V10" s="16">
        <f t="shared" si="6"/>
        <v>-22352.108082308016</v>
      </c>
      <c r="W10" s="36">
        <f t="shared" si="7"/>
        <v>0</v>
      </c>
    </row>
    <row r="11" spans="1:23" x14ac:dyDescent="0.3">
      <c r="A11" s="35" t="s">
        <v>20</v>
      </c>
      <c r="B11" s="13">
        <v>3296</v>
      </c>
      <c r="C11" s="13">
        <v>1047</v>
      </c>
      <c r="D11" s="13">
        <v>2094</v>
      </c>
      <c r="E11" s="13">
        <v>112.5</v>
      </c>
      <c r="F11" s="13">
        <f t="shared" si="8"/>
        <v>85.5</v>
      </c>
      <c r="G11" s="13">
        <f t="shared" si="8"/>
        <v>76.5</v>
      </c>
      <c r="H11" s="13">
        <f>B15*E11</f>
        <v>27</v>
      </c>
      <c r="I11" s="10">
        <f>B16*E11</f>
        <v>9</v>
      </c>
      <c r="J11" s="8">
        <f>B11+$B$17*D11</f>
        <v>1074.7341960118792</v>
      </c>
      <c r="K11" s="10">
        <f>B11/2</f>
        <v>1648</v>
      </c>
      <c r="L11" s="14">
        <f t="shared" si="9"/>
        <v>1074.7341960118792</v>
      </c>
      <c r="M11" s="14">
        <v>1074.7341960118792</v>
      </c>
      <c r="N11" s="15">
        <f t="shared" si="0"/>
        <v>0.14439576248160818</v>
      </c>
      <c r="O11" s="10">
        <f t="shared" si="1"/>
        <v>1074.7341960118792</v>
      </c>
      <c r="P11" s="10">
        <f t="shared" si="2"/>
        <v>0</v>
      </c>
      <c r="Q11" s="16">
        <f t="shared" si="3"/>
        <v>29017.82329232074</v>
      </c>
      <c r="R11" s="16">
        <f t="shared" si="4"/>
        <v>23431.053548282045</v>
      </c>
      <c r="S11" s="10">
        <f>+G3</f>
        <v>76.5</v>
      </c>
      <c r="T11" s="14"/>
      <c r="U11" s="14">
        <f>K11-L11</f>
        <v>573.26580398812075</v>
      </c>
      <c r="V11" s="16">
        <f t="shared" si="6"/>
        <v>0</v>
      </c>
      <c r="W11" s="36">
        <f t="shared" si="7"/>
        <v>5159.3922358930868</v>
      </c>
    </row>
    <row r="12" spans="1:23" ht="15" thickBot="1" x14ac:dyDescent="0.35">
      <c r="A12" s="37" t="s">
        <v>21</v>
      </c>
      <c r="B12" s="18">
        <v>2383</v>
      </c>
      <c r="C12" s="18">
        <v>697</v>
      </c>
      <c r="D12" s="18">
        <v>1394</v>
      </c>
      <c r="E12" s="18">
        <v>112.5</v>
      </c>
      <c r="F12" s="18">
        <f t="shared" si="8"/>
        <v>85.5</v>
      </c>
      <c r="G12" s="18">
        <f t="shared" si="8"/>
        <v>76.5</v>
      </c>
      <c r="H12" s="18">
        <f>B15*E12</f>
        <v>27</v>
      </c>
      <c r="I12" s="19">
        <f>B16*E12</f>
        <v>9</v>
      </c>
      <c r="J12" s="20">
        <f>B12+$B$17*D12</f>
        <v>904.27768349596931</v>
      </c>
      <c r="K12" s="19">
        <f>B12/2</f>
        <v>1191.5</v>
      </c>
      <c r="L12" s="7">
        <f t="shared" si="9"/>
        <v>904.27768349596931</v>
      </c>
      <c r="M12" s="7">
        <v>904.27768349596931</v>
      </c>
      <c r="N12" s="9">
        <f t="shared" si="0"/>
        <v>0.14439576248160818</v>
      </c>
      <c r="O12" s="19">
        <f t="shared" si="1"/>
        <v>904.27768349596931</v>
      </c>
      <c r="P12" s="19">
        <f t="shared" si="2"/>
        <v>0</v>
      </c>
      <c r="Q12" s="21">
        <f t="shared" si="3"/>
        <v>24415.497454391167</v>
      </c>
      <c r="R12" s="21">
        <f t="shared" si="4"/>
        <v>20696.320270441818</v>
      </c>
      <c r="S12" s="19">
        <f t="shared" si="5"/>
        <v>0.58497691984892997</v>
      </c>
      <c r="T12" s="7"/>
      <c r="U12" s="7">
        <f>K12-L12</f>
        <v>287.22231650403069</v>
      </c>
      <c r="V12" s="21">
        <f t="shared" si="6"/>
        <v>0</v>
      </c>
      <c r="W12" s="38">
        <f t="shared" si="7"/>
        <v>2585.000848536276</v>
      </c>
    </row>
    <row r="13" spans="1:23" ht="15" thickBot="1" x14ac:dyDescent="0.35">
      <c r="A13" s="22" t="s">
        <v>22</v>
      </c>
      <c r="B13" s="23">
        <f>SUM(B3:B12)</f>
        <v>20001</v>
      </c>
      <c r="C13" s="24"/>
      <c r="D13" s="24"/>
      <c r="E13" s="23">
        <f>AVERAGE(E3:E12)</f>
        <v>112.5</v>
      </c>
      <c r="F13" s="23"/>
      <c r="G13" s="23"/>
      <c r="H13" s="23"/>
      <c r="I13" s="25"/>
      <c r="J13" s="26">
        <f>SUM(J3:J12)</f>
        <v>11150.266864658464</v>
      </c>
      <c r="K13" s="27">
        <f>SUM(K3:K12)</f>
        <v>10264.5</v>
      </c>
      <c r="L13" s="28">
        <f>SUM(L3:L12)</f>
        <v>10000</v>
      </c>
      <c r="M13" s="29">
        <f>SUM(M3:M12)</f>
        <v>11150.266864658464</v>
      </c>
      <c r="N13" s="30"/>
      <c r="O13" s="25"/>
      <c r="P13" s="25">
        <f t="shared" ref="P13:R13" si="10">SUM(P3:P12)</f>
        <v>0</v>
      </c>
      <c r="Q13" s="31">
        <f t="shared" si="10"/>
        <v>301057.20534577849</v>
      </c>
      <c r="R13" s="32">
        <f t="shared" si="10"/>
        <v>267239.32465753978</v>
      </c>
      <c r="S13" s="30"/>
      <c r="T13" s="30"/>
      <c r="U13" s="30"/>
      <c r="V13" s="33">
        <f>SUM(V3:V12)</f>
        <v>-47148.884599066601</v>
      </c>
      <c r="W13" s="34">
        <f>SUM(W3:W12)</f>
        <v>7744.3930844293627</v>
      </c>
    </row>
    <row r="15" spans="1:23" x14ac:dyDescent="0.3">
      <c r="A15" s="1" t="s">
        <v>23</v>
      </c>
      <c r="B15" s="2">
        <v>0.24</v>
      </c>
      <c r="C15" t="s">
        <v>24</v>
      </c>
      <c r="E15" t="s">
        <v>26</v>
      </c>
    </row>
    <row r="16" spans="1:23" x14ac:dyDescent="0.3">
      <c r="A16" s="1" t="s">
        <v>25</v>
      </c>
      <c r="B16" s="2">
        <v>0.08</v>
      </c>
      <c r="C16" t="s">
        <v>24</v>
      </c>
      <c r="E16" s="3"/>
      <c r="F16" s="3"/>
      <c r="G16" s="3"/>
    </row>
    <row r="17" spans="1:14" x14ac:dyDescent="0.3">
      <c r="A17" s="5" t="s">
        <v>28</v>
      </c>
      <c r="B17" s="11">
        <f>(10000-B13)/SUM(D3:D12)</f>
        <v>-1.0607764106915571</v>
      </c>
      <c r="E17" s="4"/>
      <c r="F17" s="4"/>
      <c r="G17" s="4"/>
    </row>
    <row r="18" spans="1:14" x14ac:dyDescent="0.3">
      <c r="A18" s="6" t="s">
        <v>29</v>
      </c>
      <c r="B18" s="12">
        <f>_xlfn.NORM.S.DIST($B$17,TRUE)*100</f>
        <v>14.439576248160819</v>
      </c>
    </row>
    <row r="25" spans="1:14" x14ac:dyDescent="0.3">
      <c r="N25" s="39"/>
    </row>
  </sheetData>
  <scenarios current="0">
    <scenario name="csl" locked="1" count="1" user="Sahil" comment="Created by Sahil on 04-03-2023">
      <inputCells r="K13" undone="1" val="10000"/>
    </scenario>
  </scenarios>
  <mergeCells count="23">
    <mergeCell ref="N1:N2"/>
    <mergeCell ref="V1:V2"/>
    <mergeCell ref="W1:W2"/>
    <mergeCell ref="K1:K2"/>
    <mergeCell ref="T1:T2"/>
    <mergeCell ref="U1:U2"/>
    <mergeCell ref="S1:S2"/>
    <mergeCell ref="O1:O2"/>
    <mergeCell ref="M1:M2"/>
    <mergeCell ref="R1:R2"/>
    <mergeCell ref="P1:P2"/>
    <mergeCell ref="Q1:Q2"/>
    <mergeCell ref="L1:L2"/>
    <mergeCell ref="A1:A2"/>
    <mergeCell ref="B1:B2"/>
    <mergeCell ref="C1:C2"/>
    <mergeCell ref="D1:D2"/>
    <mergeCell ref="E1:E2"/>
    <mergeCell ref="F1:F2"/>
    <mergeCell ref="J1:J2"/>
    <mergeCell ref="G1:G2"/>
    <mergeCell ref="H1:H2"/>
    <mergeCell ref="I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2023-03-04T00:30:46Z</dcterms:created>
  <dcterms:modified xsi:type="dcterms:W3CDTF">2023-03-15T20:10:02Z</dcterms:modified>
</cp:coreProperties>
</file>