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Users\Sahil\Desktop\Fall\Supply Chain\lec5\group assignment 2\"/>
    </mc:Choice>
  </mc:AlternateContent>
  <xr:revisionPtr revIDLastSave="0" documentId="13_ncr:1_{9737CED3-22AC-425D-8568-6867D40C07D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trategy 1" sheetId="1" r:id="rId1"/>
    <sheet name="Strategy 2" sheetId="4" r:id="rId2"/>
    <sheet name="Strategy 3 (analysis)" sheetId="5" r:id="rId3"/>
    <sheet name="Strategy 4" sheetId="7" r:id="rId4"/>
  </sheets>
  <definedNames>
    <definedName name="solver_adj" localSheetId="2" hidden="1">'Strategy 3 (analysis)'!$E$3:$E$12</definedName>
    <definedName name="solver_adj" localSheetId="3" hidden="1">'Strategy 4'!$E$3:$E$9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'Strategy 3 (analysis)'!$E$13</definedName>
    <definedName name="solver_lhs1" localSheetId="3" hidden="1">'Strategy 4'!$E$10</definedName>
    <definedName name="solver_lhs2" localSheetId="2" hidden="1">'Strategy 3 (analysis)'!$E$3:$E$12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1</definedName>
    <definedName name="solver_num" localSheetId="3" hidden="1">1</definedName>
    <definedName name="solver_nwt" localSheetId="2" hidden="1">1</definedName>
    <definedName name="solver_nwt" localSheetId="3" hidden="1">1</definedName>
    <definedName name="solver_opt" localSheetId="2" hidden="1">'Strategy 3 (analysis)'!$M$13</definedName>
    <definedName name="solver_opt" localSheetId="3" hidden="1">'Strategy 4'!$M$10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1</definedName>
    <definedName name="solver_rel1" localSheetId="3" hidden="1">2</definedName>
    <definedName name="solver_rel2" localSheetId="2" hidden="1">3</definedName>
    <definedName name="solver_rhs1" localSheetId="2" hidden="1">10000</definedName>
    <definedName name="solver_rhs1" localSheetId="3" hidden="1">10000</definedName>
    <definedName name="solver_rhs2" localSheetId="2" hidden="1">600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1</definedName>
    <definedName name="solver_typ" localSheetId="3" hidden="1">1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7" l="1"/>
  <c r="U10" i="7"/>
  <c r="U4" i="7"/>
  <c r="U5" i="7"/>
  <c r="U6" i="7"/>
  <c r="U7" i="7"/>
  <c r="U8" i="7"/>
  <c r="U9" i="7"/>
  <c r="U3" i="7"/>
  <c r="T10" i="7"/>
  <c r="T4" i="7"/>
  <c r="T5" i="7"/>
  <c r="T6" i="7"/>
  <c r="T7" i="7"/>
  <c r="T8" i="7"/>
  <c r="T9" i="7"/>
  <c r="T3" i="7"/>
  <c r="T12" i="7"/>
  <c r="R4" i="7"/>
  <c r="R5" i="7"/>
  <c r="R6" i="7"/>
  <c r="R7" i="7"/>
  <c r="R8" i="7"/>
  <c r="R9" i="7"/>
  <c r="R3" i="7"/>
  <c r="R4" i="5"/>
  <c r="R5" i="5"/>
  <c r="R6" i="5"/>
  <c r="R7" i="5"/>
  <c r="R8" i="5"/>
  <c r="R9" i="5"/>
  <c r="R10" i="5"/>
  <c r="R11" i="5"/>
  <c r="R12" i="5"/>
  <c r="R3" i="5"/>
  <c r="B21" i="7" l="1"/>
  <c r="B23" i="7" s="1"/>
  <c r="B20" i="7"/>
  <c r="B25" i="7" s="1"/>
  <c r="F10" i="7"/>
  <c r="E10" i="7"/>
  <c r="B10" i="7"/>
  <c r="S9" i="7"/>
  <c r="O9" i="7"/>
  <c r="Q9" i="7" s="1"/>
  <c r="N9" i="7"/>
  <c r="P9" i="7" s="1"/>
  <c r="J9" i="7"/>
  <c r="G9" i="7"/>
  <c r="H9" i="7" s="1"/>
  <c r="S8" i="7"/>
  <c r="P8" i="7"/>
  <c r="O8" i="7"/>
  <c r="Q8" i="7" s="1"/>
  <c r="N8" i="7"/>
  <c r="J8" i="7"/>
  <c r="G8" i="7"/>
  <c r="H8" i="7" s="1"/>
  <c r="S7" i="7"/>
  <c r="N7" i="7"/>
  <c r="P7" i="7" s="1"/>
  <c r="J7" i="7"/>
  <c r="H7" i="7"/>
  <c r="G7" i="7"/>
  <c r="S6" i="7"/>
  <c r="N6" i="7"/>
  <c r="P6" i="7" s="1"/>
  <c r="J6" i="7"/>
  <c r="G6" i="7"/>
  <c r="S5" i="7"/>
  <c r="P5" i="7"/>
  <c r="O5" i="7"/>
  <c r="Q5" i="7" s="1"/>
  <c r="N5" i="7"/>
  <c r="J5" i="7"/>
  <c r="G5" i="7"/>
  <c r="H5" i="7" s="1"/>
  <c r="S4" i="7"/>
  <c r="P4" i="7"/>
  <c r="O4" i="7"/>
  <c r="Q4" i="7" s="1"/>
  <c r="N4" i="7"/>
  <c r="J4" i="7"/>
  <c r="G4" i="7"/>
  <c r="H4" i="7" s="1"/>
  <c r="S3" i="7"/>
  <c r="P3" i="7"/>
  <c r="O3" i="7"/>
  <c r="J3" i="7"/>
  <c r="G3" i="7"/>
  <c r="H3" i="7" s="1"/>
  <c r="M9" i="5"/>
  <c r="S4" i="5"/>
  <c r="S5" i="5"/>
  <c r="S6" i="5"/>
  <c r="S7" i="5"/>
  <c r="S8" i="5"/>
  <c r="S9" i="5"/>
  <c r="S10" i="5"/>
  <c r="S11" i="5"/>
  <c r="S12" i="5"/>
  <c r="S3" i="5"/>
  <c r="R13" i="5"/>
  <c r="Q13" i="5"/>
  <c r="Q4" i="5"/>
  <c r="Q5" i="5"/>
  <c r="Q6" i="5"/>
  <c r="Q7" i="5"/>
  <c r="Q8" i="5"/>
  <c r="Q9" i="5"/>
  <c r="Q10" i="5"/>
  <c r="Q11" i="5"/>
  <c r="Q12" i="5"/>
  <c r="Q3" i="5"/>
  <c r="P4" i="5"/>
  <c r="P5" i="5"/>
  <c r="P6" i="5"/>
  <c r="P7" i="5"/>
  <c r="P8" i="5"/>
  <c r="P9" i="5"/>
  <c r="P10" i="5"/>
  <c r="P11" i="5"/>
  <c r="P12" i="5"/>
  <c r="P3" i="5"/>
  <c r="O3" i="5"/>
  <c r="O4" i="5"/>
  <c r="O5" i="5"/>
  <c r="O6" i="5"/>
  <c r="O7" i="5"/>
  <c r="O8" i="5"/>
  <c r="O9" i="5"/>
  <c r="O10" i="5"/>
  <c r="O11" i="5"/>
  <c r="O12" i="5"/>
  <c r="N5" i="5"/>
  <c r="N6" i="5"/>
  <c r="N8" i="5"/>
  <c r="N10" i="5"/>
  <c r="N11" i="5"/>
  <c r="N12" i="5"/>
  <c r="M4" i="5"/>
  <c r="M5" i="5"/>
  <c r="M6" i="5"/>
  <c r="M7" i="5"/>
  <c r="M8" i="5"/>
  <c r="M10" i="5"/>
  <c r="M11" i="5"/>
  <c r="M12" i="5"/>
  <c r="I4" i="5"/>
  <c r="I5" i="5"/>
  <c r="I6" i="5"/>
  <c r="I7" i="5"/>
  <c r="I8" i="5"/>
  <c r="I9" i="5"/>
  <c r="I10" i="5"/>
  <c r="I11" i="5"/>
  <c r="I12" i="5"/>
  <c r="I3" i="5"/>
  <c r="G4" i="5"/>
  <c r="G5" i="5"/>
  <c r="G6" i="5"/>
  <c r="G7" i="5"/>
  <c r="H7" i="5" s="1"/>
  <c r="G8" i="5"/>
  <c r="G9" i="5"/>
  <c r="G10" i="5"/>
  <c r="G11" i="5"/>
  <c r="H11" i="5" s="1"/>
  <c r="G12" i="5"/>
  <c r="H4" i="5"/>
  <c r="H5" i="5"/>
  <c r="H6" i="5"/>
  <c r="H8" i="5"/>
  <c r="H9" i="5"/>
  <c r="H10" i="5"/>
  <c r="H12" i="5"/>
  <c r="H3" i="5"/>
  <c r="G3" i="5"/>
  <c r="M3" i="5"/>
  <c r="F13" i="5"/>
  <c r="E13" i="4"/>
  <c r="B24" i="5"/>
  <c r="B26" i="5" s="1"/>
  <c r="B23" i="5"/>
  <c r="B28" i="5" s="1"/>
  <c r="B13" i="5"/>
  <c r="J12" i="5"/>
  <c r="J11" i="5"/>
  <c r="J10" i="5"/>
  <c r="J9" i="5"/>
  <c r="J8" i="5"/>
  <c r="J7" i="5"/>
  <c r="J6" i="5"/>
  <c r="J5" i="5"/>
  <c r="J4" i="5"/>
  <c r="J3" i="5"/>
  <c r="E4" i="4"/>
  <c r="E5" i="4"/>
  <c r="E6" i="4"/>
  <c r="E7" i="4"/>
  <c r="E8" i="4"/>
  <c r="E9" i="4"/>
  <c r="E10" i="4"/>
  <c r="E11" i="4"/>
  <c r="E12" i="4"/>
  <c r="E3" i="4"/>
  <c r="K3" i="4"/>
  <c r="L13" i="1"/>
  <c r="L4" i="1"/>
  <c r="L5" i="1"/>
  <c r="L6" i="1"/>
  <c r="L7" i="1"/>
  <c r="L8" i="1"/>
  <c r="L9" i="1"/>
  <c r="L10" i="1"/>
  <c r="L11" i="1"/>
  <c r="L12" i="1"/>
  <c r="L3" i="1"/>
  <c r="G7" i="4"/>
  <c r="K4" i="4"/>
  <c r="K5" i="4"/>
  <c r="K6" i="4"/>
  <c r="K7" i="4"/>
  <c r="K8" i="4"/>
  <c r="K9" i="4"/>
  <c r="K10" i="4"/>
  <c r="K11" i="4"/>
  <c r="K12" i="4"/>
  <c r="H13" i="1"/>
  <c r="G4" i="4"/>
  <c r="L4" i="4" s="1"/>
  <c r="M4" i="4" s="1"/>
  <c r="G9" i="4"/>
  <c r="H4" i="4"/>
  <c r="B24" i="4"/>
  <c r="B26" i="4" s="1"/>
  <c r="N9" i="4" s="1"/>
  <c r="B23" i="4"/>
  <c r="B13" i="4"/>
  <c r="B35" i="4" s="1"/>
  <c r="F8" i="4" s="1"/>
  <c r="N8" i="4" s="1"/>
  <c r="E13" i="1"/>
  <c r="K1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O6" i="7" l="1"/>
  <c r="Q6" i="7" s="1"/>
  <c r="I9" i="7"/>
  <c r="I5" i="7"/>
  <c r="K6" i="7"/>
  <c r="L6" i="7" s="1"/>
  <c r="R10" i="7"/>
  <c r="M7" i="7"/>
  <c r="I7" i="7"/>
  <c r="M8" i="7"/>
  <c r="M4" i="7"/>
  <c r="M6" i="7"/>
  <c r="I8" i="7"/>
  <c r="I4" i="7"/>
  <c r="M3" i="7"/>
  <c r="I3" i="7"/>
  <c r="M9" i="7"/>
  <c r="M5" i="7"/>
  <c r="H6" i="7"/>
  <c r="I6" i="7" s="1"/>
  <c r="K7" i="7"/>
  <c r="L7" i="7" s="1"/>
  <c r="O7" i="7"/>
  <c r="Q7" i="7" s="1"/>
  <c r="K3" i="7"/>
  <c r="L3" i="7" s="1"/>
  <c r="K4" i="7"/>
  <c r="L4" i="7" s="1"/>
  <c r="K8" i="7"/>
  <c r="L8" i="7" s="1"/>
  <c r="Q3" i="7"/>
  <c r="K5" i="7"/>
  <c r="L5" i="7" s="1"/>
  <c r="K9" i="7"/>
  <c r="L9" i="7" s="1"/>
  <c r="K12" i="5"/>
  <c r="L12" i="5" s="1"/>
  <c r="K11" i="5"/>
  <c r="L11" i="5" s="1"/>
  <c r="K10" i="5"/>
  <c r="L10" i="5" s="1"/>
  <c r="K9" i="5"/>
  <c r="L9" i="5" s="1"/>
  <c r="K8" i="5"/>
  <c r="L8" i="5" s="1"/>
  <c r="K5" i="5"/>
  <c r="L5" i="5" s="1"/>
  <c r="K4" i="5"/>
  <c r="L4" i="5" s="1"/>
  <c r="K7" i="5"/>
  <c r="L7" i="5" s="1"/>
  <c r="K6" i="5"/>
  <c r="L6" i="5" s="1"/>
  <c r="K3" i="5"/>
  <c r="L3" i="5" s="1"/>
  <c r="N7" i="4"/>
  <c r="N4" i="4"/>
  <c r="F11" i="4"/>
  <c r="N11" i="4" s="1"/>
  <c r="F5" i="4"/>
  <c r="G5" i="4" s="1"/>
  <c r="L5" i="4" s="1"/>
  <c r="M5" i="4" s="1"/>
  <c r="F12" i="4"/>
  <c r="F6" i="4"/>
  <c r="F10" i="4"/>
  <c r="G10" i="4" s="1"/>
  <c r="F3" i="4"/>
  <c r="G3" i="4" s="1"/>
  <c r="L3" i="4" s="1"/>
  <c r="M3" i="4" s="1"/>
  <c r="B36" i="4"/>
  <c r="G8" i="4"/>
  <c r="L8" i="4" s="1"/>
  <c r="M8" i="4" s="1"/>
  <c r="G11" i="4"/>
  <c r="N5" i="4"/>
  <c r="N10" i="4"/>
  <c r="L7" i="4"/>
  <c r="M7" i="4" s="1"/>
  <c r="L11" i="4"/>
  <c r="M11" i="4" s="1"/>
  <c r="L10" i="4"/>
  <c r="M10" i="4" s="1"/>
  <c r="L9" i="4"/>
  <c r="M9" i="4" s="1"/>
  <c r="B28" i="4"/>
  <c r="Q10" i="7" l="1"/>
  <c r="L10" i="7"/>
  <c r="I10" i="7"/>
  <c r="M10" i="7"/>
  <c r="L13" i="5"/>
  <c r="M13" i="5"/>
  <c r="E13" i="5"/>
  <c r="N3" i="4"/>
  <c r="G6" i="4"/>
  <c r="L6" i="4" s="1"/>
  <c r="M6" i="4" s="1"/>
  <c r="N6" i="4"/>
  <c r="N12" i="4"/>
  <c r="G12" i="4"/>
  <c r="L12" i="4" s="1"/>
  <c r="M12" i="4" s="1"/>
  <c r="M13" i="4" s="1"/>
  <c r="H12" i="4"/>
  <c r="H7" i="4"/>
  <c r="H11" i="4"/>
  <c r="H8" i="4"/>
  <c r="H9" i="4"/>
  <c r="I9" i="4" s="1"/>
  <c r="H5" i="4"/>
  <c r="H10" i="4"/>
  <c r="H6" i="4"/>
  <c r="I6" i="4" s="1"/>
  <c r="I12" i="4"/>
  <c r="J12" i="4" s="1"/>
  <c r="N13" i="4" l="1"/>
  <c r="I7" i="4"/>
  <c r="J7" i="4" s="1"/>
  <c r="F13" i="4"/>
  <c r="H3" i="4"/>
  <c r="I3" i="4" s="1"/>
  <c r="I11" i="4"/>
  <c r="J11" i="4" s="1"/>
  <c r="I10" i="4"/>
  <c r="J10" i="4" s="1"/>
  <c r="I4" i="4"/>
  <c r="J4" i="4" s="1"/>
  <c r="J6" i="4"/>
  <c r="J9" i="4"/>
  <c r="I5" i="4"/>
  <c r="J5" i="4" s="1"/>
  <c r="I8" i="4"/>
  <c r="J8" i="4" s="1"/>
  <c r="I13" i="5" l="1"/>
  <c r="J3" i="4"/>
  <c r="J13" i="4" s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B24" i="1"/>
  <c r="B26" i="1" s="1"/>
  <c r="B23" i="1"/>
  <c r="B28" i="1" s="1"/>
  <c r="B13" i="1"/>
</calcChain>
</file>

<file path=xl/sharedStrings.xml><?xml version="1.0" encoding="utf-8"?>
<sst xmlns="http://schemas.openxmlformats.org/spreadsheetml/2006/main" count="166" uniqueCount="53">
  <si>
    <t>Style</t>
  </si>
  <si>
    <t>2 x SD</t>
  </si>
  <si>
    <t>Gail</t>
  </si>
  <si>
    <t>Isis</t>
  </si>
  <si>
    <t>Entice</t>
  </si>
  <si>
    <t>Assault</t>
  </si>
  <si>
    <t>Teri</t>
  </si>
  <si>
    <t>Electra</t>
  </si>
  <si>
    <t>Stephanie</t>
  </si>
  <si>
    <t>Seduced</t>
  </si>
  <si>
    <t>Anita</t>
  </si>
  <si>
    <t>Daphne</t>
  </si>
  <si>
    <t>Average Forecast</t>
  </si>
  <si>
    <t>Standard Deviation (SD) of Individual Forcasts</t>
  </si>
  <si>
    <t>Total</t>
  </si>
  <si>
    <t>Selling Price</t>
  </si>
  <si>
    <t>Cost Price</t>
  </si>
  <si>
    <t>Cu</t>
  </si>
  <si>
    <t>Profit</t>
  </si>
  <si>
    <t>of wholesale price</t>
  </si>
  <si>
    <t>Loss</t>
  </si>
  <si>
    <t>Co</t>
  </si>
  <si>
    <t>Salvage Value</t>
  </si>
  <si>
    <t>CSL*</t>
  </si>
  <si>
    <t>Values common to all styles</t>
  </si>
  <si>
    <t>Q*</t>
  </si>
  <si>
    <t>Sales</t>
  </si>
  <si>
    <t>Leftover</t>
  </si>
  <si>
    <t>Maximum Profit</t>
  </si>
  <si>
    <t>Mismatch Tax</t>
  </si>
  <si>
    <t>Expected Profit</t>
  </si>
  <si>
    <t>Mean of Selling Prices of all styles</t>
  </si>
  <si>
    <t>Mean of Cost Prices of all styles</t>
  </si>
  <si>
    <t>Modified CSL</t>
  </si>
  <si>
    <t>Keeping all constraints in mind</t>
  </si>
  <si>
    <t>Modified Z Score</t>
  </si>
  <si>
    <t xml:space="preserve">But here we are assuming that Z score will be common for all styles because SP and CP is same hence Cu and Co is same hence Z Score and CSL </t>
  </si>
  <si>
    <t>Manual Q taking care of MOQ</t>
  </si>
  <si>
    <t>Theoretical Formula</t>
  </si>
  <si>
    <t>Expected Profit Theoretical</t>
  </si>
  <si>
    <t>Manual Q =&gt;</t>
  </si>
  <si>
    <t>Q using solver taking MOQ into consideration</t>
  </si>
  <si>
    <t>Q using Excel Solver =&gt;</t>
  </si>
  <si>
    <t>how many underproduced: When used forecast</t>
  </si>
  <si>
    <t>Adjusted Forecast for initial Phase considering MOQ</t>
  </si>
  <si>
    <t>Cost of UP</t>
  </si>
  <si>
    <t>Cost of OP</t>
  </si>
  <si>
    <t>Risk (Coeff of Variation)</t>
  </si>
  <si>
    <t>how many overproduced: When used forecast</t>
  </si>
  <si>
    <t>Threshold for risk: CV = 50%
Here I have removed isis, teri, stephanie as they all are risky and their μ &lt; 2*MOQ
anita and daphne are risky but their μ &gt; 2*MOQ Hence we consider.</t>
  </si>
  <si>
    <t>Manual Q</t>
  </si>
  <si>
    <t>Modified Z</t>
  </si>
  <si>
    <t>Manual-Solver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</si>
</sst>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2" xfId="0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5" xfId="0" applyBorder="1"/>
    <xf numFmtId="0" fontId="2" fillId="0" borderId="6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7" xfId="0" applyBorder="1"/>
    <xf numFmtId="9" fontId="0" fillId="0" borderId="0" xfId="0" applyNumberFormat="1"/>
    <xf numFmtId="0" fontId="0" fillId="0" borderId="6" xfId="0" applyBorder="1"/>
    <xf numFmtId="0" fontId="0" fillId="0" borderId="1" xfId="0" applyBorder="1"/>
    <xf numFmtId="0" fontId="0" fillId="0" borderId="9" xfId="0" applyBorder="1"/>
    <xf numFmtId="0" fontId="2" fillId="0" borderId="8" xfId="0" applyFont="1" applyBorder="1" applyAlignment="1">
      <alignment horizontal="left" vertical="center"/>
    </xf>
    <xf numFmtId="0" fontId="0" fillId="0" borderId="4" xfId="0" applyBorder="1"/>
    <xf numFmtId="0" fontId="2" fillId="2" borderId="8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0" fillId="0" borderId="2" xfId="0" applyBorder="1"/>
    <xf numFmtId="0" fontId="0" fillId="0" borderId="11" xfId="0" applyBorder="1"/>
    <xf numFmtId="0" fontId="2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6" xfId="0" applyFont="1" applyBorder="1" applyAlignment="1">
      <alignment horizontal="left" vertical="center" wrapText="1"/>
    </xf>
    <xf numFmtId="0" fontId="0" fillId="3" borderId="0" xfId="0" applyFill="1"/>
    <xf numFmtId="0" fontId="0" fillId="3" borderId="7" xfId="0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2" xfId="0" applyFill="1" applyBorder="1"/>
    <xf numFmtId="0" fontId="0" fillId="0" borderId="8" xfId="0" applyBorder="1"/>
    <xf numFmtId="0" fontId="0" fillId="0" borderId="10" xfId="0" applyBorder="1"/>
    <xf numFmtId="0" fontId="6" fillId="0" borderId="1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0" fillId="4" borderId="0" xfId="0" applyFill="1"/>
    <xf numFmtId="0" fontId="2" fillId="0" borderId="3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</xdr:colOff>
      <xdr:row>14</xdr:row>
      <xdr:rowOff>15240</xdr:rowOff>
    </xdr:from>
    <xdr:to>
      <xdr:col>10</xdr:col>
      <xdr:colOff>167640</xdr:colOff>
      <xdr:row>19</xdr:row>
      <xdr:rowOff>39023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A8B20B-A67A-4A69-61C6-CCEE639C1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0660" y="2743200"/>
          <a:ext cx="3649980" cy="938183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34</xdr:row>
      <xdr:rowOff>160020</xdr:rowOff>
    </xdr:from>
    <xdr:to>
      <xdr:col>11</xdr:col>
      <xdr:colOff>751838</xdr:colOff>
      <xdr:row>39</xdr:row>
      <xdr:rowOff>169430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3BC595-50C9-4C52-AC2B-8C98217A7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95900" y="6553200"/>
          <a:ext cx="5095238" cy="9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28</xdr:row>
      <xdr:rowOff>167640</xdr:rowOff>
    </xdr:from>
    <xdr:to>
      <xdr:col>5</xdr:col>
      <xdr:colOff>164658</xdr:colOff>
      <xdr:row>46</xdr:row>
      <xdr:rowOff>159700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A8D64C-E1BD-40A1-B458-E01BA6D5D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" y="5463540"/>
          <a:ext cx="4485198" cy="328390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38101</xdr:colOff>
      <xdr:row>20</xdr:row>
      <xdr:rowOff>22859</xdr:rowOff>
    </xdr:from>
    <xdr:to>
      <xdr:col>10</xdr:col>
      <xdr:colOff>235169</xdr:colOff>
      <xdr:row>26</xdr:row>
      <xdr:rowOff>17506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5F74CB-36BB-3760-0C9A-53E060A2C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95901" y="3848099"/>
          <a:ext cx="3702268" cy="1091927"/>
        </a:xfrm>
        <a:prstGeom prst="rect">
          <a:avLst/>
        </a:prstGeom>
      </xdr:spPr>
    </xdr:pic>
    <xdr:clientData/>
  </xdr:twoCellAnchor>
  <xdr:oneCellAnchor>
    <xdr:from>
      <xdr:col>6</xdr:col>
      <xdr:colOff>53340</xdr:colOff>
      <xdr:row>27</xdr:row>
      <xdr:rowOff>30480</xdr:rowOff>
    </xdr:from>
    <xdr:ext cx="5490670" cy="1181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A8AB963-F553-4DA2-AF3B-A3EA918B5E05}"/>
                </a:ext>
              </a:extLst>
            </xdr:cNvPr>
            <xdr:cNvSpPr txBox="1"/>
          </xdr:nvSpPr>
          <xdr:spPr>
            <a:xfrm>
              <a:off x="5311140" y="5135880"/>
              <a:ext cx="5490670" cy="11811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rtl="0" eaLnBrk="1" latinLnBrk="0" hangingPunct="1"/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Theoretical</a:t>
              </a:r>
              <a:r>
                <a:rPr lang="en-U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Formula</a:t>
              </a:r>
              <a:endParaRPr lang="en-US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0" hangingPunct="1"/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Expected profit from ordering Q units</a:t>
              </a:r>
              <a:endParaRPr lang="en-US" sz="1100">
                <a:effectLst/>
              </a:endParaRPr>
            </a:p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𝜇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NORM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DIST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,0,1,1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m:rPr>
                        <m:sty m:val="p"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NORM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m:rPr>
                        <m:sty m:val="p"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DIST</m:t>
                    </m:r>
                    <m:d>
                      <m:d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num>
                          <m:den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den>
                        </m:f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,0,1,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e>
                    </m:d>
                  </m:oMath>
                </m:oMathPara>
              </a14:m>
              <a:endParaRPr lang="en-US">
                <a:effectLst/>
              </a:endParaRPr>
            </a:p>
            <a:p>
              <a:pPr rtl="0" eaLnBrk="1" latinLnBrk="0" hangingPunct="1"/>
              <a: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   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𝑄</m:t>
                  </m:r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e>
                  </m:d>
                  <m:r>
                    <m:rPr>
                      <m:sty m:val="p"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NORM</m:t>
                  </m:r>
                  <m:r>
                    <a:rPr lang="en-U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</m:t>
                  </m:r>
                  <m:r>
                    <m:rPr>
                      <m:sty m:val="p"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DIST</m:t>
                  </m:r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𝑄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𝜎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,1</m:t>
                      </m:r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𝑄</m:t>
                  </m:r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[1−</m:t>
                  </m:r>
                  <m:r>
                    <m:rPr>
                      <m:sty m:val="p"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NORM</m:t>
                  </m:r>
                  <m:r>
                    <a:rPr lang="en-U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</m:t>
                  </m:r>
                  <m:r>
                    <m:rPr>
                      <m:sty m:val="p"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DIST</m:t>
                  </m:r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𝑄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𝜎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,1</m:t>
                      </m:r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A8AB963-F553-4DA2-AF3B-A3EA918B5E05}"/>
                </a:ext>
              </a:extLst>
            </xdr:cNvPr>
            <xdr:cNvSpPr txBox="1"/>
          </xdr:nvSpPr>
          <xdr:spPr>
            <a:xfrm>
              <a:off x="5311140" y="5135880"/>
              <a:ext cx="5490670" cy="11811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rtl="0" eaLnBrk="1" latinLnBrk="0" hangingPunct="1"/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Theoretical</a:t>
              </a:r>
              <a:r>
                <a:rPr lang="en-U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Formula</a:t>
              </a:r>
              <a:endParaRPr lang="en-US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0" hangingPunct="1"/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Expected profit from ordering Q units</a:t>
              </a:r>
              <a:endParaRPr lang="en-US" sz="1100">
                <a:effectLst/>
              </a:endParaRPr>
            </a:p>
            <a:p>
              <a:pPr rtl="0" eaLnBrk="1" latinLnBrk="0" hangingPunct="1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=(𝑝−𝑠)𝜇NORM.DIST((𝑄−𝜇)/𝜎,0,1,1)  −(𝑝−𝑠)𝜎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NORM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DIST((𝑄−𝜇)/𝜎,0,1,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</a:t>
              </a:r>
              <a:endParaRPr lang="en-US">
                <a:effectLst/>
              </a:endParaRPr>
            </a:p>
            <a:p>
              <a:pPr rtl="0" eaLnBrk="1" latinLnBrk="0" hangingPunct="1"/>
              <a: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  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−𝑄(𝑐−𝑠)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NORM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DIST(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,1)+𝑄(𝑝−𝑐)[1−NORM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DIST(𝑄,𝜇,𝜎,1)]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365761</xdr:colOff>
      <xdr:row>13</xdr:row>
      <xdr:rowOff>182880</xdr:rowOff>
    </xdr:from>
    <xdr:to>
      <xdr:col>9</xdr:col>
      <xdr:colOff>614815</xdr:colOff>
      <xdr:row>33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84CFED-A336-E0AC-BEC0-F7DF8AAF0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3561" y="2720340"/>
          <a:ext cx="2877954" cy="3566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workbookViewId="0">
      <selection activeCell="F21" sqref="F21"/>
    </sheetView>
  </sheetViews>
  <sheetFormatPr defaultRowHeight="14.4" x14ac:dyDescent="0.3"/>
  <cols>
    <col min="1" max="11" width="12.77734375" customWidth="1"/>
    <col min="12" max="12" width="12.5546875" customWidth="1"/>
  </cols>
  <sheetData>
    <row r="1" spans="1:12" x14ac:dyDescent="0.3">
      <c r="A1" s="36" t="s">
        <v>0</v>
      </c>
      <c r="B1" s="38" t="s">
        <v>12</v>
      </c>
      <c r="C1" s="38" t="s">
        <v>13</v>
      </c>
      <c r="D1" s="40" t="s">
        <v>1</v>
      </c>
      <c r="E1" s="38" t="s">
        <v>25</v>
      </c>
      <c r="F1" s="38" t="s">
        <v>26</v>
      </c>
      <c r="G1" s="45" t="s">
        <v>27</v>
      </c>
      <c r="H1" s="45" t="s">
        <v>18</v>
      </c>
      <c r="I1" s="45" t="s">
        <v>28</v>
      </c>
      <c r="J1" s="45" t="s">
        <v>29</v>
      </c>
      <c r="K1" s="42" t="s">
        <v>30</v>
      </c>
      <c r="L1" s="44" t="s">
        <v>38</v>
      </c>
    </row>
    <row r="2" spans="1:12" ht="25.5" customHeight="1" thickBot="1" x14ac:dyDescent="0.35">
      <c r="A2" s="37"/>
      <c r="B2" s="39"/>
      <c r="C2" s="39"/>
      <c r="D2" s="41"/>
      <c r="E2" s="39"/>
      <c r="F2" s="39"/>
      <c r="G2" s="46"/>
      <c r="H2" s="46"/>
      <c r="I2" s="46"/>
      <c r="J2" s="46"/>
      <c r="K2" s="43"/>
      <c r="L2" s="44"/>
    </row>
    <row r="3" spans="1:12" x14ac:dyDescent="0.3">
      <c r="A3" s="5" t="s">
        <v>2</v>
      </c>
      <c r="B3" s="6">
        <v>1017</v>
      </c>
      <c r="C3" s="6">
        <v>194</v>
      </c>
      <c r="D3" s="6">
        <v>388</v>
      </c>
      <c r="E3" s="6">
        <f>B3+_xlfn.NORM.S.INV($B$28)*D3</f>
        <v>1278.7020230760797</v>
      </c>
      <c r="F3" s="6">
        <f>MIN(E3,B3)</f>
        <v>1017</v>
      </c>
      <c r="G3">
        <f>E3-F3</f>
        <v>261.70202307607974</v>
      </c>
      <c r="H3">
        <f>F3*$B$17 - E3*$B$18 + G3*$B$26</f>
        <v>25103.681792315285</v>
      </c>
      <c r="I3">
        <f>B3*$B$17 - B3*$B$18</f>
        <v>27459</v>
      </c>
      <c r="J3">
        <f>($B$23+$B$24)*D3*_xlfn.NORM.S.DIST(_xlfn.NORM.S.INV($B$28),0)</f>
        <v>4438.703167251605</v>
      </c>
      <c r="K3" s="7">
        <f>I3-J3</f>
        <v>23020.296832748394</v>
      </c>
      <c r="L3">
        <f>($B$17-$B$26)*B3*_xlfn.NORM.DIST((E3-B3)/D3,0,1,1) - ($B$17-$B$26)*D3*_xlfn.NORM.DIST((E3-B3)/D3,0,1,0) - E3*($B$18-$B$26)*_xlfn.NORM.DIST(E3,B3,D3,1) + E3*($B$17-$B$18)*(1-_xlfn.NORM.DIST(E3,B3,D3,1))</f>
        <v>23020.296832748394</v>
      </c>
    </row>
    <row r="4" spans="1:12" x14ac:dyDescent="0.3">
      <c r="A4" s="5" t="s">
        <v>3</v>
      </c>
      <c r="B4" s="6">
        <v>1042</v>
      </c>
      <c r="C4" s="6">
        <v>323</v>
      </c>
      <c r="D4" s="6">
        <v>646</v>
      </c>
      <c r="E4" s="6">
        <f t="shared" ref="E4:E12" si="0">B4+_xlfn.NORM.S.INV($B$28)*D4</f>
        <v>1477.7203786266689</v>
      </c>
      <c r="F4" s="6">
        <f t="shared" ref="F4:F12" si="1">MIN(E4,B4)</f>
        <v>1042</v>
      </c>
      <c r="G4">
        <f t="shared" ref="G4:G12" si="2">E4-F4</f>
        <v>435.72037862666889</v>
      </c>
      <c r="H4">
        <f t="shared" ref="H4:H12" si="3">F4*$B$17 - E4*$B$18 + G4*$B$26</f>
        <v>24212.516592359985</v>
      </c>
      <c r="I4">
        <f t="shared" ref="I4:I12" si="4">B4*$B$17 - B4*$B$18</f>
        <v>28134</v>
      </c>
      <c r="J4">
        <f t="shared" ref="J4:J12" si="5">($B$23+$B$24)*D4*_xlfn.NORM.S.DIST(_xlfn.NORM.S.INV($B$28),0)</f>
        <v>7390.2119743415906</v>
      </c>
      <c r="K4" s="7">
        <f t="shared" ref="K4:K12" si="6">I4-J4</f>
        <v>20743.78802565841</v>
      </c>
      <c r="L4">
        <f t="shared" ref="L4:L12" si="7">($B$17-$B$26)*B4*_xlfn.NORM.DIST((E4-B4)/D4,0,1,1) - ($B$17-$B$26)*D4*_xlfn.NORM.DIST((E4-B4)/D4,0,1,0) - E4*($B$18-$B$26)*_xlfn.NORM.DIST(E4,B4,D4,1) + E4*($B$17-$B$18)*(1-_xlfn.NORM.DIST(E4,B4,D4,1))</f>
        <v>20743.78802565841</v>
      </c>
    </row>
    <row r="5" spans="1:12" x14ac:dyDescent="0.3">
      <c r="A5" s="5" t="s">
        <v>4</v>
      </c>
      <c r="B5" s="6">
        <v>1358</v>
      </c>
      <c r="C5" s="6">
        <v>248</v>
      </c>
      <c r="D5" s="6">
        <v>496</v>
      </c>
      <c r="E5" s="6">
        <f t="shared" si="0"/>
        <v>1692.5469160972566</v>
      </c>
      <c r="F5" s="6">
        <f t="shared" si="1"/>
        <v>1358</v>
      </c>
      <c r="G5">
        <f t="shared" si="2"/>
        <v>334.5469160972566</v>
      </c>
      <c r="H5">
        <f t="shared" si="3"/>
        <v>33655.077755124694</v>
      </c>
      <c r="I5">
        <f t="shared" si="4"/>
        <v>36666</v>
      </c>
      <c r="J5">
        <f t="shared" si="5"/>
        <v>5674.2184818474134</v>
      </c>
      <c r="K5" s="7">
        <f t="shared" si="6"/>
        <v>30991.781518152588</v>
      </c>
      <c r="L5">
        <f t="shared" si="7"/>
        <v>30991.781518152588</v>
      </c>
    </row>
    <row r="6" spans="1:12" x14ac:dyDescent="0.3">
      <c r="A6" s="5" t="s">
        <v>5</v>
      </c>
      <c r="B6" s="6">
        <v>2525</v>
      </c>
      <c r="C6" s="6">
        <v>340</v>
      </c>
      <c r="D6" s="6">
        <v>680</v>
      </c>
      <c r="E6" s="6">
        <f t="shared" si="0"/>
        <v>2983.653030133336</v>
      </c>
      <c r="F6" s="6">
        <f t="shared" si="1"/>
        <v>2525</v>
      </c>
      <c r="G6">
        <f t="shared" si="2"/>
        <v>458.65303013333596</v>
      </c>
      <c r="H6">
        <f t="shared" si="3"/>
        <v>64047.122728799965</v>
      </c>
      <c r="I6">
        <f t="shared" si="4"/>
        <v>68175</v>
      </c>
      <c r="J6">
        <f t="shared" si="5"/>
        <v>7779.170499306937</v>
      </c>
      <c r="K6" s="7">
        <f t="shared" si="6"/>
        <v>60395.829500693064</v>
      </c>
      <c r="L6">
        <f t="shared" si="7"/>
        <v>60395.829500693057</v>
      </c>
    </row>
    <row r="7" spans="1:12" x14ac:dyDescent="0.3">
      <c r="A7" s="5" t="s">
        <v>6</v>
      </c>
      <c r="B7" s="6">
        <v>1100</v>
      </c>
      <c r="C7" s="6">
        <v>381</v>
      </c>
      <c r="D7" s="6">
        <v>762</v>
      </c>
      <c r="E7" s="6">
        <f t="shared" si="0"/>
        <v>1613.9611896494143</v>
      </c>
      <c r="F7" s="6">
        <f t="shared" si="1"/>
        <v>1100</v>
      </c>
      <c r="G7">
        <f t="shared" si="2"/>
        <v>513.96118964941434</v>
      </c>
      <c r="H7">
        <f t="shared" si="3"/>
        <v>25074.349293155268</v>
      </c>
      <c r="I7">
        <f t="shared" si="4"/>
        <v>29700</v>
      </c>
      <c r="J7">
        <f t="shared" si="5"/>
        <v>8717.2469418704204</v>
      </c>
      <c r="K7" s="7">
        <f t="shared" si="6"/>
        <v>20982.75305812958</v>
      </c>
      <c r="L7">
        <f t="shared" si="7"/>
        <v>20982.75305812958</v>
      </c>
    </row>
    <row r="8" spans="1:12" x14ac:dyDescent="0.3">
      <c r="A8" s="5" t="s">
        <v>7</v>
      </c>
      <c r="B8" s="6">
        <v>2150</v>
      </c>
      <c r="C8" s="6">
        <v>404</v>
      </c>
      <c r="D8" s="6">
        <v>807</v>
      </c>
      <c r="E8" s="6">
        <f t="shared" si="0"/>
        <v>2694.313228408238</v>
      </c>
      <c r="F8" s="6">
        <f t="shared" si="1"/>
        <v>2150</v>
      </c>
      <c r="G8">
        <f t="shared" si="2"/>
        <v>544.31322840823805</v>
      </c>
      <c r="H8">
        <f t="shared" si="3"/>
        <v>53151.180944325868</v>
      </c>
      <c r="I8">
        <f t="shared" si="4"/>
        <v>58050</v>
      </c>
      <c r="J8">
        <f t="shared" si="5"/>
        <v>9232.0449896186747</v>
      </c>
      <c r="K8" s="7">
        <f t="shared" si="6"/>
        <v>48817.955010381324</v>
      </c>
      <c r="L8">
        <f t="shared" si="7"/>
        <v>48817.955010381324</v>
      </c>
    </row>
    <row r="9" spans="1:12" x14ac:dyDescent="0.3">
      <c r="A9" s="5" t="s">
        <v>8</v>
      </c>
      <c r="B9" s="6">
        <v>1113</v>
      </c>
      <c r="C9" s="6">
        <v>524</v>
      </c>
      <c r="D9" s="6">
        <v>1048</v>
      </c>
      <c r="E9" s="6">
        <f t="shared" si="0"/>
        <v>1819.8652582054938</v>
      </c>
      <c r="F9" s="6">
        <f t="shared" si="1"/>
        <v>1113</v>
      </c>
      <c r="G9">
        <f t="shared" si="2"/>
        <v>706.86525820549377</v>
      </c>
      <c r="H9">
        <f t="shared" si="3"/>
        <v>23689.212676150557</v>
      </c>
      <c r="I9">
        <f t="shared" si="4"/>
        <v>30051</v>
      </c>
      <c r="J9">
        <f t="shared" si="5"/>
        <v>11989.074534225985</v>
      </c>
      <c r="K9" s="7">
        <f t="shared" si="6"/>
        <v>18061.925465774017</v>
      </c>
      <c r="L9">
        <f t="shared" si="7"/>
        <v>18061.925465774017</v>
      </c>
    </row>
    <row r="10" spans="1:12" x14ac:dyDescent="0.3">
      <c r="A10" s="5" t="s">
        <v>9</v>
      </c>
      <c r="B10" s="6">
        <v>4017</v>
      </c>
      <c r="C10" s="6">
        <v>556</v>
      </c>
      <c r="D10" s="6">
        <v>1113</v>
      </c>
      <c r="E10" s="6">
        <f t="shared" si="0"/>
        <v>4767.7070919682392</v>
      </c>
      <c r="F10" s="6">
        <f t="shared" si="1"/>
        <v>4017</v>
      </c>
      <c r="G10">
        <f t="shared" si="2"/>
        <v>750.70709196823918</v>
      </c>
      <c r="H10">
        <f t="shared" si="3"/>
        <v>101702.63617228586</v>
      </c>
      <c r="I10">
        <f t="shared" si="4"/>
        <v>108459</v>
      </c>
      <c r="J10">
        <f t="shared" si="5"/>
        <v>12732.671714306796</v>
      </c>
      <c r="K10" s="7">
        <f t="shared" si="6"/>
        <v>95726.328285693206</v>
      </c>
      <c r="L10">
        <f t="shared" si="7"/>
        <v>95726.328285693206</v>
      </c>
    </row>
    <row r="11" spans="1:12" x14ac:dyDescent="0.3">
      <c r="A11" s="5" t="s">
        <v>10</v>
      </c>
      <c r="B11" s="6">
        <v>3296</v>
      </c>
      <c r="C11" s="6">
        <v>1047</v>
      </c>
      <c r="D11" s="6">
        <v>2094</v>
      </c>
      <c r="E11" s="6">
        <f t="shared" si="0"/>
        <v>4708.381536910596</v>
      </c>
      <c r="F11" s="6">
        <f t="shared" si="1"/>
        <v>3296</v>
      </c>
      <c r="G11">
        <f t="shared" si="2"/>
        <v>1412.381536910596</v>
      </c>
      <c r="H11">
        <f t="shared" si="3"/>
        <v>76280.56616780466</v>
      </c>
      <c r="I11">
        <f t="shared" si="4"/>
        <v>88992</v>
      </c>
      <c r="J11">
        <f t="shared" si="5"/>
        <v>23955.269155218717</v>
      </c>
      <c r="K11" s="7">
        <f t="shared" si="6"/>
        <v>65036.730844781283</v>
      </c>
      <c r="L11">
        <f t="shared" si="7"/>
        <v>65036.730844781276</v>
      </c>
    </row>
    <row r="12" spans="1:12" ht="15" thickBot="1" x14ac:dyDescent="0.35">
      <c r="A12" s="17" t="s">
        <v>11</v>
      </c>
      <c r="B12" s="1">
        <v>2383</v>
      </c>
      <c r="C12" s="1">
        <v>697</v>
      </c>
      <c r="D12" s="1">
        <v>1394</v>
      </c>
      <c r="E12" s="1">
        <f t="shared" si="0"/>
        <v>3323.2387117733383</v>
      </c>
      <c r="F12" s="1">
        <f t="shared" si="1"/>
        <v>2383</v>
      </c>
      <c r="G12" s="18">
        <f t="shared" si="2"/>
        <v>940.23871177333831</v>
      </c>
      <c r="H12" s="18">
        <f t="shared" si="3"/>
        <v>55878.851594039967</v>
      </c>
      <c r="I12" s="18">
        <f t="shared" si="4"/>
        <v>64341</v>
      </c>
      <c r="J12" s="18">
        <f t="shared" si="5"/>
        <v>15947.299523579222</v>
      </c>
      <c r="K12" s="19">
        <f t="shared" si="6"/>
        <v>48393.700476420781</v>
      </c>
      <c r="L12">
        <f t="shared" si="7"/>
        <v>48393.700476420767</v>
      </c>
    </row>
    <row r="13" spans="1:12" ht="15.6" thickTop="1" thickBot="1" x14ac:dyDescent="0.35">
      <c r="A13" s="14" t="s">
        <v>14</v>
      </c>
      <c r="B13" s="15">
        <f>SUM(B3:B12)</f>
        <v>20001</v>
      </c>
      <c r="C13" s="16"/>
      <c r="D13" s="16"/>
      <c r="E13" s="15">
        <f>SUM(E3:E12)</f>
        <v>26360.08936484866</v>
      </c>
      <c r="F13" s="15"/>
      <c r="G13" s="10"/>
      <c r="H13" s="10">
        <f>SUM(H3:H12)</f>
        <v>482795.1957163621</v>
      </c>
      <c r="I13" s="10"/>
      <c r="J13" s="10"/>
      <c r="K13" s="11">
        <f>SUM(K3:K12)</f>
        <v>432171.08901843266</v>
      </c>
      <c r="L13">
        <f>SUM(L3:L12)</f>
        <v>432171.0890184326</v>
      </c>
    </row>
    <row r="14" spans="1:12" ht="15" thickBot="1" x14ac:dyDescent="0.35"/>
    <row r="15" spans="1:12" x14ac:dyDescent="0.3">
      <c r="A15" s="3" t="s">
        <v>24</v>
      </c>
      <c r="B15" s="13"/>
      <c r="C15" s="13"/>
      <c r="D15" s="13"/>
      <c r="E15" s="4"/>
    </row>
    <row r="16" spans="1:12" x14ac:dyDescent="0.3">
      <c r="A16" s="9"/>
      <c r="E16" s="7"/>
    </row>
    <row r="17" spans="1:5" x14ac:dyDescent="0.3">
      <c r="A17" s="5" t="s">
        <v>15</v>
      </c>
      <c r="B17" s="6">
        <v>112.5</v>
      </c>
      <c r="C17" t="s">
        <v>31</v>
      </c>
      <c r="E17" s="7"/>
    </row>
    <row r="18" spans="1:5" x14ac:dyDescent="0.3">
      <c r="A18" s="5" t="s">
        <v>16</v>
      </c>
      <c r="B18" s="6">
        <v>85.5</v>
      </c>
      <c r="C18" t="s">
        <v>32</v>
      </c>
      <c r="E18" s="20"/>
    </row>
    <row r="19" spans="1:5" x14ac:dyDescent="0.3">
      <c r="A19" s="5"/>
      <c r="E19" s="21"/>
    </row>
    <row r="20" spans="1:5" x14ac:dyDescent="0.3">
      <c r="A20" s="5" t="s">
        <v>18</v>
      </c>
      <c r="B20" s="8">
        <v>0.24</v>
      </c>
      <c r="C20" t="s">
        <v>19</v>
      </c>
      <c r="E20" s="7"/>
    </row>
    <row r="21" spans="1:5" x14ac:dyDescent="0.3">
      <c r="A21" s="5" t="s">
        <v>20</v>
      </c>
      <c r="B21" s="8">
        <v>0.08</v>
      </c>
      <c r="C21" t="s">
        <v>19</v>
      </c>
      <c r="E21" s="7"/>
    </row>
    <row r="22" spans="1:5" x14ac:dyDescent="0.3">
      <c r="A22" s="9"/>
      <c r="E22" s="7"/>
    </row>
    <row r="23" spans="1:5" x14ac:dyDescent="0.3">
      <c r="A23" s="5" t="s">
        <v>17</v>
      </c>
      <c r="B23">
        <f>B20*B17</f>
        <v>27</v>
      </c>
      <c r="E23" s="7"/>
    </row>
    <row r="24" spans="1:5" x14ac:dyDescent="0.3">
      <c r="A24" s="5" t="s">
        <v>21</v>
      </c>
      <c r="B24">
        <f>B21*B17</f>
        <v>9</v>
      </c>
      <c r="E24" s="7"/>
    </row>
    <row r="25" spans="1:5" x14ac:dyDescent="0.3">
      <c r="A25" s="9"/>
      <c r="E25" s="7"/>
    </row>
    <row r="26" spans="1:5" x14ac:dyDescent="0.3">
      <c r="A26" s="5" t="s">
        <v>22</v>
      </c>
      <c r="B26">
        <f>B18-B24</f>
        <v>76.5</v>
      </c>
      <c r="E26" s="7"/>
    </row>
    <row r="27" spans="1:5" x14ac:dyDescent="0.3">
      <c r="A27" s="9"/>
      <c r="E27" s="7"/>
    </row>
    <row r="28" spans="1:5" ht="15" thickBot="1" x14ac:dyDescent="0.35">
      <c r="A28" s="12" t="s">
        <v>23</v>
      </c>
      <c r="B28" s="10">
        <f>B23/(B23+B24)</f>
        <v>0.75</v>
      </c>
      <c r="C28" s="10"/>
      <c r="D28" s="10"/>
      <c r="E28" s="11"/>
    </row>
  </sheetData>
  <mergeCells count="12">
    <mergeCell ref="K1:K2"/>
    <mergeCell ref="L1:L2"/>
    <mergeCell ref="F1:F2"/>
    <mergeCell ref="G1:G2"/>
    <mergeCell ref="H1:H2"/>
    <mergeCell ref="I1:I2"/>
    <mergeCell ref="J1:J2"/>
    <mergeCell ref="A1:A2"/>
    <mergeCell ref="B1:B2"/>
    <mergeCell ref="D1:D2"/>
    <mergeCell ref="E1:E2"/>
    <mergeCell ref="C1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01E1-0C97-48A2-8249-C0AB3310C545}">
  <dimension ref="A1:N36"/>
  <sheetViews>
    <sheetView topLeftCell="A9" workbookViewId="0">
      <selection activeCell="B35" sqref="B35"/>
    </sheetView>
  </sheetViews>
  <sheetFormatPr defaultRowHeight="14.4" x14ac:dyDescent="0.3"/>
  <cols>
    <col min="1" max="14" width="12.77734375" customWidth="1"/>
  </cols>
  <sheetData>
    <row r="1" spans="1:14" ht="14.4" customHeight="1" x14ac:dyDescent="0.3">
      <c r="A1" s="50" t="s">
        <v>0</v>
      </c>
      <c r="B1" s="38" t="s">
        <v>12</v>
      </c>
      <c r="C1" s="38" t="s">
        <v>13</v>
      </c>
      <c r="D1" s="40" t="s">
        <v>1</v>
      </c>
      <c r="E1" s="38" t="s">
        <v>40</v>
      </c>
      <c r="F1" s="38" t="s">
        <v>37</v>
      </c>
      <c r="G1" s="38" t="s">
        <v>33</v>
      </c>
      <c r="H1" s="38" t="s">
        <v>26</v>
      </c>
      <c r="I1" s="45" t="s">
        <v>27</v>
      </c>
      <c r="J1" s="45" t="s">
        <v>18</v>
      </c>
      <c r="K1" s="52" t="s">
        <v>28</v>
      </c>
      <c r="L1" s="52" t="s">
        <v>29</v>
      </c>
      <c r="M1" s="52" t="s">
        <v>30</v>
      </c>
      <c r="N1" s="42" t="s">
        <v>39</v>
      </c>
    </row>
    <row r="2" spans="1:14" ht="25.5" customHeight="1" thickBot="1" x14ac:dyDescent="0.35">
      <c r="A2" s="51"/>
      <c r="B2" s="39"/>
      <c r="C2" s="39"/>
      <c r="D2" s="41"/>
      <c r="E2" s="39"/>
      <c r="F2" s="39"/>
      <c r="G2" s="39"/>
      <c r="H2" s="39"/>
      <c r="I2" s="46"/>
      <c r="J2" s="46"/>
      <c r="K2" s="53"/>
      <c r="L2" s="53"/>
      <c r="M2" s="53"/>
      <c r="N2" s="43"/>
    </row>
    <row r="3" spans="1:14" x14ac:dyDescent="0.3">
      <c r="A3" s="5" t="s">
        <v>2</v>
      </c>
      <c r="B3" s="6">
        <v>1017</v>
      </c>
      <c r="C3" s="6">
        <v>194</v>
      </c>
      <c r="D3" s="6">
        <v>388</v>
      </c>
      <c r="E3" s="6">
        <f>B3+$B$35*D3</f>
        <v>605.41875265167585</v>
      </c>
      <c r="F3" s="6">
        <f>B3+$B$35*D3</f>
        <v>605.41875265167585</v>
      </c>
      <c r="G3" s="6">
        <f>_xlfn.NORM.DIST(F3,B3,D3,1)</f>
        <v>0.14439576248160818</v>
      </c>
      <c r="H3" s="6">
        <f>MIN(F3,B3)</f>
        <v>605.41875265167585</v>
      </c>
      <c r="I3">
        <f>F3-H3</f>
        <v>0</v>
      </c>
      <c r="J3">
        <f>H3*$B$17 - F3*$B$18 + I3*$B$26</f>
        <v>16346.30632159525</v>
      </c>
      <c r="K3" s="25">
        <f>(B3*$B$17 - B3*$B$18)</f>
        <v>27459</v>
      </c>
      <c r="L3" s="25">
        <f>($B$23+$B$24)*D3*_xlfn.NORM.S.DIST(_xlfn.NORM.S.INV(G3),0)</f>
        <v>3174.6810453875419</v>
      </c>
      <c r="M3" s="25">
        <f>K3-L3</f>
        <v>24284.318954612459</v>
      </c>
      <c r="N3" s="7">
        <f>($B$17-$B$26)*B3*_xlfn.NORM.DIST((F3-B3)/D3,0,1,1) - ($B$17-$B$26)*D3*_xlfn.NORM.DIST((F3-B3)/D3,0,1,0) - F3*($B$18-$B$26)*_xlfn.NORM.DIST(F3,B3,D3,1) + F3*($B$17-$B$18)*(1-_xlfn.NORM.DIST(F3,B3,D3,1))</f>
        <v>15311.126445431441</v>
      </c>
    </row>
    <row r="4" spans="1:14" x14ac:dyDescent="0.3">
      <c r="A4" s="5" t="s">
        <v>3</v>
      </c>
      <c r="B4" s="6">
        <v>1042</v>
      </c>
      <c r="C4" s="6">
        <v>323</v>
      </c>
      <c r="D4" s="6">
        <v>646</v>
      </c>
      <c r="E4" s="6">
        <f t="shared" ref="E4:E12" si="0">B4+$B$35*D4</f>
        <v>356.73843869325412</v>
      </c>
      <c r="F4" s="6">
        <v>600</v>
      </c>
      <c r="G4" s="6">
        <f t="shared" ref="G4:G12" si="1">_xlfn.NORM.DIST(F4,B4,D4,1)</f>
        <v>0.24692111812191381</v>
      </c>
      <c r="H4" s="6">
        <f t="shared" ref="H4:H12" si="2">MIN(F4,B4)</f>
        <v>600</v>
      </c>
      <c r="I4">
        <f t="shared" ref="I4:I12" si="3">F4-H4</f>
        <v>0</v>
      </c>
      <c r="J4">
        <f t="shared" ref="J4:J12" si="4">H4*$B$17 - F4*$B$18 + I4*$B$26</f>
        <v>16200</v>
      </c>
      <c r="K4" s="25">
        <f t="shared" ref="K4:K12" si="5">(B4*$B$17 - B4*$B$18)</f>
        <v>28134</v>
      </c>
      <c r="L4" s="25">
        <f t="shared" ref="L4:L12" si="6">($B$23+$B$24)*D4*_xlfn.NORM.S.DIST(_xlfn.NORM.S.INV(G4),0)</f>
        <v>7341.5692047584853</v>
      </c>
      <c r="M4" s="25">
        <f t="shared" ref="M4:M12" si="7">K4-L4</f>
        <v>20792.430795241515</v>
      </c>
      <c r="N4" s="7">
        <f t="shared" ref="N4:N12" si="8">($B$17-$B$26)*B4*_xlfn.NORM.DIST((F4-B4)/D4,0,1,1) - ($B$17-$B$26)*D4*_xlfn.NORM.DIST((F4-B4)/D4,0,1,0) - F4*($B$18-$B$26)*_xlfn.NORM.DIST(F4,B4,D4,1) + F4*($B$17-$B$18)*(1-_xlfn.NORM.DIST(F4,B4,D4,1))</f>
        <v>12787.439626797406</v>
      </c>
    </row>
    <row r="5" spans="1:14" x14ac:dyDescent="0.3">
      <c r="A5" s="5" t="s">
        <v>4</v>
      </c>
      <c r="B5" s="6">
        <v>1358</v>
      </c>
      <c r="C5" s="6">
        <v>248</v>
      </c>
      <c r="D5" s="6">
        <v>496</v>
      </c>
      <c r="E5" s="6">
        <f t="shared" si="0"/>
        <v>831.85490029698769</v>
      </c>
      <c r="F5" s="6">
        <f t="shared" ref="F5:F12" si="9">B5+$B$35*D5</f>
        <v>831.85490029698769</v>
      </c>
      <c r="G5" s="6">
        <f t="shared" si="1"/>
        <v>0.14439576248160818</v>
      </c>
      <c r="H5" s="6">
        <f t="shared" si="2"/>
        <v>831.85490029698769</v>
      </c>
      <c r="I5">
        <f t="shared" si="3"/>
        <v>0</v>
      </c>
      <c r="J5">
        <f t="shared" si="4"/>
        <v>22460.082308018667</v>
      </c>
      <c r="K5" s="25">
        <f t="shared" si="5"/>
        <v>36666</v>
      </c>
      <c r="L5" s="25">
        <f t="shared" si="6"/>
        <v>4058.3551508046926</v>
      </c>
      <c r="M5" s="25">
        <f t="shared" si="7"/>
        <v>32607.644849195309</v>
      </c>
      <c r="N5" s="7">
        <f t="shared" si="8"/>
        <v>21136.75957972679</v>
      </c>
    </row>
    <row r="6" spans="1:14" x14ac:dyDescent="0.3">
      <c r="A6" s="5" t="s">
        <v>5</v>
      </c>
      <c r="B6" s="6">
        <v>2525</v>
      </c>
      <c r="C6" s="6">
        <v>340</v>
      </c>
      <c r="D6" s="6">
        <v>680</v>
      </c>
      <c r="E6" s="6">
        <f t="shared" si="0"/>
        <v>1803.6720407297412</v>
      </c>
      <c r="F6" s="6">
        <f t="shared" si="9"/>
        <v>1803.6720407297412</v>
      </c>
      <c r="G6" s="6">
        <f t="shared" si="1"/>
        <v>0.14439576248160818</v>
      </c>
      <c r="H6" s="6">
        <f t="shared" si="2"/>
        <v>1803.6720407297412</v>
      </c>
      <c r="I6">
        <f t="shared" si="3"/>
        <v>0</v>
      </c>
      <c r="J6">
        <f t="shared" si="4"/>
        <v>48699.145099703019</v>
      </c>
      <c r="K6" s="25">
        <f t="shared" si="5"/>
        <v>68175</v>
      </c>
      <c r="L6" s="25">
        <f t="shared" si="6"/>
        <v>5563.8739970709494</v>
      </c>
      <c r="M6" s="25">
        <f t="shared" si="7"/>
        <v>62611.12600292905</v>
      </c>
      <c r="N6" s="7">
        <f t="shared" si="8"/>
        <v>46884.912327044796</v>
      </c>
    </row>
    <row r="7" spans="1:14" x14ac:dyDescent="0.3">
      <c r="A7" s="5" t="s">
        <v>6</v>
      </c>
      <c r="B7" s="6">
        <v>1100</v>
      </c>
      <c r="C7" s="6">
        <v>381</v>
      </c>
      <c r="D7" s="6">
        <v>762</v>
      </c>
      <c r="E7" s="6">
        <f t="shared" si="0"/>
        <v>291.6883750530335</v>
      </c>
      <c r="F7" s="6">
        <v>600</v>
      </c>
      <c r="G7" s="6">
        <f t="shared" si="1"/>
        <v>0.25585802465831542</v>
      </c>
      <c r="H7" s="6">
        <f t="shared" si="2"/>
        <v>600</v>
      </c>
      <c r="I7">
        <f t="shared" si="3"/>
        <v>0</v>
      </c>
      <c r="J7">
        <f t="shared" si="4"/>
        <v>16200</v>
      </c>
      <c r="K7" s="25">
        <f t="shared" si="5"/>
        <v>29700</v>
      </c>
      <c r="L7" s="25">
        <f t="shared" si="6"/>
        <v>8824.1605247610423</v>
      </c>
      <c r="M7" s="25">
        <f t="shared" si="7"/>
        <v>20875.839475238958</v>
      </c>
      <c r="N7" s="7">
        <f t="shared" si="8"/>
        <v>11981.283919088635</v>
      </c>
    </row>
    <row r="8" spans="1:14" x14ac:dyDescent="0.3">
      <c r="A8" s="5" t="s">
        <v>7</v>
      </c>
      <c r="B8" s="6">
        <v>2150</v>
      </c>
      <c r="C8" s="6">
        <v>404</v>
      </c>
      <c r="D8" s="6">
        <v>807</v>
      </c>
      <c r="E8" s="6">
        <f t="shared" si="0"/>
        <v>1293.9534365719132</v>
      </c>
      <c r="F8" s="6">
        <f t="shared" si="9"/>
        <v>1293.9534365719132</v>
      </c>
      <c r="G8" s="6">
        <f t="shared" si="1"/>
        <v>0.14439576248160813</v>
      </c>
      <c r="H8" s="6">
        <f t="shared" si="2"/>
        <v>1293.9534365719132</v>
      </c>
      <c r="I8">
        <f t="shared" si="3"/>
        <v>0</v>
      </c>
      <c r="J8">
        <f t="shared" si="4"/>
        <v>34936.742787441661</v>
      </c>
      <c r="K8" s="25">
        <f t="shared" si="5"/>
        <v>58050</v>
      </c>
      <c r="L8" s="25">
        <f t="shared" si="6"/>
        <v>6603.0092877003763</v>
      </c>
      <c r="M8" s="25">
        <f t="shared" si="7"/>
        <v>51446.990712299623</v>
      </c>
      <c r="N8" s="7">
        <f t="shared" si="8"/>
        <v>32783.675364595802</v>
      </c>
    </row>
    <row r="9" spans="1:14" x14ac:dyDescent="0.3">
      <c r="A9" s="5" t="s">
        <v>8</v>
      </c>
      <c r="B9" s="6">
        <v>1113</v>
      </c>
      <c r="C9" s="6">
        <v>524</v>
      </c>
      <c r="D9" s="6">
        <v>1048</v>
      </c>
      <c r="E9" s="6">
        <f t="shared" si="0"/>
        <v>1.3063215952481642</v>
      </c>
      <c r="F9" s="6">
        <v>600</v>
      </c>
      <c r="G9" s="6">
        <f t="shared" si="1"/>
        <v>0.31224252650968454</v>
      </c>
      <c r="H9" s="6">
        <f t="shared" si="2"/>
        <v>600</v>
      </c>
      <c r="I9">
        <f t="shared" si="3"/>
        <v>0</v>
      </c>
      <c r="J9">
        <f t="shared" si="4"/>
        <v>16200</v>
      </c>
      <c r="K9" s="25">
        <f t="shared" si="5"/>
        <v>30051</v>
      </c>
      <c r="L9" s="25">
        <f t="shared" si="6"/>
        <v>13351.877315215741</v>
      </c>
      <c r="M9" s="25">
        <f t="shared" si="7"/>
        <v>16699.122684784259</v>
      </c>
      <c r="N9" s="7">
        <f t="shared" si="8"/>
        <v>8614.6176643651088</v>
      </c>
    </row>
    <row r="10" spans="1:14" x14ac:dyDescent="0.3">
      <c r="A10" s="5" t="s">
        <v>9</v>
      </c>
      <c r="B10" s="6">
        <v>4017</v>
      </c>
      <c r="C10" s="6">
        <v>556</v>
      </c>
      <c r="D10" s="6">
        <v>1113</v>
      </c>
      <c r="E10" s="6">
        <f t="shared" si="0"/>
        <v>2836.3558549002969</v>
      </c>
      <c r="F10" s="6">
        <f t="shared" si="9"/>
        <v>2836.3558549002969</v>
      </c>
      <c r="G10" s="6">
        <f t="shared" si="1"/>
        <v>0.14439576248160818</v>
      </c>
      <c r="H10" s="6">
        <f t="shared" si="2"/>
        <v>2836.3558549002969</v>
      </c>
      <c r="I10">
        <f t="shared" si="3"/>
        <v>0</v>
      </c>
      <c r="J10">
        <f t="shared" si="4"/>
        <v>76581.608082307997</v>
      </c>
      <c r="K10" s="25">
        <f t="shared" si="5"/>
        <v>108459</v>
      </c>
      <c r="L10" s="25">
        <f t="shared" si="6"/>
        <v>9106.7525863823048</v>
      </c>
      <c r="M10" s="25">
        <f t="shared" si="7"/>
        <v>99352.24741361769</v>
      </c>
      <c r="N10" s="7">
        <f t="shared" si="8"/>
        <v>73612.135911765959</v>
      </c>
    </row>
    <row r="11" spans="1:14" x14ac:dyDescent="0.3">
      <c r="A11" s="5" t="s">
        <v>10</v>
      </c>
      <c r="B11" s="6">
        <v>3296</v>
      </c>
      <c r="C11" s="6">
        <v>1047</v>
      </c>
      <c r="D11" s="6">
        <v>2094</v>
      </c>
      <c r="E11" s="6">
        <f t="shared" si="0"/>
        <v>1074.7341960118792</v>
      </c>
      <c r="F11" s="6">
        <f t="shared" si="9"/>
        <v>1074.7341960118792</v>
      </c>
      <c r="G11" s="6">
        <f t="shared" si="1"/>
        <v>0.14439576248160818</v>
      </c>
      <c r="H11" s="6">
        <f t="shared" si="2"/>
        <v>1074.7341960118792</v>
      </c>
      <c r="I11">
        <f t="shared" si="3"/>
        <v>0</v>
      </c>
      <c r="J11">
        <f t="shared" si="4"/>
        <v>29017.82329232074</v>
      </c>
      <c r="K11" s="25">
        <f t="shared" si="5"/>
        <v>88992</v>
      </c>
      <c r="L11" s="25">
        <f t="shared" si="6"/>
        <v>17133.459043921426</v>
      </c>
      <c r="M11" s="25">
        <f t="shared" si="7"/>
        <v>71858.540956078577</v>
      </c>
      <c r="N11" s="7">
        <f t="shared" si="8"/>
        <v>23431.053548282045</v>
      </c>
    </row>
    <row r="12" spans="1:14" ht="15" thickBot="1" x14ac:dyDescent="0.35">
      <c r="A12" s="17" t="s">
        <v>11</v>
      </c>
      <c r="B12" s="1">
        <v>2383</v>
      </c>
      <c r="C12" s="1">
        <v>697</v>
      </c>
      <c r="D12" s="1">
        <v>1394</v>
      </c>
      <c r="E12" s="1">
        <f t="shared" si="0"/>
        <v>904.27768349596931</v>
      </c>
      <c r="F12" s="1">
        <f t="shared" si="9"/>
        <v>904.27768349596931</v>
      </c>
      <c r="G12" s="1">
        <f t="shared" si="1"/>
        <v>0.14439576248160818</v>
      </c>
      <c r="H12" s="1">
        <f t="shared" si="2"/>
        <v>904.27768349596931</v>
      </c>
      <c r="I12" s="18">
        <f t="shared" si="3"/>
        <v>0</v>
      </c>
      <c r="J12" s="18">
        <f t="shared" si="4"/>
        <v>24415.497454391167</v>
      </c>
      <c r="K12" s="30">
        <f t="shared" si="5"/>
        <v>64341</v>
      </c>
      <c r="L12" s="30">
        <f t="shared" si="6"/>
        <v>11405.941693995446</v>
      </c>
      <c r="M12" s="30">
        <f t="shared" si="7"/>
        <v>52935.058306004554</v>
      </c>
      <c r="N12" s="19">
        <f t="shared" si="8"/>
        <v>20696.320270441818</v>
      </c>
    </row>
    <row r="13" spans="1:14" ht="15.6" thickTop="1" thickBot="1" x14ac:dyDescent="0.35">
      <c r="A13" s="14" t="s">
        <v>14</v>
      </c>
      <c r="B13" s="15">
        <f>SUM(B3:B12)</f>
        <v>20001</v>
      </c>
      <c r="C13" s="16"/>
      <c r="D13" s="16"/>
      <c r="E13" s="33">
        <f>SUM(E3:E12)</f>
        <v>10000</v>
      </c>
      <c r="F13" s="15">
        <f>SUM(F3:F12)</f>
        <v>11150.266864658464</v>
      </c>
      <c r="G13" s="15"/>
      <c r="H13" s="15"/>
      <c r="I13" s="10"/>
      <c r="J13" s="10">
        <f>SUM(J3:J12)</f>
        <v>301057.20534577849</v>
      </c>
      <c r="K13" s="28"/>
      <c r="L13" s="28"/>
      <c r="M13" s="28">
        <f>SUM(M3:M12)</f>
        <v>453463.32015000196</v>
      </c>
      <c r="N13" s="11">
        <f>SUM(N3:N12)</f>
        <v>267239.32465753978</v>
      </c>
    </row>
    <row r="14" spans="1:14" ht="15" thickBot="1" x14ac:dyDescent="0.35"/>
    <row r="15" spans="1:14" x14ac:dyDescent="0.3">
      <c r="A15" s="3" t="s">
        <v>24</v>
      </c>
      <c r="B15" s="13"/>
      <c r="C15" s="13"/>
      <c r="D15" s="13"/>
      <c r="E15" s="13"/>
      <c r="F15" s="4"/>
    </row>
    <row r="16" spans="1:14" x14ac:dyDescent="0.3">
      <c r="A16" s="9"/>
      <c r="F16" s="7"/>
    </row>
    <row r="17" spans="1:7" x14ac:dyDescent="0.3">
      <c r="A17" s="5" t="s">
        <v>15</v>
      </c>
      <c r="B17" s="6">
        <v>112.5</v>
      </c>
      <c r="C17" t="s">
        <v>31</v>
      </c>
      <c r="F17" s="7"/>
    </row>
    <row r="18" spans="1:7" x14ac:dyDescent="0.3">
      <c r="A18" s="5" t="s">
        <v>16</v>
      </c>
      <c r="B18" s="6">
        <v>85.5</v>
      </c>
      <c r="C18" t="s">
        <v>32</v>
      </c>
      <c r="F18" s="20"/>
      <c r="G18" s="22"/>
    </row>
    <row r="19" spans="1:7" x14ac:dyDescent="0.3">
      <c r="A19" s="5"/>
      <c r="F19" s="21"/>
      <c r="G19" s="23"/>
    </row>
    <row r="20" spans="1:7" x14ac:dyDescent="0.3">
      <c r="A20" s="5" t="s">
        <v>18</v>
      </c>
      <c r="B20" s="8">
        <v>0.24</v>
      </c>
      <c r="C20" t="s">
        <v>19</v>
      </c>
      <c r="F20" s="7"/>
    </row>
    <row r="21" spans="1:7" x14ac:dyDescent="0.3">
      <c r="A21" s="5" t="s">
        <v>20</v>
      </c>
      <c r="B21" s="8">
        <v>0.08</v>
      </c>
      <c r="C21" t="s">
        <v>19</v>
      </c>
      <c r="F21" s="7"/>
    </row>
    <row r="22" spans="1:7" x14ac:dyDescent="0.3">
      <c r="A22" s="9"/>
      <c r="F22" s="7"/>
    </row>
    <row r="23" spans="1:7" x14ac:dyDescent="0.3">
      <c r="A23" s="5" t="s">
        <v>17</v>
      </c>
      <c r="B23">
        <f>B20*B17</f>
        <v>27</v>
      </c>
      <c r="F23" s="7"/>
    </row>
    <row r="24" spans="1:7" x14ac:dyDescent="0.3">
      <c r="A24" s="5" t="s">
        <v>21</v>
      </c>
      <c r="B24">
        <f>B21*B17</f>
        <v>9</v>
      </c>
      <c r="F24" s="7"/>
    </row>
    <row r="25" spans="1:7" x14ac:dyDescent="0.3">
      <c r="A25" s="9"/>
      <c r="F25" s="7"/>
    </row>
    <row r="26" spans="1:7" x14ac:dyDescent="0.3">
      <c r="A26" s="5" t="s">
        <v>22</v>
      </c>
      <c r="B26">
        <f>B18-B24</f>
        <v>76.5</v>
      </c>
      <c r="F26" s="7"/>
    </row>
    <row r="27" spans="1:7" x14ac:dyDescent="0.3">
      <c r="A27" s="9"/>
      <c r="F27" s="7"/>
    </row>
    <row r="28" spans="1:7" ht="15" thickBot="1" x14ac:dyDescent="0.35">
      <c r="A28" s="12" t="s">
        <v>23</v>
      </c>
      <c r="B28" s="10">
        <f>B23/(B23+B24)</f>
        <v>0.75</v>
      </c>
      <c r="C28" s="10"/>
      <c r="D28" s="10"/>
      <c r="E28" s="10"/>
      <c r="F28" s="11"/>
    </row>
    <row r="29" spans="1:7" ht="15" thickBot="1" x14ac:dyDescent="0.35">
      <c r="A29" s="2"/>
    </row>
    <row r="30" spans="1:7" x14ac:dyDescent="0.3">
      <c r="A30" s="3" t="s">
        <v>34</v>
      </c>
      <c r="B30" s="13"/>
      <c r="C30" s="13"/>
      <c r="D30" s="13"/>
      <c r="E30" s="13"/>
      <c r="F30" s="4"/>
    </row>
    <row r="31" spans="1:7" x14ac:dyDescent="0.3">
      <c r="A31" s="47" t="s">
        <v>36</v>
      </c>
      <c r="B31" s="48"/>
      <c r="C31" s="48"/>
      <c r="D31" s="48"/>
      <c r="E31" s="48"/>
      <c r="F31" s="49"/>
      <c r="G31" s="22"/>
    </row>
    <row r="32" spans="1:7" x14ac:dyDescent="0.3">
      <c r="A32" s="47"/>
      <c r="B32" s="48"/>
      <c r="C32" s="48"/>
      <c r="D32" s="48"/>
      <c r="E32" s="48"/>
      <c r="F32" s="49"/>
      <c r="G32" s="22"/>
    </row>
    <row r="33" spans="1:7" x14ac:dyDescent="0.3">
      <c r="A33" s="47"/>
      <c r="B33" s="48"/>
      <c r="C33" s="48"/>
      <c r="D33" s="48"/>
      <c r="E33" s="48"/>
      <c r="F33" s="49"/>
      <c r="G33" s="22"/>
    </row>
    <row r="34" spans="1:7" x14ac:dyDescent="0.3">
      <c r="A34" s="47"/>
      <c r="B34" s="48"/>
      <c r="C34" s="48"/>
      <c r="D34" s="48"/>
      <c r="E34" s="48"/>
      <c r="F34" s="49"/>
      <c r="G34" s="22"/>
    </row>
    <row r="35" spans="1:7" ht="28.8" x14ac:dyDescent="0.3">
      <c r="A35" s="24" t="s">
        <v>35</v>
      </c>
      <c r="B35">
        <f>(10000-B13)/SUM(D3:D12)</f>
        <v>-1.0607764106915571</v>
      </c>
      <c r="F35" s="7"/>
    </row>
    <row r="36" spans="1:7" ht="15" thickBot="1" x14ac:dyDescent="0.35">
      <c r="A36" s="12" t="s">
        <v>33</v>
      </c>
      <c r="B36" s="10">
        <f>_xlfn.NORM.S.DIST($B$35,TRUE)</f>
        <v>0.14439576248160818</v>
      </c>
      <c r="C36" s="10"/>
      <c r="D36" s="10"/>
      <c r="E36" s="10"/>
      <c r="F36" s="11"/>
    </row>
  </sheetData>
  <mergeCells count="15">
    <mergeCell ref="N1:N2"/>
    <mergeCell ref="G1:G2"/>
    <mergeCell ref="E1:E2"/>
    <mergeCell ref="I1:I2"/>
    <mergeCell ref="J1:J2"/>
    <mergeCell ref="K1:K2"/>
    <mergeCell ref="L1:L2"/>
    <mergeCell ref="M1:M2"/>
    <mergeCell ref="H1:H2"/>
    <mergeCell ref="A31:F34"/>
    <mergeCell ref="A1:A2"/>
    <mergeCell ref="B1:B2"/>
    <mergeCell ref="C1:C2"/>
    <mergeCell ref="D1:D2"/>
    <mergeCell ref="F1:F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6A45-972F-4578-A0ED-81BB542B49D1}">
  <dimension ref="A1:S28"/>
  <sheetViews>
    <sheetView workbookViewId="0">
      <selection activeCell="P19" sqref="P19"/>
    </sheetView>
  </sheetViews>
  <sheetFormatPr defaultRowHeight="14.4" x14ac:dyDescent="0.3"/>
  <cols>
    <col min="1" max="12" width="12.77734375" customWidth="1"/>
    <col min="13" max="13" width="12.5546875" customWidth="1"/>
    <col min="14" max="19" width="12.77734375" customWidth="1"/>
  </cols>
  <sheetData>
    <row r="1" spans="1:19" x14ac:dyDescent="0.3">
      <c r="A1" s="36" t="s">
        <v>0</v>
      </c>
      <c r="B1" s="38" t="s">
        <v>12</v>
      </c>
      <c r="C1" s="38" t="s">
        <v>13</v>
      </c>
      <c r="D1" s="40" t="s">
        <v>1</v>
      </c>
      <c r="E1" s="38" t="s">
        <v>42</v>
      </c>
      <c r="F1" s="38" t="s">
        <v>41</v>
      </c>
      <c r="G1" s="38" t="s">
        <v>26</v>
      </c>
      <c r="H1" s="45" t="s">
        <v>27</v>
      </c>
      <c r="I1" s="45" t="s">
        <v>18</v>
      </c>
      <c r="J1" s="52" t="s">
        <v>28</v>
      </c>
      <c r="K1" s="52" t="s">
        <v>29</v>
      </c>
      <c r="L1" s="56" t="s">
        <v>30</v>
      </c>
      <c r="M1" s="44" t="s">
        <v>38</v>
      </c>
      <c r="N1" s="54" t="s">
        <v>44</v>
      </c>
      <c r="O1" s="45" t="s">
        <v>43</v>
      </c>
      <c r="P1" s="45" t="s">
        <v>48</v>
      </c>
      <c r="Q1" s="45" t="s">
        <v>45</v>
      </c>
      <c r="R1" s="45" t="s">
        <v>46</v>
      </c>
      <c r="S1" s="42" t="s">
        <v>47</v>
      </c>
    </row>
    <row r="2" spans="1:19" ht="25.5" customHeight="1" thickBot="1" x14ac:dyDescent="0.35">
      <c r="A2" s="37"/>
      <c r="B2" s="39"/>
      <c r="C2" s="39"/>
      <c r="D2" s="41"/>
      <c r="E2" s="39"/>
      <c r="F2" s="39"/>
      <c r="G2" s="39"/>
      <c r="H2" s="46"/>
      <c r="I2" s="46"/>
      <c r="J2" s="53"/>
      <c r="K2" s="53"/>
      <c r="L2" s="57"/>
      <c r="M2" s="44"/>
      <c r="N2" s="55"/>
      <c r="O2" s="46"/>
      <c r="P2" s="46"/>
      <c r="Q2" s="46"/>
      <c r="R2" s="46"/>
      <c r="S2" s="43"/>
    </row>
    <row r="3" spans="1:19" x14ac:dyDescent="0.3">
      <c r="A3" s="5" t="s">
        <v>2</v>
      </c>
      <c r="B3" s="6">
        <v>1017</v>
      </c>
      <c r="C3" s="6">
        <v>194</v>
      </c>
      <c r="D3" s="6">
        <v>388</v>
      </c>
      <c r="E3" s="6">
        <v>605.897236405218</v>
      </c>
      <c r="F3" s="6">
        <v>605.897236405218</v>
      </c>
      <c r="G3" s="6">
        <f>MIN(F3,B3)</f>
        <v>605.897236405218</v>
      </c>
      <c r="H3">
        <f>F3-G3</f>
        <v>0</v>
      </c>
      <c r="I3">
        <f>G3*$B$17 - F3*$B$18 + H3*$B$26</f>
        <v>16359.22538294088</v>
      </c>
      <c r="J3" s="25">
        <f>B3*$B$17 - B3*$B$18</f>
        <v>27459</v>
      </c>
      <c r="K3" s="25">
        <f>($B$23+$B$24)*D3*_xlfn.NORM.S.DIST(_xlfn.NORM.S.INV($B$28),0)</f>
        <v>4438.703167251605</v>
      </c>
      <c r="L3" s="26">
        <f>J3-K3</f>
        <v>23020.296832748394</v>
      </c>
      <c r="M3">
        <f>($B$17-$B$26)*B3*_xlfn.NORM.DIST((F3-B3)/D3,0,1,1) - ($B$17-$B$26)*D3*_xlfn.NORM.DIST((F3-B3)/D3,0,1,0) - F3*($B$18-$B$26)*_xlfn.NORM.DIST(F3,B3,D3,1) + F3*($B$17-$B$18)*(1-_xlfn.NORM.DIST(F3,B3,D3,1))</f>
        <v>15321.555814751995</v>
      </c>
      <c r="N3" s="9">
        <v>600</v>
      </c>
      <c r="O3">
        <f>IF((N3-F3)&lt;0, N3-F3, 0)</f>
        <v>-5.8972364052179955</v>
      </c>
      <c r="P3">
        <f>IF((N3-F3)&gt;0, N3-F3, 0)</f>
        <v>0</v>
      </c>
      <c r="Q3">
        <f>O3*$B$23</f>
        <v>-159.22538294088588</v>
      </c>
      <c r="R3">
        <f>P3*$B$24</f>
        <v>0</v>
      </c>
      <c r="S3" s="7">
        <f>D3/B3*100</f>
        <v>38.151425762045236</v>
      </c>
    </row>
    <row r="4" spans="1:19" x14ac:dyDescent="0.3">
      <c r="A4" s="5" t="s">
        <v>3</v>
      </c>
      <c r="B4" s="6">
        <v>1042</v>
      </c>
      <c r="C4" s="6">
        <v>323</v>
      </c>
      <c r="D4" s="6">
        <v>646</v>
      </c>
      <c r="E4" s="6">
        <v>356.98985319283327</v>
      </c>
      <c r="F4" s="6">
        <v>600</v>
      </c>
      <c r="G4" s="6">
        <f t="shared" ref="G4:G12" si="0">MIN(F4,B4)</f>
        <v>600</v>
      </c>
      <c r="H4">
        <f t="shared" ref="H4:H12" si="1">F4-G4</f>
        <v>0</v>
      </c>
      <c r="I4">
        <f t="shared" ref="I4:I12" si="2">G4*$B$17 - F4*$B$18 + H4*$B$26</f>
        <v>16200</v>
      </c>
      <c r="J4" s="25">
        <f t="shared" ref="J4:J12" si="3">B4*$B$17 - B4*$B$18</f>
        <v>28134</v>
      </c>
      <c r="K4" s="25">
        <f t="shared" ref="K4:K12" si="4">($B$23+$B$24)*D4*_xlfn.NORM.S.DIST(_xlfn.NORM.S.INV($B$28),0)</f>
        <v>7390.2119743415906</v>
      </c>
      <c r="L4" s="26">
        <f t="shared" ref="L4:L12" si="5">J4-K4</f>
        <v>20743.78802565841</v>
      </c>
      <c r="M4">
        <f t="shared" ref="M4:M12" si="6">($B$17-$B$26)*B4*_xlfn.NORM.DIST((F4-B4)/D4,0,1,1) - ($B$17-$B$26)*D4*_xlfn.NORM.DIST((F4-B4)/D4,0,1,0) - F4*($B$18-$B$26)*_xlfn.NORM.DIST(F4,B4,D4,1) + F4*($B$17-$B$18)*(1-_xlfn.NORM.DIST(F4,B4,D4,1))</f>
        <v>12787.439626797406</v>
      </c>
      <c r="N4" s="9">
        <v>600</v>
      </c>
      <c r="O4">
        <f t="shared" ref="O4:O12" si="7">IF((N4-F4)&lt;0, N4-F4, 0)</f>
        <v>0</v>
      </c>
      <c r="P4">
        <f t="shared" ref="P4:P12" si="8">IF((N4-F4)&gt;0, N4-F4, 0)</f>
        <v>0</v>
      </c>
      <c r="Q4">
        <f t="shared" ref="Q4:Q12" si="9">O4*$B$23</f>
        <v>0</v>
      </c>
      <c r="R4">
        <f t="shared" ref="R4:R12" si="10">P4*$B$24</f>
        <v>0</v>
      </c>
      <c r="S4" s="7">
        <f t="shared" ref="S4:S12" si="11">D4/B4*100</f>
        <v>61.996161228406912</v>
      </c>
    </row>
    <row r="5" spans="1:19" x14ac:dyDescent="0.3">
      <c r="A5" s="5" t="s">
        <v>4</v>
      </c>
      <c r="B5" s="6">
        <v>1358</v>
      </c>
      <c r="C5" s="6">
        <v>248</v>
      </c>
      <c r="D5" s="6">
        <v>496</v>
      </c>
      <c r="E5" s="6">
        <v>831.63756109413873</v>
      </c>
      <c r="F5" s="6">
        <v>831.63756109413873</v>
      </c>
      <c r="G5" s="6">
        <f t="shared" si="0"/>
        <v>831.63756109413873</v>
      </c>
      <c r="H5">
        <f t="shared" si="1"/>
        <v>0</v>
      </c>
      <c r="I5">
        <f t="shared" si="2"/>
        <v>22454.214149541745</v>
      </c>
      <c r="J5" s="25">
        <f t="shared" si="3"/>
        <v>36666</v>
      </c>
      <c r="K5" s="25">
        <f t="shared" si="4"/>
        <v>5674.2184818474134</v>
      </c>
      <c r="L5" s="26">
        <f t="shared" si="5"/>
        <v>30991.781518152588</v>
      </c>
      <c r="M5">
        <f t="shared" si="6"/>
        <v>21132.020814654617</v>
      </c>
      <c r="N5" s="9">
        <f t="shared" ref="N5:N12" si="12">B5/2</f>
        <v>679</v>
      </c>
      <c r="O5">
        <f t="shared" si="7"/>
        <v>-152.63756109413873</v>
      </c>
      <c r="P5">
        <f t="shared" si="8"/>
        <v>0</v>
      </c>
      <c r="Q5">
        <f t="shared" si="9"/>
        <v>-4121.2141495417454</v>
      </c>
      <c r="R5">
        <f t="shared" si="10"/>
        <v>0</v>
      </c>
      <c r="S5" s="7">
        <f t="shared" si="11"/>
        <v>36.524300441826213</v>
      </c>
    </row>
    <row r="6" spans="1:19" x14ac:dyDescent="0.3">
      <c r="A6" s="5" t="s">
        <v>5</v>
      </c>
      <c r="B6" s="6">
        <v>2525</v>
      </c>
      <c r="C6" s="6">
        <v>340</v>
      </c>
      <c r="D6" s="6">
        <v>680</v>
      </c>
      <c r="E6" s="6">
        <v>1804.2249153932855</v>
      </c>
      <c r="F6" s="6">
        <v>1804.2249153932855</v>
      </c>
      <c r="G6" s="6">
        <f t="shared" si="0"/>
        <v>1804.2249153932855</v>
      </c>
      <c r="H6">
        <f t="shared" si="1"/>
        <v>0</v>
      </c>
      <c r="I6">
        <f t="shared" si="2"/>
        <v>48714.072715618706</v>
      </c>
      <c r="J6" s="25">
        <f t="shared" si="3"/>
        <v>68175</v>
      </c>
      <c r="K6" s="25">
        <f t="shared" si="4"/>
        <v>7779.170499306937</v>
      </c>
      <c r="L6" s="26">
        <f t="shared" si="5"/>
        <v>60395.829500693064</v>
      </c>
      <c r="M6">
        <f t="shared" si="6"/>
        <v>46896.964124117498</v>
      </c>
      <c r="N6" s="9">
        <f t="shared" si="12"/>
        <v>1262.5</v>
      </c>
      <c r="O6">
        <f t="shared" si="7"/>
        <v>-541.72491539328553</v>
      </c>
      <c r="P6">
        <f t="shared" si="8"/>
        <v>0</v>
      </c>
      <c r="Q6">
        <f t="shared" si="9"/>
        <v>-14626.572715618709</v>
      </c>
      <c r="R6">
        <f t="shared" si="10"/>
        <v>0</v>
      </c>
      <c r="S6" s="7">
        <f t="shared" si="11"/>
        <v>26.930693069306933</v>
      </c>
    </row>
    <row r="7" spans="1:19" x14ac:dyDescent="0.3">
      <c r="A7" s="5" t="s">
        <v>6</v>
      </c>
      <c r="B7" s="6">
        <v>1100</v>
      </c>
      <c r="C7" s="6">
        <v>381</v>
      </c>
      <c r="D7" s="6">
        <v>762</v>
      </c>
      <c r="E7" s="6">
        <v>291.76788538791209</v>
      </c>
      <c r="F7" s="6">
        <v>600</v>
      </c>
      <c r="G7" s="6">
        <f t="shared" si="0"/>
        <v>600</v>
      </c>
      <c r="H7">
        <f t="shared" si="1"/>
        <v>0</v>
      </c>
      <c r="I7">
        <f t="shared" si="2"/>
        <v>16200</v>
      </c>
      <c r="J7" s="25">
        <f t="shared" si="3"/>
        <v>29700</v>
      </c>
      <c r="K7" s="25">
        <f t="shared" si="4"/>
        <v>8717.2469418704204</v>
      </c>
      <c r="L7" s="26">
        <f t="shared" si="5"/>
        <v>20982.75305812958</v>
      </c>
      <c r="M7">
        <f t="shared" si="6"/>
        <v>11981.283919088635</v>
      </c>
      <c r="N7" s="9">
        <v>600</v>
      </c>
      <c r="O7">
        <f t="shared" si="7"/>
        <v>0</v>
      </c>
      <c r="P7">
        <f t="shared" si="8"/>
        <v>0</v>
      </c>
      <c r="Q7">
        <f t="shared" si="9"/>
        <v>0</v>
      </c>
      <c r="R7">
        <f t="shared" si="10"/>
        <v>0</v>
      </c>
      <c r="S7" s="7">
        <f t="shared" si="11"/>
        <v>69.27272727272728</v>
      </c>
    </row>
    <row r="8" spans="1:19" x14ac:dyDescent="0.3">
      <c r="A8" s="5" t="s">
        <v>7</v>
      </c>
      <c r="B8" s="6">
        <v>2150</v>
      </c>
      <c r="C8" s="6">
        <v>404</v>
      </c>
      <c r="D8" s="6">
        <v>807</v>
      </c>
      <c r="E8" s="6">
        <v>1293.287473950498</v>
      </c>
      <c r="F8" s="6">
        <v>1293.287473950498</v>
      </c>
      <c r="G8" s="6">
        <f t="shared" si="0"/>
        <v>1293.287473950498</v>
      </c>
      <c r="H8">
        <f t="shared" si="1"/>
        <v>0</v>
      </c>
      <c r="I8">
        <f t="shared" si="2"/>
        <v>34918.761796663457</v>
      </c>
      <c r="J8" s="25">
        <f t="shared" si="3"/>
        <v>58050</v>
      </c>
      <c r="K8" s="25">
        <f t="shared" si="4"/>
        <v>9232.0449896186747</v>
      </c>
      <c r="L8" s="26">
        <f t="shared" si="5"/>
        <v>48817.955010381324</v>
      </c>
      <c r="M8">
        <f t="shared" si="6"/>
        <v>32769.153964618476</v>
      </c>
      <c r="N8" s="9">
        <f t="shared" si="12"/>
        <v>1075</v>
      </c>
      <c r="O8">
        <f t="shared" si="7"/>
        <v>-218.287473950498</v>
      </c>
      <c r="P8">
        <f t="shared" si="8"/>
        <v>0</v>
      </c>
      <c r="Q8">
        <f t="shared" si="9"/>
        <v>-5893.7617966634461</v>
      </c>
      <c r="R8">
        <f t="shared" si="10"/>
        <v>0</v>
      </c>
      <c r="S8" s="7">
        <f t="shared" si="11"/>
        <v>37.534883720930232</v>
      </c>
    </row>
    <row r="9" spans="1:19" x14ac:dyDescent="0.3">
      <c r="A9" s="5" t="s">
        <v>8</v>
      </c>
      <c r="B9" s="6">
        <v>1113</v>
      </c>
      <c r="C9" s="6">
        <v>524</v>
      </c>
      <c r="D9" s="6">
        <v>1048</v>
      </c>
      <c r="E9" s="6">
        <v>0</v>
      </c>
      <c r="F9" s="6">
        <v>0</v>
      </c>
      <c r="G9" s="6">
        <f t="shared" si="0"/>
        <v>0</v>
      </c>
      <c r="H9">
        <f t="shared" si="1"/>
        <v>0</v>
      </c>
      <c r="I9">
        <f t="shared" si="2"/>
        <v>0</v>
      </c>
      <c r="J9" s="25">
        <f t="shared" si="3"/>
        <v>30051</v>
      </c>
      <c r="K9" s="25">
        <f t="shared" si="4"/>
        <v>11989.074534225985</v>
      </c>
      <c r="L9" s="26">
        <f t="shared" si="5"/>
        <v>18061.925465774017</v>
      </c>
      <c r="M9" s="25">
        <f t="shared" si="6"/>
        <v>-2789.268937135339</v>
      </c>
      <c r="N9" s="9">
        <v>600</v>
      </c>
      <c r="O9">
        <f t="shared" si="7"/>
        <v>0</v>
      </c>
      <c r="P9">
        <f t="shared" si="8"/>
        <v>600</v>
      </c>
      <c r="Q9">
        <f t="shared" si="9"/>
        <v>0</v>
      </c>
      <c r="R9">
        <f t="shared" si="10"/>
        <v>5400</v>
      </c>
      <c r="S9" s="7">
        <f t="shared" si="11"/>
        <v>94.159928122192269</v>
      </c>
    </row>
    <row r="10" spans="1:19" x14ac:dyDescent="0.3">
      <c r="A10" s="5" t="s">
        <v>9</v>
      </c>
      <c r="B10" s="6">
        <v>4017</v>
      </c>
      <c r="C10" s="6">
        <v>556</v>
      </c>
      <c r="D10" s="6">
        <v>1113</v>
      </c>
      <c r="E10" s="6">
        <v>2836.2021585947891</v>
      </c>
      <c r="F10" s="6">
        <v>2836.2021585947891</v>
      </c>
      <c r="G10" s="6">
        <f t="shared" si="0"/>
        <v>2836.2021585947891</v>
      </c>
      <c r="H10">
        <f t="shared" si="1"/>
        <v>0</v>
      </c>
      <c r="I10">
        <f t="shared" si="2"/>
        <v>76577.458282059291</v>
      </c>
      <c r="J10" s="25">
        <f t="shared" si="3"/>
        <v>108459</v>
      </c>
      <c r="K10" s="25">
        <f t="shared" si="4"/>
        <v>12732.671714306796</v>
      </c>
      <c r="L10" s="26">
        <f t="shared" si="5"/>
        <v>95726.328285693206</v>
      </c>
      <c r="M10">
        <f t="shared" si="6"/>
        <v>73608.78497611951</v>
      </c>
      <c r="N10" s="9">
        <f t="shared" si="12"/>
        <v>2008.5</v>
      </c>
      <c r="O10">
        <f t="shared" si="7"/>
        <v>-827.70215859478913</v>
      </c>
      <c r="P10">
        <f t="shared" si="8"/>
        <v>0</v>
      </c>
      <c r="Q10">
        <f t="shared" si="9"/>
        <v>-22347.958282059306</v>
      </c>
      <c r="R10">
        <f t="shared" si="10"/>
        <v>0</v>
      </c>
      <c r="S10" s="7">
        <f t="shared" si="11"/>
        <v>27.70724421209858</v>
      </c>
    </row>
    <row r="11" spans="1:19" x14ac:dyDescent="0.3">
      <c r="A11" s="5" t="s">
        <v>10</v>
      </c>
      <c r="B11" s="6">
        <v>3296</v>
      </c>
      <c r="C11" s="6">
        <v>1047</v>
      </c>
      <c r="D11" s="6">
        <v>2094</v>
      </c>
      <c r="E11" s="6">
        <v>1074.6715532844062</v>
      </c>
      <c r="F11" s="6">
        <v>1074.6715532844062</v>
      </c>
      <c r="G11" s="6">
        <f t="shared" si="0"/>
        <v>1074.6715532844062</v>
      </c>
      <c r="H11">
        <f t="shared" si="1"/>
        <v>0</v>
      </c>
      <c r="I11">
        <f t="shared" si="2"/>
        <v>29016.131938678969</v>
      </c>
      <c r="J11" s="25">
        <f t="shared" si="3"/>
        <v>88992</v>
      </c>
      <c r="K11" s="25">
        <f t="shared" si="4"/>
        <v>23955.269155218717</v>
      </c>
      <c r="L11" s="26">
        <f t="shared" si="5"/>
        <v>65036.730844781283</v>
      </c>
      <c r="M11">
        <f t="shared" si="6"/>
        <v>23429.687819372051</v>
      </c>
      <c r="N11" s="9">
        <f t="shared" si="12"/>
        <v>1648</v>
      </c>
      <c r="O11">
        <f t="shared" si="7"/>
        <v>0</v>
      </c>
      <c r="P11">
        <f t="shared" si="8"/>
        <v>573.32844671559383</v>
      </c>
      <c r="Q11">
        <f t="shared" si="9"/>
        <v>0</v>
      </c>
      <c r="R11">
        <f t="shared" si="10"/>
        <v>5159.9560204403442</v>
      </c>
      <c r="S11" s="7">
        <f t="shared" si="11"/>
        <v>63.53155339805825</v>
      </c>
    </row>
    <row r="12" spans="1:19" ht="15" thickBot="1" x14ac:dyDescent="0.35">
      <c r="A12" s="17" t="s">
        <v>11</v>
      </c>
      <c r="B12" s="1">
        <v>2383</v>
      </c>
      <c r="C12" s="1">
        <v>697</v>
      </c>
      <c r="D12" s="1">
        <v>1394</v>
      </c>
      <c r="E12" s="1">
        <v>905.3213626896129</v>
      </c>
      <c r="F12" s="1">
        <v>905.3213626896129</v>
      </c>
      <c r="G12" s="1">
        <f t="shared" si="0"/>
        <v>905.3213626896129</v>
      </c>
      <c r="H12" s="18">
        <f t="shared" si="1"/>
        <v>0</v>
      </c>
      <c r="I12" s="18">
        <f t="shared" si="2"/>
        <v>24443.676792619561</v>
      </c>
      <c r="J12" s="30">
        <f t="shared" si="3"/>
        <v>64341</v>
      </c>
      <c r="K12" s="30">
        <f t="shared" si="4"/>
        <v>15947.299523579222</v>
      </c>
      <c r="L12" s="27">
        <f t="shared" si="5"/>
        <v>48393.700476420781</v>
      </c>
      <c r="M12" s="32">
        <f t="shared" si="6"/>
        <v>20719.071108360386</v>
      </c>
      <c r="N12" s="32">
        <f t="shared" si="12"/>
        <v>1191.5</v>
      </c>
      <c r="O12" s="18">
        <f t="shared" si="7"/>
        <v>0</v>
      </c>
      <c r="P12" s="18">
        <f t="shared" si="8"/>
        <v>286.1786373103871</v>
      </c>
      <c r="Q12" s="18">
        <f t="shared" si="9"/>
        <v>0</v>
      </c>
      <c r="R12" s="18">
        <f t="shared" si="10"/>
        <v>2575.6077357934837</v>
      </c>
      <c r="S12" s="19">
        <f t="shared" si="11"/>
        <v>58.497691984892995</v>
      </c>
    </row>
    <row r="13" spans="1:19" ht="15.6" thickTop="1" thickBot="1" x14ac:dyDescent="0.35">
      <c r="A13" s="14" t="s">
        <v>14</v>
      </c>
      <c r="B13" s="15">
        <f>SUM(B3:B12)</f>
        <v>20001</v>
      </c>
      <c r="C13" s="16"/>
      <c r="D13" s="16"/>
      <c r="E13" s="15">
        <f>SUM(E3:E12)</f>
        <v>9999.9999999926931</v>
      </c>
      <c r="F13" s="15">
        <f>SUM(F3:F12)</f>
        <v>10551.242261411948</v>
      </c>
      <c r="G13" s="15"/>
      <c r="H13" s="10"/>
      <c r="I13" s="10">
        <f>SUM(I3:I12)</f>
        <v>284883.54105812259</v>
      </c>
      <c r="J13" s="28"/>
      <c r="K13" s="28"/>
      <c r="L13" s="29">
        <f>SUM(L3:L12)</f>
        <v>432171.08901843266</v>
      </c>
      <c r="M13">
        <f>SUM(M3:M12)</f>
        <v>255856.69323074524</v>
      </c>
      <c r="N13" s="31"/>
      <c r="O13" s="10"/>
      <c r="P13" s="10"/>
      <c r="Q13" s="10">
        <f>SUM(Q3:Q12)</f>
        <v>-47148.732326824087</v>
      </c>
      <c r="R13" s="10">
        <f>SUM(R3:R12)</f>
        <v>13135.563756233827</v>
      </c>
      <c r="S13" s="11"/>
    </row>
    <row r="14" spans="1:19" ht="15" thickBot="1" x14ac:dyDescent="0.35"/>
    <row r="15" spans="1:19" x14ac:dyDescent="0.3">
      <c r="A15" s="3" t="s">
        <v>24</v>
      </c>
      <c r="B15" s="13"/>
      <c r="C15" s="13"/>
      <c r="D15" s="13"/>
      <c r="E15" s="4"/>
    </row>
    <row r="16" spans="1:19" x14ac:dyDescent="0.3">
      <c r="A16" s="9"/>
      <c r="E16" s="7"/>
    </row>
    <row r="17" spans="1:6" x14ac:dyDescent="0.3">
      <c r="A17" s="5" t="s">
        <v>15</v>
      </c>
      <c r="B17" s="6">
        <v>112.5</v>
      </c>
      <c r="C17" t="s">
        <v>31</v>
      </c>
      <c r="E17" s="7"/>
    </row>
    <row r="18" spans="1:6" x14ac:dyDescent="0.3">
      <c r="A18" s="5" t="s">
        <v>16</v>
      </c>
      <c r="B18" s="6">
        <v>85.5</v>
      </c>
      <c r="C18" t="s">
        <v>32</v>
      </c>
      <c r="E18" s="20"/>
      <c r="F18" s="22"/>
    </row>
    <row r="19" spans="1:6" x14ac:dyDescent="0.3">
      <c r="A19" s="5"/>
      <c r="E19" s="21"/>
      <c r="F19" s="23"/>
    </row>
    <row r="20" spans="1:6" x14ac:dyDescent="0.3">
      <c r="A20" s="5" t="s">
        <v>18</v>
      </c>
      <c r="B20" s="8">
        <v>0.24</v>
      </c>
      <c r="C20" t="s">
        <v>19</v>
      </c>
      <c r="E20" s="7"/>
    </row>
    <row r="21" spans="1:6" x14ac:dyDescent="0.3">
      <c r="A21" s="5" t="s">
        <v>20</v>
      </c>
      <c r="B21" s="8">
        <v>0.08</v>
      </c>
      <c r="C21" t="s">
        <v>19</v>
      </c>
      <c r="E21" s="7"/>
    </row>
    <row r="22" spans="1:6" x14ac:dyDescent="0.3">
      <c r="A22" s="9"/>
      <c r="E22" s="7"/>
    </row>
    <row r="23" spans="1:6" x14ac:dyDescent="0.3">
      <c r="A23" s="5" t="s">
        <v>17</v>
      </c>
      <c r="B23">
        <f>B20*B17</f>
        <v>27</v>
      </c>
      <c r="E23" s="7"/>
    </row>
    <row r="24" spans="1:6" x14ac:dyDescent="0.3">
      <c r="A24" s="5" t="s">
        <v>21</v>
      </c>
      <c r="B24">
        <f>B21*B17</f>
        <v>9</v>
      </c>
      <c r="E24" s="7"/>
    </row>
    <row r="25" spans="1:6" x14ac:dyDescent="0.3">
      <c r="A25" s="9"/>
      <c r="E25" s="7"/>
    </row>
    <row r="26" spans="1:6" x14ac:dyDescent="0.3">
      <c r="A26" s="5" t="s">
        <v>22</v>
      </c>
      <c r="B26">
        <f>B18-B24</f>
        <v>76.5</v>
      </c>
      <c r="E26" s="7"/>
    </row>
    <row r="27" spans="1:6" x14ac:dyDescent="0.3">
      <c r="A27" s="9"/>
      <c r="E27" s="7"/>
    </row>
    <row r="28" spans="1:6" ht="15" thickBot="1" x14ac:dyDescent="0.35">
      <c r="A28" s="12" t="s">
        <v>23</v>
      </c>
      <c r="B28" s="10">
        <f>B23/(B23+B24)</f>
        <v>0.75</v>
      </c>
      <c r="C28" s="10"/>
      <c r="D28" s="10"/>
      <c r="E28" s="11"/>
    </row>
  </sheetData>
  <mergeCells count="19">
    <mergeCell ref="M1:M2"/>
    <mergeCell ref="A1:A2"/>
    <mergeCell ref="B1:B2"/>
    <mergeCell ref="C1:C2"/>
    <mergeCell ref="D1:D2"/>
    <mergeCell ref="E1:E2"/>
    <mergeCell ref="G1:G2"/>
    <mergeCell ref="F1:F2"/>
    <mergeCell ref="H1:H2"/>
    <mergeCell ref="I1:I2"/>
    <mergeCell ref="J1:J2"/>
    <mergeCell ref="K1:K2"/>
    <mergeCell ref="L1:L2"/>
    <mergeCell ref="R1:R2"/>
    <mergeCell ref="S1:S2"/>
    <mergeCell ref="N1:N2"/>
    <mergeCell ref="O1:O2"/>
    <mergeCell ref="P1:P2"/>
    <mergeCell ref="Q1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2185C-04F8-4036-AC2E-3D23A0EAEB1F}">
  <dimension ref="A1:U25"/>
  <sheetViews>
    <sheetView tabSelected="1" workbookViewId="0">
      <selection activeCell="M16" sqref="M16"/>
    </sheetView>
  </sheetViews>
  <sheetFormatPr defaultRowHeight="14.4" x14ac:dyDescent="0.3"/>
  <cols>
    <col min="1" max="12" width="12.77734375" customWidth="1"/>
    <col min="13" max="13" width="12.5546875" customWidth="1"/>
    <col min="14" max="21" width="12.77734375" customWidth="1"/>
  </cols>
  <sheetData>
    <row r="1" spans="1:21" x14ac:dyDescent="0.3">
      <c r="A1" s="36" t="s">
        <v>0</v>
      </c>
      <c r="B1" s="38" t="s">
        <v>12</v>
      </c>
      <c r="C1" s="38" t="s">
        <v>13</v>
      </c>
      <c r="D1" s="40" t="s">
        <v>1</v>
      </c>
      <c r="E1" s="38" t="s">
        <v>42</v>
      </c>
      <c r="F1" s="38" t="s">
        <v>41</v>
      </c>
      <c r="G1" s="38" t="s">
        <v>26</v>
      </c>
      <c r="H1" s="45" t="s">
        <v>27</v>
      </c>
      <c r="I1" s="45" t="s">
        <v>18</v>
      </c>
      <c r="J1" s="52" t="s">
        <v>28</v>
      </c>
      <c r="K1" s="52" t="s">
        <v>29</v>
      </c>
      <c r="L1" s="56" t="s">
        <v>30</v>
      </c>
      <c r="M1" s="44" t="s">
        <v>38</v>
      </c>
      <c r="N1" s="54" t="s">
        <v>44</v>
      </c>
      <c r="O1" s="45" t="s">
        <v>43</v>
      </c>
      <c r="P1" s="45" t="s">
        <v>48</v>
      </c>
      <c r="Q1" s="45" t="s">
        <v>45</v>
      </c>
      <c r="R1" s="45" t="s">
        <v>46</v>
      </c>
      <c r="S1" s="42" t="s">
        <v>47</v>
      </c>
      <c r="T1" s="44" t="s">
        <v>50</v>
      </c>
      <c r="U1" s="58" t="s">
        <v>30</v>
      </c>
    </row>
    <row r="2" spans="1:21" ht="25.5" customHeight="1" thickBot="1" x14ac:dyDescent="0.35">
      <c r="A2" s="37"/>
      <c r="B2" s="39"/>
      <c r="C2" s="39"/>
      <c r="D2" s="41"/>
      <c r="E2" s="39"/>
      <c r="F2" s="39"/>
      <c r="G2" s="39"/>
      <c r="H2" s="46"/>
      <c r="I2" s="46"/>
      <c r="J2" s="53"/>
      <c r="K2" s="53"/>
      <c r="L2" s="57"/>
      <c r="M2" s="44"/>
      <c r="N2" s="55"/>
      <c r="O2" s="46"/>
      <c r="P2" s="46"/>
      <c r="Q2" s="46"/>
      <c r="R2" s="46"/>
      <c r="S2" s="43"/>
      <c r="T2" s="44"/>
      <c r="U2" s="58"/>
    </row>
    <row r="3" spans="1:21" x14ac:dyDescent="0.3">
      <c r="A3" s="5" t="s">
        <v>2</v>
      </c>
      <c r="B3" s="6">
        <v>1017</v>
      </c>
      <c r="C3" s="6">
        <v>194</v>
      </c>
      <c r="D3" s="6">
        <v>388</v>
      </c>
      <c r="E3" s="6">
        <v>622.72850456870401</v>
      </c>
      <c r="F3" s="6">
        <v>622.72850456870401</v>
      </c>
      <c r="G3" s="6">
        <f>MIN(F3,B3)</f>
        <v>622.72850456870401</v>
      </c>
      <c r="H3">
        <f>F3-G3</f>
        <v>0</v>
      </c>
      <c r="I3">
        <f t="shared" ref="I3:I9" si="0">G3*$B$14 - F3*$B$15 + H3*$B$23</f>
        <v>16813.669623355017</v>
      </c>
      <c r="J3" s="25">
        <f t="shared" ref="J3:J9" si="1">B3*$B$14 - B3*$B$15</f>
        <v>27459</v>
      </c>
      <c r="K3" s="25">
        <f t="shared" ref="K3:K9" si="2">($B$20+$B$21)*D3*_xlfn.NORM.S.DIST(_xlfn.NORM.S.INV($B$25),0)</f>
        <v>4438.703167251605</v>
      </c>
      <c r="L3" s="26">
        <f>J3-K3</f>
        <v>23020.296832748394</v>
      </c>
      <c r="M3">
        <f t="shared" ref="M3:M9" si="3">($B$14-$B$23)*B3*_xlfn.NORM.DIST((F3-B3)/D3,0,1,1) - ($B$14-$B$23)*D3*_xlfn.NORM.DIST((F3-B3)/D3,0,1,0) - F3*($B$15-$B$23)*_xlfn.NORM.DIST(F3,B3,D3,1) + F3*($B$14-$B$15)*(1-_xlfn.NORM.DIST(F3,B3,D3,1))</f>
        <v>15685.30019879579</v>
      </c>
      <c r="N3" s="9">
        <v>600</v>
      </c>
      <c r="O3">
        <f>IF((N3-F3)&lt;0, N3-F3, 0)</f>
        <v>-22.728504568704011</v>
      </c>
      <c r="P3">
        <f>IF((N3-F3)&gt;0, N3-F3, 0)</f>
        <v>0</v>
      </c>
      <c r="Q3">
        <f t="shared" ref="Q3:Q9" si="4">O3*$B$20</f>
        <v>-613.6696233550083</v>
      </c>
      <c r="R3">
        <f>P3*$B$21</f>
        <v>0</v>
      </c>
      <c r="S3" s="7">
        <f>D3/B3*100</f>
        <v>38.151425762045236</v>
      </c>
      <c r="T3">
        <f>B3+$T$12*D3</f>
        <v>641.57716580608144</v>
      </c>
      <c r="U3">
        <f>($B$14-$B$23)*B3*_xlfn.NORM.DIST((T3-B3)/D3,0,1,1) - ($B$14-$B$23)*D3*_xlfn.NORM.DIST((T3-B3)/D3,0,1,0) - T3*($B$15-$B$23)*_xlfn.NORM.DIST(T3,B3,D3,1) + T3*($B$14-$B$15)*(1-_xlfn.NORM.DIST(T3,B3,D3,1))</f>
        <v>16085.202497038314</v>
      </c>
    </row>
    <row r="4" spans="1:21" x14ac:dyDescent="0.3">
      <c r="A4" s="5" t="s">
        <v>4</v>
      </c>
      <c r="B4" s="6">
        <v>1358</v>
      </c>
      <c r="C4" s="6">
        <v>248</v>
      </c>
      <c r="D4" s="6">
        <v>496</v>
      </c>
      <c r="E4" s="6">
        <v>862.82197411382094</v>
      </c>
      <c r="F4" s="6">
        <v>862.82197411382094</v>
      </c>
      <c r="G4" s="6">
        <f t="shared" ref="G4:G9" si="5">MIN(F4,B4)</f>
        <v>862.82197411382094</v>
      </c>
      <c r="H4">
        <f t="shared" ref="H4:H9" si="6">F4-G4</f>
        <v>0</v>
      </c>
      <c r="I4">
        <f t="shared" si="0"/>
        <v>23296.193301073159</v>
      </c>
      <c r="J4" s="25">
        <f t="shared" si="1"/>
        <v>36666</v>
      </c>
      <c r="K4" s="25">
        <f t="shared" si="2"/>
        <v>5674.2184818474134</v>
      </c>
      <c r="L4" s="26">
        <f t="shared" ref="L4:L9" si="7">J4-K4</f>
        <v>30991.781518152588</v>
      </c>
      <c r="M4">
        <f t="shared" si="3"/>
        <v>21803.811543619246</v>
      </c>
      <c r="N4" s="9">
        <f t="shared" ref="N4:N9" si="8">B4/2</f>
        <v>679</v>
      </c>
      <c r="O4">
        <f t="shared" ref="O4:O9" si="9">IF((N4-F4)&lt;0, N4-F4, 0)</f>
        <v>-183.82197411382094</v>
      </c>
      <c r="P4">
        <f t="shared" ref="P4:P9" si="10">IF((N4-F4)&gt;0, N4-F4, 0)</f>
        <v>0</v>
      </c>
      <c r="Q4">
        <f t="shared" si="4"/>
        <v>-4963.1933010731655</v>
      </c>
      <c r="R4">
        <f t="shared" ref="R4:R9" si="11">P4*$B$21</f>
        <v>0</v>
      </c>
      <c r="S4" s="7">
        <f t="shared" ref="S4:S9" si="12">D4/B4*100</f>
        <v>36.524300441826213</v>
      </c>
      <c r="T4">
        <f t="shared" ref="T4:T9" si="13">B4+$T$12*D4</f>
        <v>878.07802639127942</v>
      </c>
      <c r="U4">
        <f t="shared" ref="U4:U9" si="14">($B$14-$B$23)*B4*_xlfn.NORM.DIST((T4-B4)/D4,0,1,1) - ($B$14-$B$23)*D4*_xlfn.NORM.DIST((T4-B4)/D4,0,1,0) - T4*($B$15-$B$23)*_xlfn.NORM.DIST(T4,B4,D4,1) + T4*($B$14-$B$15)*(1-_xlfn.NORM.DIST(T4,B4,D4,1))</f>
        <v>22126.300099306714</v>
      </c>
    </row>
    <row r="5" spans="1:21" x14ac:dyDescent="0.3">
      <c r="A5" s="5" t="s">
        <v>5</v>
      </c>
      <c r="B5" s="6">
        <v>2525</v>
      </c>
      <c r="C5" s="6">
        <v>340</v>
      </c>
      <c r="D5" s="6">
        <v>680</v>
      </c>
      <c r="E5" s="6">
        <v>1939.9268925733841</v>
      </c>
      <c r="F5" s="6">
        <v>1939.9268925733841</v>
      </c>
      <c r="G5" s="6">
        <f t="shared" si="5"/>
        <v>1939.9268925733841</v>
      </c>
      <c r="H5">
        <f t="shared" si="6"/>
        <v>0</v>
      </c>
      <c r="I5">
        <f t="shared" si="0"/>
        <v>52378.026099481387</v>
      </c>
      <c r="J5" s="25">
        <f t="shared" si="1"/>
        <v>68175</v>
      </c>
      <c r="K5" s="25">
        <f t="shared" si="2"/>
        <v>7779.170499306937</v>
      </c>
      <c r="L5" s="26">
        <f t="shared" si="7"/>
        <v>60395.829500693064</v>
      </c>
      <c r="M5">
        <f t="shared" si="3"/>
        <v>49735.882419144269</v>
      </c>
      <c r="N5" s="9">
        <f t="shared" si="8"/>
        <v>1262.5</v>
      </c>
      <c r="O5">
        <f t="shared" si="9"/>
        <v>-677.42689257338407</v>
      </c>
      <c r="P5">
        <f t="shared" si="10"/>
        <v>0</v>
      </c>
      <c r="Q5">
        <f t="shared" si="4"/>
        <v>-18290.526099481369</v>
      </c>
      <c r="R5">
        <f t="shared" si="11"/>
        <v>0</v>
      </c>
      <c r="S5" s="7">
        <f t="shared" si="12"/>
        <v>26.930693069306933</v>
      </c>
      <c r="T5">
        <f t="shared" si="13"/>
        <v>1867.0424555364316</v>
      </c>
      <c r="U5">
        <f t="shared" si="14"/>
        <v>48241.540458726944</v>
      </c>
    </row>
    <row r="6" spans="1:21" x14ac:dyDescent="0.3">
      <c r="A6" s="5" t="s">
        <v>7</v>
      </c>
      <c r="B6" s="6">
        <v>2150</v>
      </c>
      <c r="C6" s="6">
        <v>404</v>
      </c>
      <c r="D6" s="6">
        <v>807</v>
      </c>
      <c r="E6" s="6">
        <v>1366.0468113527872</v>
      </c>
      <c r="F6" s="6">
        <v>1366.0468113527872</v>
      </c>
      <c r="G6" s="6">
        <f t="shared" si="5"/>
        <v>1366.0468113527872</v>
      </c>
      <c r="H6">
        <f t="shared" si="6"/>
        <v>0</v>
      </c>
      <c r="I6">
        <f t="shared" si="0"/>
        <v>36883.263906525244</v>
      </c>
      <c r="J6" s="25">
        <f t="shared" si="1"/>
        <v>58050</v>
      </c>
      <c r="K6" s="25">
        <f t="shared" si="2"/>
        <v>9232.0449896186747</v>
      </c>
      <c r="L6" s="26">
        <f t="shared" si="7"/>
        <v>48817.955010381324</v>
      </c>
      <c r="M6">
        <f t="shared" si="3"/>
        <v>34328.254941825973</v>
      </c>
      <c r="N6" s="9">
        <f t="shared" si="8"/>
        <v>1075</v>
      </c>
      <c r="O6">
        <f t="shared" si="9"/>
        <v>-291.04681135278724</v>
      </c>
      <c r="P6">
        <f t="shared" si="10"/>
        <v>0</v>
      </c>
      <c r="Q6">
        <f t="shared" si="4"/>
        <v>-7858.2639065252552</v>
      </c>
      <c r="R6">
        <f t="shared" si="11"/>
        <v>0</v>
      </c>
      <c r="S6" s="7">
        <f t="shared" si="12"/>
        <v>37.534883720930232</v>
      </c>
      <c r="T6">
        <f t="shared" si="13"/>
        <v>1369.159208261618</v>
      </c>
      <c r="U6">
        <f t="shared" si="14"/>
        <v>34393.673750283298</v>
      </c>
    </row>
    <row r="7" spans="1:21" x14ac:dyDescent="0.3">
      <c r="A7" s="5" t="s">
        <v>9</v>
      </c>
      <c r="B7" s="6">
        <v>4017</v>
      </c>
      <c r="C7" s="6">
        <v>556</v>
      </c>
      <c r="D7" s="6">
        <v>1113</v>
      </c>
      <c r="E7" s="6">
        <v>3140.627395280912</v>
      </c>
      <c r="F7" s="6">
        <v>3140.627395280912</v>
      </c>
      <c r="G7" s="6">
        <f t="shared" si="5"/>
        <v>3140.627395280912</v>
      </c>
      <c r="H7">
        <f t="shared" si="6"/>
        <v>0</v>
      </c>
      <c r="I7">
        <f t="shared" si="0"/>
        <v>84796.939672584645</v>
      </c>
      <c r="J7" s="25">
        <f t="shared" si="1"/>
        <v>108459</v>
      </c>
      <c r="K7" s="25">
        <f t="shared" si="2"/>
        <v>12732.671714306796</v>
      </c>
      <c r="L7" s="26">
        <f t="shared" si="7"/>
        <v>95726.328285693206</v>
      </c>
      <c r="M7">
        <f t="shared" si="3"/>
        <v>79872.567207198445</v>
      </c>
      <c r="N7" s="9">
        <f t="shared" si="8"/>
        <v>2008.5</v>
      </c>
      <c r="O7">
        <f t="shared" si="9"/>
        <v>-1132.127395280912</v>
      </c>
      <c r="P7">
        <f t="shared" si="10"/>
        <v>0</v>
      </c>
      <c r="Q7">
        <f t="shared" si="4"/>
        <v>-30567.439672584624</v>
      </c>
      <c r="R7">
        <f t="shared" si="11"/>
        <v>0</v>
      </c>
      <c r="S7" s="7">
        <f t="shared" si="12"/>
        <v>27.70724421209858</v>
      </c>
      <c r="T7">
        <f t="shared" si="13"/>
        <v>2940.0783132530123</v>
      </c>
      <c r="U7">
        <f t="shared" si="14"/>
        <v>75832.616956710437</v>
      </c>
    </row>
    <row r="8" spans="1:21" x14ac:dyDescent="0.3">
      <c r="A8" s="5" t="s">
        <v>10</v>
      </c>
      <c r="B8" s="6">
        <v>3296</v>
      </c>
      <c r="C8" s="6">
        <v>1047</v>
      </c>
      <c r="D8" s="6">
        <v>2094</v>
      </c>
      <c r="E8" s="6">
        <v>1125.7870021720448</v>
      </c>
      <c r="F8" s="6">
        <v>1125.7870021720448</v>
      </c>
      <c r="G8" s="6">
        <f t="shared" si="5"/>
        <v>1125.7870021720448</v>
      </c>
      <c r="H8">
        <f t="shared" si="6"/>
        <v>0</v>
      </c>
      <c r="I8">
        <f t="shared" si="0"/>
        <v>30396.249058645204</v>
      </c>
      <c r="J8" s="25">
        <f t="shared" si="1"/>
        <v>88992</v>
      </c>
      <c r="K8" s="25">
        <f t="shared" si="2"/>
        <v>23955.269155218717</v>
      </c>
      <c r="L8" s="26">
        <f t="shared" si="7"/>
        <v>65036.730844781283</v>
      </c>
      <c r="M8">
        <f t="shared" si="3"/>
        <v>24538.958120835636</v>
      </c>
      <c r="N8" s="9">
        <f t="shared" si="8"/>
        <v>1648</v>
      </c>
      <c r="O8">
        <f t="shared" si="9"/>
        <v>0</v>
      </c>
      <c r="P8">
        <f t="shared" si="10"/>
        <v>522.21299782795518</v>
      </c>
      <c r="Q8">
        <f t="shared" si="4"/>
        <v>0</v>
      </c>
      <c r="R8">
        <f t="shared" si="11"/>
        <v>4699.9169804515968</v>
      </c>
      <c r="S8" s="7">
        <f t="shared" si="12"/>
        <v>63.53155339805825</v>
      </c>
      <c r="T8">
        <f t="shared" si="13"/>
        <v>1269.8777969018934</v>
      </c>
      <c r="U8">
        <f t="shared" si="14"/>
        <v>27608.670177315023</v>
      </c>
    </row>
    <row r="9" spans="1:21" ht="15" thickBot="1" x14ac:dyDescent="0.35">
      <c r="A9" s="17" t="s">
        <v>11</v>
      </c>
      <c r="B9" s="1">
        <v>2383</v>
      </c>
      <c r="C9" s="1">
        <v>697</v>
      </c>
      <c r="D9" s="1">
        <v>1394</v>
      </c>
      <c r="E9" s="1">
        <v>942.07141992786592</v>
      </c>
      <c r="F9" s="1">
        <v>942.07141992786592</v>
      </c>
      <c r="G9" s="1">
        <f t="shared" si="5"/>
        <v>942.07141992786592</v>
      </c>
      <c r="H9" s="18">
        <f t="shared" si="6"/>
        <v>0</v>
      </c>
      <c r="I9" s="18">
        <f t="shared" si="0"/>
        <v>25435.92833805237</v>
      </c>
      <c r="J9" s="30">
        <f t="shared" si="1"/>
        <v>64341</v>
      </c>
      <c r="K9" s="30">
        <f t="shared" si="2"/>
        <v>15947.299523579222</v>
      </c>
      <c r="L9" s="27">
        <f t="shared" si="7"/>
        <v>48393.700476420781</v>
      </c>
      <c r="M9" s="32">
        <f t="shared" si="3"/>
        <v>21516.057802716441</v>
      </c>
      <c r="N9" s="32">
        <f t="shared" si="8"/>
        <v>1191.5</v>
      </c>
      <c r="O9" s="18">
        <f t="shared" si="9"/>
        <v>0</v>
      </c>
      <c r="P9" s="18">
        <f t="shared" si="10"/>
        <v>249.42858007213408</v>
      </c>
      <c r="Q9" s="18">
        <f t="shared" si="4"/>
        <v>0</v>
      </c>
      <c r="R9" s="18">
        <f t="shared" si="11"/>
        <v>2244.8572206492067</v>
      </c>
      <c r="S9" s="19">
        <f t="shared" si="12"/>
        <v>58.497691984892995</v>
      </c>
      <c r="T9">
        <f t="shared" si="13"/>
        <v>1034.1870338496844</v>
      </c>
      <c r="U9">
        <f t="shared" si="14"/>
        <v>23477.407940390229</v>
      </c>
    </row>
    <row r="10" spans="1:21" ht="15.6" thickTop="1" thickBot="1" x14ac:dyDescent="0.35">
      <c r="A10" s="14" t="s">
        <v>14</v>
      </c>
      <c r="B10" s="15">
        <f>SUM(B3:B9)</f>
        <v>16746</v>
      </c>
      <c r="C10" s="16"/>
      <c r="D10" s="16"/>
      <c r="E10" s="15">
        <f>SUM(E3:E9)</f>
        <v>10000.009999989519</v>
      </c>
      <c r="F10" s="15">
        <f>SUM(F3:F9)</f>
        <v>10000.009999989519</v>
      </c>
      <c r="G10" s="15"/>
      <c r="H10" s="10"/>
      <c r="I10" s="10">
        <f>SUM(I3:I9)</f>
        <v>270000.26999971701</v>
      </c>
      <c r="J10" s="28"/>
      <c r="K10" s="28"/>
      <c r="L10" s="29">
        <f>SUM(L3:L9)</f>
        <v>372382.6224688706</v>
      </c>
      <c r="M10">
        <f>SUM(M3:M9)</f>
        <v>247480.8322341358</v>
      </c>
      <c r="N10" s="31"/>
      <c r="O10" s="10"/>
      <c r="P10" s="10"/>
      <c r="Q10" s="10">
        <f>SUM(Q3:Q9)</f>
        <v>-62293.092603019424</v>
      </c>
      <c r="R10" s="10">
        <f>SUM(R3:R9)</f>
        <v>6944.7742011008031</v>
      </c>
      <c r="S10" s="11"/>
      <c r="T10">
        <f>SUM(T3:T9)</f>
        <v>10000.000000000002</v>
      </c>
      <c r="U10" s="35">
        <f>SUM(U3:U9)</f>
        <v>247765.41187977095</v>
      </c>
    </row>
    <row r="11" spans="1:21" ht="15" thickBot="1" x14ac:dyDescent="0.35"/>
    <row r="12" spans="1:21" x14ac:dyDescent="0.3">
      <c r="A12" s="3" t="s">
        <v>24</v>
      </c>
      <c r="B12" s="13"/>
      <c r="C12" s="13"/>
      <c r="D12" s="13"/>
      <c r="E12" s="4"/>
      <c r="G12" s="34"/>
      <c r="H12" s="34"/>
      <c r="I12" s="34"/>
      <c r="J12" s="34"/>
      <c r="S12" t="s">
        <v>51</v>
      </c>
      <c r="T12">
        <f>(10000-B10)/SUM(D3:D9)</f>
        <v>-0.96758462421113023</v>
      </c>
    </row>
    <row r="13" spans="1:21" x14ac:dyDescent="0.3">
      <c r="A13" s="9"/>
      <c r="E13" s="7"/>
      <c r="G13" s="58" t="s">
        <v>49</v>
      </c>
      <c r="H13" s="58"/>
      <c r="I13" s="58"/>
      <c r="J13" s="58"/>
    </row>
    <row r="14" spans="1:21" x14ac:dyDescent="0.3">
      <c r="A14" s="5" t="s">
        <v>15</v>
      </c>
      <c r="B14" s="6">
        <v>112.5</v>
      </c>
      <c r="C14" t="s">
        <v>31</v>
      </c>
      <c r="E14" s="7"/>
      <c r="G14" s="58"/>
      <c r="H14" s="58"/>
      <c r="I14" s="58"/>
      <c r="J14" s="58"/>
      <c r="S14" t="s">
        <v>52</v>
      </c>
      <c r="T14">
        <f>U10-M10</f>
        <v>284.5796456351527</v>
      </c>
    </row>
    <row r="15" spans="1:21" x14ac:dyDescent="0.3">
      <c r="A15" s="5" t="s">
        <v>16</v>
      </c>
      <c r="B15" s="6">
        <v>85.5</v>
      </c>
      <c r="C15" t="s">
        <v>32</v>
      </c>
      <c r="E15" s="20"/>
      <c r="F15" s="22"/>
      <c r="G15" s="58"/>
      <c r="H15" s="58"/>
      <c r="I15" s="58"/>
      <c r="J15" s="58"/>
    </row>
    <row r="16" spans="1:21" ht="14.4" customHeight="1" x14ac:dyDescent="0.3">
      <c r="A16" s="5"/>
      <c r="E16" s="21"/>
      <c r="F16" s="23"/>
      <c r="G16" s="58"/>
      <c r="H16" s="58"/>
      <c r="I16" s="58"/>
      <c r="J16" s="58"/>
    </row>
    <row r="17" spans="1:10" x14ac:dyDescent="0.3">
      <c r="A17" s="5" t="s">
        <v>18</v>
      </c>
      <c r="B17" s="8">
        <v>0.24</v>
      </c>
      <c r="C17" t="s">
        <v>19</v>
      </c>
      <c r="E17" s="7"/>
      <c r="G17" s="58"/>
      <c r="H17" s="58"/>
      <c r="I17" s="58"/>
      <c r="J17" s="58"/>
    </row>
    <row r="18" spans="1:10" x14ac:dyDescent="0.3">
      <c r="A18" s="5" t="s">
        <v>20</v>
      </c>
      <c r="B18" s="8">
        <v>0.08</v>
      </c>
      <c r="C18" t="s">
        <v>19</v>
      </c>
      <c r="E18" s="7"/>
      <c r="G18" s="58"/>
      <c r="H18" s="58"/>
      <c r="I18" s="58"/>
      <c r="J18" s="58"/>
    </row>
    <row r="19" spans="1:10" x14ac:dyDescent="0.3">
      <c r="A19" s="9"/>
      <c r="E19" s="7"/>
      <c r="G19" s="58"/>
      <c r="H19" s="58"/>
      <c r="I19" s="58"/>
      <c r="J19" s="58"/>
    </row>
    <row r="20" spans="1:10" x14ac:dyDescent="0.3">
      <c r="A20" s="5" t="s">
        <v>17</v>
      </c>
      <c r="B20">
        <f>B17*B14</f>
        <v>27</v>
      </c>
      <c r="E20" s="7"/>
      <c r="G20" s="58"/>
      <c r="H20" s="58"/>
      <c r="I20" s="58"/>
      <c r="J20" s="58"/>
    </row>
    <row r="21" spans="1:10" x14ac:dyDescent="0.3">
      <c r="A21" s="5" t="s">
        <v>21</v>
      </c>
      <c r="B21">
        <f>B18*B14</f>
        <v>9</v>
      </c>
      <c r="E21" s="7"/>
      <c r="G21" s="58"/>
      <c r="H21" s="58"/>
      <c r="I21" s="58"/>
      <c r="J21" s="58"/>
    </row>
    <row r="22" spans="1:10" x14ac:dyDescent="0.3">
      <c r="A22" s="9"/>
      <c r="E22" s="7"/>
    </row>
    <row r="23" spans="1:10" x14ac:dyDescent="0.3">
      <c r="A23" s="5" t="s">
        <v>22</v>
      </c>
      <c r="B23">
        <f>B15-B21</f>
        <v>76.5</v>
      </c>
      <c r="E23" s="7"/>
    </row>
    <row r="24" spans="1:10" x14ac:dyDescent="0.3">
      <c r="A24" s="9"/>
      <c r="E24" s="7"/>
    </row>
    <row r="25" spans="1:10" ht="15" thickBot="1" x14ac:dyDescent="0.35">
      <c r="A25" s="12" t="s">
        <v>23</v>
      </c>
      <c r="B25" s="10">
        <f>B20/(B20+B21)</f>
        <v>0.75</v>
      </c>
      <c r="C25" s="10"/>
      <c r="D25" s="10"/>
      <c r="E25" s="11"/>
    </row>
  </sheetData>
  <mergeCells count="22">
    <mergeCell ref="S1:S2"/>
    <mergeCell ref="G13:J21"/>
    <mergeCell ref="T1:T2"/>
    <mergeCell ref="U1:U2"/>
    <mergeCell ref="M1:M2"/>
    <mergeCell ref="N1:N2"/>
    <mergeCell ref="O1:O2"/>
    <mergeCell ref="P1:P2"/>
    <mergeCell ref="Q1:Q2"/>
    <mergeCell ref="R1:R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Strategy 1</vt:lpstr>
      <vt:lpstr>Strategy 2</vt:lpstr>
      <vt:lpstr>Strategy 3 (analysis)</vt:lpstr>
      <vt:lpstr>Strategy 4</vt:lpstr>
    </vt:vector>
  </TitlesOfParts>
  <Company>EUR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LU</dc:creator>
  <cp:lastModifiedBy>Sahil</cp:lastModifiedBy>
  <dcterms:created xsi:type="dcterms:W3CDTF">2016-09-07T07:06:27Z</dcterms:created>
  <dcterms:modified xsi:type="dcterms:W3CDTF">2023-03-16T06:42:20Z</dcterms:modified>
</cp:coreProperties>
</file>